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7.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DAVID\TRABAJO\CHÍA\Huella carbono municipal\"/>
    </mc:Choice>
  </mc:AlternateContent>
  <bookViews>
    <workbookView xWindow="0" yWindow="0" windowWidth="20490" windowHeight="7755" tabRatio="866" firstSheet="2" activeTab="2"/>
  </bookViews>
  <sheets>
    <sheet name="MENU" sheetId="9" r:id="rId1"/>
    <sheet name="INSTRUCCIONES" sheetId="10" r:id="rId2"/>
    <sheet name="INFORMACIÓN REQUERIDA" sheetId="21" r:id="rId3"/>
    <sheet name="RESIDENCIAL" sheetId="4" r:id="rId4"/>
    <sheet name="Otros factores" sheetId="6" state="hidden" r:id="rId5"/>
    <sheet name="INSTITUCIONAL" sheetId="11" r:id="rId6"/>
    <sheet name="TRANSPORTE" sheetId="12" r:id="rId7"/>
    <sheet name="INDUSTRIA" sheetId="13" r:id="rId8"/>
    <sheet name="AGROPECUARIO" sheetId="14" r:id="rId9"/>
    <sheet name="RESIDUOS" sheetId="15" r:id="rId10"/>
    <sheet name="USO DEL SUELO" sheetId="16" r:id="rId11"/>
    <sheet name="SUMIDEROS" sheetId="17" r:id="rId12"/>
    <sheet name="RESULTADOS HCM" sheetId="18" r:id="rId13"/>
    <sheet name="INFORMES" sheetId="20" r:id="rId14"/>
  </sheets>
  <definedNames>
    <definedName name="_xlnm.Print_Area" localSheetId="2">'INFORMACIÓN REQUERIDA'!$A$1:$H$52</definedName>
    <definedName name="CATEGORIA" localSheetId="2">#REF!</definedName>
    <definedName name="CATEGORIA">#REF!</definedName>
    <definedName name="CATEGORIAS" localSheetId="2">#REF!</definedName>
    <definedName name="CATEGORIAS">#REF!</definedName>
    <definedName name="Combustibles_Gaseosos" localSheetId="2">#REF!</definedName>
    <definedName name="Combustibles_Gaseosos">#REF!</definedName>
    <definedName name="Combustibles_Liquidos" localSheetId="2">#REF!</definedName>
    <definedName name="Combustibles_Liquidos">#REF!</definedName>
    <definedName name="Combustibles_Solidos" localSheetId="2">#REF!</definedName>
    <definedName name="Combustibles_Solidos">#REF!</definedName>
    <definedName name="Energia_Electrica" localSheetId="2">#REF!</definedName>
    <definedName name="Energia_Electrica">#REF!</definedName>
    <definedName name="Gases_Refrigerantes" localSheetId="2">#REF!</definedName>
    <definedName name="Gases_Refrigerantes">#REF!</definedName>
    <definedName name="Otras" localSheetId="2">#REF!</definedName>
    <definedName name="Otras">#REF!</definedName>
    <definedName name="Procesos_Agropecuarios" localSheetId="2">#REF!</definedName>
    <definedName name="Procesos_Agropecuarios">#REF!</definedName>
    <definedName name="_xlnm.Print_Titles" localSheetId="2">'INFORMACIÓN REQUERIDA'!$3:$3</definedName>
    <definedName name="Tratamiento_de_Residuos" localSheetId="2">#REF!</definedName>
    <definedName name="Tratamiento_de_Residuos">#REF!</definedName>
    <definedName name="Tratamiento_Residuos" localSheetId="2">#REF!</definedName>
    <definedName name="Tratamiento_Residuos">#REF!</definedName>
  </definedNames>
  <calcPr calcId="152511"/>
</workbook>
</file>

<file path=xl/calcChain.xml><?xml version="1.0" encoding="utf-8"?>
<calcChain xmlns="http://schemas.openxmlformats.org/spreadsheetml/2006/main">
  <c r="AX57" i="14" l="1"/>
  <c r="R57" i="14"/>
  <c r="Q57" i="14"/>
  <c r="AX56" i="14"/>
  <c r="R56" i="14"/>
  <c r="Q56" i="14"/>
  <c r="AX59" i="14"/>
  <c r="R59" i="14"/>
  <c r="Q59" i="14"/>
  <c r="AX58" i="14"/>
  <c r="R58" i="14"/>
  <c r="Q58" i="14"/>
  <c r="AX60" i="14"/>
  <c r="R60" i="14"/>
  <c r="Q60" i="14"/>
  <c r="AX48" i="14"/>
  <c r="R48" i="14"/>
  <c r="Q48" i="14"/>
  <c r="BB48" i="14" s="1"/>
  <c r="BC48" i="14" s="1"/>
  <c r="BE48" i="14" s="1"/>
  <c r="AX47" i="14"/>
  <c r="R47" i="14"/>
  <c r="Q47" i="14"/>
  <c r="BB47" i="14" s="1"/>
  <c r="BC47" i="14" s="1"/>
  <c r="BE47" i="14" s="1"/>
  <c r="AX50" i="14"/>
  <c r="R50" i="14"/>
  <c r="Q50" i="14"/>
  <c r="BB50" i="14" s="1"/>
  <c r="BC50" i="14" s="1"/>
  <c r="BE50" i="14" s="1"/>
  <c r="AX49" i="14"/>
  <c r="R49" i="14"/>
  <c r="Q49" i="14"/>
  <c r="BB49" i="14" s="1"/>
  <c r="BC49" i="14" s="1"/>
  <c r="BE49" i="14" s="1"/>
  <c r="AX51" i="14"/>
  <c r="R51" i="14"/>
  <c r="Q51" i="14"/>
  <c r="BI361" i="14"/>
  <c r="BI360" i="14"/>
  <c r="BI359" i="14"/>
  <c r="BI358" i="14"/>
  <c r="BI357" i="14"/>
  <c r="BI356" i="14"/>
  <c r="BI355" i="14"/>
  <c r="BI354" i="14"/>
  <c r="BI353" i="14"/>
  <c r="BI352" i="14"/>
  <c r="BI351" i="14"/>
  <c r="BI350" i="14"/>
  <c r="BI349" i="14"/>
  <c r="BI348" i="14"/>
  <c r="BI347" i="14"/>
  <c r="BI346" i="14"/>
  <c r="BI345" i="14"/>
  <c r="BI344" i="14"/>
  <c r="BI343" i="14"/>
  <c r="BI342" i="14"/>
  <c r="BI341" i="14"/>
  <c r="BI340" i="14"/>
  <c r="BI339" i="14"/>
  <c r="BI338" i="14"/>
  <c r="BI337" i="14"/>
  <c r="BI336" i="14"/>
  <c r="BI335" i="14"/>
  <c r="BI334" i="14"/>
  <c r="BI333" i="14"/>
  <c r="BI332" i="14"/>
  <c r="BI331" i="14"/>
  <c r="BI330" i="14"/>
  <c r="BI329" i="14"/>
  <c r="AH364" i="14"/>
  <c r="AH363" i="14"/>
  <c r="AH362" i="14"/>
  <c r="AM66" i="14"/>
  <c r="AM65" i="14"/>
  <c r="AM64" i="14"/>
  <c r="D57" i="14" l="1"/>
  <c r="AM61" i="14"/>
  <c r="AM59" i="14"/>
  <c r="AM57" i="14"/>
  <c r="AM55" i="14"/>
  <c r="AM62" i="14"/>
  <c r="AM60" i="14"/>
  <c r="AM58" i="14"/>
  <c r="AM56" i="14"/>
  <c r="AN58" i="14"/>
  <c r="BB58" i="14"/>
  <c r="BC58" i="14" s="1"/>
  <c r="BE58" i="14" s="1"/>
  <c r="AN56" i="14"/>
  <c r="BB56" i="14"/>
  <c r="BC56" i="14" s="1"/>
  <c r="BE56" i="14" s="1"/>
  <c r="D51" i="14"/>
  <c r="AF49" i="14"/>
  <c r="D50" i="14"/>
  <c r="AF47" i="14"/>
  <c r="D48" i="14"/>
  <c r="AF60" i="14"/>
  <c r="D58" i="14"/>
  <c r="AF59" i="14"/>
  <c r="D56" i="14"/>
  <c r="AF57" i="14"/>
  <c r="AF51" i="14"/>
  <c r="D49" i="14"/>
  <c r="AF50" i="14"/>
  <c r="D47" i="14"/>
  <c r="AF48" i="14"/>
  <c r="D60" i="14"/>
  <c r="AF58" i="14"/>
  <c r="D59" i="14"/>
  <c r="AF56" i="14"/>
  <c r="T56" i="14"/>
  <c r="T57" i="14"/>
  <c r="AN57" i="14"/>
  <c r="BB57" i="14"/>
  <c r="BC57" i="14" s="1"/>
  <c r="BE57" i="14" s="1"/>
  <c r="S56" i="14"/>
  <c r="U56" i="14"/>
  <c r="AA56" i="14"/>
  <c r="AG56" i="14"/>
  <c r="S57" i="14"/>
  <c r="U57" i="14"/>
  <c r="AA57" i="14"/>
  <c r="AG57" i="14"/>
  <c r="T58" i="14"/>
  <c r="T59" i="14"/>
  <c r="AN59" i="14"/>
  <c r="BB59" i="14"/>
  <c r="BC59" i="14" s="1"/>
  <c r="BE59" i="14" s="1"/>
  <c r="S58" i="14"/>
  <c r="U58" i="14"/>
  <c r="AA58" i="14"/>
  <c r="AG58" i="14"/>
  <c r="S59" i="14"/>
  <c r="U59" i="14"/>
  <c r="AA59" i="14"/>
  <c r="AG59" i="14"/>
  <c r="S47" i="14"/>
  <c r="T60" i="14"/>
  <c r="AN60" i="14"/>
  <c r="BB60" i="14"/>
  <c r="BC60" i="14" s="1"/>
  <c r="BE60" i="14" s="1"/>
  <c r="U47" i="14"/>
  <c r="S60" i="14"/>
  <c r="U60" i="14"/>
  <c r="AA60" i="14"/>
  <c r="AG60" i="14"/>
  <c r="U49" i="14"/>
  <c r="S49" i="14"/>
  <c r="AE49" i="14"/>
  <c r="AH49" i="14" s="1"/>
  <c r="T47" i="14"/>
  <c r="S48" i="14"/>
  <c r="U48" i="14"/>
  <c r="AA48" i="14"/>
  <c r="AE48" i="14"/>
  <c r="AH48" i="14" s="1"/>
  <c r="AG48" i="14"/>
  <c r="AA47" i="14"/>
  <c r="AG47" i="14"/>
  <c r="T48" i="14"/>
  <c r="T49" i="14"/>
  <c r="S50" i="14"/>
  <c r="U50" i="14"/>
  <c r="AA50" i="14"/>
  <c r="AE50" i="14"/>
  <c r="AH50" i="14" s="1"/>
  <c r="AG50" i="14"/>
  <c r="AA49" i="14"/>
  <c r="AG49" i="14"/>
  <c r="T50" i="14"/>
  <c r="S51" i="14"/>
  <c r="U51" i="14"/>
  <c r="AA51" i="14"/>
  <c r="AE51" i="14"/>
  <c r="AH51" i="14" s="1"/>
  <c r="AG51" i="14"/>
  <c r="BB51" i="14"/>
  <c r="BC51" i="14" s="1"/>
  <c r="BE51" i="14" s="1"/>
  <c r="T51" i="14"/>
  <c r="AG57" i="15"/>
  <c r="AG106" i="14"/>
  <c r="AG103" i="14"/>
  <c r="AG102" i="14"/>
  <c r="AG101" i="14"/>
  <c r="AG100" i="14"/>
  <c r="AG80" i="13"/>
  <c r="AG75" i="12"/>
  <c r="K51" i="17"/>
  <c r="K49" i="17"/>
  <c r="K48" i="17"/>
  <c r="K47" i="17"/>
  <c r="K46" i="17"/>
  <c r="K50" i="17"/>
  <c r="L45" i="17"/>
  <c r="L44" i="17"/>
  <c r="L43" i="17"/>
  <c r="L33" i="17"/>
  <c r="L25" i="17"/>
  <c r="L56" i="17"/>
  <c r="AX18" i="15"/>
  <c r="AM18" i="15"/>
  <c r="AL18" i="15"/>
  <c r="AF18" i="15"/>
  <c r="R18" i="15"/>
  <c r="U18" i="15" s="1"/>
  <c r="Q18" i="15"/>
  <c r="AG18" i="15" s="1"/>
  <c r="D18" i="15"/>
  <c r="Y72" i="13"/>
  <c r="X72" i="13"/>
  <c r="R72" i="13"/>
  <c r="U72" i="13" s="1"/>
  <c r="Q72" i="13"/>
  <c r="D72" i="13"/>
  <c r="Y55" i="11"/>
  <c r="X55" i="11"/>
  <c r="R55" i="11"/>
  <c r="W55" i="11" s="1"/>
  <c r="Q55" i="11"/>
  <c r="AA55" i="11" s="1"/>
  <c r="D55" i="11"/>
  <c r="Y56" i="4"/>
  <c r="X56" i="4"/>
  <c r="R56" i="4"/>
  <c r="W56" i="4" s="1"/>
  <c r="Q56" i="4"/>
  <c r="D56" i="4"/>
  <c r="AA56" i="4" l="1"/>
  <c r="AA72" i="13"/>
  <c r="AB72" i="13" s="1"/>
  <c r="AC57" i="14"/>
  <c r="AB57" i="14"/>
  <c r="AC56" i="14"/>
  <c r="AB56" i="14"/>
  <c r="AC59" i="14"/>
  <c r="AB59" i="14"/>
  <c r="AC58" i="14"/>
  <c r="AB58" i="14"/>
  <c r="AC60" i="14"/>
  <c r="AB60" i="14"/>
  <c r="AC47" i="14"/>
  <c r="AB47" i="14"/>
  <c r="AI48" i="14"/>
  <c r="AB48" i="14"/>
  <c r="AC48" i="14"/>
  <c r="AB50" i="14"/>
  <c r="AC50" i="14"/>
  <c r="AC49" i="14"/>
  <c r="AB49" i="14"/>
  <c r="AI50" i="14"/>
  <c r="AI49" i="14"/>
  <c r="AI51" i="14"/>
  <c r="AB51" i="14"/>
  <c r="AC51" i="14"/>
  <c r="T18" i="15"/>
  <c r="AN18" i="15"/>
  <c r="BB18" i="15"/>
  <c r="BC18" i="15" s="1"/>
  <c r="BE18" i="15" s="1"/>
  <c r="S18" i="15"/>
  <c r="AA18" i="15"/>
  <c r="T72" i="13"/>
  <c r="W72" i="13"/>
  <c r="AC72" i="13" s="1"/>
  <c r="AF72" i="13" s="1"/>
  <c r="S72" i="13"/>
  <c r="Z72" i="13"/>
  <c r="U55" i="11"/>
  <c r="S55" i="11"/>
  <c r="AB55" i="11"/>
  <c r="Z55" i="11"/>
  <c r="AC55" i="11" s="1"/>
  <c r="AF55" i="11" s="1"/>
  <c r="T55" i="11"/>
  <c r="AB56" i="4"/>
  <c r="S56" i="4"/>
  <c r="U56" i="4"/>
  <c r="Z56" i="4"/>
  <c r="AC56" i="4" s="1"/>
  <c r="AF56" i="4" s="1"/>
  <c r="T56" i="4"/>
  <c r="AD56" i="14" l="1"/>
  <c r="AD57" i="14"/>
  <c r="AD58" i="14"/>
  <c r="AD59" i="14"/>
  <c r="AD60" i="14"/>
  <c r="AD48" i="14"/>
  <c r="AD47" i="14"/>
  <c r="AD49" i="14"/>
  <c r="AD50" i="14"/>
  <c r="AD51" i="14"/>
  <c r="AC18" i="15"/>
  <c r="AB18" i="15"/>
  <c r="AE72" i="13"/>
  <c r="AG72" i="13" s="1"/>
  <c r="AD72" i="13"/>
  <c r="AE55" i="11"/>
  <c r="AG55" i="11" s="1"/>
  <c r="AD55" i="11"/>
  <c r="AE56" i="4"/>
  <c r="AG56" i="4" s="1"/>
  <c r="AD56" i="4"/>
  <c r="AD18" i="15" l="1"/>
  <c r="C6" i="11" l="1"/>
  <c r="N70" i="18"/>
  <c r="N60" i="18"/>
  <c r="N54" i="18"/>
  <c r="N43" i="18"/>
  <c r="N35" i="18"/>
  <c r="N27" i="18"/>
  <c r="N20" i="18"/>
  <c r="J77" i="18"/>
  <c r="I77" i="18"/>
  <c r="H77" i="18"/>
  <c r="G77" i="18"/>
  <c r="J68" i="18"/>
  <c r="I68" i="18"/>
  <c r="H68" i="18"/>
  <c r="G68" i="18"/>
  <c r="AL23" i="15"/>
  <c r="AL22" i="15"/>
  <c r="AL21" i="15"/>
  <c r="AL20" i="15"/>
  <c r="AL19" i="15"/>
  <c r="AL17" i="15"/>
  <c r="AL39" i="15"/>
  <c r="AL38" i="15"/>
  <c r="AL37" i="15"/>
  <c r="AL36" i="15"/>
  <c r="AL35" i="15"/>
  <c r="AL34" i="15"/>
  <c r="AL33" i="15"/>
  <c r="AF39" i="15"/>
  <c r="AF38" i="15"/>
  <c r="AF37" i="15"/>
  <c r="AF36" i="15"/>
  <c r="AF35" i="15"/>
  <c r="AF34" i="15"/>
  <c r="AF33" i="15"/>
  <c r="AF23" i="15"/>
  <c r="AF22" i="15"/>
  <c r="AF21" i="15"/>
  <c r="AF20" i="15"/>
  <c r="AF19" i="15"/>
  <c r="AF17" i="15"/>
  <c r="AE39" i="15"/>
  <c r="AE38" i="15"/>
  <c r="AE37" i="15"/>
  <c r="AE36" i="15"/>
  <c r="AE35" i="15"/>
  <c r="AE34" i="15"/>
  <c r="AE33" i="15"/>
  <c r="AE19" i="15"/>
  <c r="AV75" i="14"/>
  <c r="I51" i="18" s="1"/>
  <c r="AX72" i="14"/>
  <c r="Y72" i="14"/>
  <c r="R72" i="14"/>
  <c r="Q72" i="14"/>
  <c r="AO72" i="14" s="1"/>
  <c r="D72" i="14"/>
  <c r="AX73" i="14"/>
  <c r="Y73" i="14"/>
  <c r="X73" i="14"/>
  <c r="R73" i="14"/>
  <c r="Q73" i="14"/>
  <c r="AO73" i="14" s="1"/>
  <c r="D73" i="14"/>
  <c r="I46" i="18"/>
  <c r="AV71" i="14"/>
  <c r="I50" i="18" s="1"/>
  <c r="AV67" i="14"/>
  <c r="I49" i="18" s="1"/>
  <c r="AV63" i="14"/>
  <c r="I48" i="18" s="1"/>
  <c r="AX65" i="14"/>
  <c r="AF65" i="14"/>
  <c r="R65" i="14"/>
  <c r="Q65" i="14"/>
  <c r="D65" i="14"/>
  <c r="AV54" i="14"/>
  <c r="I40" i="18"/>
  <c r="BH59" i="12"/>
  <c r="Y54" i="12"/>
  <c r="X54" i="12"/>
  <c r="R54" i="12"/>
  <c r="Q54" i="12"/>
  <c r="AV54" i="12" s="1"/>
  <c r="D54" i="12"/>
  <c r="Y53" i="12"/>
  <c r="X53" i="12"/>
  <c r="R53" i="12"/>
  <c r="Q53" i="12"/>
  <c r="AV53" i="12" s="1"/>
  <c r="D53" i="12"/>
  <c r="AT52" i="12"/>
  <c r="AS52" i="12"/>
  <c r="R52" i="12"/>
  <c r="T52" i="12" s="1"/>
  <c r="Q52" i="12"/>
  <c r="BB52" i="12" s="1"/>
  <c r="BC52" i="12" s="1"/>
  <c r="BE52" i="12" s="1"/>
  <c r="D52" i="12"/>
  <c r="AT51" i="12"/>
  <c r="AS51" i="12"/>
  <c r="R51" i="12"/>
  <c r="Q51" i="12"/>
  <c r="D51" i="12"/>
  <c r="AT50" i="12"/>
  <c r="R50" i="12"/>
  <c r="Q50" i="12"/>
  <c r="D50" i="12"/>
  <c r="AT49" i="12"/>
  <c r="AS49" i="12"/>
  <c r="AM49" i="12"/>
  <c r="R49" i="12"/>
  <c r="Q49" i="12"/>
  <c r="D49" i="12"/>
  <c r="AM47" i="12"/>
  <c r="AF47" i="12"/>
  <c r="Y47" i="12"/>
  <c r="X47" i="12"/>
  <c r="R47" i="12"/>
  <c r="Q47" i="12"/>
  <c r="BB47" i="12" s="1"/>
  <c r="D47" i="12"/>
  <c r="AM46" i="12"/>
  <c r="AF46" i="12"/>
  <c r="Y46" i="12"/>
  <c r="X46" i="12"/>
  <c r="R46" i="12"/>
  <c r="Q46" i="12"/>
  <c r="BB46" i="12" s="1"/>
  <c r="D46" i="12"/>
  <c r="AM45" i="12"/>
  <c r="AF45" i="12"/>
  <c r="Y45" i="12"/>
  <c r="X45" i="12"/>
  <c r="R45" i="12"/>
  <c r="S45" i="12" s="1"/>
  <c r="Q45" i="12"/>
  <c r="D45" i="12"/>
  <c r="AM44" i="12"/>
  <c r="AF44" i="12"/>
  <c r="Y44" i="12"/>
  <c r="X44" i="12"/>
  <c r="R44" i="12"/>
  <c r="Q44" i="12"/>
  <c r="AV44" i="12" s="1"/>
  <c r="D44" i="12"/>
  <c r="AM43" i="12"/>
  <c r="AF43" i="12"/>
  <c r="Y43" i="12"/>
  <c r="X43" i="12"/>
  <c r="R43" i="12"/>
  <c r="Q43" i="12"/>
  <c r="BB43" i="12" s="1"/>
  <c r="D43" i="12"/>
  <c r="AM42" i="12"/>
  <c r="AF42" i="12"/>
  <c r="Y42" i="12"/>
  <c r="X42" i="12"/>
  <c r="R42" i="12"/>
  <c r="Q42" i="12"/>
  <c r="BB42" i="12" s="1"/>
  <c r="D42" i="12"/>
  <c r="AM41" i="12"/>
  <c r="AF41" i="12"/>
  <c r="Y41" i="12"/>
  <c r="X41" i="12"/>
  <c r="R41" i="12"/>
  <c r="Q41" i="12"/>
  <c r="BB41" i="12" s="1"/>
  <c r="D41" i="12"/>
  <c r="AM40" i="12"/>
  <c r="AF40" i="12"/>
  <c r="Y40" i="12"/>
  <c r="X40" i="12"/>
  <c r="R40" i="12"/>
  <c r="U40" i="12" s="1"/>
  <c r="Q40" i="12"/>
  <c r="BB40" i="12" s="1"/>
  <c r="D40" i="12"/>
  <c r="I24" i="18"/>
  <c r="AV42" i="11"/>
  <c r="I25" i="18" s="1"/>
  <c r="I17" i="18"/>
  <c r="BH27" i="15"/>
  <c r="AV24" i="15"/>
  <c r="AW24" i="15" s="1"/>
  <c r="AX23" i="15"/>
  <c r="AM23" i="15"/>
  <c r="R23" i="15"/>
  <c r="Q23" i="15"/>
  <c r="BB23" i="15" s="1"/>
  <c r="BC23" i="15" s="1"/>
  <c r="BE23" i="15" s="1"/>
  <c r="D23" i="15"/>
  <c r="AX22" i="15"/>
  <c r="AM22" i="15"/>
  <c r="R22" i="15"/>
  <c r="Q22" i="15"/>
  <c r="BB22" i="15" s="1"/>
  <c r="BC22" i="15" s="1"/>
  <c r="BE22" i="15" s="1"/>
  <c r="D22" i="15"/>
  <c r="AX21" i="15"/>
  <c r="AM21" i="15"/>
  <c r="R21" i="15"/>
  <c r="Q21" i="15"/>
  <c r="BB21" i="15" s="1"/>
  <c r="BC21" i="15" s="1"/>
  <c r="BE21" i="15" s="1"/>
  <c r="D21" i="15"/>
  <c r="AX20" i="15"/>
  <c r="AM20" i="15"/>
  <c r="R20" i="15"/>
  <c r="Q20" i="15"/>
  <c r="BB20" i="15" s="1"/>
  <c r="BC20" i="15" s="1"/>
  <c r="BE20" i="15" s="1"/>
  <c r="D20" i="15"/>
  <c r="AX19" i="15"/>
  <c r="AM19" i="15"/>
  <c r="R19" i="15"/>
  <c r="Q19" i="15"/>
  <c r="BB19" i="15" s="1"/>
  <c r="BC19" i="15" s="1"/>
  <c r="BE19" i="15" s="1"/>
  <c r="D19" i="15"/>
  <c r="AX17" i="15"/>
  <c r="AM17" i="15"/>
  <c r="R17" i="15"/>
  <c r="U17" i="15" s="1"/>
  <c r="Q17" i="15"/>
  <c r="D17" i="15"/>
  <c r="AM39" i="15"/>
  <c r="AM38" i="15"/>
  <c r="AM37" i="15"/>
  <c r="AM36" i="15"/>
  <c r="AM35" i="15"/>
  <c r="AM34" i="15"/>
  <c r="AG51" i="15"/>
  <c r="AX37" i="15"/>
  <c r="R37" i="15"/>
  <c r="Q37" i="15"/>
  <c r="BB37" i="15" s="1"/>
  <c r="BC37" i="15" s="1"/>
  <c r="BE37" i="15" s="1"/>
  <c r="D37" i="15"/>
  <c r="AX36" i="15"/>
  <c r="R36" i="15"/>
  <c r="U36" i="15" s="1"/>
  <c r="Q36" i="15"/>
  <c r="BB36" i="15" s="1"/>
  <c r="BC36" i="15" s="1"/>
  <c r="BE36" i="15" s="1"/>
  <c r="D36" i="15"/>
  <c r="AX35" i="15"/>
  <c r="R35" i="15"/>
  <c r="Q35" i="15"/>
  <c r="D35" i="15"/>
  <c r="AX34" i="15"/>
  <c r="R34" i="15"/>
  <c r="S34" i="15" s="1"/>
  <c r="Q34" i="15"/>
  <c r="BB34" i="15" s="1"/>
  <c r="BC34" i="15" s="1"/>
  <c r="BE34" i="15" s="1"/>
  <c r="D34" i="15"/>
  <c r="AX38" i="15"/>
  <c r="R38" i="15"/>
  <c r="Q38" i="15"/>
  <c r="AH38" i="15" s="1"/>
  <c r="D38" i="15"/>
  <c r="AV51" i="12" l="1"/>
  <c r="U65" i="14"/>
  <c r="AL65" i="14"/>
  <c r="AO65" i="14" s="1"/>
  <c r="AP65" i="14" s="1"/>
  <c r="AV76" i="14"/>
  <c r="I47" i="18"/>
  <c r="S54" i="12"/>
  <c r="AV43" i="12"/>
  <c r="AW43" i="12" s="1"/>
  <c r="AX43" i="12" s="1"/>
  <c r="AV41" i="12"/>
  <c r="S47" i="12"/>
  <c r="AV49" i="12"/>
  <c r="S50" i="12"/>
  <c r="S53" i="12"/>
  <c r="AH35" i="15"/>
  <c r="AI35" i="15" s="1"/>
  <c r="AN34" i="15"/>
  <c r="AN35" i="15"/>
  <c r="AN36" i="15"/>
  <c r="AN37" i="15"/>
  <c r="AN38" i="15"/>
  <c r="S17" i="15"/>
  <c r="I55" i="18"/>
  <c r="AV26" i="15"/>
  <c r="I56" i="18" s="1"/>
  <c r="AH19" i="15"/>
  <c r="AA42" i="12"/>
  <c r="AB42" i="12" s="1"/>
  <c r="AG42" i="12"/>
  <c r="AA44" i="12"/>
  <c r="AC44" i="12" s="1"/>
  <c r="AG44" i="12"/>
  <c r="U46" i="12"/>
  <c r="U49" i="12"/>
  <c r="U50" i="12"/>
  <c r="S51" i="12"/>
  <c r="U54" i="12"/>
  <c r="AA40" i="12"/>
  <c r="AB40" i="12" s="1"/>
  <c r="AG40" i="12"/>
  <c r="AV40" i="12"/>
  <c r="AW40" i="12" s="1"/>
  <c r="AA41" i="12"/>
  <c r="AB41" i="12" s="1"/>
  <c r="AG41" i="12"/>
  <c r="AV42" i="12"/>
  <c r="AW42" i="12" s="1"/>
  <c r="AX42" i="12" s="1"/>
  <c r="AA43" i="12"/>
  <c r="AG43" i="12"/>
  <c r="S46" i="12"/>
  <c r="U47" i="12"/>
  <c r="S49" i="12"/>
  <c r="U51" i="12"/>
  <c r="AV52" i="12"/>
  <c r="U53" i="12"/>
  <c r="AQ72" i="14"/>
  <c r="AP72" i="14"/>
  <c r="S72" i="14"/>
  <c r="U72" i="14"/>
  <c r="Z72" i="14"/>
  <c r="BB72" i="14"/>
  <c r="BC72" i="14" s="1"/>
  <c r="BE72" i="14" s="1"/>
  <c r="T72" i="14"/>
  <c r="AH72" i="14"/>
  <c r="AQ73" i="14"/>
  <c r="AP73" i="14"/>
  <c r="S73" i="14"/>
  <c r="U73" i="14"/>
  <c r="Z73" i="14"/>
  <c r="BB73" i="14"/>
  <c r="BC73" i="14" s="1"/>
  <c r="BE73" i="14" s="1"/>
  <c r="T73" i="14"/>
  <c r="AA73" i="14"/>
  <c r="AH73" i="14"/>
  <c r="T65" i="14"/>
  <c r="AN65" i="14"/>
  <c r="BB65" i="14"/>
  <c r="BC65" i="14" s="1"/>
  <c r="BE65" i="14" s="1"/>
  <c r="S65" i="14"/>
  <c r="AA65" i="14"/>
  <c r="AG65" i="14"/>
  <c r="BC41" i="12"/>
  <c r="BD41" i="12"/>
  <c r="BC43" i="12"/>
  <c r="BD43" i="12"/>
  <c r="BC40" i="12"/>
  <c r="BD40" i="12"/>
  <c r="BC42" i="12"/>
  <c r="BD42" i="12"/>
  <c r="AW44" i="12"/>
  <c r="AX44" i="12" s="1"/>
  <c r="T40" i="12"/>
  <c r="T41" i="12"/>
  <c r="S40" i="12"/>
  <c r="Z40" i="12"/>
  <c r="AN40" i="12"/>
  <c r="S41" i="12"/>
  <c r="U41" i="12"/>
  <c r="Z41" i="12"/>
  <c r="AN41" i="12"/>
  <c r="AW41" i="12"/>
  <c r="AX41" i="12" s="1"/>
  <c r="S42" i="12"/>
  <c r="U42" i="12"/>
  <c r="Z42" i="12"/>
  <c r="AN42" i="12"/>
  <c r="S43" i="12"/>
  <c r="U43" i="12"/>
  <c r="Z43" i="12"/>
  <c r="AB43" i="12"/>
  <c r="AN43" i="12"/>
  <c r="S44" i="12"/>
  <c r="U44" i="12"/>
  <c r="Z44" i="12"/>
  <c r="AN44" i="12"/>
  <c r="BB44" i="12"/>
  <c r="BB45" i="12"/>
  <c r="AN45" i="12"/>
  <c r="AV45" i="12"/>
  <c r="AG45" i="12"/>
  <c r="AA45" i="12"/>
  <c r="Z45" i="12"/>
  <c r="BD47" i="12"/>
  <c r="BC47" i="12"/>
  <c r="AX40" i="12"/>
  <c r="T42" i="12"/>
  <c r="T43" i="12"/>
  <c r="T44" i="12"/>
  <c r="T45" i="12"/>
  <c r="U45" i="12"/>
  <c r="BD46" i="12"/>
  <c r="BC46" i="12"/>
  <c r="T46" i="12"/>
  <c r="AA46" i="12"/>
  <c r="AG46" i="12"/>
  <c r="AV46" i="12"/>
  <c r="T47" i="12"/>
  <c r="AA47" i="12"/>
  <c r="AG47" i="12"/>
  <c r="AV47" i="12"/>
  <c r="T49" i="12"/>
  <c r="AU49" i="12"/>
  <c r="BB49" i="12"/>
  <c r="BC49" i="12" s="1"/>
  <c r="T50" i="12"/>
  <c r="AA51" i="12"/>
  <c r="AH51" i="12"/>
  <c r="AU51" i="12"/>
  <c r="BB51" i="12"/>
  <c r="BC51" i="12" s="1"/>
  <c r="BE51" i="12" s="1"/>
  <c r="AW53" i="12"/>
  <c r="AX53" i="12" s="1"/>
  <c r="Z46" i="12"/>
  <c r="AN46" i="12"/>
  <c r="Z47" i="12"/>
  <c r="AN47" i="12"/>
  <c r="AA49" i="12"/>
  <c r="AH49" i="12"/>
  <c r="BB50" i="12"/>
  <c r="BC50" i="12" s="1"/>
  <c r="BE50" i="12" s="1"/>
  <c r="AU50" i="12"/>
  <c r="AA50" i="12"/>
  <c r="AH50" i="12"/>
  <c r="U52" i="12"/>
  <c r="S52" i="12"/>
  <c r="AW54" i="12"/>
  <c r="AX54" i="12" s="1"/>
  <c r="Z53" i="12"/>
  <c r="BB53" i="12"/>
  <c r="Z54" i="12"/>
  <c r="BB54" i="12"/>
  <c r="T51" i="12"/>
  <c r="AA52" i="12"/>
  <c r="AH52" i="12"/>
  <c r="AU52" i="12"/>
  <c r="T53" i="12"/>
  <c r="AA53" i="12"/>
  <c r="AH53" i="12"/>
  <c r="AO53" i="12"/>
  <c r="T54" i="12"/>
  <c r="AA54" i="12"/>
  <c r="AH54" i="12"/>
  <c r="AO54" i="12"/>
  <c r="AA17" i="15"/>
  <c r="AN17" i="15"/>
  <c r="BB17" i="15"/>
  <c r="BC17" i="15" s="1"/>
  <c r="BE17" i="15" s="1"/>
  <c r="T17" i="15"/>
  <c r="S19" i="15"/>
  <c r="U19" i="15"/>
  <c r="AA19" i="15"/>
  <c r="AI19" i="15"/>
  <c r="S20" i="15"/>
  <c r="U20" i="15"/>
  <c r="AA20" i="15"/>
  <c r="AG20" i="15"/>
  <c r="S21" i="15"/>
  <c r="U21" i="15"/>
  <c r="AA21" i="15"/>
  <c r="AG21" i="15"/>
  <c r="S22" i="15"/>
  <c r="U22" i="15"/>
  <c r="AA22" i="15"/>
  <c r="AG22" i="15"/>
  <c r="S23" i="15"/>
  <c r="U23" i="15"/>
  <c r="AA23" i="15"/>
  <c r="AG23" i="15"/>
  <c r="AX24" i="15"/>
  <c r="T19" i="15"/>
  <c r="AN19" i="15"/>
  <c r="T20" i="15"/>
  <c r="AN20" i="15"/>
  <c r="T21" i="15"/>
  <c r="AN21" i="15"/>
  <c r="T22" i="15"/>
  <c r="AN22" i="15"/>
  <c r="T23" i="15"/>
  <c r="AN23" i="15"/>
  <c r="AH37" i="15"/>
  <c r="U34" i="15"/>
  <c r="AH36" i="15"/>
  <c r="S37" i="15"/>
  <c r="U37" i="15"/>
  <c r="AA37" i="15"/>
  <c r="AG37" i="15"/>
  <c r="T36" i="15"/>
  <c r="S36" i="15"/>
  <c r="AA36" i="15"/>
  <c r="AG36" i="15"/>
  <c r="T37" i="15"/>
  <c r="T34" i="15"/>
  <c r="AH34" i="15"/>
  <c r="S35" i="15"/>
  <c r="U35" i="15"/>
  <c r="AA35" i="15"/>
  <c r="AG35" i="15"/>
  <c r="BB35" i="15"/>
  <c r="BC35" i="15" s="1"/>
  <c r="BE35" i="15" s="1"/>
  <c r="AA34" i="15"/>
  <c r="AG34" i="15"/>
  <c r="T35" i="15"/>
  <c r="AI38" i="15"/>
  <c r="S38" i="15"/>
  <c r="U38" i="15"/>
  <c r="AA38" i="15"/>
  <c r="AG38" i="15"/>
  <c r="BB38" i="15"/>
  <c r="BC38" i="15" s="1"/>
  <c r="BE38" i="15" s="1"/>
  <c r="T38" i="15"/>
  <c r="Y38" i="14"/>
  <c r="X38" i="14"/>
  <c r="R38" i="14"/>
  <c r="U38" i="14" s="1"/>
  <c r="Q38" i="14"/>
  <c r="BB38" i="14" s="1"/>
  <c r="D38" i="14"/>
  <c r="Y37" i="14"/>
  <c r="X37" i="14"/>
  <c r="R37" i="14"/>
  <c r="T37" i="14" s="1"/>
  <c r="Q37" i="14"/>
  <c r="BB37" i="14" s="1"/>
  <c r="D37" i="14"/>
  <c r="AT36" i="14"/>
  <c r="AS36" i="14"/>
  <c r="R36" i="14"/>
  <c r="Q36" i="14"/>
  <c r="D36" i="14"/>
  <c r="Y35" i="14"/>
  <c r="X35" i="14"/>
  <c r="R35" i="14"/>
  <c r="Q35" i="14"/>
  <c r="BB35" i="14" s="1"/>
  <c r="D35" i="14"/>
  <c r="AT34" i="14"/>
  <c r="AS34" i="14"/>
  <c r="R34" i="14"/>
  <c r="Q34" i="14"/>
  <c r="BB34" i="14" s="1"/>
  <c r="BC34" i="14" s="1"/>
  <c r="BE34" i="14" s="1"/>
  <c r="D34" i="14"/>
  <c r="AT33" i="14"/>
  <c r="AS33" i="14"/>
  <c r="R33" i="14"/>
  <c r="Q33" i="14"/>
  <c r="BB33" i="14" s="1"/>
  <c r="BC33" i="14" s="1"/>
  <c r="BE33" i="14" s="1"/>
  <c r="D33" i="14"/>
  <c r="AT32" i="14"/>
  <c r="AS32" i="14"/>
  <c r="R32" i="14"/>
  <c r="Q32" i="14"/>
  <c r="D32" i="14"/>
  <c r="AT31" i="14"/>
  <c r="AS31" i="14"/>
  <c r="R31" i="14"/>
  <c r="T31" i="14" s="1"/>
  <c r="Q31" i="14"/>
  <c r="BB31" i="14" s="1"/>
  <c r="BC31" i="14" s="1"/>
  <c r="BE31" i="14" s="1"/>
  <c r="D31" i="14"/>
  <c r="AT30" i="14"/>
  <c r="AS30" i="14"/>
  <c r="R30" i="14"/>
  <c r="Q30" i="14"/>
  <c r="AV30" i="14" s="1"/>
  <c r="D30" i="14"/>
  <c r="AT29" i="14"/>
  <c r="AS29" i="14"/>
  <c r="AM29" i="14"/>
  <c r="R29" i="14"/>
  <c r="Q29" i="14"/>
  <c r="BB29" i="14" s="1"/>
  <c r="BC29" i="14" s="1"/>
  <c r="D29" i="14"/>
  <c r="AM27" i="14"/>
  <c r="AL27" i="14"/>
  <c r="AF27" i="14"/>
  <c r="AE27" i="14"/>
  <c r="Y27" i="14"/>
  <c r="X27" i="14"/>
  <c r="R27" i="14"/>
  <c r="U27" i="14" s="1"/>
  <c r="Q27" i="14"/>
  <c r="BB27" i="14" s="1"/>
  <c r="D27" i="14"/>
  <c r="AM26" i="14"/>
  <c r="AL26" i="14"/>
  <c r="AF26" i="14"/>
  <c r="AE26" i="14"/>
  <c r="Y26" i="14"/>
  <c r="X26" i="14"/>
  <c r="R26" i="14"/>
  <c r="U26" i="14" s="1"/>
  <c r="Q26" i="14"/>
  <c r="BB26" i="14" s="1"/>
  <c r="D26" i="14"/>
  <c r="AM25" i="14"/>
  <c r="AL25" i="14"/>
  <c r="AF25" i="14"/>
  <c r="AE25" i="14"/>
  <c r="Y25" i="14"/>
  <c r="X25" i="14"/>
  <c r="R25" i="14"/>
  <c r="U25" i="14" s="1"/>
  <c r="Q25" i="14"/>
  <c r="BB25" i="14" s="1"/>
  <c r="D25" i="14"/>
  <c r="AM24" i="14"/>
  <c r="AL24" i="14"/>
  <c r="AF24" i="14"/>
  <c r="AE24" i="14"/>
  <c r="Y24" i="14"/>
  <c r="X24" i="14"/>
  <c r="R24" i="14"/>
  <c r="U24" i="14" s="1"/>
  <c r="Q24" i="14"/>
  <c r="BB24" i="14" s="1"/>
  <c r="D24" i="14"/>
  <c r="AM23" i="14"/>
  <c r="AL23" i="14"/>
  <c r="AF23" i="14"/>
  <c r="AE23" i="14"/>
  <c r="Y23" i="14"/>
  <c r="X23" i="14"/>
  <c r="R23" i="14"/>
  <c r="U23" i="14" s="1"/>
  <c r="Q23" i="14"/>
  <c r="BB23" i="14" s="1"/>
  <c r="D23" i="14"/>
  <c r="AM22" i="14"/>
  <c r="AL22" i="14"/>
  <c r="AF22" i="14"/>
  <c r="AE22" i="14"/>
  <c r="Y22" i="14"/>
  <c r="X22" i="14"/>
  <c r="R22" i="14"/>
  <c r="U22" i="14" s="1"/>
  <c r="Q22" i="14"/>
  <c r="BB22" i="14" s="1"/>
  <c r="D22" i="14"/>
  <c r="AM21" i="14"/>
  <c r="AL21" i="14"/>
  <c r="AF21" i="14"/>
  <c r="AE21" i="14"/>
  <c r="Y21" i="14"/>
  <c r="X21" i="14"/>
  <c r="R21" i="14"/>
  <c r="U21" i="14" s="1"/>
  <c r="Q21" i="14"/>
  <c r="BB21" i="14" s="1"/>
  <c r="D21" i="14"/>
  <c r="AM20" i="14"/>
  <c r="AL20" i="14"/>
  <c r="AF20" i="14"/>
  <c r="AE20" i="14"/>
  <c r="Y20" i="14"/>
  <c r="X20" i="14"/>
  <c r="R20" i="14"/>
  <c r="T20" i="14" s="1"/>
  <c r="Q20" i="14"/>
  <c r="BB20" i="14" s="1"/>
  <c r="D20" i="14"/>
  <c r="AM19" i="14"/>
  <c r="AL19" i="14"/>
  <c r="AF19" i="14"/>
  <c r="AE19" i="14"/>
  <c r="Y19" i="14"/>
  <c r="X19" i="14"/>
  <c r="R19" i="14"/>
  <c r="S19" i="14" s="1"/>
  <c r="Q19" i="14"/>
  <c r="D19" i="14"/>
  <c r="AM18" i="14"/>
  <c r="AF18" i="14"/>
  <c r="Y18" i="14"/>
  <c r="X18" i="14"/>
  <c r="R18" i="14"/>
  <c r="Q18" i="14"/>
  <c r="AV18" i="14" s="1"/>
  <c r="D18" i="14"/>
  <c r="AM17" i="14"/>
  <c r="AF17" i="14"/>
  <c r="Y17" i="14"/>
  <c r="X17" i="14"/>
  <c r="R17" i="14"/>
  <c r="Q17" i="14"/>
  <c r="AV17" i="14" s="1"/>
  <c r="D17" i="14"/>
  <c r="Y10" i="11"/>
  <c r="Y10" i="12" s="1"/>
  <c r="Y10" i="13" s="1"/>
  <c r="Y10" i="14" s="1"/>
  <c r="Y9" i="11"/>
  <c r="Y9" i="12" s="1"/>
  <c r="Y9" i="13" s="1"/>
  <c r="Y9" i="14" s="1"/>
  <c r="H9" i="18" s="1"/>
  <c r="Y8" i="11"/>
  <c r="Y8" i="12" s="1"/>
  <c r="Y8" i="13" s="1"/>
  <c r="Y8" i="14" s="1"/>
  <c r="H8" i="18" s="1"/>
  <c r="Y7" i="11"/>
  <c r="Y7" i="12" s="1"/>
  <c r="Y7" i="13" s="1"/>
  <c r="Y7" i="14" s="1"/>
  <c r="H7" i="18" s="1"/>
  <c r="Y6" i="11"/>
  <c r="Y6" i="12" s="1"/>
  <c r="Y6" i="13" s="1"/>
  <c r="Y6" i="14" s="1"/>
  <c r="H6" i="18" s="1"/>
  <c r="C10" i="11"/>
  <c r="C10" i="12" s="1"/>
  <c r="C10" i="13" s="1"/>
  <c r="C10" i="14" s="1"/>
  <c r="C10" i="18" s="1"/>
  <c r="C9" i="11"/>
  <c r="C9" i="12" s="1"/>
  <c r="C9" i="13" s="1"/>
  <c r="C9" i="14" s="1"/>
  <c r="C8" i="11"/>
  <c r="C8" i="12" s="1"/>
  <c r="C8" i="13" s="1"/>
  <c r="C8" i="14" s="1"/>
  <c r="C8" i="18" s="1"/>
  <c r="C7" i="11"/>
  <c r="C7" i="12" s="1"/>
  <c r="C7" i="13" s="1"/>
  <c r="C7" i="14" s="1"/>
  <c r="C7" i="18" s="1"/>
  <c r="C6" i="12"/>
  <c r="C6" i="13" s="1"/>
  <c r="C6" i="14" s="1"/>
  <c r="C6" i="18" s="1"/>
  <c r="AG63" i="11"/>
  <c r="AG53" i="11"/>
  <c r="AG52" i="11"/>
  <c r="AG51" i="11"/>
  <c r="AG64" i="4"/>
  <c r="AG54" i="4"/>
  <c r="AG53" i="4"/>
  <c r="AG52" i="4"/>
  <c r="AV36" i="14" l="1"/>
  <c r="AB44" i="12"/>
  <c r="BE42" i="12"/>
  <c r="C9" i="18"/>
  <c r="C9" i="17"/>
  <c r="BE46" i="12"/>
  <c r="AC42" i="12"/>
  <c r="AD42" i="12" s="1"/>
  <c r="BE41" i="12"/>
  <c r="BC24" i="15"/>
  <c r="BD24" i="15" s="1"/>
  <c r="BE24" i="15" s="1"/>
  <c r="AR72" i="14"/>
  <c r="AJ72" i="14"/>
  <c r="AI72" i="14"/>
  <c r="AB73" i="14"/>
  <c r="AR73" i="14"/>
  <c r="AJ73" i="14"/>
  <c r="AI73" i="14"/>
  <c r="AC65" i="14"/>
  <c r="AB65" i="14"/>
  <c r="AJ54" i="12"/>
  <c r="AI54" i="12"/>
  <c r="AJ53" i="12"/>
  <c r="AI53" i="12"/>
  <c r="AJ52" i="12"/>
  <c r="AI52" i="12"/>
  <c r="AC50" i="12"/>
  <c r="AB50" i="12"/>
  <c r="AC49" i="12"/>
  <c r="AB49" i="12"/>
  <c r="AB51" i="12"/>
  <c r="AC51" i="12"/>
  <c r="AW47" i="12"/>
  <c r="AX47" i="12" s="1"/>
  <c r="AB46" i="12"/>
  <c r="BE47" i="12"/>
  <c r="AW45" i="12"/>
  <c r="AX45" i="12" s="1"/>
  <c r="BD45" i="12"/>
  <c r="BC45" i="12"/>
  <c r="AD44" i="12"/>
  <c r="BE40" i="12"/>
  <c r="BE43" i="12"/>
  <c r="AQ54" i="12"/>
  <c r="AP54" i="12"/>
  <c r="AC54" i="12"/>
  <c r="AB54" i="12"/>
  <c r="AQ53" i="12"/>
  <c r="AP53" i="12"/>
  <c r="AC53" i="12"/>
  <c r="AB53" i="12"/>
  <c r="AC52" i="12"/>
  <c r="AB52" i="12"/>
  <c r="BC54" i="12"/>
  <c r="BD54" i="12"/>
  <c r="BC53" i="12"/>
  <c r="BD53" i="12"/>
  <c r="AJ50" i="12"/>
  <c r="AI50" i="12"/>
  <c r="AJ49" i="12"/>
  <c r="AI49" i="12"/>
  <c r="AI51" i="12"/>
  <c r="AJ51" i="12"/>
  <c r="BC55" i="12"/>
  <c r="J32" i="18" s="1"/>
  <c r="BE49" i="12"/>
  <c r="AB47" i="12"/>
  <c r="AC47" i="12"/>
  <c r="AW46" i="12"/>
  <c r="AX46" i="12" s="1"/>
  <c r="AV48" i="12"/>
  <c r="I31" i="18" s="1"/>
  <c r="AB45" i="12"/>
  <c r="BC44" i="12"/>
  <c r="BD44" i="12"/>
  <c r="C7" i="15"/>
  <c r="C7" i="17"/>
  <c r="C7" i="16"/>
  <c r="C9" i="15"/>
  <c r="C9" i="16"/>
  <c r="Y6" i="17"/>
  <c r="Y6" i="16"/>
  <c r="Y6" i="15"/>
  <c r="J6" i="17"/>
  <c r="G6" i="16"/>
  <c r="Y8" i="17"/>
  <c r="Y8" i="16"/>
  <c r="Y8" i="15"/>
  <c r="J8" i="17"/>
  <c r="G8" i="16"/>
  <c r="Y10" i="17"/>
  <c r="Y10" i="16"/>
  <c r="Y10" i="15"/>
  <c r="J10" i="17"/>
  <c r="G10" i="16"/>
  <c r="C6" i="17"/>
  <c r="C6" i="16"/>
  <c r="C6" i="15"/>
  <c r="C8" i="17"/>
  <c r="C8" i="16"/>
  <c r="C8" i="15"/>
  <c r="C10" i="17"/>
  <c r="C10" i="16"/>
  <c r="C10" i="15"/>
  <c r="J7" i="17"/>
  <c r="G7" i="16"/>
  <c r="Y7" i="16"/>
  <c r="Y7" i="17"/>
  <c r="Y7" i="15"/>
  <c r="J9" i="17"/>
  <c r="G9" i="16"/>
  <c r="Y9" i="16"/>
  <c r="Y9" i="17"/>
  <c r="Y9" i="15"/>
  <c r="AB23" i="15"/>
  <c r="AC23" i="15"/>
  <c r="AB22" i="15"/>
  <c r="AC22" i="15"/>
  <c r="AB21" i="15"/>
  <c r="AC21" i="15"/>
  <c r="AB20" i="15"/>
  <c r="AC20" i="15"/>
  <c r="AW26" i="15"/>
  <c r="AX26" i="15" s="1"/>
  <c r="AB19" i="15"/>
  <c r="AC19" i="15"/>
  <c r="AB17" i="15"/>
  <c r="AC17" i="15"/>
  <c r="AI37" i="15"/>
  <c r="AA20" i="14"/>
  <c r="AB20" i="14" s="1"/>
  <c r="AO20" i="14"/>
  <c r="AP20" i="14" s="1"/>
  <c r="AV21" i="14"/>
  <c r="AW21" i="14" s="1"/>
  <c r="AG21" i="14"/>
  <c r="AC36" i="15"/>
  <c r="AB36" i="15"/>
  <c r="AB37" i="15"/>
  <c r="AC37" i="15"/>
  <c r="AI36" i="15"/>
  <c r="AC34" i="15"/>
  <c r="AB34" i="15"/>
  <c r="AI34" i="15"/>
  <c r="AB35" i="15"/>
  <c r="AC35" i="15"/>
  <c r="AB38" i="15"/>
  <c r="AC38" i="15"/>
  <c r="U18" i="14"/>
  <c r="AA22" i="14"/>
  <c r="AB22" i="14" s="1"/>
  <c r="U29" i="14"/>
  <c r="U30" i="14"/>
  <c r="U32" i="14"/>
  <c r="U34" i="14"/>
  <c r="AA35" i="14"/>
  <c r="AB35" i="14" s="1"/>
  <c r="AO35" i="14"/>
  <c r="AQ35" i="14" s="1"/>
  <c r="AH37" i="14"/>
  <c r="AI37" i="14" s="1"/>
  <c r="AV37" i="14"/>
  <c r="AW37" i="14" s="1"/>
  <c r="S18" i="14"/>
  <c r="U19" i="14"/>
  <c r="AG20" i="14"/>
  <c r="AV20" i="14"/>
  <c r="AW20" i="14" s="1"/>
  <c r="AX20" i="14" s="1"/>
  <c r="AA21" i="14"/>
  <c r="AB21" i="14" s="1"/>
  <c r="AO21" i="14"/>
  <c r="AP21" i="14" s="1"/>
  <c r="AG22" i="14"/>
  <c r="AA23" i="14"/>
  <c r="AB23" i="14" s="1"/>
  <c r="S29" i="14"/>
  <c r="S30" i="14"/>
  <c r="AV31" i="14"/>
  <c r="S32" i="14"/>
  <c r="AV33" i="14"/>
  <c r="S34" i="14"/>
  <c r="AH35" i="14"/>
  <c r="AJ35" i="14" s="1"/>
  <c r="AV35" i="14"/>
  <c r="AW35" i="14" s="1"/>
  <c r="AX35" i="14" s="1"/>
  <c r="AA37" i="14"/>
  <c r="AB37" i="14" s="1"/>
  <c r="AO37" i="14"/>
  <c r="AP37" i="14" s="1"/>
  <c r="AW17" i="14"/>
  <c r="AX17" i="14" s="1"/>
  <c r="AW18" i="14"/>
  <c r="AX18" i="14" s="1"/>
  <c r="S17" i="14"/>
  <c r="U17" i="14"/>
  <c r="Z17" i="14"/>
  <c r="AN17" i="14"/>
  <c r="BB17" i="14"/>
  <c r="Z18" i="14"/>
  <c r="AN18" i="14"/>
  <c r="BB18" i="14"/>
  <c r="BB19" i="14"/>
  <c r="AN19" i="14"/>
  <c r="AH19" i="14"/>
  <c r="Z19" i="14"/>
  <c r="AG19" i="14"/>
  <c r="U20" i="14"/>
  <c r="S20" i="14"/>
  <c r="BD22" i="14"/>
  <c r="BC22" i="14"/>
  <c r="BD25" i="14"/>
  <c r="BC25" i="14"/>
  <c r="BD27" i="14"/>
  <c r="BC27" i="14"/>
  <c r="T17" i="14"/>
  <c r="AA17" i="14"/>
  <c r="AG17" i="14"/>
  <c r="T18" i="14"/>
  <c r="AA18" i="14"/>
  <c r="AG18" i="14"/>
  <c r="T19" i="14"/>
  <c r="AA19" i="14"/>
  <c r="AO19" i="14"/>
  <c r="AV19" i="14"/>
  <c r="BD20" i="14"/>
  <c r="BC20" i="14"/>
  <c r="BD21" i="14"/>
  <c r="BC21" i="14"/>
  <c r="BD23" i="14"/>
  <c r="BC23" i="14"/>
  <c r="BD24" i="14"/>
  <c r="BC24" i="14"/>
  <c r="BD26" i="14"/>
  <c r="BC26" i="14"/>
  <c r="BE29" i="14"/>
  <c r="T21" i="14"/>
  <c r="T22" i="14"/>
  <c r="AO22" i="14"/>
  <c r="AV22" i="14"/>
  <c r="T23" i="14"/>
  <c r="AG23" i="14"/>
  <c r="AO23" i="14"/>
  <c r="AV23" i="14"/>
  <c r="T24" i="14"/>
  <c r="AA24" i="14"/>
  <c r="AG24" i="14"/>
  <c r="AO24" i="14"/>
  <c r="AV24" i="14"/>
  <c r="T25" i="14"/>
  <c r="AA25" i="14"/>
  <c r="AG25" i="14"/>
  <c r="AO25" i="14"/>
  <c r="AV25" i="14"/>
  <c r="T26" i="14"/>
  <c r="AA26" i="14"/>
  <c r="AG26" i="14"/>
  <c r="AO26" i="14"/>
  <c r="AV26" i="14"/>
  <c r="T27" i="14"/>
  <c r="AA27" i="14"/>
  <c r="AG27" i="14"/>
  <c r="AO27" i="14"/>
  <c r="AV27" i="14"/>
  <c r="AA29" i="14"/>
  <c r="AH29" i="14"/>
  <c r="AV29" i="14"/>
  <c r="AA30" i="14"/>
  <c r="AH30" i="14"/>
  <c r="AU30" i="14"/>
  <c r="BB30" i="14"/>
  <c r="BC30" i="14" s="1"/>
  <c r="BE30" i="14" s="1"/>
  <c r="BB32" i="14"/>
  <c r="BC32" i="14" s="1"/>
  <c r="BE32" i="14" s="1"/>
  <c r="AU32" i="14"/>
  <c r="AV32" i="14"/>
  <c r="AA32" i="14"/>
  <c r="AH32" i="14"/>
  <c r="BC35" i="14"/>
  <c r="BD35" i="14"/>
  <c r="Z20" i="14"/>
  <c r="AH20" i="14"/>
  <c r="AN20" i="14"/>
  <c r="S21" i="14"/>
  <c r="Z21" i="14"/>
  <c r="AH21" i="14"/>
  <c r="AN21" i="14"/>
  <c r="S22" i="14"/>
  <c r="Z22" i="14"/>
  <c r="AH22" i="14"/>
  <c r="AN22" i="14"/>
  <c r="S23" i="14"/>
  <c r="Z23" i="14"/>
  <c r="AH23" i="14"/>
  <c r="AN23" i="14"/>
  <c r="S24" i="14"/>
  <c r="Z24" i="14"/>
  <c r="AH24" i="14"/>
  <c r="AN24" i="14"/>
  <c r="S25" i="14"/>
  <c r="Z25" i="14"/>
  <c r="AH25" i="14"/>
  <c r="AN25" i="14"/>
  <c r="S26" i="14"/>
  <c r="Z26" i="14"/>
  <c r="AH26" i="14"/>
  <c r="AN26" i="14"/>
  <c r="S27" i="14"/>
  <c r="Z27" i="14"/>
  <c r="AH27" i="14"/>
  <c r="AN27" i="14"/>
  <c r="T29" i="14"/>
  <c r="AU29" i="14"/>
  <c r="T30" i="14"/>
  <c r="U31" i="14"/>
  <c r="S31" i="14"/>
  <c r="AA31" i="14"/>
  <c r="AH31" i="14"/>
  <c r="AU31" i="14"/>
  <c r="T32" i="14"/>
  <c r="S33" i="14"/>
  <c r="U33" i="14"/>
  <c r="AA33" i="14"/>
  <c r="AH33" i="14"/>
  <c r="AU33" i="14"/>
  <c r="T34" i="14"/>
  <c r="AV34" i="14"/>
  <c r="S35" i="14"/>
  <c r="U35" i="14"/>
  <c r="Z35" i="14"/>
  <c r="AI35" i="14"/>
  <c r="AP35" i="14"/>
  <c r="AR35" i="14" s="1"/>
  <c r="S36" i="14"/>
  <c r="U36" i="14"/>
  <c r="AA36" i="14"/>
  <c r="AH36" i="14"/>
  <c r="AU36" i="14"/>
  <c r="BB36" i="14"/>
  <c r="BC36" i="14" s="1"/>
  <c r="BE36" i="14" s="1"/>
  <c r="BD37" i="14"/>
  <c r="BC37" i="14"/>
  <c r="BD38" i="14"/>
  <c r="BC38" i="14"/>
  <c r="T33" i="14"/>
  <c r="AA34" i="14"/>
  <c r="AH34" i="14"/>
  <c r="AU34" i="14"/>
  <c r="T35" i="14"/>
  <c r="T36" i="14"/>
  <c r="U37" i="14"/>
  <c r="S37" i="14"/>
  <c r="AQ37" i="14"/>
  <c r="AR37" i="14" s="1"/>
  <c r="T38" i="14"/>
  <c r="AA38" i="14"/>
  <c r="AH38" i="14"/>
  <c r="AO38" i="14"/>
  <c r="AV38" i="14"/>
  <c r="Z37" i="14"/>
  <c r="S38" i="14"/>
  <c r="Z38" i="14"/>
  <c r="AX37" i="14" l="1"/>
  <c r="BF37" i="14"/>
  <c r="AJ37" i="14"/>
  <c r="AK37" i="14" s="1"/>
  <c r="AX21" i="14"/>
  <c r="AK73" i="14"/>
  <c r="AK35" i="14"/>
  <c r="BE44" i="12"/>
  <c r="AK50" i="12"/>
  <c r="AR53" i="12"/>
  <c r="AR54" i="12"/>
  <c r="AB48" i="12"/>
  <c r="F31" i="18" s="1"/>
  <c r="J55" i="18"/>
  <c r="BC26" i="15"/>
  <c r="BD26" i="15" s="1"/>
  <c r="BE26" i="15" s="1"/>
  <c r="AK72" i="14"/>
  <c r="J56" i="18"/>
  <c r="BF73" i="14"/>
  <c r="BE20" i="14"/>
  <c r="BE27" i="14"/>
  <c r="AC20" i="14"/>
  <c r="AD20" i="14" s="1"/>
  <c r="AD65" i="14"/>
  <c r="BE37" i="14"/>
  <c r="AW48" i="12"/>
  <c r="AX48" i="12" s="1"/>
  <c r="AD47" i="12"/>
  <c r="BD55" i="12"/>
  <c r="BE55" i="12" s="1"/>
  <c r="AK51" i="12"/>
  <c r="BE53" i="12"/>
  <c r="BE54" i="12"/>
  <c r="BE45" i="12"/>
  <c r="AB55" i="12"/>
  <c r="F32" i="18" s="1"/>
  <c r="AD49" i="12"/>
  <c r="AD50" i="12"/>
  <c r="AK52" i="12"/>
  <c r="AK53" i="12"/>
  <c r="AK54" i="12"/>
  <c r="AI55" i="12"/>
  <c r="G32" i="18" s="1"/>
  <c r="AK49" i="12"/>
  <c r="AD52" i="12"/>
  <c r="BF53" i="12"/>
  <c r="AD53" i="12"/>
  <c r="BF54" i="12"/>
  <c r="AD54" i="12"/>
  <c r="BC48" i="12"/>
  <c r="J31" i="18" s="1"/>
  <c r="AD51" i="12"/>
  <c r="AD22" i="15"/>
  <c r="AB24" i="15"/>
  <c r="F55" i="18" s="1"/>
  <c r="AD17" i="15"/>
  <c r="AD19" i="15"/>
  <c r="AD20" i="15"/>
  <c r="AD21" i="15"/>
  <c r="AD23" i="15"/>
  <c r="BE25" i="14"/>
  <c r="AD37" i="15"/>
  <c r="AD36" i="15"/>
  <c r="AD35" i="15"/>
  <c r="AD34" i="15"/>
  <c r="AD38" i="15"/>
  <c r="BE35" i="14"/>
  <c r="BE21" i="14"/>
  <c r="BE22" i="14"/>
  <c r="AP38" i="14"/>
  <c r="AQ38" i="14"/>
  <c r="AB38" i="14"/>
  <c r="AJ34" i="14"/>
  <c r="AI34" i="14"/>
  <c r="AI36" i="14"/>
  <c r="AJ36" i="14"/>
  <c r="BF35" i="14"/>
  <c r="AI33" i="14"/>
  <c r="AJ33" i="14"/>
  <c r="AJ31" i="14"/>
  <c r="AI31" i="14"/>
  <c r="AI27" i="14"/>
  <c r="AI26" i="14"/>
  <c r="AI25" i="14"/>
  <c r="AI24" i="14"/>
  <c r="AI23" i="14"/>
  <c r="AI22" i="14"/>
  <c r="AI21" i="14"/>
  <c r="AI20" i="14"/>
  <c r="AB32" i="14"/>
  <c r="AC32" i="14"/>
  <c r="AI30" i="14"/>
  <c r="AJ30" i="14"/>
  <c r="AI29" i="14"/>
  <c r="AJ29" i="14"/>
  <c r="AW27" i="14"/>
  <c r="AX27" i="14" s="1"/>
  <c r="AW26" i="14"/>
  <c r="AX26" i="14" s="1"/>
  <c r="AW25" i="14"/>
  <c r="AX25" i="14" s="1"/>
  <c r="AW24" i="14"/>
  <c r="AX24" i="14" s="1"/>
  <c r="AW23" i="14"/>
  <c r="AX23" i="14" s="1"/>
  <c r="AW22" i="14"/>
  <c r="AX22" i="14" s="1"/>
  <c r="BE26" i="14"/>
  <c r="BE24" i="14"/>
  <c r="BE23" i="14"/>
  <c r="AP19" i="14"/>
  <c r="AI19" i="14"/>
  <c r="BD19" i="14"/>
  <c r="BC19" i="14"/>
  <c r="AW38" i="14"/>
  <c r="AX38" i="14" s="1"/>
  <c r="AI38" i="14"/>
  <c r="AJ38" i="14"/>
  <c r="AC34" i="14"/>
  <c r="AB34" i="14"/>
  <c r="BE38" i="14"/>
  <c r="AB36" i="14"/>
  <c r="AC36" i="14"/>
  <c r="AB33" i="14"/>
  <c r="AC33" i="14"/>
  <c r="AC31" i="14"/>
  <c r="AB31" i="14"/>
  <c r="AI32" i="14"/>
  <c r="AJ32" i="14"/>
  <c r="AB30" i="14"/>
  <c r="AC30" i="14"/>
  <c r="AV39" i="14"/>
  <c r="I45" i="18" s="1"/>
  <c r="AB29" i="14"/>
  <c r="AC29" i="14"/>
  <c r="AP27" i="14"/>
  <c r="AB27" i="14"/>
  <c r="AP26" i="14"/>
  <c r="AB26" i="14"/>
  <c r="AP25" i="14"/>
  <c r="AB25" i="14"/>
  <c r="AP24" i="14"/>
  <c r="AB24" i="14"/>
  <c r="AC24" i="14"/>
  <c r="AP23" i="14"/>
  <c r="AP22" i="14"/>
  <c r="BC39" i="14"/>
  <c r="J45" i="18" s="1"/>
  <c r="AW19" i="14"/>
  <c r="AX19" i="14" s="1"/>
  <c r="AC19" i="14"/>
  <c r="AB19" i="14"/>
  <c r="AB18" i="14"/>
  <c r="AB17" i="14"/>
  <c r="BC18" i="14"/>
  <c r="BD18" i="14"/>
  <c r="BC17" i="14"/>
  <c r="BD17" i="14"/>
  <c r="AV28" i="14"/>
  <c r="I44" i="18" s="1"/>
  <c r="AK32" i="14" l="1"/>
  <c r="BE18" i="14"/>
  <c r="BE19" i="14"/>
  <c r="AK33" i="14"/>
  <c r="BC56" i="12"/>
  <c r="BD48" i="12"/>
  <c r="BE48" i="12" s="1"/>
  <c r="BG54" i="12"/>
  <c r="BH54" i="12" s="1"/>
  <c r="BG53" i="12"/>
  <c r="BH53" i="12" s="1"/>
  <c r="AJ55" i="12"/>
  <c r="AK55" i="12" s="1"/>
  <c r="AC55" i="12"/>
  <c r="AD55" i="12" s="1"/>
  <c r="AB56" i="12"/>
  <c r="AB26" i="15"/>
  <c r="AC24" i="15"/>
  <c r="AD24" i="15" s="1"/>
  <c r="AK36" i="14"/>
  <c r="AR38" i="14"/>
  <c r="BC28" i="14"/>
  <c r="J44" i="18" s="1"/>
  <c r="BE17" i="14"/>
  <c r="AD30" i="14"/>
  <c r="AD36" i="14"/>
  <c r="AB28" i="14"/>
  <c r="F44" i="18" s="1"/>
  <c r="BF19" i="14"/>
  <c r="AD19" i="14"/>
  <c r="BD39" i="14"/>
  <c r="BE39" i="14" s="1"/>
  <c r="BF24" i="14"/>
  <c r="AD24" i="14"/>
  <c r="BF25" i="14"/>
  <c r="BF26" i="14"/>
  <c r="BF27" i="14"/>
  <c r="AB39" i="14"/>
  <c r="F45" i="18" s="1"/>
  <c r="AD29" i="14"/>
  <c r="AD31" i="14"/>
  <c r="AD34" i="14"/>
  <c r="AK38" i="14"/>
  <c r="AI39" i="14"/>
  <c r="G45" i="18" s="1"/>
  <c r="AK29" i="14"/>
  <c r="AK30" i="14"/>
  <c r="AD32" i="14"/>
  <c r="BF20" i="14"/>
  <c r="BF21" i="14"/>
  <c r="BF22" i="14"/>
  <c r="BF23" i="14"/>
  <c r="AK31" i="14"/>
  <c r="AK34" i="14"/>
  <c r="AV40" i="14"/>
  <c r="AV78" i="14" s="1"/>
  <c r="AW28" i="14"/>
  <c r="AD33" i="14"/>
  <c r="BF38" i="14"/>
  <c r="M70" i="16"/>
  <c r="M69" i="16"/>
  <c r="M68" i="16"/>
  <c r="M67" i="16"/>
  <c r="M66" i="16"/>
  <c r="M60" i="16"/>
  <c r="M59" i="16"/>
  <c r="M58" i="16"/>
  <c r="M57" i="16"/>
  <c r="M56" i="16"/>
  <c r="G50" i="16"/>
  <c r="G40" i="16"/>
  <c r="G30" i="16"/>
  <c r="E51" i="16"/>
  <c r="F70" i="16"/>
  <c r="F69" i="16"/>
  <c r="F68" i="16"/>
  <c r="F67" i="16"/>
  <c r="F66" i="16"/>
  <c r="G70" i="16"/>
  <c r="G69" i="16"/>
  <c r="F60" i="16"/>
  <c r="F59" i="16"/>
  <c r="F58" i="16"/>
  <c r="F57" i="16"/>
  <c r="F56" i="16"/>
  <c r="G60" i="16"/>
  <c r="G49" i="16"/>
  <c r="G39" i="16"/>
  <c r="G29" i="16"/>
  <c r="G59" i="16"/>
  <c r="H59" i="16" s="1"/>
  <c r="L59" i="16" s="1"/>
  <c r="G28" i="16"/>
  <c r="G38" i="16"/>
  <c r="G48" i="16"/>
  <c r="M50" i="16"/>
  <c r="F50" i="16"/>
  <c r="M49" i="16"/>
  <c r="F49" i="16"/>
  <c r="M48" i="16"/>
  <c r="F48" i="16"/>
  <c r="M47" i="16"/>
  <c r="G47" i="16"/>
  <c r="F47" i="16"/>
  <c r="M46" i="16"/>
  <c r="F46" i="16"/>
  <c r="G67" i="16"/>
  <c r="H67" i="16" s="1"/>
  <c r="L67" i="16" s="1"/>
  <c r="G57" i="16"/>
  <c r="G37" i="16"/>
  <c r="G68" i="16"/>
  <c r="H68" i="16" s="1"/>
  <c r="L68" i="16" s="1"/>
  <c r="G58" i="16"/>
  <c r="H58" i="16" s="1"/>
  <c r="L58" i="16" s="1"/>
  <c r="G27" i="16"/>
  <c r="E41" i="16"/>
  <c r="M40" i="16"/>
  <c r="F40" i="16"/>
  <c r="M39" i="16"/>
  <c r="F39" i="16"/>
  <c r="M38" i="16"/>
  <c r="F38" i="16"/>
  <c r="M37" i="16"/>
  <c r="F37" i="16"/>
  <c r="M36" i="16"/>
  <c r="F36" i="16"/>
  <c r="M30" i="16"/>
  <c r="M29" i="16"/>
  <c r="M28" i="16"/>
  <c r="M27" i="16"/>
  <c r="M26" i="16"/>
  <c r="F30" i="16"/>
  <c r="F29" i="16"/>
  <c r="F28" i="16"/>
  <c r="F27" i="16"/>
  <c r="F26" i="16"/>
  <c r="BD104" i="16"/>
  <c r="BD118" i="16"/>
  <c r="BD117" i="16"/>
  <c r="BD116" i="16"/>
  <c r="BD115" i="16"/>
  <c r="BD114" i="16"/>
  <c r="BD113" i="16"/>
  <c r="BD112" i="16"/>
  <c r="BD111" i="16"/>
  <c r="BD110" i="16"/>
  <c r="BD109" i="16"/>
  <c r="BD108" i="16"/>
  <c r="BD107" i="16"/>
  <c r="BD106" i="16"/>
  <c r="BD105" i="16"/>
  <c r="BD103" i="16"/>
  <c r="BD102" i="16"/>
  <c r="BD101" i="16"/>
  <c r="BC118" i="16"/>
  <c r="BC117" i="16"/>
  <c r="BC116" i="16"/>
  <c r="BC115" i="16"/>
  <c r="BC114" i="16"/>
  <c r="BC113" i="16"/>
  <c r="BC112" i="16"/>
  <c r="BC111" i="16"/>
  <c r="BC110" i="16"/>
  <c r="BC109" i="16"/>
  <c r="BC108" i="16"/>
  <c r="BC107" i="16"/>
  <c r="BC106" i="16"/>
  <c r="BC105" i="16"/>
  <c r="BC104" i="16"/>
  <c r="G26" i="16" s="1"/>
  <c r="BC103" i="16"/>
  <c r="BC102" i="16"/>
  <c r="BC101" i="16"/>
  <c r="G46" i="16" s="1"/>
  <c r="E51" i="17"/>
  <c r="F51" i="17" s="1"/>
  <c r="E50" i="17"/>
  <c r="F50" i="17" s="1"/>
  <c r="E49" i="17"/>
  <c r="F49" i="17" s="1"/>
  <c r="E48" i="17"/>
  <c r="F48" i="17" s="1"/>
  <c r="E47" i="17"/>
  <c r="F47" i="17" s="1"/>
  <c r="E46" i="17"/>
  <c r="F46" i="17" s="1"/>
  <c r="D52" i="17"/>
  <c r="AZ93" i="17"/>
  <c r="AZ92" i="17"/>
  <c r="AZ91" i="17"/>
  <c r="AZ90" i="17"/>
  <c r="AZ89" i="17"/>
  <c r="AZ88" i="17"/>
  <c r="AZ87" i="17"/>
  <c r="AZ86" i="17"/>
  <c r="E61" i="16"/>
  <c r="E71" i="16"/>
  <c r="BI98" i="16"/>
  <c r="BH98" i="16"/>
  <c r="BG98" i="16"/>
  <c r="BI97" i="16"/>
  <c r="BH97" i="16"/>
  <c r="BG97" i="16"/>
  <c r="BI96" i="16"/>
  <c r="BF96" i="16"/>
  <c r="BH96" i="16" s="1"/>
  <c r="BI95" i="16"/>
  <c r="BF95" i="16"/>
  <c r="BH95" i="16" s="1"/>
  <c r="BI94" i="16"/>
  <c r="BH94" i="16"/>
  <c r="BG94" i="16"/>
  <c r="BI93" i="16"/>
  <c r="BH93" i="16"/>
  <c r="BG93" i="16"/>
  <c r="BI92" i="16"/>
  <c r="BF92" i="16"/>
  <c r="BH92" i="16" s="1"/>
  <c r="BI91" i="16"/>
  <c r="BF91" i="16"/>
  <c r="BH91" i="16" s="1"/>
  <c r="F16" i="16" s="1"/>
  <c r="H16" i="16" s="1"/>
  <c r="L16" i="16" s="1"/>
  <c r="BI90" i="16"/>
  <c r="BH90" i="16"/>
  <c r="BG90" i="16"/>
  <c r="E31" i="16"/>
  <c r="E21" i="16"/>
  <c r="M20" i="16"/>
  <c r="F20" i="16"/>
  <c r="H20" i="16" s="1"/>
  <c r="L20" i="16" s="1"/>
  <c r="M19" i="16"/>
  <c r="F19" i="16"/>
  <c r="H19" i="16" s="1"/>
  <c r="L19" i="16" s="1"/>
  <c r="M18" i="16"/>
  <c r="F18" i="16"/>
  <c r="H18" i="16" s="1"/>
  <c r="L18" i="16" s="1"/>
  <c r="M17" i="16"/>
  <c r="F17" i="16"/>
  <c r="H17" i="16" s="1"/>
  <c r="L17" i="16" s="1"/>
  <c r="M16" i="16"/>
  <c r="BG81" i="17"/>
  <c r="BG80" i="17"/>
  <c r="BG79" i="17"/>
  <c r="BG78" i="17"/>
  <c r="BG77" i="17"/>
  <c r="BG76" i="17"/>
  <c r="BG75" i="17"/>
  <c r="BG74" i="17"/>
  <c r="BG73" i="17"/>
  <c r="K39" i="17"/>
  <c r="K38" i="17"/>
  <c r="K37" i="17"/>
  <c r="K36" i="17"/>
  <c r="K35" i="17"/>
  <c r="K34" i="17"/>
  <c r="K31" i="17"/>
  <c r="K30" i="17"/>
  <c r="K29" i="17"/>
  <c r="K28" i="17"/>
  <c r="K27" i="17"/>
  <c r="K26" i="17"/>
  <c r="K23" i="17"/>
  <c r="K22" i="17"/>
  <c r="K21" i="17"/>
  <c r="K20" i="17"/>
  <c r="K19" i="17"/>
  <c r="K18" i="17"/>
  <c r="K17" i="17"/>
  <c r="BF81" i="17"/>
  <c r="BF80" i="17"/>
  <c r="BF77" i="17"/>
  <c r="BF76" i="17"/>
  <c r="BF73" i="17"/>
  <c r="BE81" i="17"/>
  <c r="BE80" i="17"/>
  <c r="BE77" i="17"/>
  <c r="BE76" i="17"/>
  <c r="BE73" i="17"/>
  <c r="E23" i="17"/>
  <c r="F23" i="17" s="1"/>
  <c r="J23" i="17" s="1"/>
  <c r="E22" i="17"/>
  <c r="F22" i="17" s="1"/>
  <c r="J22" i="17" s="1"/>
  <c r="E21" i="17"/>
  <c r="F21" i="17" s="1"/>
  <c r="J21" i="17" s="1"/>
  <c r="E18" i="17"/>
  <c r="F18" i="17" s="1"/>
  <c r="J18" i="17" s="1"/>
  <c r="E30" i="17"/>
  <c r="F30" i="17" s="1"/>
  <c r="J30" i="17" s="1"/>
  <c r="E29" i="17"/>
  <c r="F29" i="17" s="1"/>
  <c r="J29" i="17" s="1"/>
  <c r="L29" i="17" s="1"/>
  <c r="E38" i="17"/>
  <c r="F38" i="17" s="1"/>
  <c r="J38" i="17" s="1"/>
  <c r="L38" i="17" s="1"/>
  <c r="E37" i="17"/>
  <c r="F37" i="17" s="1"/>
  <c r="J37" i="17" s="1"/>
  <c r="E36" i="17"/>
  <c r="F36" i="17" s="1"/>
  <c r="J36" i="17" s="1"/>
  <c r="BD79" i="17"/>
  <c r="BE79" i="17" s="1"/>
  <c r="E35" i="17" s="1"/>
  <c r="F35" i="17" s="1"/>
  <c r="J35" i="17" s="1"/>
  <c r="BD78" i="17"/>
  <c r="BF78" i="17" s="1"/>
  <c r="E28" i="17" s="1"/>
  <c r="F28" i="17" s="1"/>
  <c r="J28" i="17" s="1"/>
  <c r="L28" i="17" s="1"/>
  <c r="BD75" i="17"/>
  <c r="BE75" i="17" s="1"/>
  <c r="E34" i="17" s="1"/>
  <c r="F34" i="17" s="1"/>
  <c r="J34" i="17" s="1"/>
  <c r="BD74" i="17"/>
  <c r="BF74" i="17" s="1"/>
  <c r="D24" i="17"/>
  <c r="D32" i="17"/>
  <c r="D40" i="17"/>
  <c r="L36" i="17" l="1"/>
  <c r="L30" i="17"/>
  <c r="H57" i="16"/>
  <c r="L57" i="16" s="1"/>
  <c r="L18" i="17"/>
  <c r="L22" i="17"/>
  <c r="H46" i="16"/>
  <c r="L46" i="16" s="1"/>
  <c r="L34" i="17"/>
  <c r="L35" i="17"/>
  <c r="L37" i="17"/>
  <c r="L21" i="17"/>
  <c r="L23" i="17"/>
  <c r="J47" i="17"/>
  <c r="L47" i="17" s="1"/>
  <c r="J49" i="17"/>
  <c r="J51" i="17"/>
  <c r="J46" i="17"/>
  <c r="J48" i="17"/>
  <c r="J50" i="17"/>
  <c r="E19" i="17"/>
  <c r="F19" i="17" s="1"/>
  <c r="J19" i="17" s="1"/>
  <c r="L19" i="17" s="1"/>
  <c r="E31" i="17"/>
  <c r="F31" i="17" s="1"/>
  <c r="J31" i="17" s="1"/>
  <c r="L31" i="17" s="1"/>
  <c r="H47" i="16"/>
  <c r="L47" i="16" s="1"/>
  <c r="N47" i="16" s="1"/>
  <c r="H60" i="16"/>
  <c r="L60" i="16" s="1"/>
  <c r="H69" i="16"/>
  <c r="L69" i="16" s="1"/>
  <c r="N69" i="16" s="1"/>
  <c r="H38" i="16"/>
  <c r="L38" i="16" s="1"/>
  <c r="N38" i="16" s="1"/>
  <c r="H39" i="16"/>
  <c r="L39" i="16" s="1"/>
  <c r="H50" i="16"/>
  <c r="L50" i="16" s="1"/>
  <c r="H37" i="16"/>
  <c r="L37" i="16" s="1"/>
  <c r="N37" i="16" s="1"/>
  <c r="H48" i="16"/>
  <c r="L48" i="16" s="1"/>
  <c r="N48" i="16" s="1"/>
  <c r="H49" i="16"/>
  <c r="L49" i="16" s="1"/>
  <c r="N49" i="16" s="1"/>
  <c r="H70" i="16"/>
  <c r="L70" i="16" s="1"/>
  <c r="N70" i="16" s="1"/>
  <c r="H40" i="16"/>
  <c r="L40" i="16" s="1"/>
  <c r="N40" i="16" s="1"/>
  <c r="I52" i="18"/>
  <c r="AV80" i="14"/>
  <c r="I53" i="18" s="1"/>
  <c r="F56" i="18"/>
  <c r="AB58" i="12"/>
  <c r="F33" i="18" s="1"/>
  <c r="BC58" i="12"/>
  <c r="J33" i="18" s="1"/>
  <c r="BD56" i="12"/>
  <c r="BE56" i="12" s="1"/>
  <c r="BE74" i="17"/>
  <c r="BE78" i="17"/>
  <c r="E39" i="17" s="1"/>
  <c r="F39" i="17" s="1"/>
  <c r="J39" i="17" s="1"/>
  <c r="L39" i="17" s="1"/>
  <c r="BF75" i="17"/>
  <c r="E27" i="17" s="1"/>
  <c r="F27" i="17" s="1"/>
  <c r="J27" i="17" s="1"/>
  <c r="L27" i="17" s="1"/>
  <c r="BF79" i="17"/>
  <c r="E20" i="17" s="1"/>
  <c r="F20" i="17" s="1"/>
  <c r="J20" i="17" s="1"/>
  <c r="L20" i="17" s="1"/>
  <c r="H28" i="16"/>
  <c r="L28" i="16" s="1"/>
  <c r="N28" i="16" s="1"/>
  <c r="H29" i="16"/>
  <c r="L29" i="16" s="1"/>
  <c r="N29" i="16" s="1"/>
  <c r="H30" i="16"/>
  <c r="L30" i="16" s="1"/>
  <c r="AC26" i="15"/>
  <c r="AD26" i="15" s="1"/>
  <c r="AJ39" i="14"/>
  <c r="AK39" i="14" s="1"/>
  <c r="AB40" i="14"/>
  <c r="BC40" i="14"/>
  <c r="BD28" i="14"/>
  <c r="H27" i="16"/>
  <c r="L27" i="16" s="1"/>
  <c r="N27" i="16" s="1"/>
  <c r="H26" i="16"/>
  <c r="L26" i="16" s="1"/>
  <c r="N30" i="16"/>
  <c r="N39" i="16"/>
  <c r="N50" i="16"/>
  <c r="G66" i="16"/>
  <c r="H66" i="16" s="1"/>
  <c r="L66" i="16" s="1"/>
  <c r="G36" i="16"/>
  <c r="H36" i="16" s="1"/>
  <c r="L36" i="16" s="1"/>
  <c r="G56" i="16"/>
  <c r="N68" i="16"/>
  <c r="N60" i="16"/>
  <c r="N57" i="16"/>
  <c r="N59" i="16"/>
  <c r="N67" i="16"/>
  <c r="L21" i="16"/>
  <c r="F61" i="18" s="1"/>
  <c r="K61" i="18" s="1"/>
  <c r="N17" i="16"/>
  <c r="N20" i="16"/>
  <c r="BG91" i="16"/>
  <c r="N18" i="16"/>
  <c r="N19" i="16"/>
  <c r="BG92" i="16"/>
  <c r="BG96" i="16"/>
  <c r="BG95" i="16"/>
  <c r="N16" i="16"/>
  <c r="J40" i="17"/>
  <c r="CQ425" i="15"/>
  <c r="CO425" i="15"/>
  <c r="CQ424" i="15"/>
  <c r="CO424" i="15"/>
  <c r="CQ423" i="15"/>
  <c r="CO423" i="15"/>
  <c r="CQ422" i="15"/>
  <c r="CO422" i="15"/>
  <c r="CQ421" i="15"/>
  <c r="CO421" i="15"/>
  <c r="CQ420" i="15"/>
  <c r="CO420" i="15"/>
  <c r="CQ419" i="15"/>
  <c r="CO419" i="15"/>
  <c r="CQ418" i="15"/>
  <c r="CO418" i="15"/>
  <c r="CQ417" i="15"/>
  <c r="CO417" i="15"/>
  <c r="CQ416" i="15"/>
  <c r="CO416" i="15"/>
  <c r="CQ415" i="15"/>
  <c r="CO415" i="15"/>
  <c r="CQ414" i="15"/>
  <c r="CO414" i="15"/>
  <c r="CP414" i="15" s="1"/>
  <c r="CQ413" i="15"/>
  <c r="CO413" i="15"/>
  <c r="CQ412" i="15"/>
  <c r="CO412" i="15"/>
  <c r="CQ411" i="15"/>
  <c r="CO411" i="15"/>
  <c r="CQ410" i="15"/>
  <c r="CO410" i="15"/>
  <c r="CQ409" i="15"/>
  <c r="CO409" i="15"/>
  <c r="CQ408" i="15"/>
  <c r="CO408" i="15"/>
  <c r="CQ407" i="15"/>
  <c r="CO407" i="15"/>
  <c r="CQ406" i="15"/>
  <c r="CO406" i="15"/>
  <c r="CQ405" i="15"/>
  <c r="CO405" i="15"/>
  <c r="CQ404" i="15"/>
  <c r="CO404" i="15"/>
  <c r="CQ403" i="15"/>
  <c r="CO403" i="15"/>
  <c r="CQ402" i="15"/>
  <c r="CO402" i="15"/>
  <c r="CQ401" i="15"/>
  <c r="CO401" i="15"/>
  <c r="CQ400" i="15"/>
  <c r="CO400" i="15"/>
  <c r="CQ399" i="15"/>
  <c r="CO399" i="15"/>
  <c r="CQ398" i="15"/>
  <c r="CO398" i="15"/>
  <c r="CQ397" i="15"/>
  <c r="CO397" i="15"/>
  <c r="CQ396" i="15"/>
  <c r="CO396" i="15"/>
  <c r="CQ395" i="15"/>
  <c r="CO395" i="15"/>
  <c r="CQ394" i="15"/>
  <c r="CO394" i="15"/>
  <c r="CQ393" i="15"/>
  <c r="CO393" i="15"/>
  <c r="CQ392" i="15"/>
  <c r="CO392" i="15"/>
  <c r="CQ391" i="15"/>
  <c r="CO391" i="15"/>
  <c r="CQ390" i="15"/>
  <c r="CO390" i="15"/>
  <c r="CQ389" i="15"/>
  <c r="CO389" i="15"/>
  <c r="CQ388" i="15"/>
  <c r="CO388" i="15"/>
  <c r="CQ387" i="15"/>
  <c r="CO387" i="15"/>
  <c r="CQ386" i="15"/>
  <c r="CO386" i="15"/>
  <c r="CQ385" i="15"/>
  <c r="CO385" i="15"/>
  <c r="CQ384" i="15"/>
  <c r="CO384" i="15"/>
  <c r="CQ383" i="15"/>
  <c r="CO383" i="15"/>
  <c r="CQ382" i="15"/>
  <c r="CO382" i="15"/>
  <c r="CQ381" i="15"/>
  <c r="CO381" i="15"/>
  <c r="CQ380" i="15"/>
  <c r="CO380" i="15"/>
  <c r="CQ379" i="15"/>
  <c r="CO379" i="15"/>
  <c r="CQ378" i="15"/>
  <c r="CO378" i="15"/>
  <c r="CQ377" i="15"/>
  <c r="CO377" i="15"/>
  <c r="CQ376" i="15"/>
  <c r="CO376" i="15"/>
  <c r="CQ375" i="15"/>
  <c r="CO375" i="15"/>
  <c r="CQ374" i="15"/>
  <c r="CO374" i="15"/>
  <c r="CQ373" i="15"/>
  <c r="CO373" i="15"/>
  <c r="CQ372" i="15"/>
  <c r="CO372" i="15"/>
  <c r="CQ371" i="15"/>
  <c r="CO371" i="15"/>
  <c r="CQ370" i="15"/>
  <c r="CO370" i="15"/>
  <c r="CQ369" i="15"/>
  <c r="CO369" i="15"/>
  <c r="CQ368" i="15"/>
  <c r="CO368" i="15"/>
  <c r="CQ367" i="15"/>
  <c r="CO367" i="15"/>
  <c r="CQ366" i="15"/>
  <c r="CO366" i="15"/>
  <c r="CQ365" i="15"/>
  <c r="CO365" i="15"/>
  <c r="CQ364" i="15"/>
  <c r="CO364" i="15"/>
  <c r="CQ363" i="15"/>
  <c r="CO363" i="15"/>
  <c r="CQ362" i="15"/>
  <c r="CO362" i="15"/>
  <c r="CQ361" i="15"/>
  <c r="CO361" i="15"/>
  <c r="CQ360" i="15"/>
  <c r="CO360" i="15"/>
  <c r="CQ359" i="15"/>
  <c r="CO359" i="15"/>
  <c r="CQ358" i="15"/>
  <c r="CO358" i="15"/>
  <c r="CQ357" i="15"/>
  <c r="CO357" i="15"/>
  <c r="CQ356" i="15"/>
  <c r="CO356" i="15"/>
  <c r="CQ355" i="15"/>
  <c r="CO355" i="15"/>
  <c r="CQ354" i="15"/>
  <c r="CO354" i="15"/>
  <c r="CQ353" i="15"/>
  <c r="CO353" i="15"/>
  <c r="CQ352" i="15"/>
  <c r="CO352" i="15"/>
  <c r="CQ351" i="15"/>
  <c r="CO351" i="15"/>
  <c r="CQ350" i="15"/>
  <c r="CO350" i="15"/>
  <c r="CQ349" i="15"/>
  <c r="CO349" i="15"/>
  <c r="CQ348" i="15"/>
  <c r="CO348" i="15"/>
  <c r="CQ347" i="15"/>
  <c r="CO347" i="15"/>
  <c r="CQ346" i="15"/>
  <c r="CO346" i="15"/>
  <c r="CQ345" i="15"/>
  <c r="CO345" i="15"/>
  <c r="CQ344" i="15"/>
  <c r="CO344" i="15"/>
  <c r="CQ343" i="15"/>
  <c r="CO343" i="15"/>
  <c r="CQ342" i="15"/>
  <c r="CO342" i="15"/>
  <c r="CQ341" i="15"/>
  <c r="CO341" i="15"/>
  <c r="CQ340" i="15"/>
  <c r="CO340" i="15"/>
  <c r="CQ339" i="15"/>
  <c r="CO339" i="15"/>
  <c r="CQ338" i="15"/>
  <c r="CO338" i="15"/>
  <c r="CQ337" i="15"/>
  <c r="CO337" i="15"/>
  <c r="CP337" i="15" s="1"/>
  <c r="CQ336" i="15"/>
  <c r="CO336" i="15"/>
  <c r="CP336" i="15" s="1"/>
  <c r="CQ335" i="15"/>
  <c r="CP335" i="15"/>
  <c r="CO335" i="15"/>
  <c r="CQ334" i="15"/>
  <c r="CO334" i="15"/>
  <c r="CQ333" i="15"/>
  <c r="CO333" i="15"/>
  <c r="CQ332" i="15"/>
  <c r="CO332" i="15"/>
  <c r="CQ331" i="15"/>
  <c r="CO331" i="15"/>
  <c r="CQ330" i="15"/>
  <c r="CO330" i="15"/>
  <c r="CQ329" i="15"/>
  <c r="CO329" i="15"/>
  <c r="CQ328" i="15"/>
  <c r="CO328" i="15"/>
  <c r="CQ327" i="15"/>
  <c r="CO327" i="15"/>
  <c r="CQ326" i="15"/>
  <c r="CO326" i="15"/>
  <c r="CQ325" i="15"/>
  <c r="CO325" i="15"/>
  <c r="CQ324" i="15"/>
  <c r="CO324" i="15"/>
  <c r="CQ323" i="15"/>
  <c r="CO323" i="15"/>
  <c r="CQ322" i="15"/>
  <c r="CO322" i="15"/>
  <c r="CQ314" i="15"/>
  <c r="CO314" i="15"/>
  <c r="CQ313" i="15"/>
  <c r="CO313" i="15"/>
  <c r="CQ312" i="15"/>
  <c r="CO312" i="15"/>
  <c r="CQ311" i="15"/>
  <c r="CO311" i="15"/>
  <c r="CQ310" i="15"/>
  <c r="CO310" i="15"/>
  <c r="CQ309" i="15"/>
  <c r="CO309" i="15"/>
  <c r="CQ308" i="15"/>
  <c r="CO308" i="15"/>
  <c r="CQ307" i="15"/>
  <c r="CO307" i="15"/>
  <c r="CQ306" i="15"/>
  <c r="CO306" i="15"/>
  <c r="CQ305" i="15"/>
  <c r="CO305" i="15"/>
  <c r="CQ304" i="15"/>
  <c r="CO304" i="15"/>
  <c r="CQ303" i="15"/>
  <c r="CO303" i="15"/>
  <c r="CQ302" i="15"/>
  <c r="CO302" i="15"/>
  <c r="CQ301" i="15"/>
  <c r="CO301" i="15"/>
  <c r="CQ300" i="15"/>
  <c r="CO300" i="15"/>
  <c r="CQ299" i="15"/>
  <c r="CO299" i="15"/>
  <c r="CQ298" i="15"/>
  <c r="CO298" i="15"/>
  <c r="CQ297" i="15"/>
  <c r="CO297" i="15"/>
  <c r="CQ296" i="15"/>
  <c r="CO296" i="15"/>
  <c r="CQ295" i="15"/>
  <c r="CO295" i="15"/>
  <c r="CQ294" i="15"/>
  <c r="CO294" i="15"/>
  <c r="CQ293" i="15"/>
  <c r="CO293" i="15"/>
  <c r="CQ292" i="15"/>
  <c r="CO292" i="15"/>
  <c r="CQ291" i="15"/>
  <c r="CO291" i="15"/>
  <c r="CQ290" i="15"/>
  <c r="CO290" i="15"/>
  <c r="CQ289" i="15"/>
  <c r="CO289" i="15"/>
  <c r="CQ288" i="15"/>
  <c r="CO288" i="15"/>
  <c r="CQ287" i="15"/>
  <c r="CO287" i="15"/>
  <c r="CQ286" i="15"/>
  <c r="CO286" i="15"/>
  <c r="CQ285" i="15"/>
  <c r="CO285" i="15"/>
  <c r="CQ284" i="15"/>
  <c r="CO284" i="15"/>
  <c r="CQ283" i="15"/>
  <c r="CO283" i="15"/>
  <c r="CQ282" i="15"/>
  <c r="CO282" i="15"/>
  <c r="CQ281" i="15"/>
  <c r="CO281" i="15"/>
  <c r="CQ280" i="15"/>
  <c r="CO280" i="15"/>
  <c r="CQ279" i="15"/>
  <c r="CO279" i="15"/>
  <c r="CQ278" i="15"/>
  <c r="CO278" i="15"/>
  <c r="CQ277" i="15"/>
  <c r="CO277" i="15"/>
  <c r="CQ276" i="15"/>
  <c r="CO276" i="15"/>
  <c r="CQ275" i="15"/>
  <c r="CO275" i="15"/>
  <c r="CQ274" i="15"/>
  <c r="CO274" i="15"/>
  <c r="CQ273" i="15"/>
  <c r="CO273" i="15"/>
  <c r="CQ272" i="15"/>
  <c r="CO272" i="15"/>
  <c r="CQ271" i="15"/>
  <c r="CO271" i="15"/>
  <c r="CQ270" i="15"/>
  <c r="CO270" i="15"/>
  <c r="CQ269" i="15"/>
  <c r="CO269" i="15"/>
  <c r="CQ268" i="15"/>
  <c r="CO268" i="15"/>
  <c r="CQ267" i="15"/>
  <c r="CO267" i="15"/>
  <c r="CQ266" i="15"/>
  <c r="CO266" i="15"/>
  <c r="CQ265" i="15"/>
  <c r="CO265" i="15"/>
  <c r="CQ264" i="15"/>
  <c r="CO264" i="15"/>
  <c r="CQ263" i="15"/>
  <c r="CO263" i="15"/>
  <c r="CQ262" i="15"/>
  <c r="CO262" i="15"/>
  <c r="CQ261" i="15"/>
  <c r="CO261" i="15"/>
  <c r="CQ260" i="15"/>
  <c r="CO260" i="15"/>
  <c r="CQ259" i="15"/>
  <c r="CO259" i="15"/>
  <c r="CQ258" i="15"/>
  <c r="CO258" i="15"/>
  <c r="CQ257" i="15"/>
  <c r="CO257" i="15"/>
  <c r="CQ256" i="15"/>
  <c r="CO256" i="15"/>
  <c r="CQ255" i="15"/>
  <c r="CO255" i="15"/>
  <c r="CQ254" i="15"/>
  <c r="CO254" i="15"/>
  <c r="CQ253" i="15"/>
  <c r="CO253" i="15"/>
  <c r="CQ252" i="15"/>
  <c r="CO252" i="15"/>
  <c r="CQ251" i="15"/>
  <c r="CO251" i="15"/>
  <c r="CQ250" i="15"/>
  <c r="CO250" i="15"/>
  <c r="CQ249" i="15"/>
  <c r="CO249" i="15"/>
  <c r="CQ248" i="15"/>
  <c r="CO248" i="15"/>
  <c r="CQ247" i="15"/>
  <c r="CO247" i="15"/>
  <c r="CQ246" i="15"/>
  <c r="CO246" i="15"/>
  <c r="CQ245" i="15"/>
  <c r="CO245" i="15"/>
  <c r="CQ244" i="15"/>
  <c r="CO244" i="15"/>
  <c r="CQ243" i="15"/>
  <c r="CO243" i="15"/>
  <c r="CQ242" i="15"/>
  <c r="CO242" i="15"/>
  <c r="CQ241" i="15"/>
  <c r="CO241" i="15"/>
  <c r="CQ240" i="15"/>
  <c r="CO240" i="15"/>
  <c r="CQ239" i="15"/>
  <c r="CO239" i="15"/>
  <c r="CQ238" i="15"/>
  <c r="CO238" i="15"/>
  <c r="CQ237" i="15"/>
  <c r="CO237" i="15"/>
  <c r="CQ236" i="15"/>
  <c r="CO236" i="15"/>
  <c r="CQ235" i="15"/>
  <c r="CO235" i="15"/>
  <c r="CQ234" i="15"/>
  <c r="CO234" i="15"/>
  <c r="CQ233" i="15"/>
  <c r="CO233" i="15"/>
  <c r="CQ232" i="15"/>
  <c r="CO232" i="15"/>
  <c r="CQ231" i="15"/>
  <c r="CO231" i="15"/>
  <c r="CO230" i="15"/>
  <c r="CO229" i="15"/>
  <c r="CO228" i="15"/>
  <c r="CO227" i="15"/>
  <c r="CO226" i="15"/>
  <c r="CO225" i="15"/>
  <c r="CO222" i="15"/>
  <c r="CQ221" i="15"/>
  <c r="CO221" i="15"/>
  <c r="CQ215" i="15"/>
  <c r="CO215" i="15"/>
  <c r="CQ214" i="15"/>
  <c r="CO214" i="15"/>
  <c r="CQ213" i="15"/>
  <c r="CO213" i="15"/>
  <c r="CQ212" i="15"/>
  <c r="CO212" i="15"/>
  <c r="CQ211" i="15"/>
  <c r="CO211" i="15"/>
  <c r="CQ210" i="15"/>
  <c r="CO210" i="15"/>
  <c r="CQ209" i="15"/>
  <c r="CO209" i="15"/>
  <c r="CQ208" i="15"/>
  <c r="CO208" i="15"/>
  <c r="CQ207" i="15"/>
  <c r="CO207" i="15"/>
  <c r="CQ206" i="15"/>
  <c r="CO206" i="15"/>
  <c r="CQ205" i="15"/>
  <c r="CO205" i="15"/>
  <c r="CQ204" i="15"/>
  <c r="CO204" i="15"/>
  <c r="CQ203" i="15"/>
  <c r="CO203" i="15"/>
  <c r="CQ202" i="15"/>
  <c r="CO202" i="15"/>
  <c r="CQ201" i="15"/>
  <c r="CO201" i="15"/>
  <c r="CQ200" i="15"/>
  <c r="CO200" i="15"/>
  <c r="CQ199" i="15"/>
  <c r="CO199" i="15"/>
  <c r="CQ198" i="15"/>
  <c r="CO198" i="15"/>
  <c r="CQ197" i="15"/>
  <c r="CO197" i="15"/>
  <c r="CQ196" i="15"/>
  <c r="CO196" i="15"/>
  <c r="CQ195" i="15"/>
  <c r="CO195" i="15"/>
  <c r="CQ194" i="15"/>
  <c r="CO194" i="15"/>
  <c r="CQ193" i="15"/>
  <c r="CO193" i="15"/>
  <c r="CQ192" i="15"/>
  <c r="CO192" i="15"/>
  <c r="CQ191" i="15"/>
  <c r="CO191" i="15"/>
  <c r="CQ190" i="15"/>
  <c r="CO190" i="15"/>
  <c r="CQ189" i="15"/>
  <c r="CO189" i="15"/>
  <c r="CQ188" i="15"/>
  <c r="CO188" i="15"/>
  <c r="CQ187" i="15"/>
  <c r="CO187" i="15"/>
  <c r="CQ186" i="15"/>
  <c r="CO186" i="15"/>
  <c r="CQ185" i="15"/>
  <c r="CO185" i="15"/>
  <c r="CQ184" i="15"/>
  <c r="CO184" i="15"/>
  <c r="CQ183" i="15"/>
  <c r="CO183" i="15"/>
  <c r="CP183" i="15" s="1"/>
  <c r="CQ182" i="15"/>
  <c r="CO182" i="15"/>
  <c r="CQ181" i="15"/>
  <c r="CO181" i="15"/>
  <c r="CQ180" i="15"/>
  <c r="CO180" i="15"/>
  <c r="CQ179" i="15"/>
  <c r="CO179" i="15"/>
  <c r="CQ178" i="15"/>
  <c r="CO178" i="15"/>
  <c r="CQ177" i="15"/>
  <c r="CO177" i="15"/>
  <c r="CQ176" i="15"/>
  <c r="CO176" i="15"/>
  <c r="CQ175" i="15"/>
  <c r="CO175" i="15"/>
  <c r="CQ174" i="15"/>
  <c r="CO174" i="15"/>
  <c r="CQ173" i="15"/>
  <c r="CO173" i="15"/>
  <c r="CQ172" i="15"/>
  <c r="CO172" i="15"/>
  <c r="CP165" i="15"/>
  <c r="CP160" i="15"/>
  <c r="CP155" i="15"/>
  <c r="CP154" i="15"/>
  <c r="CP149" i="15"/>
  <c r="CP148" i="15"/>
  <c r="CP143" i="15"/>
  <c r="CP142" i="15"/>
  <c r="CP141" i="15"/>
  <c r="CP140" i="15"/>
  <c r="CP139" i="15"/>
  <c r="CP138" i="15"/>
  <c r="CP137" i="15"/>
  <c r="CP136" i="15"/>
  <c r="CP135" i="15"/>
  <c r="CP134" i="15"/>
  <c r="CP133" i="15"/>
  <c r="CP132" i="15"/>
  <c r="CP131" i="15"/>
  <c r="CP130" i="15"/>
  <c r="CP129" i="15"/>
  <c r="CP128" i="15"/>
  <c r="CP127" i="15"/>
  <c r="CP126" i="15"/>
  <c r="CP125" i="15"/>
  <c r="CP124" i="15"/>
  <c r="CP123" i="15"/>
  <c r="CP122" i="15"/>
  <c r="CP118" i="15"/>
  <c r="CP117" i="15"/>
  <c r="CP116" i="15"/>
  <c r="CP115" i="15"/>
  <c r="CP114" i="15"/>
  <c r="CP113" i="15"/>
  <c r="CP112" i="15"/>
  <c r="CP111" i="15"/>
  <c r="CP110" i="15"/>
  <c r="CP109" i="15"/>
  <c r="CP108" i="15"/>
  <c r="CP107" i="15"/>
  <c r="CP106" i="15"/>
  <c r="CP105" i="15"/>
  <c r="CP104" i="15"/>
  <c r="CP103" i="15"/>
  <c r="CP102" i="15"/>
  <c r="CP101" i="15"/>
  <c r="CP96" i="15"/>
  <c r="CP95" i="15"/>
  <c r="CP94" i="15"/>
  <c r="CP93" i="15"/>
  <c r="CP92" i="15"/>
  <c r="CP91" i="15"/>
  <c r="CP90" i="15"/>
  <c r="CP89" i="15"/>
  <c r="CP88" i="15"/>
  <c r="CP87" i="15"/>
  <c r="CP86" i="15"/>
  <c r="CP85" i="15"/>
  <c r="CP84" i="15"/>
  <c r="CP79" i="15"/>
  <c r="CP78" i="15"/>
  <c r="CP77" i="15"/>
  <c r="CP76" i="15"/>
  <c r="CP75" i="15"/>
  <c r="CP74" i="15"/>
  <c r="CP73" i="15"/>
  <c r="CP72" i="15"/>
  <c r="CP71" i="15"/>
  <c r="CP70" i="15"/>
  <c r="CP69" i="15"/>
  <c r="CP68" i="15"/>
  <c r="CP67" i="15"/>
  <c r="CP66" i="15"/>
  <c r="CP65" i="15"/>
  <c r="CP64" i="15"/>
  <c r="CP63" i="15"/>
  <c r="CP62" i="15"/>
  <c r="CP61" i="15"/>
  <c r="CP60" i="15"/>
  <c r="CP59" i="15"/>
  <c r="CP58" i="15"/>
  <c r="CP57" i="15"/>
  <c r="CP56" i="15"/>
  <c r="CQ485" i="14"/>
  <c r="CO485" i="14"/>
  <c r="CQ484" i="14"/>
  <c r="CO484" i="14"/>
  <c r="CQ483" i="14"/>
  <c r="CO483" i="14"/>
  <c r="CQ482" i="14"/>
  <c r="CO482" i="14"/>
  <c r="CQ481" i="14"/>
  <c r="CO481" i="14"/>
  <c r="CQ480" i="14"/>
  <c r="CO480" i="14"/>
  <c r="CQ479" i="14"/>
  <c r="CO479" i="14"/>
  <c r="CQ478" i="14"/>
  <c r="CO478" i="14"/>
  <c r="CQ477" i="14"/>
  <c r="CO477" i="14"/>
  <c r="CQ476" i="14"/>
  <c r="CO476" i="14"/>
  <c r="CQ475" i="14"/>
  <c r="CO475" i="14"/>
  <c r="CQ474" i="14"/>
  <c r="CO474" i="14"/>
  <c r="CQ473" i="14"/>
  <c r="CO473" i="14"/>
  <c r="CQ472" i="14"/>
  <c r="CO472" i="14"/>
  <c r="CQ471" i="14"/>
  <c r="CO471" i="14"/>
  <c r="CQ470" i="14"/>
  <c r="CO470" i="14"/>
  <c r="CQ469" i="14"/>
  <c r="CO469" i="14"/>
  <c r="CQ468" i="14"/>
  <c r="CO468" i="14"/>
  <c r="CQ467" i="14"/>
  <c r="CO467" i="14"/>
  <c r="CQ466" i="14"/>
  <c r="CO466" i="14"/>
  <c r="CQ465" i="14"/>
  <c r="CO465" i="14"/>
  <c r="CQ464" i="14"/>
  <c r="CO464" i="14"/>
  <c r="CQ463" i="14"/>
  <c r="CO463" i="14"/>
  <c r="CQ462" i="14"/>
  <c r="CO462" i="14"/>
  <c r="CQ461" i="14"/>
  <c r="CO461" i="14"/>
  <c r="CQ460" i="14"/>
  <c r="CO460" i="14"/>
  <c r="CQ459" i="14"/>
  <c r="CO459" i="14"/>
  <c r="CQ458" i="14"/>
  <c r="CO458" i="14"/>
  <c r="CQ457" i="14"/>
  <c r="CO457" i="14"/>
  <c r="CQ456" i="14"/>
  <c r="CO456" i="14"/>
  <c r="CQ455" i="14"/>
  <c r="CO455" i="14"/>
  <c r="CQ454" i="14"/>
  <c r="CO454" i="14"/>
  <c r="CQ453" i="14"/>
  <c r="CO453" i="14"/>
  <c r="CQ452" i="14"/>
  <c r="CO452" i="14"/>
  <c r="CQ451" i="14"/>
  <c r="CO451" i="14"/>
  <c r="CQ450" i="14"/>
  <c r="CO450" i="14"/>
  <c r="CQ449" i="14"/>
  <c r="CO449" i="14"/>
  <c r="CQ448" i="14"/>
  <c r="CO448" i="14"/>
  <c r="CQ447" i="14"/>
  <c r="CO447" i="14"/>
  <c r="CQ446" i="14"/>
  <c r="CO446" i="14"/>
  <c r="CQ445" i="14"/>
  <c r="CO445" i="14"/>
  <c r="CQ444" i="14"/>
  <c r="CO444" i="14"/>
  <c r="CQ443" i="14"/>
  <c r="CO443" i="14"/>
  <c r="CQ442" i="14"/>
  <c r="CO442" i="14"/>
  <c r="CQ441" i="14"/>
  <c r="CO441" i="14"/>
  <c r="CQ440" i="14"/>
  <c r="CO440" i="14"/>
  <c r="CQ439" i="14"/>
  <c r="CO439" i="14"/>
  <c r="CQ438" i="14"/>
  <c r="CO438" i="14"/>
  <c r="CQ437" i="14"/>
  <c r="CO437" i="14"/>
  <c r="CQ436" i="14"/>
  <c r="CO436" i="14"/>
  <c r="CQ435" i="14"/>
  <c r="CO435" i="14"/>
  <c r="CQ434" i="14"/>
  <c r="CO434" i="14"/>
  <c r="CQ433" i="14"/>
  <c r="CO433" i="14"/>
  <c r="CQ432" i="14"/>
  <c r="CO432" i="14"/>
  <c r="CQ431" i="14"/>
  <c r="CO431" i="14"/>
  <c r="CQ430" i="14"/>
  <c r="CO430" i="14"/>
  <c r="CQ429" i="14"/>
  <c r="CO429" i="14"/>
  <c r="CQ428" i="14"/>
  <c r="CO428" i="14"/>
  <c r="CQ427" i="14"/>
  <c r="CO427" i="14"/>
  <c r="CQ426" i="14"/>
  <c r="CO426" i="14"/>
  <c r="CQ425" i="14"/>
  <c r="CO425" i="14"/>
  <c r="CQ424" i="14"/>
  <c r="CO424" i="14"/>
  <c r="CQ423" i="14"/>
  <c r="CO423" i="14"/>
  <c r="CQ422" i="14"/>
  <c r="CO422" i="14"/>
  <c r="CQ421" i="14"/>
  <c r="CO421" i="14"/>
  <c r="CQ420" i="14"/>
  <c r="CO420" i="14"/>
  <c r="CQ419" i="14"/>
  <c r="CO419" i="14"/>
  <c r="CQ418" i="14"/>
  <c r="CO418" i="14"/>
  <c r="CQ417" i="14"/>
  <c r="CO417" i="14"/>
  <c r="CQ416" i="14"/>
  <c r="CO416" i="14"/>
  <c r="CQ415" i="14"/>
  <c r="CO415" i="14"/>
  <c r="CQ414" i="14"/>
  <c r="CO414" i="14"/>
  <c r="CQ413" i="14"/>
  <c r="CO413" i="14"/>
  <c r="CQ412" i="14"/>
  <c r="CO412" i="14"/>
  <c r="CQ411" i="14"/>
  <c r="CO411" i="14"/>
  <c r="CQ410" i="14"/>
  <c r="CO410" i="14"/>
  <c r="CQ409" i="14"/>
  <c r="CO409" i="14"/>
  <c r="CQ408" i="14"/>
  <c r="CO408" i="14"/>
  <c r="CQ407" i="14"/>
  <c r="CO407" i="14"/>
  <c r="CQ406" i="14"/>
  <c r="CO406" i="14"/>
  <c r="CQ405" i="14"/>
  <c r="CO405" i="14"/>
  <c r="CQ404" i="14"/>
  <c r="CO404" i="14"/>
  <c r="CQ403" i="14"/>
  <c r="CO403" i="14"/>
  <c r="CQ402" i="14"/>
  <c r="CO402" i="14"/>
  <c r="CQ401" i="14"/>
  <c r="CO401" i="14"/>
  <c r="CQ400" i="14"/>
  <c r="CO400" i="14"/>
  <c r="CQ399" i="14"/>
  <c r="CO399" i="14"/>
  <c r="CQ398" i="14"/>
  <c r="CO398" i="14"/>
  <c r="CQ397" i="14"/>
  <c r="CO397" i="14"/>
  <c r="CQ396" i="14"/>
  <c r="CO396" i="14"/>
  <c r="CQ395" i="14"/>
  <c r="CO395" i="14"/>
  <c r="CQ394" i="14"/>
  <c r="CO394" i="14"/>
  <c r="CQ393" i="14"/>
  <c r="CO393" i="14"/>
  <c r="CQ392" i="14"/>
  <c r="CO392" i="14"/>
  <c r="CQ391" i="14"/>
  <c r="CO391" i="14"/>
  <c r="CQ390" i="14"/>
  <c r="CO390" i="14"/>
  <c r="CQ389" i="14"/>
  <c r="CO389" i="14"/>
  <c r="CQ388" i="14"/>
  <c r="CO388" i="14"/>
  <c r="CQ387" i="14"/>
  <c r="CO387" i="14"/>
  <c r="CQ386" i="14"/>
  <c r="CO386" i="14"/>
  <c r="CQ385" i="14"/>
  <c r="CO385" i="14"/>
  <c r="CQ384" i="14"/>
  <c r="CO384" i="14"/>
  <c r="CQ383" i="14"/>
  <c r="CO383" i="14"/>
  <c r="CQ382" i="14"/>
  <c r="CO382" i="14"/>
  <c r="CQ381" i="14"/>
  <c r="CO381" i="14"/>
  <c r="CQ380" i="14"/>
  <c r="CO380" i="14"/>
  <c r="CQ379" i="14"/>
  <c r="CO379" i="14"/>
  <c r="CQ378" i="14"/>
  <c r="CO378" i="14"/>
  <c r="CQ377" i="14"/>
  <c r="CO377" i="14"/>
  <c r="CQ376" i="14"/>
  <c r="CO376" i="14"/>
  <c r="CQ375" i="14"/>
  <c r="CO375" i="14"/>
  <c r="CQ374" i="14"/>
  <c r="CO374" i="14"/>
  <c r="CQ366" i="14"/>
  <c r="CO366" i="14"/>
  <c r="CQ365" i="14"/>
  <c r="CO365" i="14"/>
  <c r="CQ364" i="14"/>
  <c r="CO364" i="14"/>
  <c r="CQ363" i="14"/>
  <c r="CO363" i="14"/>
  <c r="CQ362" i="14"/>
  <c r="CO362" i="14"/>
  <c r="CQ361" i="14"/>
  <c r="CO361" i="14"/>
  <c r="CQ360" i="14"/>
  <c r="CO360" i="14"/>
  <c r="CQ359" i="14"/>
  <c r="CO359" i="14"/>
  <c r="CQ358" i="14"/>
  <c r="CO358" i="14"/>
  <c r="CQ357" i="14"/>
  <c r="CO357" i="14"/>
  <c r="CQ356" i="14"/>
  <c r="CO356" i="14"/>
  <c r="CQ352" i="14"/>
  <c r="CO352" i="14"/>
  <c r="CQ351" i="14"/>
  <c r="CO351" i="14"/>
  <c r="CQ350" i="14"/>
  <c r="CO350" i="14"/>
  <c r="CQ349" i="14"/>
  <c r="CO349" i="14"/>
  <c r="CQ348" i="14"/>
  <c r="CO348" i="14"/>
  <c r="CQ347" i="14"/>
  <c r="CO347" i="14"/>
  <c r="CQ346" i="14"/>
  <c r="CO346" i="14"/>
  <c r="CQ345" i="14"/>
  <c r="CO345" i="14"/>
  <c r="CQ344" i="14"/>
  <c r="CO344" i="14"/>
  <c r="CQ343" i="14"/>
  <c r="CO343" i="14"/>
  <c r="CQ342" i="14"/>
  <c r="CO342" i="14"/>
  <c r="CQ341" i="14"/>
  <c r="CO341" i="14"/>
  <c r="CQ340" i="14"/>
  <c r="CO340" i="14"/>
  <c r="CQ339" i="14"/>
  <c r="CO339" i="14"/>
  <c r="CQ338" i="14"/>
  <c r="CO338" i="14"/>
  <c r="CQ337" i="14"/>
  <c r="CO337" i="14"/>
  <c r="CQ336" i="14"/>
  <c r="CO336" i="14"/>
  <c r="CQ335" i="14"/>
  <c r="CO335" i="14"/>
  <c r="CQ334" i="14"/>
  <c r="CO334" i="14"/>
  <c r="CQ333" i="14"/>
  <c r="CO333" i="14"/>
  <c r="CQ332" i="14"/>
  <c r="CO332" i="14"/>
  <c r="CQ331" i="14"/>
  <c r="CO331" i="14"/>
  <c r="CQ330" i="14"/>
  <c r="CO330" i="14"/>
  <c r="CQ329" i="14"/>
  <c r="CO329" i="14"/>
  <c r="CQ328" i="14"/>
  <c r="CO328" i="14"/>
  <c r="CQ327" i="14"/>
  <c r="CO327" i="14"/>
  <c r="CQ326" i="14"/>
  <c r="CO326" i="14"/>
  <c r="CQ325" i="14"/>
  <c r="CO325" i="14"/>
  <c r="CQ324" i="14"/>
  <c r="CO324" i="14"/>
  <c r="CQ323" i="14"/>
  <c r="CO323" i="14"/>
  <c r="CQ322" i="14"/>
  <c r="CO322" i="14"/>
  <c r="CQ321" i="14"/>
  <c r="CO321" i="14"/>
  <c r="CQ320" i="14"/>
  <c r="CO320" i="14"/>
  <c r="CQ319" i="14"/>
  <c r="CO319" i="14"/>
  <c r="CQ318" i="14"/>
  <c r="CO318" i="14"/>
  <c r="CQ317" i="14"/>
  <c r="CO317" i="14"/>
  <c r="CQ316" i="14"/>
  <c r="CO316" i="14"/>
  <c r="CQ315" i="14"/>
  <c r="CO315" i="14"/>
  <c r="CQ314" i="14"/>
  <c r="CO314" i="14"/>
  <c r="CQ313" i="14"/>
  <c r="CO313" i="14"/>
  <c r="CQ312" i="14"/>
  <c r="CO312" i="14"/>
  <c r="CQ311" i="14"/>
  <c r="CO311" i="14"/>
  <c r="CQ310" i="14"/>
  <c r="CO310" i="14"/>
  <c r="CQ309" i="14"/>
  <c r="CO309" i="14"/>
  <c r="CQ308" i="14"/>
  <c r="CO308" i="14"/>
  <c r="CQ307" i="14"/>
  <c r="CO307" i="14"/>
  <c r="CQ306" i="14"/>
  <c r="CO306" i="14"/>
  <c r="CQ305" i="14"/>
  <c r="CO305" i="14"/>
  <c r="CQ304" i="14"/>
  <c r="CO304" i="14"/>
  <c r="CQ303" i="14"/>
  <c r="CO303" i="14"/>
  <c r="CQ302" i="14"/>
  <c r="CO302" i="14"/>
  <c r="CQ301" i="14"/>
  <c r="CO301" i="14"/>
  <c r="CQ300" i="14"/>
  <c r="CO300" i="14"/>
  <c r="CQ299" i="14"/>
  <c r="CO299" i="14"/>
  <c r="CQ298" i="14"/>
  <c r="CO298" i="14"/>
  <c r="CQ297" i="14"/>
  <c r="CO297" i="14"/>
  <c r="CQ296" i="14"/>
  <c r="CO296" i="14"/>
  <c r="CQ295" i="14"/>
  <c r="CO295" i="14"/>
  <c r="CQ294" i="14"/>
  <c r="CO294" i="14"/>
  <c r="CQ293" i="14"/>
  <c r="CO293" i="14"/>
  <c r="CQ292" i="14"/>
  <c r="CO292" i="14"/>
  <c r="CQ291" i="14"/>
  <c r="CO291" i="14"/>
  <c r="CQ290" i="14"/>
  <c r="CO290" i="14"/>
  <c r="CQ289" i="14"/>
  <c r="CO289" i="14"/>
  <c r="CQ288" i="14"/>
  <c r="CO288" i="14"/>
  <c r="CQ287" i="14"/>
  <c r="CO287" i="14"/>
  <c r="CQ286" i="14"/>
  <c r="CO286" i="14"/>
  <c r="CQ285" i="14"/>
  <c r="CO285" i="14"/>
  <c r="CQ284" i="14"/>
  <c r="CO284" i="14"/>
  <c r="CQ283" i="14"/>
  <c r="CO283" i="14"/>
  <c r="CQ282" i="14"/>
  <c r="CO282" i="14"/>
  <c r="CQ281" i="14"/>
  <c r="CO281" i="14"/>
  <c r="CQ280" i="14"/>
  <c r="CO280" i="14"/>
  <c r="CO279" i="14"/>
  <c r="CO278" i="14"/>
  <c r="CO277" i="14"/>
  <c r="CO276" i="14"/>
  <c r="CO275" i="14"/>
  <c r="CO274" i="14"/>
  <c r="CO271" i="14"/>
  <c r="CQ270" i="14"/>
  <c r="CO270" i="14"/>
  <c r="CQ264" i="14"/>
  <c r="CO264" i="14"/>
  <c r="CQ263" i="14"/>
  <c r="CO263" i="14"/>
  <c r="CQ262" i="14"/>
  <c r="CO262" i="14"/>
  <c r="CQ261" i="14"/>
  <c r="CO261" i="14"/>
  <c r="CQ260" i="14"/>
  <c r="CO260" i="14"/>
  <c r="CQ259" i="14"/>
  <c r="CO259" i="14"/>
  <c r="CQ258" i="14"/>
  <c r="CO258" i="14"/>
  <c r="CQ257" i="14"/>
  <c r="CO257" i="14"/>
  <c r="CQ256" i="14"/>
  <c r="CO256" i="14"/>
  <c r="CQ255" i="14"/>
  <c r="CO255" i="14"/>
  <c r="CQ254" i="14"/>
  <c r="CO254" i="14"/>
  <c r="CQ253" i="14"/>
  <c r="CO253" i="14"/>
  <c r="CQ252" i="14"/>
  <c r="CO252" i="14"/>
  <c r="CQ251" i="14"/>
  <c r="CO251" i="14"/>
  <c r="CQ250" i="14"/>
  <c r="CO250" i="14"/>
  <c r="CQ249" i="14"/>
  <c r="CO249" i="14"/>
  <c r="CQ248" i="14"/>
  <c r="CO248" i="14"/>
  <c r="CQ247" i="14"/>
  <c r="CO247" i="14"/>
  <c r="CQ246" i="14"/>
  <c r="CO246" i="14"/>
  <c r="CQ245" i="14"/>
  <c r="CO245" i="14"/>
  <c r="CQ244" i="14"/>
  <c r="CO244" i="14"/>
  <c r="CQ243" i="14"/>
  <c r="CO243" i="14"/>
  <c r="CQ242" i="14"/>
  <c r="CO242" i="14"/>
  <c r="CQ241" i="14"/>
  <c r="CO241" i="14"/>
  <c r="CQ240" i="14"/>
  <c r="CO240" i="14"/>
  <c r="CQ239" i="14"/>
  <c r="CO239" i="14"/>
  <c r="CQ238" i="14"/>
  <c r="CO238" i="14"/>
  <c r="CQ237" i="14"/>
  <c r="CO237" i="14"/>
  <c r="CQ236" i="14"/>
  <c r="CO236" i="14"/>
  <c r="CQ235" i="14"/>
  <c r="CO235" i="14"/>
  <c r="CQ234" i="14"/>
  <c r="CO234" i="14"/>
  <c r="CQ233" i="14"/>
  <c r="CO233" i="14"/>
  <c r="CQ232" i="14"/>
  <c r="CO232" i="14"/>
  <c r="CQ231" i="14"/>
  <c r="CO231" i="14"/>
  <c r="CQ230" i="14"/>
  <c r="CO230" i="14"/>
  <c r="CQ229" i="14"/>
  <c r="CO229" i="14"/>
  <c r="CP222" i="14"/>
  <c r="CP217" i="14"/>
  <c r="CP212" i="14"/>
  <c r="CP211" i="14"/>
  <c r="CP206" i="14"/>
  <c r="CP205" i="14"/>
  <c r="CP200" i="14"/>
  <c r="CP199" i="14"/>
  <c r="CP198" i="14"/>
  <c r="CP197" i="14"/>
  <c r="CP196" i="14"/>
  <c r="CP195" i="14"/>
  <c r="CP194" i="14"/>
  <c r="CP193" i="14"/>
  <c r="CP192" i="14"/>
  <c r="CP191" i="14"/>
  <c r="CP190" i="14"/>
  <c r="CP189" i="14"/>
  <c r="CP188" i="14"/>
  <c r="CP187" i="14"/>
  <c r="CP186" i="14"/>
  <c r="CP185" i="14"/>
  <c r="CP184" i="14"/>
  <c r="CP183" i="14"/>
  <c r="CP182" i="14"/>
  <c r="CP181" i="14"/>
  <c r="CP180" i="14"/>
  <c r="CP179" i="14"/>
  <c r="CP175" i="14"/>
  <c r="CP174" i="14"/>
  <c r="CP173" i="14"/>
  <c r="CP172" i="14"/>
  <c r="CP171" i="14"/>
  <c r="CP170" i="14"/>
  <c r="CP169" i="14"/>
  <c r="CP168" i="14"/>
  <c r="CP167" i="14"/>
  <c r="CP166" i="14"/>
  <c r="CP165" i="14"/>
  <c r="CP164" i="14"/>
  <c r="CP163" i="14"/>
  <c r="CP162" i="14"/>
  <c r="CP161" i="14"/>
  <c r="CP160" i="14"/>
  <c r="CP159" i="14"/>
  <c r="CP158" i="14"/>
  <c r="CP153" i="14"/>
  <c r="CP152" i="14"/>
  <c r="CP151" i="14"/>
  <c r="CP150" i="14"/>
  <c r="CP149" i="14"/>
  <c r="CP148" i="14"/>
  <c r="CP147" i="14"/>
  <c r="CP146" i="14"/>
  <c r="CP145" i="14"/>
  <c r="CP144" i="14"/>
  <c r="CP143" i="14"/>
  <c r="CP142" i="14"/>
  <c r="CP141" i="14"/>
  <c r="CP136" i="14"/>
  <c r="CP135" i="14"/>
  <c r="CP134" i="14"/>
  <c r="CP133" i="14"/>
  <c r="CP132" i="14"/>
  <c r="CP131" i="14"/>
  <c r="CP130" i="14"/>
  <c r="CP129" i="14"/>
  <c r="CP128" i="14"/>
  <c r="CP127" i="14"/>
  <c r="CP126" i="14"/>
  <c r="CP125" i="14"/>
  <c r="CP124" i="14"/>
  <c r="CP123" i="14"/>
  <c r="CP122" i="14"/>
  <c r="CP121" i="14"/>
  <c r="CP120" i="14"/>
  <c r="CP119" i="14"/>
  <c r="CP118" i="14"/>
  <c r="CP117" i="14"/>
  <c r="CP116" i="14"/>
  <c r="CP115" i="14"/>
  <c r="CP114" i="14"/>
  <c r="CP113" i="14"/>
  <c r="CP112" i="14"/>
  <c r="CQ449" i="13"/>
  <c r="CO449" i="13"/>
  <c r="CQ448" i="13"/>
  <c r="CO448" i="13"/>
  <c r="CQ447" i="13"/>
  <c r="CO447" i="13"/>
  <c r="CQ446" i="13"/>
  <c r="CO446" i="13"/>
  <c r="CP446" i="13" s="1"/>
  <c r="CQ445" i="13"/>
  <c r="CO445" i="13"/>
  <c r="CQ444" i="13"/>
  <c r="CO444" i="13"/>
  <c r="CQ443" i="13"/>
  <c r="CO443" i="13"/>
  <c r="CQ442" i="13"/>
  <c r="CO442" i="13"/>
  <c r="CQ441" i="13"/>
  <c r="CO441" i="13"/>
  <c r="CQ440" i="13"/>
  <c r="CO440" i="13"/>
  <c r="CQ439" i="13"/>
  <c r="CO439" i="13"/>
  <c r="CQ438" i="13"/>
  <c r="CO438" i="13"/>
  <c r="CQ437" i="13"/>
  <c r="CO437" i="13"/>
  <c r="CQ436" i="13"/>
  <c r="CO436" i="13"/>
  <c r="CQ435" i="13"/>
  <c r="CO435" i="13"/>
  <c r="CQ434" i="13"/>
  <c r="CO434" i="13"/>
  <c r="CQ433" i="13"/>
  <c r="CO433" i="13"/>
  <c r="CQ432" i="13"/>
  <c r="CO432" i="13"/>
  <c r="CQ431" i="13"/>
  <c r="CO431" i="13"/>
  <c r="CQ430" i="13"/>
  <c r="CO430" i="13"/>
  <c r="CQ429" i="13"/>
  <c r="CO429" i="13"/>
  <c r="CQ428" i="13"/>
  <c r="CO428" i="13"/>
  <c r="CQ427" i="13"/>
  <c r="CO427" i="13"/>
  <c r="CQ426" i="13"/>
  <c r="CO426" i="13"/>
  <c r="CQ425" i="13"/>
  <c r="CO425" i="13"/>
  <c r="CQ424" i="13"/>
  <c r="CO424" i="13"/>
  <c r="CQ423" i="13"/>
  <c r="CO423" i="13"/>
  <c r="CQ422" i="13"/>
  <c r="CO422" i="13"/>
  <c r="CQ421" i="13"/>
  <c r="CO421" i="13"/>
  <c r="CQ420" i="13"/>
  <c r="CO420" i="13"/>
  <c r="CQ419" i="13"/>
  <c r="CO419" i="13"/>
  <c r="CQ418" i="13"/>
  <c r="CO418" i="13"/>
  <c r="CQ417" i="13"/>
  <c r="CO417" i="13"/>
  <c r="CQ416" i="13"/>
  <c r="CO416" i="13"/>
  <c r="CQ415" i="13"/>
  <c r="CO415" i="13"/>
  <c r="CQ414" i="13"/>
  <c r="CO414" i="13"/>
  <c r="CP414" i="13" s="1"/>
  <c r="CQ413" i="13"/>
  <c r="CO413" i="13"/>
  <c r="CQ412" i="13"/>
  <c r="CO412" i="13"/>
  <c r="CQ411" i="13"/>
  <c r="CO411" i="13"/>
  <c r="CQ410" i="13"/>
  <c r="CO410" i="13"/>
  <c r="CP410" i="13" s="1"/>
  <c r="CQ409" i="13"/>
  <c r="CO409" i="13"/>
  <c r="CQ408" i="13"/>
  <c r="CO408" i="13"/>
  <c r="CP408" i="13" s="1"/>
  <c r="CQ407" i="13"/>
  <c r="CO407" i="13"/>
  <c r="CP407" i="13" s="1"/>
  <c r="CQ406" i="13"/>
  <c r="CO406" i="13"/>
  <c r="CP406" i="13" s="1"/>
  <c r="CQ405" i="13"/>
  <c r="CO405" i="13"/>
  <c r="CQ404" i="13"/>
  <c r="CO404" i="13"/>
  <c r="CQ403" i="13"/>
  <c r="CO403" i="13"/>
  <c r="CQ402" i="13"/>
  <c r="CO402" i="13"/>
  <c r="CQ401" i="13"/>
  <c r="CO401" i="13"/>
  <c r="CQ400" i="13"/>
  <c r="CO400" i="13"/>
  <c r="CQ399" i="13"/>
  <c r="CO399" i="13"/>
  <c r="CQ398" i="13"/>
  <c r="CO398" i="13"/>
  <c r="CQ397" i="13"/>
  <c r="CO397" i="13"/>
  <c r="CQ396" i="13"/>
  <c r="CO396" i="13"/>
  <c r="CQ395" i="13"/>
  <c r="CO395" i="13"/>
  <c r="CQ394" i="13"/>
  <c r="CO394" i="13"/>
  <c r="CQ393" i="13"/>
  <c r="CO393" i="13"/>
  <c r="CQ392" i="13"/>
  <c r="CO392" i="13"/>
  <c r="CQ391" i="13"/>
  <c r="CO391" i="13"/>
  <c r="CQ390" i="13"/>
  <c r="CO390" i="13"/>
  <c r="CQ389" i="13"/>
  <c r="CO389" i="13"/>
  <c r="CQ388" i="13"/>
  <c r="CO388" i="13"/>
  <c r="CQ387" i="13"/>
  <c r="CO387" i="13"/>
  <c r="CQ386" i="13"/>
  <c r="CO386" i="13"/>
  <c r="CQ385" i="13"/>
  <c r="CO385" i="13"/>
  <c r="CQ384" i="13"/>
  <c r="CO384" i="13"/>
  <c r="CQ383" i="13"/>
  <c r="CO383" i="13"/>
  <c r="CQ382" i="13"/>
  <c r="CO382" i="13"/>
  <c r="CQ381" i="13"/>
  <c r="CO381" i="13"/>
  <c r="CQ380" i="13"/>
  <c r="CO380" i="13"/>
  <c r="CQ379" i="13"/>
  <c r="CO379" i="13"/>
  <c r="CQ378" i="13"/>
  <c r="CO378" i="13"/>
  <c r="CQ377" i="13"/>
  <c r="CO377" i="13"/>
  <c r="CQ376" i="13"/>
  <c r="CO376" i="13"/>
  <c r="CQ375" i="13"/>
  <c r="CO375" i="13"/>
  <c r="CQ374" i="13"/>
  <c r="CO374" i="13"/>
  <c r="CQ373" i="13"/>
  <c r="CO373" i="13"/>
  <c r="CQ372" i="13"/>
  <c r="CO372" i="13"/>
  <c r="CQ371" i="13"/>
  <c r="CO371" i="13"/>
  <c r="CQ370" i="13"/>
  <c r="CO370" i="13"/>
  <c r="CQ369" i="13"/>
  <c r="CO369" i="13"/>
  <c r="CQ368" i="13"/>
  <c r="CO368" i="13"/>
  <c r="CQ367" i="13"/>
  <c r="CO367" i="13"/>
  <c r="CQ366" i="13"/>
  <c r="CO366" i="13"/>
  <c r="CQ365" i="13"/>
  <c r="CO365" i="13"/>
  <c r="CQ364" i="13"/>
  <c r="CO364" i="13"/>
  <c r="CQ363" i="13"/>
  <c r="CO363" i="13"/>
  <c r="CQ362" i="13"/>
  <c r="CO362" i="13"/>
  <c r="CQ361" i="13"/>
  <c r="CO361" i="13"/>
  <c r="CQ360" i="13"/>
  <c r="CO360" i="13"/>
  <c r="CQ359" i="13"/>
  <c r="CO359" i="13"/>
  <c r="CQ358" i="13"/>
  <c r="CO358" i="13"/>
  <c r="CQ357" i="13"/>
  <c r="CO357" i="13"/>
  <c r="CQ356" i="13"/>
  <c r="CO356" i="13"/>
  <c r="CQ355" i="13"/>
  <c r="CO355" i="13"/>
  <c r="CQ354" i="13"/>
  <c r="CO354" i="13"/>
  <c r="CQ353" i="13"/>
  <c r="CO353" i="13"/>
  <c r="CQ352" i="13"/>
  <c r="CO352" i="13"/>
  <c r="CQ351" i="13"/>
  <c r="CO351" i="13"/>
  <c r="CQ350" i="13"/>
  <c r="CO350" i="13"/>
  <c r="CQ349" i="13"/>
  <c r="CO349" i="13"/>
  <c r="CQ348" i="13"/>
  <c r="CO348" i="13"/>
  <c r="CQ347" i="13"/>
  <c r="CO347" i="13"/>
  <c r="CQ346" i="13"/>
  <c r="CO346" i="13"/>
  <c r="CQ345" i="13"/>
  <c r="CO345" i="13"/>
  <c r="CQ337" i="13"/>
  <c r="CO337" i="13"/>
  <c r="CQ336" i="13"/>
  <c r="CO336" i="13"/>
  <c r="CQ335" i="13"/>
  <c r="CO335" i="13"/>
  <c r="CQ334" i="13"/>
  <c r="CO334" i="13"/>
  <c r="CQ333" i="13"/>
  <c r="CO333" i="13"/>
  <c r="CQ332" i="13"/>
  <c r="CO332" i="13"/>
  <c r="CQ331" i="13"/>
  <c r="CO331" i="13"/>
  <c r="CQ330" i="13"/>
  <c r="CO330" i="13"/>
  <c r="CQ329" i="13"/>
  <c r="CO329" i="13"/>
  <c r="CQ328" i="13"/>
  <c r="CO328" i="13"/>
  <c r="CQ327" i="13"/>
  <c r="CO327" i="13"/>
  <c r="CQ326" i="13"/>
  <c r="CO326" i="13"/>
  <c r="CQ325" i="13"/>
  <c r="CO325" i="13"/>
  <c r="CQ324" i="13"/>
  <c r="CO324" i="13"/>
  <c r="CQ323" i="13"/>
  <c r="CO323" i="13"/>
  <c r="CQ322" i="13"/>
  <c r="CO322" i="13"/>
  <c r="CQ321" i="13"/>
  <c r="CO321" i="13"/>
  <c r="CQ320" i="13"/>
  <c r="CO320" i="13"/>
  <c r="CQ319" i="13"/>
  <c r="CO319" i="13"/>
  <c r="CQ318" i="13"/>
  <c r="CO318" i="13"/>
  <c r="CQ317" i="13"/>
  <c r="CO317" i="13"/>
  <c r="CQ316" i="13"/>
  <c r="CO316" i="13"/>
  <c r="CQ315" i="13"/>
  <c r="CO315" i="13"/>
  <c r="CQ314" i="13"/>
  <c r="CO314" i="13"/>
  <c r="CQ313" i="13"/>
  <c r="CO313" i="13"/>
  <c r="CQ312" i="13"/>
  <c r="CO312" i="13"/>
  <c r="CQ311" i="13"/>
  <c r="CO311" i="13"/>
  <c r="CQ310" i="13"/>
  <c r="CO310" i="13"/>
  <c r="CQ309" i="13"/>
  <c r="CO309" i="13"/>
  <c r="CQ308" i="13"/>
  <c r="CO308" i="13"/>
  <c r="CQ307" i="13"/>
  <c r="CO307" i="13"/>
  <c r="CQ306" i="13"/>
  <c r="CO306" i="13"/>
  <c r="CQ305" i="13"/>
  <c r="CO305" i="13"/>
  <c r="CQ304" i="13"/>
  <c r="CO304" i="13"/>
  <c r="CQ303" i="13"/>
  <c r="CO303" i="13"/>
  <c r="CQ302" i="13"/>
  <c r="CO302" i="13"/>
  <c r="CQ301" i="13"/>
  <c r="CO301" i="13"/>
  <c r="CQ300" i="13"/>
  <c r="CO300" i="13"/>
  <c r="CQ299" i="13"/>
  <c r="CO299" i="13"/>
  <c r="CQ298" i="13"/>
  <c r="CO298" i="13"/>
  <c r="CQ297" i="13"/>
  <c r="CO297" i="13"/>
  <c r="CQ296" i="13"/>
  <c r="CO296" i="13"/>
  <c r="CQ295" i="13"/>
  <c r="CO295" i="13"/>
  <c r="CQ294" i="13"/>
  <c r="CO294" i="13"/>
  <c r="CQ293" i="13"/>
  <c r="CO293" i="13"/>
  <c r="CQ292" i="13"/>
  <c r="CO292" i="13"/>
  <c r="CQ291" i="13"/>
  <c r="CO291" i="13"/>
  <c r="CQ290" i="13"/>
  <c r="CO290" i="13"/>
  <c r="CQ289" i="13"/>
  <c r="CO289" i="13"/>
  <c r="CQ288" i="13"/>
  <c r="CO288" i="13"/>
  <c r="CQ287" i="13"/>
  <c r="CO287" i="13"/>
  <c r="CQ286" i="13"/>
  <c r="CO286" i="13"/>
  <c r="CQ285" i="13"/>
  <c r="CO285" i="13"/>
  <c r="CQ284" i="13"/>
  <c r="CO284" i="13"/>
  <c r="CQ283" i="13"/>
  <c r="CO283" i="13"/>
  <c r="CQ282" i="13"/>
  <c r="CO282" i="13"/>
  <c r="CQ281" i="13"/>
  <c r="CO281" i="13"/>
  <c r="CQ280" i="13"/>
  <c r="CO280" i="13"/>
  <c r="CQ279" i="13"/>
  <c r="CO279" i="13"/>
  <c r="CQ278" i="13"/>
  <c r="CO278" i="13"/>
  <c r="CQ277" i="13"/>
  <c r="CO277" i="13"/>
  <c r="CQ276" i="13"/>
  <c r="CO276" i="13"/>
  <c r="CQ275" i="13"/>
  <c r="CO275" i="13"/>
  <c r="CQ274" i="13"/>
  <c r="CO274" i="13"/>
  <c r="CQ273" i="13"/>
  <c r="CO273" i="13"/>
  <c r="CQ272" i="13"/>
  <c r="CO272" i="13"/>
  <c r="CQ271" i="13"/>
  <c r="CO271" i="13"/>
  <c r="CQ270" i="13"/>
  <c r="CO270" i="13"/>
  <c r="CQ269" i="13"/>
  <c r="CO269" i="13"/>
  <c r="CQ268" i="13"/>
  <c r="CO268" i="13"/>
  <c r="CQ267" i="13"/>
  <c r="CO267" i="13"/>
  <c r="CQ266" i="13"/>
  <c r="CO266" i="13"/>
  <c r="CQ265" i="13"/>
  <c r="CO265" i="13"/>
  <c r="CQ264" i="13"/>
  <c r="CO264" i="13"/>
  <c r="CQ263" i="13"/>
  <c r="CO263" i="13"/>
  <c r="CQ262" i="13"/>
  <c r="CO262" i="13"/>
  <c r="CQ261" i="13"/>
  <c r="CO261" i="13"/>
  <c r="CQ260" i="13"/>
  <c r="CO260" i="13"/>
  <c r="CQ259" i="13"/>
  <c r="CO259" i="13"/>
  <c r="CQ258" i="13"/>
  <c r="CO258" i="13"/>
  <c r="CQ257" i="13"/>
  <c r="CO257" i="13"/>
  <c r="CQ256" i="13"/>
  <c r="CO256" i="13"/>
  <c r="CQ255" i="13"/>
  <c r="CO255" i="13"/>
  <c r="CQ254" i="13"/>
  <c r="CO254" i="13"/>
  <c r="CO253" i="13"/>
  <c r="CO252" i="13"/>
  <c r="CO251" i="13"/>
  <c r="CO250" i="13"/>
  <c r="CO249" i="13"/>
  <c r="CO248" i="13"/>
  <c r="CO245" i="13"/>
  <c r="CQ244" i="13"/>
  <c r="CO244" i="13"/>
  <c r="CQ238" i="13"/>
  <c r="CO238" i="13"/>
  <c r="CQ237" i="13"/>
  <c r="CO237" i="13"/>
  <c r="CQ236" i="13"/>
  <c r="CO236" i="13"/>
  <c r="CQ235" i="13"/>
  <c r="CO235" i="13"/>
  <c r="CQ234" i="13"/>
  <c r="CO234" i="13"/>
  <c r="CQ233" i="13"/>
  <c r="CO233" i="13"/>
  <c r="CQ232" i="13"/>
  <c r="CO232" i="13"/>
  <c r="CQ231" i="13"/>
  <c r="CO231" i="13"/>
  <c r="CQ230" i="13"/>
  <c r="CO230" i="13"/>
  <c r="CQ229" i="13"/>
  <c r="CO229" i="13"/>
  <c r="CQ228" i="13"/>
  <c r="CO228" i="13"/>
  <c r="CQ227" i="13"/>
  <c r="CO227" i="13"/>
  <c r="CQ226" i="13"/>
  <c r="CO226" i="13"/>
  <c r="CQ225" i="13"/>
  <c r="CO225" i="13"/>
  <c r="CQ224" i="13"/>
  <c r="CO224" i="13"/>
  <c r="CQ223" i="13"/>
  <c r="CO223" i="13"/>
  <c r="CQ222" i="13"/>
  <c r="CO222" i="13"/>
  <c r="CQ221" i="13"/>
  <c r="CO221" i="13"/>
  <c r="CQ220" i="13"/>
  <c r="CO220" i="13"/>
  <c r="CQ219" i="13"/>
  <c r="CO219" i="13"/>
  <c r="CQ218" i="13"/>
  <c r="CO218" i="13"/>
  <c r="CQ217" i="13"/>
  <c r="CO217" i="13"/>
  <c r="CQ216" i="13"/>
  <c r="CO216" i="13"/>
  <c r="CQ215" i="13"/>
  <c r="CO215" i="13"/>
  <c r="CQ214" i="13"/>
  <c r="CO214" i="13"/>
  <c r="CQ213" i="13"/>
  <c r="CO213" i="13"/>
  <c r="CQ212" i="13"/>
  <c r="CO212" i="13"/>
  <c r="CQ211" i="13"/>
  <c r="CO211" i="13"/>
  <c r="CQ210" i="13"/>
  <c r="CO210" i="13"/>
  <c r="CQ209" i="13"/>
  <c r="CO209" i="13"/>
  <c r="CQ208" i="13"/>
  <c r="CO208" i="13"/>
  <c r="CQ207" i="13"/>
  <c r="CO207" i="13"/>
  <c r="CQ206" i="13"/>
  <c r="CO206" i="13"/>
  <c r="CQ205" i="13"/>
  <c r="CO205" i="13"/>
  <c r="CQ204" i="13"/>
  <c r="CO204" i="13"/>
  <c r="CP204" i="13" s="1"/>
  <c r="CQ203" i="13"/>
  <c r="CO203" i="13"/>
  <c r="CQ202" i="13"/>
  <c r="CO202" i="13"/>
  <c r="CQ201" i="13"/>
  <c r="CO201" i="13"/>
  <c r="CQ200" i="13"/>
  <c r="CO200" i="13"/>
  <c r="CQ199" i="13"/>
  <c r="CO199" i="13"/>
  <c r="CQ198" i="13"/>
  <c r="CO198" i="13"/>
  <c r="CQ197" i="13"/>
  <c r="CO197" i="13"/>
  <c r="CQ196" i="13"/>
  <c r="CO196" i="13"/>
  <c r="CP189" i="13"/>
  <c r="CP184" i="13"/>
  <c r="CP179" i="13"/>
  <c r="CP178" i="13"/>
  <c r="CP173" i="13"/>
  <c r="CP172" i="13"/>
  <c r="CP167" i="13"/>
  <c r="CP166" i="13"/>
  <c r="CP165" i="13"/>
  <c r="CP164" i="13"/>
  <c r="CP163" i="13"/>
  <c r="CP162" i="13"/>
  <c r="CP161" i="13"/>
  <c r="CP160" i="13"/>
  <c r="CP159" i="13"/>
  <c r="CP158" i="13"/>
  <c r="CP157" i="13"/>
  <c r="CP156" i="13"/>
  <c r="CP155" i="13"/>
  <c r="CP154" i="13"/>
  <c r="CP153" i="13"/>
  <c r="CP152" i="13"/>
  <c r="CP151" i="13"/>
  <c r="CP150" i="13"/>
  <c r="CP149" i="13"/>
  <c r="CP148" i="13"/>
  <c r="CP147" i="13"/>
  <c r="CP146" i="13"/>
  <c r="CP142" i="13"/>
  <c r="CP141" i="13"/>
  <c r="CP140" i="13"/>
  <c r="CP139" i="13"/>
  <c r="CP138" i="13"/>
  <c r="CP137" i="13"/>
  <c r="CP136" i="13"/>
  <c r="CP135" i="13"/>
  <c r="CP134" i="13"/>
  <c r="CP133" i="13"/>
  <c r="CP132" i="13"/>
  <c r="CP131" i="13"/>
  <c r="CP130" i="13"/>
  <c r="CP129" i="13"/>
  <c r="CP128" i="13"/>
  <c r="CP127" i="13"/>
  <c r="CP126" i="13"/>
  <c r="CP125" i="13"/>
  <c r="CP120" i="13"/>
  <c r="CP119" i="13"/>
  <c r="CP118" i="13"/>
  <c r="CP117" i="13"/>
  <c r="CP116" i="13"/>
  <c r="CP115" i="13"/>
  <c r="CP114" i="13"/>
  <c r="CP113" i="13"/>
  <c r="CP112" i="13"/>
  <c r="CP111" i="13"/>
  <c r="CP110" i="13"/>
  <c r="CP109" i="13"/>
  <c r="CP108" i="13"/>
  <c r="CP103" i="13"/>
  <c r="CP102" i="13"/>
  <c r="CP101" i="13"/>
  <c r="CP100" i="13"/>
  <c r="CP99" i="13"/>
  <c r="CP98" i="13"/>
  <c r="CP97" i="13"/>
  <c r="CP96" i="13"/>
  <c r="CP95" i="13"/>
  <c r="CP94" i="13"/>
  <c r="CP93" i="13"/>
  <c r="CP92" i="13"/>
  <c r="CP91" i="13"/>
  <c r="CP90" i="13"/>
  <c r="CP89" i="13"/>
  <c r="CP88" i="13"/>
  <c r="CP87" i="13"/>
  <c r="CP86" i="13"/>
  <c r="CP85" i="13"/>
  <c r="CP84" i="13"/>
  <c r="CP83" i="13"/>
  <c r="CP82" i="13"/>
  <c r="CP81" i="13"/>
  <c r="CQ470" i="12"/>
  <c r="CO470" i="12"/>
  <c r="CQ469" i="12"/>
  <c r="CO469" i="12"/>
  <c r="CQ468" i="12"/>
  <c r="CO468" i="12"/>
  <c r="CQ467" i="12"/>
  <c r="CO467" i="12"/>
  <c r="CQ466" i="12"/>
  <c r="CO466" i="12"/>
  <c r="CQ465" i="12"/>
  <c r="CO465" i="12"/>
  <c r="CQ464" i="12"/>
  <c r="CO464" i="12"/>
  <c r="CQ463" i="12"/>
  <c r="CO463" i="12"/>
  <c r="CQ462" i="12"/>
  <c r="CO462" i="12"/>
  <c r="CQ461" i="12"/>
  <c r="CO461" i="12"/>
  <c r="CP461" i="12" s="1"/>
  <c r="CQ460" i="12"/>
  <c r="CO460" i="12"/>
  <c r="CQ459" i="12"/>
  <c r="CO459" i="12"/>
  <c r="CP459" i="12" s="1"/>
  <c r="CQ458" i="12"/>
  <c r="CO458" i="12"/>
  <c r="CP458" i="12" s="1"/>
  <c r="CQ457" i="12"/>
  <c r="CO457" i="12"/>
  <c r="CP457" i="12" s="1"/>
  <c r="CQ456" i="12"/>
  <c r="CO456" i="12"/>
  <c r="CQ455" i="12"/>
  <c r="CO455" i="12"/>
  <c r="CQ454" i="12"/>
  <c r="CO454" i="12"/>
  <c r="CQ453" i="12"/>
  <c r="CO453" i="12"/>
  <c r="CQ452" i="12"/>
  <c r="CO452" i="12"/>
  <c r="CQ451" i="12"/>
  <c r="CO451" i="12"/>
  <c r="CQ450" i="12"/>
  <c r="CO450" i="12"/>
  <c r="CQ449" i="12"/>
  <c r="CO449" i="12"/>
  <c r="CQ448" i="12"/>
  <c r="CO448" i="12"/>
  <c r="CQ447" i="12"/>
  <c r="CO447" i="12"/>
  <c r="CQ446" i="12"/>
  <c r="CO446" i="12"/>
  <c r="CQ445" i="12"/>
  <c r="CO445" i="12"/>
  <c r="CQ444" i="12"/>
  <c r="CO444" i="12"/>
  <c r="CQ443" i="12"/>
  <c r="CO443" i="12"/>
  <c r="CQ442" i="12"/>
  <c r="CO442" i="12"/>
  <c r="CQ441" i="12"/>
  <c r="CO441" i="12"/>
  <c r="CQ440" i="12"/>
  <c r="CO440" i="12"/>
  <c r="CQ439" i="12"/>
  <c r="CO439" i="12"/>
  <c r="CQ438" i="12"/>
  <c r="CO438" i="12"/>
  <c r="CQ437" i="12"/>
  <c r="CO437" i="12"/>
  <c r="CQ436" i="12"/>
  <c r="CO436" i="12"/>
  <c r="CQ435" i="12"/>
  <c r="CO435" i="12"/>
  <c r="CQ434" i="12"/>
  <c r="CO434" i="12"/>
  <c r="CQ433" i="12"/>
  <c r="CO433" i="12"/>
  <c r="CQ432" i="12"/>
  <c r="CO432" i="12"/>
  <c r="CQ431" i="12"/>
  <c r="CO431" i="12"/>
  <c r="CQ430" i="12"/>
  <c r="CO430" i="12"/>
  <c r="CQ429" i="12"/>
  <c r="CO429" i="12"/>
  <c r="CQ428" i="12"/>
  <c r="CO428" i="12"/>
  <c r="CQ427" i="12"/>
  <c r="CO427" i="12"/>
  <c r="CQ426" i="12"/>
  <c r="CO426" i="12"/>
  <c r="CQ425" i="12"/>
  <c r="CO425" i="12"/>
  <c r="CP425" i="12" s="1"/>
  <c r="CQ424" i="12"/>
  <c r="CO424" i="12"/>
  <c r="CQ423" i="12"/>
  <c r="CO423" i="12"/>
  <c r="CQ422" i="12"/>
  <c r="CO422" i="12"/>
  <c r="CQ421" i="12"/>
  <c r="CO421" i="12"/>
  <c r="CQ420" i="12"/>
  <c r="CO420" i="12"/>
  <c r="CQ419" i="12"/>
  <c r="CO419" i="12"/>
  <c r="CQ418" i="12"/>
  <c r="CO418" i="12"/>
  <c r="CQ417" i="12"/>
  <c r="CO417" i="12"/>
  <c r="CQ416" i="12"/>
  <c r="CO416" i="12"/>
  <c r="CQ415" i="12"/>
  <c r="CO415" i="12"/>
  <c r="CQ414" i="12"/>
  <c r="CO414" i="12"/>
  <c r="CQ413" i="12"/>
  <c r="CO413" i="12"/>
  <c r="CQ412" i="12"/>
  <c r="CO412" i="12"/>
  <c r="CQ411" i="12"/>
  <c r="CO411" i="12"/>
  <c r="CQ410" i="12"/>
  <c r="CO410" i="12"/>
  <c r="CQ409" i="12"/>
  <c r="CO409" i="12"/>
  <c r="CQ408" i="12"/>
  <c r="CO408" i="12"/>
  <c r="CQ407" i="12"/>
  <c r="CO407" i="12"/>
  <c r="CQ406" i="12"/>
  <c r="CO406" i="12"/>
  <c r="CQ405" i="12"/>
  <c r="CO405" i="12"/>
  <c r="CP405" i="12" s="1"/>
  <c r="CQ404" i="12"/>
  <c r="CO404" i="12"/>
  <c r="CQ403" i="12"/>
  <c r="CO403" i="12"/>
  <c r="CP403" i="12" s="1"/>
  <c r="CQ402" i="12"/>
  <c r="CO402" i="12"/>
  <c r="CQ401" i="12"/>
  <c r="CO401" i="12"/>
  <c r="CP401" i="12" s="1"/>
  <c r="CQ400" i="12"/>
  <c r="CO400" i="12"/>
  <c r="CQ399" i="12"/>
  <c r="CO399" i="12"/>
  <c r="CQ398" i="12"/>
  <c r="CO398" i="12"/>
  <c r="CQ397" i="12"/>
  <c r="CO397" i="12"/>
  <c r="CQ396" i="12"/>
  <c r="CO396" i="12"/>
  <c r="CQ395" i="12"/>
  <c r="CO395" i="12"/>
  <c r="CQ394" i="12"/>
  <c r="CO394" i="12"/>
  <c r="CQ393" i="12"/>
  <c r="CO393" i="12"/>
  <c r="CQ392" i="12"/>
  <c r="CO392" i="12"/>
  <c r="CQ391" i="12"/>
  <c r="CO391" i="12"/>
  <c r="CQ390" i="12"/>
  <c r="CO390" i="12"/>
  <c r="CQ389" i="12"/>
  <c r="CO389" i="12"/>
  <c r="CQ388" i="12"/>
  <c r="CO388" i="12"/>
  <c r="CQ387" i="12"/>
  <c r="CO387" i="12"/>
  <c r="CQ386" i="12"/>
  <c r="CO386" i="12"/>
  <c r="CQ385" i="12"/>
  <c r="CO385" i="12"/>
  <c r="CQ384" i="12"/>
  <c r="CO384" i="12"/>
  <c r="CQ383" i="12"/>
  <c r="CO383" i="12"/>
  <c r="CQ382" i="12"/>
  <c r="CO382" i="12"/>
  <c r="CQ381" i="12"/>
  <c r="CO381" i="12"/>
  <c r="CQ380" i="12"/>
  <c r="CO380" i="12"/>
  <c r="CQ379" i="12"/>
  <c r="CO379" i="12"/>
  <c r="CQ378" i="12"/>
  <c r="CO378" i="12"/>
  <c r="CQ377" i="12"/>
  <c r="CO377" i="12"/>
  <c r="CQ376" i="12"/>
  <c r="CO376" i="12"/>
  <c r="CQ375" i="12"/>
  <c r="CO375" i="12"/>
  <c r="CQ374" i="12"/>
  <c r="CO374" i="12"/>
  <c r="CQ373" i="12"/>
  <c r="CO373" i="12"/>
  <c r="CQ372" i="12"/>
  <c r="CO372" i="12"/>
  <c r="CQ371" i="12"/>
  <c r="CO371" i="12"/>
  <c r="CQ370" i="12"/>
  <c r="CO370" i="12"/>
  <c r="CQ369" i="12"/>
  <c r="CO369" i="12"/>
  <c r="CQ368" i="12"/>
  <c r="CO368" i="12"/>
  <c r="CQ367" i="12"/>
  <c r="CO367" i="12"/>
  <c r="CQ366" i="12"/>
  <c r="CO366" i="12"/>
  <c r="CQ365" i="12"/>
  <c r="CO365" i="12"/>
  <c r="CQ364" i="12"/>
  <c r="CO364" i="12"/>
  <c r="CQ363" i="12"/>
  <c r="CO363" i="12"/>
  <c r="CQ362" i="12"/>
  <c r="CO362" i="12"/>
  <c r="CQ361" i="12"/>
  <c r="CO361" i="12"/>
  <c r="CQ360" i="12"/>
  <c r="CO360" i="12"/>
  <c r="CQ359" i="12"/>
  <c r="CO359" i="12"/>
  <c r="CQ358" i="12"/>
  <c r="CO358" i="12"/>
  <c r="CQ357" i="12"/>
  <c r="CO357" i="12"/>
  <c r="CQ356" i="12"/>
  <c r="CO356" i="12"/>
  <c r="CQ355" i="12"/>
  <c r="CO355" i="12"/>
  <c r="CQ354" i="12"/>
  <c r="CO354" i="12"/>
  <c r="CQ353" i="12"/>
  <c r="CO353" i="12"/>
  <c r="CQ352" i="12"/>
  <c r="CO352" i="12"/>
  <c r="CQ351" i="12"/>
  <c r="CO351" i="12"/>
  <c r="CQ350" i="12"/>
  <c r="CO350" i="12"/>
  <c r="CQ349" i="12"/>
  <c r="CO349" i="12"/>
  <c r="CQ348" i="12"/>
  <c r="CO348" i="12"/>
  <c r="CQ347" i="12"/>
  <c r="CO347" i="12"/>
  <c r="CQ346" i="12"/>
  <c r="CO346" i="12"/>
  <c r="CQ345" i="12"/>
  <c r="CO345" i="12"/>
  <c r="CQ344" i="12"/>
  <c r="CO344" i="12"/>
  <c r="CQ343" i="12"/>
  <c r="CO343" i="12"/>
  <c r="CQ342" i="12"/>
  <c r="CO342" i="12"/>
  <c r="CQ341" i="12"/>
  <c r="CO341" i="12"/>
  <c r="CQ340" i="12"/>
  <c r="CO340" i="12"/>
  <c r="CQ332" i="12"/>
  <c r="CO332" i="12"/>
  <c r="CQ331" i="12"/>
  <c r="CO331" i="12"/>
  <c r="CQ330" i="12"/>
  <c r="CO330" i="12"/>
  <c r="CQ329" i="12"/>
  <c r="CO329" i="12"/>
  <c r="CQ328" i="12"/>
  <c r="CO328" i="12"/>
  <c r="CQ327" i="12"/>
  <c r="CO327" i="12"/>
  <c r="CQ326" i="12"/>
  <c r="CO326" i="12"/>
  <c r="CQ325" i="12"/>
  <c r="CO325" i="12"/>
  <c r="CQ324" i="12"/>
  <c r="CO324" i="12"/>
  <c r="CQ323" i="12"/>
  <c r="CO323" i="12"/>
  <c r="CQ322" i="12"/>
  <c r="CO322" i="12"/>
  <c r="CQ321" i="12"/>
  <c r="CO321" i="12"/>
  <c r="CQ320" i="12"/>
  <c r="CO320" i="12"/>
  <c r="CQ319" i="12"/>
  <c r="CO319" i="12"/>
  <c r="CQ318" i="12"/>
  <c r="CO318" i="12"/>
  <c r="CQ317" i="12"/>
  <c r="CO317" i="12"/>
  <c r="CQ316" i="12"/>
  <c r="CO316" i="12"/>
  <c r="CQ315" i="12"/>
  <c r="CO315" i="12"/>
  <c r="CQ314" i="12"/>
  <c r="CO314" i="12"/>
  <c r="CQ313" i="12"/>
  <c r="CO313" i="12"/>
  <c r="CQ312" i="12"/>
  <c r="CO312" i="12"/>
  <c r="CQ311" i="12"/>
  <c r="CO311" i="12"/>
  <c r="CQ310" i="12"/>
  <c r="CO310" i="12"/>
  <c r="CQ309" i="12"/>
  <c r="CO309" i="12"/>
  <c r="CQ308" i="12"/>
  <c r="CO308" i="12"/>
  <c r="CQ307" i="12"/>
  <c r="CO307" i="12"/>
  <c r="CQ306" i="12"/>
  <c r="CO306" i="12"/>
  <c r="CQ305" i="12"/>
  <c r="CO305" i="12"/>
  <c r="CQ304" i="12"/>
  <c r="CO304" i="12"/>
  <c r="CQ303" i="12"/>
  <c r="CO303" i="12"/>
  <c r="CQ302" i="12"/>
  <c r="CO302" i="12"/>
  <c r="CQ301" i="12"/>
  <c r="CO301" i="12"/>
  <c r="CQ300" i="12"/>
  <c r="CO300" i="12"/>
  <c r="CQ299" i="12"/>
  <c r="CO299" i="12"/>
  <c r="CQ298" i="12"/>
  <c r="CO298" i="12"/>
  <c r="CQ297" i="12"/>
  <c r="CO297" i="12"/>
  <c r="CQ296" i="12"/>
  <c r="CO296" i="12"/>
  <c r="CQ295" i="12"/>
  <c r="CO295" i="12"/>
  <c r="CQ294" i="12"/>
  <c r="CO294" i="12"/>
  <c r="CQ293" i="12"/>
  <c r="CO293" i="12"/>
  <c r="CQ292" i="12"/>
  <c r="CO292" i="12"/>
  <c r="CQ291" i="12"/>
  <c r="CO291" i="12"/>
  <c r="CQ290" i="12"/>
  <c r="CO290" i="12"/>
  <c r="CQ289" i="12"/>
  <c r="CO289" i="12"/>
  <c r="CQ288" i="12"/>
  <c r="CO288" i="12"/>
  <c r="CQ287" i="12"/>
  <c r="CO287" i="12"/>
  <c r="CQ286" i="12"/>
  <c r="CO286" i="12"/>
  <c r="CQ285" i="12"/>
  <c r="CO285" i="12"/>
  <c r="CQ284" i="12"/>
  <c r="CO284" i="12"/>
  <c r="CQ283" i="12"/>
  <c r="CO283" i="12"/>
  <c r="CQ282" i="12"/>
  <c r="CO282" i="12"/>
  <c r="CQ281" i="12"/>
  <c r="CO281" i="12"/>
  <c r="CQ280" i="12"/>
  <c r="CO280" i="12"/>
  <c r="CQ279" i="12"/>
  <c r="CO279" i="12"/>
  <c r="CQ278" i="12"/>
  <c r="CO278" i="12"/>
  <c r="CQ277" i="12"/>
  <c r="CO277" i="12"/>
  <c r="CQ276" i="12"/>
  <c r="CO276" i="12"/>
  <c r="CQ275" i="12"/>
  <c r="CO275" i="12"/>
  <c r="CQ274" i="12"/>
  <c r="CO274" i="12"/>
  <c r="CQ273" i="12"/>
  <c r="CO273" i="12"/>
  <c r="CQ272" i="12"/>
  <c r="CO272" i="12"/>
  <c r="CQ271" i="12"/>
  <c r="CO271" i="12"/>
  <c r="CQ270" i="12"/>
  <c r="CO270" i="12"/>
  <c r="CQ269" i="12"/>
  <c r="CO269" i="12"/>
  <c r="CQ268" i="12"/>
  <c r="CO268" i="12"/>
  <c r="CQ267" i="12"/>
  <c r="CO267" i="12"/>
  <c r="CQ266" i="12"/>
  <c r="CO266" i="12"/>
  <c r="CQ265" i="12"/>
  <c r="CO265" i="12"/>
  <c r="CQ264" i="12"/>
  <c r="CO264" i="12"/>
  <c r="CQ263" i="12"/>
  <c r="CO263" i="12"/>
  <c r="CQ262" i="12"/>
  <c r="CO262" i="12"/>
  <c r="CQ261" i="12"/>
  <c r="CO261" i="12"/>
  <c r="CQ260" i="12"/>
  <c r="CO260" i="12"/>
  <c r="CQ259" i="12"/>
  <c r="CO259" i="12"/>
  <c r="CQ258" i="12"/>
  <c r="CO258" i="12"/>
  <c r="CQ257" i="12"/>
  <c r="CO257" i="12"/>
  <c r="CQ256" i="12"/>
  <c r="CO256" i="12"/>
  <c r="CQ255" i="12"/>
  <c r="CO255" i="12"/>
  <c r="CQ254" i="12"/>
  <c r="CO254" i="12"/>
  <c r="CQ253" i="12"/>
  <c r="CO253" i="12"/>
  <c r="CQ252" i="12"/>
  <c r="CO252" i="12"/>
  <c r="CQ251" i="12"/>
  <c r="CO251" i="12"/>
  <c r="CQ250" i="12"/>
  <c r="CO250" i="12"/>
  <c r="CQ249" i="12"/>
  <c r="CO249" i="12"/>
  <c r="CO248" i="12"/>
  <c r="CO247" i="12"/>
  <c r="CO246" i="12"/>
  <c r="CO245" i="12"/>
  <c r="CO244" i="12"/>
  <c r="CO243" i="12"/>
  <c r="CO240" i="12"/>
  <c r="CQ239" i="12"/>
  <c r="CO239" i="12"/>
  <c r="CQ233" i="12"/>
  <c r="CO233" i="12"/>
  <c r="CQ232" i="12"/>
  <c r="CO232" i="12"/>
  <c r="CQ231" i="12"/>
  <c r="CO231" i="12"/>
  <c r="CQ230" i="12"/>
  <c r="CO230" i="12"/>
  <c r="CQ229" i="12"/>
  <c r="CO229" i="12"/>
  <c r="CQ228" i="12"/>
  <c r="CO228" i="12"/>
  <c r="CQ227" i="12"/>
  <c r="CO227" i="12"/>
  <c r="CQ226" i="12"/>
  <c r="CO226" i="12"/>
  <c r="CQ225" i="12"/>
  <c r="CO225" i="12"/>
  <c r="CQ224" i="12"/>
  <c r="CO224" i="12"/>
  <c r="CQ223" i="12"/>
  <c r="CO223" i="12"/>
  <c r="CQ222" i="12"/>
  <c r="CO222" i="12"/>
  <c r="CP222" i="12" s="1"/>
  <c r="CQ221" i="12"/>
  <c r="CO221" i="12"/>
  <c r="CQ220" i="12"/>
  <c r="CO220" i="12"/>
  <c r="CQ219" i="12"/>
  <c r="CO219" i="12"/>
  <c r="CQ218" i="12"/>
  <c r="CO218" i="12"/>
  <c r="CP218" i="12" s="1"/>
  <c r="CQ217" i="12"/>
  <c r="CO217" i="12"/>
  <c r="CP210" i="12"/>
  <c r="CP205" i="12"/>
  <c r="CP200" i="12"/>
  <c r="CP199" i="12"/>
  <c r="CP194" i="12"/>
  <c r="CP193" i="12"/>
  <c r="CP188" i="12"/>
  <c r="CP187" i="12"/>
  <c r="CP186" i="12"/>
  <c r="CP185" i="12"/>
  <c r="CP184" i="12"/>
  <c r="CP183" i="12"/>
  <c r="CP182" i="12"/>
  <c r="CP181" i="12"/>
  <c r="CP180" i="12"/>
  <c r="CP179" i="12"/>
  <c r="CP178" i="12"/>
  <c r="CP177" i="12"/>
  <c r="CP176" i="12"/>
  <c r="CP175" i="12"/>
  <c r="CP174" i="12"/>
  <c r="CP173" i="12"/>
  <c r="CP172" i="12"/>
  <c r="CP171" i="12"/>
  <c r="CP170" i="12"/>
  <c r="CP169" i="12"/>
  <c r="CP168" i="12"/>
  <c r="CP167" i="12"/>
  <c r="CP163" i="12"/>
  <c r="CP162" i="12"/>
  <c r="CP161" i="12"/>
  <c r="CP160" i="12"/>
  <c r="CP159" i="12"/>
  <c r="CP158" i="12"/>
  <c r="CP157" i="12"/>
  <c r="CP156" i="12"/>
  <c r="CP155" i="12"/>
  <c r="CP154" i="12"/>
  <c r="CP153" i="12"/>
  <c r="CP152" i="12"/>
  <c r="CP151" i="12"/>
  <c r="CP150" i="12"/>
  <c r="CP149" i="12"/>
  <c r="CP148" i="12"/>
  <c r="CP147" i="12"/>
  <c r="CP146" i="12"/>
  <c r="CP141" i="12"/>
  <c r="CP140" i="12"/>
  <c r="CP139" i="12"/>
  <c r="CP138" i="12"/>
  <c r="CP137" i="12"/>
  <c r="CP136" i="12"/>
  <c r="CP135" i="12"/>
  <c r="CP134" i="12"/>
  <c r="CP133" i="12"/>
  <c r="CP132" i="12"/>
  <c r="CP131" i="12"/>
  <c r="CP130" i="12"/>
  <c r="CP129" i="12"/>
  <c r="CP124" i="12"/>
  <c r="CP123" i="12"/>
  <c r="CP122" i="12"/>
  <c r="CP121" i="12"/>
  <c r="CP120" i="12"/>
  <c r="CP119" i="12"/>
  <c r="CP118" i="12"/>
  <c r="CP117" i="12"/>
  <c r="CP116" i="12"/>
  <c r="CP115" i="12"/>
  <c r="CP114" i="12"/>
  <c r="CP113" i="12"/>
  <c r="CP112" i="12"/>
  <c r="CP111" i="12"/>
  <c r="CP110" i="12"/>
  <c r="CP109" i="12"/>
  <c r="CP108" i="12"/>
  <c r="CP107" i="12"/>
  <c r="CP106" i="12"/>
  <c r="CP105" i="12"/>
  <c r="CP104" i="12"/>
  <c r="CP103" i="12"/>
  <c r="CP102" i="12"/>
  <c r="CP101" i="12"/>
  <c r="CP100" i="12"/>
  <c r="CQ450" i="11"/>
  <c r="CO450" i="11"/>
  <c r="CQ449" i="11"/>
  <c r="CO449" i="11"/>
  <c r="CQ448" i="11"/>
  <c r="CO448" i="11"/>
  <c r="CQ447" i="11"/>
  <c r="CO447" i="11"/>
  <c r="CQ446" i="11"/>
  <c r="CO446" i="11"/>
  <c r="CQ445" i="11"/>
  <c r="CO445" i="11"/>
  <c r="CQ444" i="11"/>
  <c r="CO444" i="11"/>
  <c r="CP444" i="11" s="1"/>
  <c r="CQ443" i="11"/>
  <c r="CO443" i="11"/>
  <c r="CQ442" i="11"/>
  <c r="CO442" i="11"/>
  <c r="CP442" i="11" s="1"/>
  <c r="CQ441" i="11"/>
  <c r="CP441" i="11" s="1"/>
  <c r="CO441" i="11"/>
  <c r="CQ440" i="11"/>
  <c r="CO440" i="11"/>
  <c r="CQ439" i="11"/>
  <c r="CO439" i="11"/>
  <c r="CQ438" i="11"/>
  <c r="CO438" i="11"/>
  <c r="CQ437" i="11"/>
  <c r="CO437" i="11"/>
  <c r="CQ436" i="11"/>
  <c r="CO436" i="11"/>
  <c r="CQ435" i="11"/>
  <c r="CO435" i="11"/>
  <c r="CQ434" i="11"/>
  <c r="CO434" i="11"/>
  <c r="CQ433" i="11"/>
  <c r="CO433" i="11"/>
  <c r="CQ432" i="11"/>
  <c r="CO432" i="11"/>
  <c r="CQ431" i="11"/>
  <c r="CO431" i="11"/>
  <c r="CQ430" i="11"/>
  <c r="CO430" i="11"/>
  <c r="CQ429" i="11"/>
  <c r="CO429" i="11"/>
  <c r="CQ428" i="11"/>
  <c r="CO428" i="11"/>
  <c r="CQ427" i="11"/>
  <c r="CO427" i="11"/>
  <c r="CQ426" i="11"/>
  <c r="CO426" i="11"/>
  <c r="CQ425" i="11"/>
  <c r="CO425" i="11"/>
  <c r="CQ424" i="11"/>
  <c r="CO424" i="11"/>
  <c r="CQ423" i="11"/>
  <c r="CO423" i="11"/>
  <c r="CQ422" i="11"/>
  <c r="CO422" i="11"/>
  <c r="CQ421" i="11"/>
  <c r="CO421" i="11"/>
  <c r="CQ420" i="11"/>
  <c r="CO420" i="11"/>
  <c r="CQ419" i="11"/>
  <c r="CO419" i="11"/>
  <c r="CQ418" i="11"/>
  <c r="CO418" i="11"/>
  <c r="CQ417" i="11"/>
  <c r="CO417" i="11"/>
  <c r="CQ416" i="11"/>
  <c r="CO416" i="11"/>
  <c r="CQ415" i="11"/>
  <c r="CO415" i="11"/>
  <c r="CQ414" i="11"/>
  <c r="CO414" i="11"/>
  <c r="CQ413" i="11"/>
  <c r="CO413" i="11"/>
  <c r="CQ412" i="11"/>
  <c r="CO412" i="11"/>
  <c r="CQ411" i="11"/>
  <c r="CO411" i="11"/>
  <c r="CQ410" i="11"/>
  <c r="CO410" i="11"/>
  <c r="CQ409" i="11"/>
  <c r="CO409" i="11"/>
  <c r="CQ408" i="11"/>
  <c r="CO408" i="11"/>
  <c r="CQ407" i="11"/>
  <c r="CO407" i="11"/>
  <c r="CQ406" i="11"/>
  <c r="CO406" i="11"/>
  <c r="CQ405" i="11"/>
  <c r="CO405" i="11"/>
  <c r="CQ404" i="11"/>
  <c r="CO404" i="11"/>
  <c r="CQ403" i="11"/>
  <c r="CO403" i="11"/>
  <c r="CQ402" i="11"/>
  <c r="CO402" i="11"/>
  <c r="CQ401" i="11"/>
  <c r="CO401" i="11"/>
  <c r="CQ400" i="11"/>
  <c r="CO400" i="11"/>
  <c r="CQ399" i="11"/>
  <c r="CO399" i="11"/>
  <c r="CQ398" i="11"/>
  <c r="CO398" i="11"/>
  <c r="CQ397" i="11"/>
  <c r="CO397" i="11"/>
  <c r="CQ396" i="11"/>
  <c r="CO396" i="11"/>
  <c r="CQ395" i="11"/>
  <c r="CO395" i="11"/>
  <c r="CQ394" i="11"/>
  <c r="CO394" i="11"/>
  <c r="CQ393" i="11"/>
  <c r="CO393" i="11"/>
  <c r="CQ392" i="11"/>
  <c r="CO392" i="11"/>
  <c r="CQ391" i="11"/>
  <c r="CO391" i="11"/>
  <c r="CQ390" i="11"/>
  <c r="CO390" i="11"/>
  <c r="CQ389" i="11"/>
  <c r="CO389" i="11"/>
  <c r="CQ388" i="11"/>
  <c r="CO388" i="11"/>
  <c r="CQ387" i="11"/>
  <c r="CO387" i="11"/>
  <c r="CQ386" i="11"/>
  <c r="CO386" i="11"/>
  <c r="CQ385" i="11"/>
  <c r="CO385" i="11"/>
  <c r="CQ384" i="11"/>
  <c r="CO384" i="11"/>
  <c r="CQ383" i="11"/>
  <c r="CO383" i="11"/>
  <c r="CQ382" i="11"/>
  <c r="CO382" i="11"/>
  <c r="CQ381" i="11"/>
  <c r="CO381" i="11"/>
  <c r="CQ380" i="11"/>
  <c r="CO380" i="11"/>
  <c r="CQ379" i="11"/>
  <c r="CO379" i="11"/>
  <c r="CQ378" i="11"/>
  <c r="CO378" i="11"/>
  <c r="CQ377" i="11"/>
  <c r="CO377" i="11"/>
  <c r="CQ376" i="11"/>
  <c r="CO376" i="11"/>
  <c r="CQ375" i="11"/>
  <c r="CO375" i="11"/>
  <c r="CQ374" i="11"/>
  <c r="CO374" i="11"/>
  <c r="CQ373" i="11"/>
  <c r="CO373" i="11"/>
  <c r="CQ372" i="11"/>
  <c r="CO372" i="11"/>
  <c r="CQ371" i="11"/>
  <c r="CO371" i="11"/>
  <c r="CQ370" i="11"/>
  <c r="CO370" i="11"/>
  <c r="CQ369" i="11"/>
  <c r="CO369" i="11"/>
  <c r="CQ368" i="11"/>
  <c r="CO368" i="11"/>
  <c r="CQ367" i="11"/>
  <c r="CO367" i="11"/>
  <c r="CQ366" i="11"/>
  <c r="CO366" i="11"/>
  <c r="CQ365" i="11"/>
  <c r="CO365" i="11"/>
  <c r="CQ364" i="11"/>
  <c r="CO364" i="11"/>
  <c r="CQ363" i="11"/>
  <c r="CO363" i="11"/>
  <c r="CQ362" i="11"/>
  <c r="CO362" i="11"/>
  <c r="CQ361" i="11"/>
  <c r="CO361" i="11"/>
  <c r="CQ360" i="11"/>
  <c r="CO360" i="11"/>
  <c r="CQ359" i="11"/>
  <c r="CO359" i="11"/>
  <c r="CQ358" i="11"/>
  <c r="CO358" i="11"/>
  <c r="CQ357" i="11"/>
  <c r="CO357" i="11"/>
  <c r="CQ356" i="11"/>
  <c r="CO356" i="11"/>
  <c r="CQ355" i="11"/>
  <c r="CO355" i="11"/>
  <c r="CQ354" i="11"/>
  <c r="CO354" i="11"/>
  <c r="CQ353" i="11"/>
  <c r="CO353" i="11"/>
  <c r="CQ352" i="11"/>
  <c r="CO352" i="11"/>
  <c r="CQ351" i="11"/>
  <c r="CO351" i="11"/>
  <c r="CQ350" i="11"/>
  <c r="CO350" i="11"/>
  <c r="CQ349" i="11"/>
  <c r="CO349" i="11"/>
  <c r="CQ348" i="11"/>
  <c r="CO348" i="11"/>
  <c r="CQ347" i="11"/>
  <c r="CO347" i="11"/>
  <c r="CQ346" i="11"/>
  <c r="CO346" i="11"/>
  <c r="CQ345" i="11"/>
  <c r="CO345" i="11"/>
  <c r="CQ344" i="11"/>
  <c r="CO344" i="11"/>
  <c r="CQ343" i="11"/>
  <c r="CO343" i="11"/>
  <c r="CQ342" i="11"/>
  <c r="CO342" i="11"/>
  <c r="CQ341" i="11"/>
  <c r="CO341" i="11"/>
  <c r="CQ340" i="11"/>
  <c r="CO340" i="11"/>
  <c r="CQ339" i="11"/>
  <c r="CO339" i="11"/>
  <c r="CQ338" i="11"/>
  <c r="CO338" i="11"/>
  <c r="CQ337" i="11"/>
  <c r="CO337" i="11"/>
  <c r="CQ336" i="11"/>
  <c r="CO336" i="11"/>
  <c r="CQ335" i="11"/>
  <c r="CO335" i="11"/>
  <c r="CQ334" i="11"/>
  <c r="CO334" i="11"/>
  <c r="CQ333" i="11"/>
  <c r="CO333" i="11"/>
  <c r="CQ332" i="11"/>
  <c r="CO332" i="11"/>
  <c r="CQ331" i="11"/>
  <c r="CO331" i="11"/>
  <c r="CQ330" i="11"/>
  <c r="CO330" i="11"/>
  <c r="CQ329" i="11"/>
  <c r="CO329" i="11"/>
  <c r="CQ328" i="11"/>
  <c r="CO328" i="11"/>
  <c r="CQ320" i="11"/>
  <c r="CO320" i="11"/>
  <c r="CQ319" i="11"/>
  <c r="CO319" i="11"/>
  <c r="CQ318" i="11"/>
  <c r="CO318" i="11"/>
  <c r="CQ317" i="11"/>
  <c r="CO317" i="11"/>
  <c r="CQ316" i="11"/>
  <c r="CO316" i="11"/>
  <c r="CQ315" i="11"/>
  <c r="CO315" i="11"/>
  <c r="CQ314" i="11"/>
  <c r="CO314" i="11"/>
  <c r="CQ313" i="11"/>
  <c r="CO313" i="11"/>
  <c r="CQ312" i="11"/>
  <c r="CO312" i="11"/>
  <c r="CQ311" i="11"/>
  <c r="CO311" i="11"/>
  <c r="CQ310" i="11"/>
  <c r="CO310" i="11"/>
  <c r="CQ309" i="11"/>
  <c r="CO309" i="11"/>
  <c r="CQ308" i="11"/>
  <c r="CO308" i="11"/>
  <c r="CQ307" i="11"/>
  <c r="CO307" i="11"/>
  <c r="CQ306" i="11"/>
  <c r="CO306" i="11"/>
  <c r="CQ305" i="11"/>
  <c r="CO305" i="11"/>
  <c r="CQ304" i="11"/>
  <c r="CO304" i="11"/>
  <c r="CQ303" i="11"/>
  <c r="CO303" i="11"/>
  <c r="CQ302" i="11"/>
  <c r="CO302" i="11"/>
  <c r="CQ301" i="11"/>
  <c r="CO301" i="11"/>
  <c r="CQ300" i="11"/>
  <c r="CO300" i="11"/>
  <c r="CQ299" i="11"/>
  <c r="CO299" i="11"/>
  <c r="CQ298" i="11"/>
  <c r="CO298" i="11"/>
  <c r="CQ297" i="11"/>
  <c r="CO297" i="11"/>
  <c r="CQ296" i="11"/>
  <c r="CO296" i="11"/>
  <c r="CQ295" i="11"/>
  <c r="CO295" i="11"/>
  <c r="CQ294" i="11"/>
  <c r="CO294" i="11"/>
  <c r="CQ293" i="11"/>
  <c r="CO293" i="11"/>
  <c r="CQ292" i="11"/>
  <c r="CO292" i="11"/>
  <c r="CQ291" i="11"/>
  <c r="CO291" i="11"/>
  <c r="CQ290" i="11"/>
  <c r="CO290" i="11"/>
  <c r="CQ289" i="11"/>
  <c r="CO289" i="11"/>
  <c r="CQ288" i="11"/>
  <c r="CO288" i="11"/>
  <c r="CQ287" i="11"/>
  <c r="CO287" i="11"/>
  <c r="CQ286" i="11"/>
  <c r="CO286" i="11"/>
  <c r="CQ285" i="11"/>
  <c r="CO285" i="11"/>
  <c r="CQ284" i="11"/>
  <c r="CO284" i="11"/>
  <c r="CQ283" i="11"/>
  <c r="CO283" i="11"/>
  <c r="CQ282" i="11"/>
  <c r="CO282" i="11"/>
  <c r="CQ281" i="11"/>
  <c r="CO281" i="11"/>
  <c r="CQ280" i="11"/>
  <c r="CO280" i="11"/>
  <c r="CQ279" i="11"/>
  <c r="CO279" i="11"/>
  <c r="CQ278" i="11"/>
  <c r="CO278" i="11"/>
  <c r="CQ277" i="11"/>
  <c r="CO277" i="11"/>
  <c r="CQ276" i="11"/>
  <c r="CO276" i="11"/>
  <c r="CQ275" i="11"/>
  <c r="CO275" i="11"/>
  <c r="CQ274" i="11"/>
  <c r="CO274" i="11"/>
  <c r="CQ273" i="11"/>
  <c r="CO273" i="11"/>
  <c r="CQ272" i="11"/>
  <c r="CO272" i="11"/>
  <c r="CQ271" i="11"/>
  <c r="CO271" i="11"/>
  <c r="CQ270" i="11"/>
  <c r="CO270" i="11"/>
  <c r="CQ269" i="11"/>
  <c r="CO269" i="11"/>
  <c r="CQ268" i="11"/>
  <c r="CO268" i="11"/>
  <c r="CQ267" i="11"/>
  <c r="CO267" i="11"/>
  <c r="CQ266" i="11"/>
  <c r="CO266" i="11"/>
  <c r="CQ265" i="11"/>
  <c r="CO265" i="11"/>
  <c r="CQ264" i="11"/>
  <c r="CO264" i="11"/>
  <c r="CQ263" i="11"/>
  <c r="CO263" i="11"/>
  <c r="CQ262" i="11"/>
  <c r="CO262" i="11"/>
  <c r="CQ261" i="11"/>
  <c r="CO261" i="11"/>
  <c r="CQ260" i="11"/>
  <c r="CO260" i="11"/>
  <c r="CQ259" i="11"/>
  <c r="CO259" i="11"/>
  <c r="CQ258" i="11"/>
  <c r="CO258" i="11"/>
  <c r="CQ257" i="11"/>
  <c r="CO257" i="11"/>
  <c r="CQ256" i="11"/>
  <c r="CO256" i="11"/>
  <c r="CQ255" i="11"/>
  <c r="CO255" i="11"/>
  <c r="CQ254" i="11"/>
  <c r="CO254" i="11"/>
  <c r="CQ253" i="11"/>
  <c r="CO253" i="11"/>
  <c r="CQ252" i="11"/>
  <c r="CO252" i="11"/>
  <c r="CQ251" i="11"/>
  <c r="CO251" i="11"/>
  <c r="CQ250" i="11"/>
  <c r="CO250" i="11"/>
  <c r="CQ249" i="11"/>
  <c r="CO249" i="11"/>
  <c r="CQ248" i="11"/>
  <c r="CO248" i="11"/>
  <c r="CQ247" i="11"/>
  <c r="CO247" i="11"/>
  <c r="CQ246" i="11"/>
  <c r="CO246" i="11"/>
  <c r="CQ245" i="11"/>
  <c r="CO245" i="11"/>
  <c r="CQ244" i="11"/>
  <c r="CO244" i="11"/>
  <c r="CQ243" i="11"/>
  <c r="CO243" i="11"/>
  <c r="CQ242" i="11"/>
  <c r="CO242" i="11"/>
  <c r="CP242" i="11" s="1"/>
  <c r="CQ241" i="11"/>
  <c r="CO241" i="11"/>
  <c r="CQ240" i="11"/>
  <c r="CO240" i="11"/>
  <c r="CQ239" i="11"/>
  <c r="CO239" i="11"/>
  <c r="CQ238" i="11"/>
  <c r="CO238" i="11"/>
  <c r="CQ237" i="11"/>
  <c r="CO237" i="11"/>
  <c r="CO236" i="11"/>
  <c r="CO235" i="11"/>
  <c r="CO234" i="11"/>
  <c r="CO233" i="11"/>
  <c r="CO232" i="11"/>
  <c r="CO231" i="11"/>
  <c r="CO228" i="11"/>
  <c r="CQ227" i="11"/>
  <c r="CO227" i="11"/>
  <c r="CQ221" i="11"/>
  <c r="CO221" i="11"/>
  <c r="CQ220" i="11"/>
  <c r="CO220" i="11"/>
  <c r="CQ219" i="11"/>
  <c r="CO219" i="11"/>
  <c r="CQ218" i="11"/>
  <c r="CO218" i="11"/>
  <c r="CQ217" i="11"/>
  <c r="CO217" i="11"/>
  <c r="CQ216" i="11"/>
  <c r="CO216" i="11"/>
  <c r="CQ215" i="11"/>
  <c r="CO215" i="11"/>
  <c r="CQ214" i="11"/>
  <c r="CO214" i="11"/>
  <c r="CQ213" i="11"/>
  <c r="CO213" i="11"/>
  <c r="CQ212" i="11"/>
  <c r="CO212" i="11"/>
  <c r="CQ211" i="11"/>
  <c r="CO211" i="11"/>
  <c r="CQ210" i="11"/>
  <c r="CO210" i="11"/>
  <c r="CQ209" i="11"/>
  <c r="CO209" i="11"/>
  <c r="CQ208" i="11"/>
  <c r="CO208" i="11"/>
  <c r="CQ207" i="11"/>
  <c r="CO207" i="11"/>
  <c r="CQ206" i="11"/>
  <c r="CO206" i="11"/>
  <c r="CQ205" i="11"/>
  <c r="CO205" i="11"/>
  <c r="CQ204" i="11"/>
  <c r="CO204" i="11"/>
  <c r="CQ203" i="11"/>
  <c r="CO203" i="11"/>
  <c r="CQ202" i="11"/>
  <c r="CO202" i="11"/>
  <c r="CQ201" i="11"/>
  <c r="CO201" i="11"/>
  <c r="CQ200" i="11"/>
  <c r="CO200" i="11"/>
  <c r="CQ199" i="11"/>
  <c r="CO199" i="11"/>
  <c r="CQ198" i="11"/>
  <c r="CO198" i="11"/>
  <c r="CQ197" i="11"/>
  <c r="CO197" i="11"/>
  <c r="CP190" i="11"/>
  <c r="CP185" i="11"/>
  <c r="CP180" i="11"/>
  <c r="CP179" i="11"/>
  <c r="CP174" i="11"/>
  <c r="CP173" i="11"/>
  <c r="CP168" i="11"/>
  <c r="CP167" i="11"/>
  <c r="CP166" i="11"/>
  <c r="CP165" i="11"/>
  <c r="CP164" i="11"/>
  <c r="CP163" i="11"/>
  <c r="CP162" i="11"/>
  <c r="CP161" i="11"/>
  <c r="CP160" i="11"/>
  <c r="CP159" i="11"/>
  <c r="CP158" i="11"/>
  <c r="CP157" i="11"/>
  <c r="CP156" i="11"/>
  <c r="CP155" i="11"/>
  <c r="CP154" i="11"/>
  <c r="CP153" i="11"/>
  <c r="CP152" i="11"/>
  <c r="CP151" i="11"/>
  <c r="CP150" i="11"/>
  <c r="CP149" i="11"/>
  <c r="CP148" i="11"/>
  <c r="CP147" i="11"/>
  <c r="CP143" i="11"/>
  <c r="CP142" i="11"/>
  <c r="CP141" i="11"/>
  <c r="CP140" i="11"/>
  <c r="CP139" i="11"/>
  <c r="CP138" i="11"/>
  <c r="CP137" i="11"/>
  <c r="CP136" i="11"/>
  <c r="CP135" i="11"/>
  <c r="CP134" i="11"/>
  <c r="CP133" i="11"/>
  <c r="CP132" i="11"/>
  <c r="CP131" i="11"/>
  <c r="CP130" i="11"/>
  <c r="CP129" i="11"/>
  <c r="CP128" i="11"/>
  <c r="CP127" i="11"/>
  <c r="CP126" i="11"/>
  <c r="CP121" i="11"/>
  <c r="CP120" i="11"/>
  <c r="CP119" i="11"/>
  <c r="CP118" i="11"/>
  <c r="CP117" i="11"/>
  <c r="CP116" i="11"/>
  <c r="CP115" i="11"/>
  <c r="CP114" i="11"/>
  <c r="CP113" i="11"/>
  <c r="CP112" i="11"/>
  <c r="CP111" i="11"/>
  <c r="CP110" i="11"/>
  <c r="CP109" i="11"/>
  <c r="CP104" i="11"/>
  <c r="CP103" i="11"/>
  <c r="CP102" i="11"/>
  <c r="CP101" i="11"/>
  <c r="CP100" i="11"/>
  <c r="CP99" i="11"/>
  <c r="CP98" i="11"/>
  <c r="CP97" i="11"/>
  <c r="CP96" i="11"/>
  <c r="CP95" i="11"/>
  <c r="CP94" i="11"/>
  <c r="CP93" i="11"/>
  <c r="CP92" i="11"/>
  <c r="CP91" i="11"/>
  <c r="CP90" i="11"/>
  <c r="CP89" i="11"/>
  <c r="CP88" i="11"/>
  <c r="CP87" i="11"/>
  <c r="CP86" i="11"/>
  <c r="CP85" i="11"/>
  <c r="CP84" i="11"/>
  <c r="CP83" i="11"/>
  <c r="CP82" i="11"/>
  <c r="CP81" i="11"/>
  <c r="CP80" i="11"/>
  <c r="CQ451" i="4"/>
  <c r="CO451" i="4"/>
  <c r="CQ450" i="4"/>
  <c r="CO450" i="4"/>
  <c r="CP450" i="4" s="1"/>
  <c r="CQ449" i="4"/>
  <c r="CO449" i="4"/>
  <c r="CQ448" i="4"/>
  <c r="CO448" i="4"/>
  <c r="CP448" i="4" s="1"/>
  <c r="CQ447" i="4"/>
  <c r="CO447" i="4"/>
  <c r="CQ446" i="4"/>
  <c r="CO446" i="4"/>
  <c r="CP446" i="4" s="1"/>
  <c r="CQ445" i="4"/>
  <c r="CO445" i="4"/>
  <c r="CQ444" i="4"/>
  <c r="CO444" i="4"/>
  <c r="CP444" i="4" s="1"/>
  <c r="CQ443" i="4"/>
  <c r="CO443" i="4"/>
  <c r="CQ442" i="4"/>
  <c r="CO442" i="4"/>
  <c r="CP442" i="4" s="1"/>
  <c r="CQ441" i="4"/>
  <c r="CO441" i="4"/>
  <c r="CQ440" i="4"/>
  <c r="CO440" i="4"/>
  <c r="CP440" i="4" s="1"/>
  <c r="CQ439" i="4"/>
  <c r="CO439" i="4"/>
  <c r="CQ438" i="4"/>
  <c r="CO438" i="4"/>
  <c r="CQ437" i="4"/>
  <c r="CO437" i="4"/>
  <c r="CQ436" i="4"/>
  <c r="CO436" i="4"/>
  <c r="CQ435" i="4"/>
  <c r="CO435" i="4"/>
  <c r="CQ434" i="4"/>
  <c r="CO434" i="4"/>
  <c r="CQ433" i="4"/>
  <c r="CO433" i="4"/>
  <c r="CQ432" i="4"/>
  <c r="CO432" i="4"/>
  <c r="CQ431" i="4"/>
  <c r="CO431" i="4"/>
  <c r="CQ430" i="4"/>
  <c r="CO430" i="4"/>
  <c r="CQ429" i="4"/>
  <c r="CO429" i="4"/>
  <c r="CQ428" i="4"/>
  <c r="CO428" i="4"/>
  <c r="CQ427" i="4"/>
  <c r="CO427" i="4"/>
  <c r="CQ426" i="4"/>
  <c r="CO426" i="4"/>
  <c r="CQ425" i="4"/>
  <c r="CO425" i="4"/>
  <c r="CQ424" i="4"/>
  <c r="CO424" i="4"/>
  <c r="CQ423" i="4"/>
  <c r="CO423" i="4"/>
  <c r="CQ422" i="4"/>
  <c r="CO422" i="4"/>
  <c r="CQ421" i="4"/>
  <c r="CO421" i="4"/>
  <c r="CQ420" i="4"/>
  <c r="CO420" i="4"/>
  <c r="CQ419" i="4"/>
  <c r="CO419" i="4"/>
  <c r="CQ418" i="4"/>
  <c r="CO418" i="4"/>
  <c r="CQ417" i="4"/>
  <c r="CO417" i="4"/>
  <c r="CQ416" i="4"/>
  <c r="CO416" i="4"/>
  <c r="CQ415" i="4"/>
  <c r="CO415" i="4"/>
  <c r="CQ414" i="4"/>
  <c r="CO414" i="4"/>
  <c r="CQ413" i="4"/>
  <c r="CO413" i="4"/>
  <c r="CQ412" i="4"/>
  <c r="CO412" i="4"/>
  <c r="CQ411" i="4"/>
  <c r="CO411" i="4"/>
  <c r="CQ410" i="4"/>
  <c r="CO410" i="4"/>
  <c r="CQ409" i="4"/>
  <c r="CO409" i="4"/>
  <c r="CQ408" i="4"/>
  <c r="CO408" i="4"/>
  <c r="CQ407" i="4"/>
  <c r="CO407" i="4"/>
  <c r="CQ406" i="4"/>
  <c r="CO406" i="4"/>
  <c r="CQ405" i="4"/>
  <c r="CO405" i="4"/>
  <c r="CQ404" i="4"/>
  <c r="CO404" i="4"/>
  <c r="CQ403" i="4"/>
  <c r="CO403" i="4"/>
  <c r="CQ402" i="4"/>
  <c r="CO402" i="4"/>
  <c r="CQ401" i="4"/>
  <c r="CO401" i="4"/>
  <c r="CQ400" i="4"/>
  <c r="CO400" i="4"/>
  <c r="CQ399" i="4"/>
  <c r="CO399" i="4"/>
  <c r="CQ398" i="4"/>
  <c r="CO398" i="4"/>
  <c r="CQ397" i="4"/>
  <c r="CO397" i="4"/>
  <c r="CQ396" i="4"/>
  <c r="CO396" i="4"/>
  <c r="CQ395" i="4"/>
  <c r="CO395" i="4"/>
  <c r="CQ394" i="4"/>
  <c r="CO394" i="4"/>
  <c r="CQ393" i="4"/>
  <c r="CO393" i="4"/>
  <c r="CQ392" i="4"/>
  <c r="CO392" i="4"/>
  <c r="CQ391" i="4"/>
  <c r="CO391" i="4"/>
  <c r="CQ390" i="4"/>
  <c r="CO390" i="4"/>
  <c r="CQ389" i="4"/>
  <c r="CO389" i="4"/>
  <c r="CQ388" i="4"/>
  <c r="CO388" i="4"/>
  <c r="CQ387" i="4"/>
  <c r="CO387" i="4"/>
  <c r="CQ386" i="4"/>
  <c r="CO386" i="4"/>
  <c r="CQ385" i="4"/>
  <c r="CO385" i="4"/>
  <c r="CQ384" i="4"/>
  <c r="CO384" i="4"/>
  <c r="CQ383" i="4"/>
  <c r="CO383" i="4"/>
  <c r="CQ382" i="4"/>
  <c r="CO382" i="4"/>
  <c r="CQ381" i="4"/>
  <c r="CO381" i="4"/>
  <c r="CQ380" i="4"/>
  <c r="CO380" i="4"/>
  <c r="CQ379" i="4"/>
  <c r="CO379" i="4"/>
  <c r="CQ378" i="4"/>
  <c r="CO378" i="4"/>
  <c r="CQ377" i="4"/>
  <c r="CO377" i="4"/>
  <c r="CQ376" i="4"/>
  <c r="CO376" i="4"/>
  <c r="CP376" i="4" s="1"/>
  <c r="CQ375" i="4"/>
  <c r="CO375" i="4"/>
  <c r="CQ374" i="4"/>
  <c r="CO374" i="4"/>
  <c r="CQ373" i="4"/>
  <c r="CO373" i="4"/>
  <c r="CQ372" i="4"/>
  <c r="CO372" i="4"/>
  <c r="CQ371" i="4"/>
  <c r="CO371" i="4"/>
  <c r="CQ370" i="4"/>
  <c r="CO370" i="4"/>
  <c r="CQ369" i="4"/>
  <c r="CO369" i="4"/>
  <c r="CQ368" i="4"/>
  <c r="CO368" i="4"/>
  <c r="CQ367" i="4"/>
  <c r="CO367" i="4"/>
  <c r="CQ366" i="4"/>
  <c r="CO366" i="4"/>
  <c r="CQ365" i="4"/>
  <c r="CO365" i="4"/>
  <c r="CQ364" i="4"/>
  <c r="CO364" i="4"/>
  <c r="CQ363" i="4"/>
  <c r="CO363" i="4"/>
  <c r="CQ362" i="4"/>
  <c r="CO362" i="4"/>
  <c r="CQ361" i="4"/>
  <c r="CO361" i="4"/>
  <c r="CQ360" i="4"/>
  <c r="CO360" i="4"/>
  <c r="CQ359" i="4"/>
  <c r="CO359" i="4"/>
  <c r="CQ358" i="4"/>
  <c r="CO358" i="4"/>
  <c r="CQ357" i="4"/>
  <c r="CO357" i="4"/>
  <c r="CQ356" i="4"/>
  <c r="CO356" i="4"/>
  <c r="CQ355" i="4"/>
  <c r="CO355" i="4"/>
  <c r="CQ354" i="4"/>
  <c r="CO354" i="4"/>
  <c r="CQ353" i="4"/>
  <c r="CO353" i="4"/>
  <c r="CQ352" i="4"/>
  <c r="CO352" i="4"/>
  <c r="CP352" i="4" s="1"/>
  <c r="CQ351" i="4"/>
  <c r="CO351" i="4"/>
  <c r="CQ350" i="4"/>
  <c r="CO350" i="4"/>
  <c r="CQ349" i="4"/>
  <c r="CO349" i="4"/>
  <c r="CQ348" i="4"/>
  <c r="CO348" i="4"/>
  <c r="CQ347" i="4"/>
  <c r="CO347" i="4"/>
  <c r="CQ346" i="4"/>
  <c r="CO346" i="4"/>
  <c r="CQ345" i="4"/>
  <c r="CO345" i="4"/>
  <c r="CP345" i="4" s="1"/>
  <c r="CQ344" i="4"/>
  <c r="CO344" i="4"/>
  <c r="CP344" i="4" s="1"/>
  <c r="CQ343" i="4"/>
  <c r="CO343" i="4"/>
  <c r="CQ342" i="4"/>
  <c r="CO342" i="4"/>
  <c r="CQ341" i="4"/>
  <c r="CO341" i="4"/>
  <c r="CQ340" i="4"/>
  <c r="CO340" i="4"/>
  <c r="CQ339" i="4"/>
  <c r="CO339" i="4"/>
  <c r="CQ338" i="4"/>
  <c r="CO338" i="4"/>
  <c r="CQ337" i="4"/>
  <c r="CO337" i="4"/>
  <c r="CQ336" i="4"/>
  <c r="CO336" i="4"/>
  <c r="CP336" i="4" s="1"/>
  <c r="CQ335" i="4"/>
  <c r="CO335" i="4"/>
  <c r="CQ334" i="4"/>
  <c r="CO334" i="4"/>
  <c r="CQ333" i="4"/>
  <c r="CO333" i="4"/>
  <c r="CQ332" i="4"/>
  <c r="CO332" i="4"/>
  <c r="CP332" i="4" s="1"/>
  <c r="CQ331" i="4"/>
  <c r="CO331" i="4"/>
  <c r="CQ330" i="4"/>
  <c r="CO330" i="4"/>
  <c r="CP330" i="4" s="1"/>
  <c r="CQ329" i="4"/>
  <c r="CO329" i="4"/>
  <c r="CP329" i="4" s="1"/>
  <c r="CQ321" i="4"/>
  <c r="CO321" i="4"/>
  <c r="CP321" i="4" s="1"/>
  <c r="CQ320" i="4"/>
  <c r="CO320" i="4"/>
  <c r="CP320" i="4" s="1"/>
  <c r="CQ319" i="4"/>
  <c r="CO319" i="4"/>
  <c r="CQ318" i="4"/>
  <c r="CO318" i="4"/>
  <c r="CQ317" i="4"/>
  <c r="CO317" i="4"/>
  <c r="CQ316" i="4"/>
  <c r="CO316" i="4"/>
  <c r="CQ315" i="4"/>
  <c r="CO315" i="4"/>
  <c r="CQ314" i="4"/>
  <c r="CO314" i="4"/>
  <c r="CQ313" i="4"/>
  <c r="CO313" i="4"/>
  <c r="CQ312" i="4"/>
  <c r="CO312" i="4"/>
  <c r="CQ311" i="4"/>
  <c r="CO311" i="4"/>
  <c r="CQ310" i="4"/>
  <c r="CO310" i="4"/>
  <c r="CQ309" i="4"/>
  <c r="CO309" i="4"/>
  <c r="CQ308" i="4"/>
  <c r="CO308" i="4"/>
  <c r="CQ307" i="4"/>
  <c r="CO307" i="4"/>
  <c r="CQ306" i="4"/>
  <c r="CO306" i="4"/>
  <c r="CQ305" i="4"/>
  <c r="CO305" i="4"/>
  <c r="CQ304" i="4"/>
  <c r="CO304" i="4"/>
  <c r="CQ303" i="4"/>
  <c r="CO303" i="4"/>
  <c r="CQ302" i="4"/>
  <c r="CO302" i="4"/>
  <c r="CQ301" i="4"/>
  <c r="CO301" i="4"/>
  <c r="CQ300" i="4"/>
  <c r="CO300" i="4"/>
  <c r="CQ299" i="4"/>
  <c r="CO299" i="4"/>
  <c r="CQ298" i="4"/>
  <c r="CO298" i="4"/>
  <c r="CQ297" i="4"/>
  <c r="CO297" i="4"/>
  <c r="CQ296" i="4"/>
  <c r="CO296" i="4"/>
  <c r="CQ295" i="4"/>
  <c r="CO295" i="4"/>
  <c r="CQ294" i="4"/>
  <c r="CO294" i="4"/>
  <c r="CQ293" i="4"/>
  <c r="CO293" i="4"/>
  <c r="CQ292" i="4"/>
  <c r="CO292" i="4"/>
  <c r="CQ291" i="4"/>
  <c r="CO291" i="4"/>
  <c r="CQ290" i="4"/>
  <c r="CO290" i="4"/>
  <c r="CQ289" i="4"/>
  <c r="CO289" i="4"/>
  <c r="CQ288" i="4"/>
  <c r="CO288" i="4"/>
  <c r="CQ287" i="4"/>
  <c r="CO287" i="4"/>
  <c r="CQ286" i="4"/>
  <c r="CO286" i="4"/>
  <c r="CQ285" i="4"/>
  <c r="CO285" i="4"/>
  <c r="CQ284" i="4"/>
  <c r="CO284" i="4"/>
  <c r="CQ283" i="4"/>
  <c r="CO283" i="4"/>
  <c r="CQ282" i="4"/>
  <c r="CO282" i="4"/>
  <c r="CQ281" i="4"/>
  <c r="CO281" i="4"/>
  <c r="CQ280" i="4"/>
  <c r="CO280" i="4"/>
  <c r="CQ279" i="4"/>
  <c r="CO279" i="4"/>
  <c r="CQ278" i="4"/>
  <c r="CO278" i="4"/>
  <c r="CQ277" i="4"/>
  <c r="CO277" i="4"/>
  <c r="CQ276" i="4"/>
  <c r="CO276" i="4"/>
  <c r="CQ275" i="4"/>
  <c r="CO275" i="4"/>
  <c r="CQ274" i="4"/>
  <c r="CO274" i="4"/>
  <c r="CQ273" i="4"/>
  <c r="CO273" i="4"/>
  <c r="CQ272" i="4"/>
  <c r="CO272" i="4"/>
  <c r="CQ271" i="4"/>
  <c r="CO271" i="4"/>
  <c r="CQ270" i="4"/>
  <c r="CO270" i="4"/>
  <c r="CQ269" i="4"/>
  <c r="CO269" i="4"/>
  <c r="CQ268" i="4"/>
  <c r="CO268" i="4"/>
  <c r="CQ267" i="4"/>
  <c r="CO267" i="4"/>
  <c r="CQ266" i="4"/>
  <c r="CO266" i="4"/>
  <c r="CQ265" i="4"/>
  <c r="CO265" i="4"/>
  <c r="CQ264" i="4"/>
  <c r="CO264" i="4"/>
  <c r="CQ263" i="4"/>
  <c r="CO263" i="4"/>
  <c r="CQ262" i="4"/>
  <c r="CO262" i="4"/>
  <c r="CQ261" i="4"/>
  <c r="CO261" i="4"/>
  <c r="CQ260" i="4"/>
  <c r="CO260" i="4"/>
  <c r="CQ259" i="4"/>
  <c r="CO259" i="4"/>
  <c r="CQ258" i="4"/>
  <c r="CO258" i="4"/>
  <c r="CQ257" i="4"/>
  <c r="CO257" i="4"/>
  <c r="CQ256" i="4"/>
  <c r="CO256" i="4"/>
  <c r="CQ255" i="4"/>
  <c r="CO255" i="4"/>
  <c r="CQ254" i="4"/>
  <c r="CO254" i="4"/>
  <c r="CQ253" i="4"/>
  <c r="CO253" i="4"/>
  <c r="CQ252" i="4"/>
  <c r="CO252" i="4"/>
  <c r="CQ251" i="4"/>
  <c r="CO251" i="4"/>
  <c r="CQ250" i="4"/>
  <c r="CO250" i="4"/>
  <c r="CQ249" i="4"/>
  <c r="CO249" i="4"/>
  <c r="CQ248" i="4"/>
  <c r="CO248" i="4"/>
  <c r="CQ247" i="4"/>
  <c r="CO247" i="4"/>
  <c r="CQ246" i="4"/>
  <c r="CO246" i="4"/>
  <c r="CQ245" i="4"/>
  <c r="CO245" i="4"/>
  <c r="CQ244" i="4"/>
  <c r="CO244" i="4"/>
  <c r="CQ243" i="4"/>
  <c r="CO243" i="4"/>
  <c r="CQ242" i="4"/>
  <c r="CO242" i="4"/>
  <c r="CQ241" i="4"/>
  <c r="CO241" i="4"/>
  <c r="CQ240" i="4"/>
  <c r="CO240" i="4"/>
  <c r="CQ239" i="4"/>
  <c r="CO239" i="4"/>
  <c r="CQ238" i="4"/>
  <c r="CO238" i="4"/>
  <c r="CO237" i="4"/>
  <c r="CO236" i="4"/>
  <c r="CO235" i="4"/>
  <c r="CO234" i="4"/>
  <c r="CO233" i="4"/>
  <c r="CO232" i="4"/>
  <c r="CO229" i="4"/>
  <c r="CQ228" i="4"/>
  <c r="CO228" i="4"/>
  <c r="CQ222" i="4"/>
  <c r="CO222" i="4"/>
  <c r="CQ221" i="4"/>
  <c r="CO221" i="4"/>
  <c r="CQ220" i="4"/>
  <c r="CO220" i="4"/>
  <c r="CQ219" i="4"/>
  <c r="CO219" i="4"/>
  <c r="CP219" i="4" s="1"/>
  <c r="CQ218" i="4"/>
  <c r="CO218" i="4"/>
  <c r="CP218" i="4" s="1"/>
  <c r="CQ217" i="4"/>
  <c r="CP217" i="4"/>
  <c r="CO217" i="4"/>
  <c r="CQ216" i="4"/>
  <c r="CO216" i="4"/>
  <c r="CQ215" i="4"/>
  <c r="CO215" i="4"/>
  <c r="CQ214" i="4"/>
  <c r="CO214" i="4"/>
  <c r="CQ213" i="4"/>
  <c r="CO213" i="4"/>
  <c r="CQ212" i="4"/>
  <c r="CO212" i="4"/>
  <c r="CQ211" i="4"/>
  <c r="CO211" i="4"/>
  <c r="CQ210" i="4"/>
  <c r="CO210" i="4"/>
  <c r="CQ209" i="4"/>
  <c r="CO209" i="4"/>
  <c r="CQ208" i="4"/>
  <c r="CO208" i="4"/>
  <c r="CQ207" i="4"/>
  <c r="CO207" i="4"/>
  <c r="CQ206" i="4"/>
  <c r="CO206" i="4"/>
  <c r="CQ205" i="4"/>
  <c r="CO205" i="4"/>
  <c r="CQ204" i="4"/>
  <c r="CO204" i="4"/>
  <c r="CQ203" i="4"/>
  <c r="CO203" i="4"/>
  <c r="CQ202" i="4"/>
  <c r="CO202" i="4"/>
  <c r="CQ201" i="4"/>
  <c r="CO201" i="4"/>
  <c r="CQ200" i="4"/>
  <c r="CO200" i="4"/>
  <c r="CQ199" i="4"/>
  <c r="CO199" i="4"/>
  <c r="CQ198" i="4"/>
  <c r="CO198" i="4"/>
  <c r="CP191" i="4"/>
  <c r="CP186" i="4"/>
  <c r="CP181" i="4"/>
  <c r="CP180" i="4"/>
  <c r="CP175" i="4"/>
  <c r="CP174" i="4"/>
  <c r="CP169" i="4"/>
  <c r="CP168" i="4"/>
  <c r="CP167" i="4"/>
  <c r="CP166" i="4"/>
  <c r="CP165" i="4"/>
  <c r="CP164" i="4"/>
  <c r="CP163" i="4"/>
  <c r="CP162" i="4"/>
  <c r="CP161" i="4"/>
  <c r="CP160" i="4"/>
  <c r="CP159" i="4"/>
  <c r="CP158" i="4"/>
  <c r="CP157" i="4"/>
  <c r="CP156" i="4"/>
  <c r="CP155" i="4"/>
  <c r="CP154" i="4"/>
  <c r="CP153" i="4"/>
  <c r="CP152" i="4"/>
  <c r="CP151" i="4"/>
  <c r="CP150" i="4"/>
  <c r="CP149" i="4"/>
  <c r="CP148" i="4"/>
  <c r="CP144" i="4"/>
  <c r="CP143" i="4"/>
  <c r="CP142" i="4"/>
  <c r="CP141" i="4"/>
  <c r="CP140" i="4"/>
  <c r="CP139" i="4"/>
  <c r="CP138" i="4"/>
  <c r="CP137" i="4"/>
  <c r="CP136" i="4"/>
  <c r="CP135" i="4"/>
  <c r="CP134" i="4"/>
  <c r="CP133" i="4"/>
  <c r="CP132" i="4"/>
  <c r="CP131" i="4"/>
  <c r="CP130" i="4"/>
  <c r="CP129" i="4"/>
  <c r="CP128" i="4"/>
  <c r="CP127" i="4"/>
  <c r="CP122" i="4"/>
  <c r="CP121" i="4"/>
  <c r="CP120" i="4"/>
  <c r="CP119" i="4"/>
  <c r="CP118" i="4"/>
  <c r="CP117" i="4"/>
  <c r="CP116" i="4"/>
  <c r="CP115" i="4"/>
  <c r="CP114" i="4"/>
  <c r="CP113" i="4"/>
  <c r="CP112" i="4"/>
  <c r="CP111" i="4"/>
  <c r="CP110" i="4"/>
  <c r="CP105" i="4"/>
  <c r="CP104" i="4"/>
  <c r="CP103" i="4"/>
  <c r="CP102" i="4"/>
  <c r="CP101" i="4"/>
  <c r="CP100" i="4"/>
  <c r="CP99" i="4"/>
  <c r="CP98" i="4"/>
  <c r="CP97" i="4"/>
  <c r="CP96" i="4"/>
  <c r="CP95" i="4"/>
  <c r="CP94" i="4"/>
  <c r="CP93" i="4"/>
  <c r="CP92" i="4"/>
  <c r="CP91" i="4"/>
  <c r="CP90" i="4"/>
  <c r="CP89" i="4"/>
  <c r="CP88" i="4"/>
  <c r="CP87" i="4"/>
  <c r="CP86" i="4"/>
  <c r="CP85" i="4"/>
  <c r="CP84" i="4"/>
  <c r="CP83" i="4"/>
  <c r="CP82" i="4"/>
  <c r="CP81" i="4"/>
  <c r="J52" i="17" l="1"/>
  <c r="CP441" i="4"/>
  <c r="CP445" i="4"/>
  <c r="CP218" i="11"/>
  <c r="CP443" i="11"/>
  <c r="CP445" i="11"/>
  <c r="CP447" i="11"/>
  <c r="CP402" i="12"/>
  <c r="CP260" i="13"/>
  <c r="CP292" i="13"/>
  <c r="W40" i="12"/>
  <c r="AC40" i="12" s="1"/>
  <c r="AD40" i="12" s="1"/>
  <c r="AC48" i="12" s="1"/>
  <c r="AD48" i="12" s="1"/>
  <c r="AC56" i="12" s="1"/>
  <c r="AD56" i="12" s="1"/>
  <c r="W43" i="12"/>
  <c r="AC43" i="12" s="1"/>
  <c r="AD43" i="12" s="1"/>
  <c r="W44" i="12"/>
  <c r="W45" i="12"/>
  <c r="AC45" i="12" s="1"/>
  <c r="AD45" i="12" s="1"/>
  <c r="W51" i="12"/>
  <c r="CP201" i="4"/>
  <c r="CP377" i="4"/>
  <c r="CP378" i="4"/>
  <c r="CP380" i="4"/>
  <c r="CP384" i="4"/>
  <c r="CP400" i="4"/>
  <c r="CP219" i="11"/>
  <c r="CP220" i="11"/>
  <c r="CP227" i="11"/>
  <c r="CP243" i="11"/>
  <c r="CP244" i="11"/>
  <c r="CP250" i="11"/>
  <c r="W41" i="12"/>
  <c r="AC41" i="12" s="1"/>
  <c r="AD41" i="12" s="1"/>
  <c r="W46" i="12"/>
  <c r="AC46" i="12" s="1"/>
  <c r="AD46" i="12" s="1"/>
  <c r="W50" i="12"/>
  <c r="AO50" i="12" s="1"/>
  <c r="AQ50" i="12" s="1"/>
  <c r="CP266" i="12"/>
  <c r="CP426" i="12"/>
  <c r="CP427" i="12"/>
  <c r="CP205" i="13"/>
  <c r="CP206" i="13"/>
  <c r="CP208" i="13"/>
  <c r="CP212" i="13"/>
  <c r="CP220" i="13"/>
  <c r="CP236" i="13"/>
  <c r="CP294" i="13"/>
  <c r="CP298" i="13"/>
  <c r="CP306" i="13"/>
  <c r="CP322" i="13"/>
  <c r="CP354" i="13"/>
  <c r="CP299" i="14"/>
  <c r="CP356" i="14"/>
  <c r="CP472" i="14"/>
  <c r="CP415" i="15"/>
  <c r="CP416" i="15"/>
  <c r="CP418" i="15"/>
  <c r="CP230" i="12"/>
  <c r="CP409" i="12"/>
  <c r="CP410" i="12"/>
  <c r="CP465" i="12"/>
  <c r="CP469" i="12"/>
  <c r="CP305" i="11"/>
  <c r="W47" i="12"/>
  <c r="W42" i="12"/>
  <c r="W54" i="12"/>
  <c r="W53" i="12"/>
  <c r="CP447" i="13"/>
  <c r="CP448" i="13"/>
  <c r="CP367" i="15"/>
  <c r="CP267" i="12"/>
  <c r="CP268" i="12"/>
  <c r="CP270" i="12"/>
  <c r="CP441" i="12"/>
  <c r="CP274" i="12"/>
  <c r="CP282" i="12"/>
  <c r="CP298" i="12"/>
  <c r="CP329" i="12"/>
  <c r="AO51" i="12"/>
  <c r="AW51" i="12"/>
  <c r="AX51" i="12" s="1"/>
  <c r="W49" i="12"/>
  <c r="W52" i="12"/>
  <c r="CP442" i="12"/>
  <c r="CP443" i="12"/>
  <c r="CP449" i="12"/>
  <c r="AP50" i="12"/>
  <c r="CP341" i="12"/>
  <c r="CP345" i="12"/>
  <c r="CP353" i="12"/>
  <c r="CP369" i="12"/>
  <c r="L50" i="17"/>
  <c r="L48" i="17"/>
  <c r="L46" i="17"/>
  <c r="L51" i="17"/>
  <c r="K52" i="17" s="1"/>
  <c r="L52" i="17" s="1"/>
  <c r="L49" i="17"/>
  <c r="E26" i="17"/>
  <c r="F26" i="17" s="1"/>
  <c r="J26" i="17" s="1"/>
  <c r="L26" i="17" s="1"/>
  <c r="E17" i="17"/>
  <c r="F17" i="17" s="1"/>
  <c r="J17" i="17" s="1"/>
  <c r="F74" i="18"/>
  <c r="K74" i="18" s="1"/>
  <c r="CP368" i="15"/>
  <c r="CP369" i="15"/>
  <c r="CP371" i="15"/>
  <c r="CP375" i="15"/>
  <c r="CP383" i="15"/>
  <c r="CP422" i="13"/>
  <c r="CP355" i="13"/>
  <c r="CP358" i="13"/>
  <c r="CP362" i="13"/>
  <c r="CP370" i="13"/>
  <c r="CP473" i="14"/>
  <c r="CP474" i="14"/>
  <c r="CP476" i="14"/>
  <c r="CP480" i="14"/>
  <c r="CP399" i="15"/>
  <c r="CP339" i="15"/>
  <c r="K40" i="17"/>
  <c r="L40" i="17" s="1"/>
  <c r="F73" i="18"/>
  <c r="K73" i="18" s="1"/>
  <c r="CP247" i="14"/>
  <c r="CP357" i="14"/>
  <c r="CP358" i="14"/>
  <c r="CP360" i="14"/>
  <c r="CP392" i="14"/>
  <c r="CP416" i="14"/>
  <c r="CP231" i="15"/>
  <c r="CP263" i="15"/>
  <c r="CP422" i="15"/>
  <c r="CP400" i="15"/>
  <c r="CP402" i="15"/>
  <c r="CP248" i="14"/>
  <c r="CP249" i="14"/>
  <c r="CP251" i="14"/>
  <c r="CP255" i="14"/>
  <c r="CP263" i="14"/>
  <c r="CP301" i="14"/>
  <c r="CP305" i="14"/>
  <c r="CP321" i="14"/>
  <c r="CP417" i="14"/>
  <c r="CP418" i="14"/>
  <c r="CP420" i="14"/>
  <c r="CP424" i="14"/>
  <c r="CP432" i="14"/>
  <c r="CP440" i="14"/>
  <c r="CP322" i="14"/>
  <c r="CP323" i="14"/>
  <c r="CP325" i="14"/>
  <c r="CP393" i="14"/>
  <c r="CP394" i="14"/>
  <c r="CP396" i="14"/>
  <c r="CP441" i="14"/>
  <c r="CP442" i="14"/>
  <c r="CP456" i="14"/>
  <c r="AC58" i="12"/>
  <c r="AD58" i="12" s="1"/>
  <c r="BD58" i="12"/>
  <c r="BE58" i="12" s="1"/>
  <c r="CP202" i="4"/>
  <c r="CP203" i="4"/>
  <c r="CP205" i="4"/>
  <c r="H56" i="16"/>
  <c r="L56" i="16" s="1"/>
  <c r="N56" i="16" s="1"/>
  <c r="CP184" i="15"/>
  <c r="CP185" i="15"/>
  <c r="CP187" i="15"/>
  <c r="CP191" i="15"/>
  <c r="CP199" i="15"/>
  <c r="CP215" i="15"/>
  <c r="CP264" i="15"/>
  <c r="CP267" i="15"/>
  <c r="CP271" i="15"/>
  <c r="CP279" i="15"/>
  <c r="CP295" i="15"/>
  <c r="CP231" i="14"/>
  <c r="CP283" i="14"/>
  <c r="CP337" i="14"/>
  <c r="CP408" i="14"/>
  <c r="CP306" i="14"/>
  <c r="CP307" i="14"/>
  <c r="CP313" i="14"/>
  <c r="CP380" i="14"/>
  <c r="CP343" i="15"/>
  <c r="CP351" i="15"/>
  <c r="CP406" i="15"/>
  <c r="CP232" i="15"/>
  <c r="CP235" i="15"/>
  <c r="CP239" i="15"/>
  <c r="CP247" i="15"/>
  <c r="CP296" i="15"/>
  <c r="CP299" i="15"/>
  <c r="CP303" i="15"/>
  <c r="CP311" i="15"/>
  <c r="CP175" i="15"/>
  <c r="CP200" i="15"/>
  <c r="CP201" i="15"/>
  <c r="CP203" i="15"/>
  <c r="CP207" i="15"/>
  <c r="CP248" i="15"/>
  <c r="CP251" i="15"/>
  <c r="CP255" i="15"/>
  <c r="CP280" i="15"/>
  <c r="CP283" i="15"/>
  <c r="CP287" i="15"/>
  <c r="CP312" i="15"/>
  <c r="CP313" i="15"/>
  <c r="CP323" i="15"/>
  <c r="CP327" i="15"/>
  <c r="CP352" i="15"/>
  <c r="CP353" i="15"/>
  <c r="CP355" i="15"/>
  <c r="CP359" i="15"/>
  <c r="CP384" i="15"/>
  <c r="CP385" i="15"/>
  <c r="CP387" i="15"/>
  <c r="CP389" i="15"/>
  <c r="CP391" i="15"/>
  <c r="CP395" i="15"/>
  <c r="CP407" i="15"/>
  <c r="CP410" i="15"/>
  <c r="CP176" i="15"/>
  <c r="CP177" i="15"/>
  <c r="CP179" i="15"/>
  <c r="CP192" i="15"/>
  <c r="CP193" i="15"/>
  <c r="CP195" i="15"/>
  <c r="CP208" i="15"/>
  <c r="CP209" i="15"/>
  <c r="CP211" i="15"/>
  <c r="CP240" i="15"/>
  <c r="CP243" i="15"/>
  <c r="CP256" i="15"/>
  <c r="CP259" i="15"/>
  <c r="CP272" i="15"/>
  <c r="CP275" i="15"/>
  <c r="CP288" i="15"/>
  <c r="CP291" i="15"/>
  <c r="CP304" i="15"/>
  <c r="CP305" i="15"/>
  <c r="CP307" i="15"/>
  <c r="CP328" i="15"/>
  <c r="CP329" i="15"/>
  <c r="CP331" i="15"/>
  <c r="CP344" i="15"/>
  <c r="CP345" i="15"/>
  <c r="CP347" i="15"/>
  <c r="CP360" i="15"/>
  <c r="CP361" i="15"/>
  <c r="CP363" i="15"/>
  <c r="CP376" i="15"/>
  <c r="CP377" i="15"/>
  <c r="CP379" i="15"/>
  <c r="CP396" i="15"/>
  <c r="CP397" i="15"/>
  <c r="CP403" i="15"/>
  <c r="CP404" i="15"/>
  <c r="CP411" i="15"/>
  <c r="CP423" i="15"/>
  <c r="CP424" i="15"/>
  <c r="CP172" i="15"/>
  <c r="CP173" i="15"/>
  <c r="CP180" i="15"/>
  <c r="CP181" i="15"/>
  <c r="CP188" i="15"/>
  <c r="CP189" i="15"/>
  <c r="CP196" i="15"/>
  <c r="CP197" i="15"/>
  <c r="CP204" i="15"/>
  <c r="CP205" i="15"/>
  <c r="CP212" i="15"/>
  <c r="CP213" i="15"/>
  <c r="CP236" i="15"/>
  <c r="CP237" i="15"/>
  <c r="CP244" i="15"/>
  <c r="CP245" i="15"/>
  <c r="CP252" i="15"/>
  <c r="CP253" i="15"/>
  <c r="CP260" i="15"/>
  <c r="CP261" i="15"/>
  <c r="CP268" i="15"/>
  <c r="CP269" i="15"/>
  <c r="CP276" i="15"/>
  <c r="CP277" i="15"/>
  <c r="CP284" i="15"/>
  <c r="CP285" i="15"/>
  <c r="CP292" i="15"/>
  <c r="CP293" i="15"/>
  <c r="CP300" i="15"/>
  <c r="CP301" i="15"/>
  <c r="CP308" i="15"/>
  <c r="CP309" i="15"/>
  <c r="CP324" i="15"/>
  <c r="CP325" i="15"/>
  <c r="CP332" i="15"/>
  <c r="CP333" i="15"/>
  <c r="CP340" i="15"/>
  <c r="CP341" i="15"/>
  <c r="CP348" i="15"/>
  <c r="CP349" i="15"/>
  <c r="CP356" i="15"/>
  <c r="CP357" i="15"/>
  <c r="CP364" i="15"/>
  <c r="CP365" i="15"/>
  <c r="CP372" i="15"/>
  <c r="CP373" i="15"/>
  <c r="CP380" i="15"/>
  <c r="CP381" i="15"/>
  <c r="CP412" i="15"/>
  <c r="CP419" i="15"/>
  <c r="CP420" i="15"/>
  <c r="CP392" i="15"/>
  <c r="CP393" i="15"/>
  <c r="CP401" i="15"/>
  <c r="W34" i="15"/>
  <c r="W37" i="15"/>
  <c r="CP408" i="15"/>
  <c r="CP232" i="14"/>
  <c r="CP233" i="14"/>
  <c r="CP235" i="14"/>
  <c r="CP239" i="14"/>
  <c r="CP264" i="14"/>
  <c r="CP284" i="14"/>
  <c r="CP291" i="14"/>
  <c r="CP314" i="14"/>
  <c r="CP338" i="14"/>
  <c r="CP339" i="14"/>
  <c r="CP341" i="14"/>
  <c r="CP345" i="14"/>
  <c r="CP381" i="14"/>
  <c r="CP382" i="14"/>
  <c r="CP384" i="14"/>
  <c r="CP409" i="14"/>
  <c r="CP433" i="14"/>
  <c r="CP436" i="14"/>
  <c r="CP457" i="14"/>
  <c r="CP458" i="14"/>
  <c r="CP460" i="14"/>
  <c r="BD40" i="14"/>
  <c r="BE40" i="14" s="1"/>
  <c r="CP329" i="14"/>
  <c r="CP364" i="14"/>
  <c r="CP400" i="14"/>
  <c r="CP444" i="14"/>
  <c r="CP448" i="14"/>
  <c r="CP240" i="14"/>
  <c r="CP256" i="14"/>
  <c r="CP257" i="14"/>
  <c r="CP259" i="14"/>
  <c r="CP292" i="14"/>
  <c r="CP293" i="14"/>
  <c r="CP295" i="14"/>
  <c r="CP315" i="14"/>
  <c r="CP388" i="14"/>
  <c r="CP412" i="14"/>
  <c r="CP464" i="14"/>
  <c r="CP285" i="14"/>
  <c r="CP287" i="14"/>
  <c r="CP317" i="14"/>
  <c r="CP330" i="14"/>
  <c r="CP331" i="14"/>
  <c r="CP333" i="14"/>
  <c r="CP346" i="14"/>
  <c r="CP347" i="14"/>
  <c r="CP349" i="14"/>
  <c r="CP365" i="14"/>
  <c r="CP366" i="14"/>
  <c r="CP374" i="14"/>
  <c r="CP376" i="14"/>
  <c r="CP389" i="14"/>
  <c r="CP401" i="14"/>
  <c r="CP402" i="14"/>
  <c r="CP404" i="14"/>
  <c r="CP405" i="14"/>
  <c r="CP413" i="14"/>
  <c r="CP425" i="14"/>
  <c r="CP426" i="14"/>
  <c r="CP428" i="14"/>
  <c r="CP437" i="14"/>
  <c r="CP438" i="14"/>
  <c r="CP449" i="14"/>
  <c r="CP450" i="14"/>
  <c r="CP452" i="14"/>
  <c r="CP465" i="14"/>
  <c r="CP466" i="14"/>
  <c r="CP468" i="14"/>
  <c r="CP481" i="14"/>
  <c r="CP482" i="14"/>
  <c r="CP484" i="14"/>
  <c r="CP241" i="14"/>
  <c r="CP243" i="14"/>
  <c r="CP309" i="14"/>
  <c r="CP390" i="14"/>
  <c r="CP397" i="14"/>
  <c r="CP398" i="14"/>
  <c r="CP406" i="14"/>
  <c r="CP414" i="14"/>
  <c r="CP421" i="14"/>
  <c r="CP422" i="14"/>
  <c r="CP429" i="14"/>
  <c r="CP430" i="14"/>
  <c r="CP445" i="14"/>
  <c r="CP446" i="14"/>
  <c r="CP453" i="14"/>
  <c r="CP454" i="14"/>
  <c r="CP461" i="14"/>
  <c r="CP462" i="14"/>
  <c r="CP469" i="14"/>
  <c r="CP470" i="14"/>
  <c r="CP477" i="14"/>
  <c r="CP478" i="14"/>
  <c r="CP485" i="14"/>
  <c r="CP229" i="14"/>
  <c r="CP236" i="14"/>
  <c r="CP237" i="14"/>
  <c r="CP244" i="14"/>
  <c r="CP245" i="14"/>
  <c r="CP252" i="14"/>
  <c r="CP253" i="14"/>
  <c r="CP260" i="14"/>
  <c r="CP261" i="14"/>
  <c r="CP280" i="14"/>
  <c r="CP281" i="14"/>
  <c r="CP288" i="14"/>
  <c r="CP289" i="14"/>
  <c r="CP296" i="14"/>
  <c r="CP297" i="14"/>
  <c r="CP302" i="14"/>
  <c r="CP310" i="14"/>
  <c r="CP318" i="14"/>
  <c r="CP326" i="14"/>
  <c r="CP334" i="14"/>
  <c r="CP342" i="14"/>
  <c r="CP350" i="14"/>
  <c r="CP361" i="14"/>
  <c r="CP377" i="14"/>
  <c r="CP378" i="14"/>
  <c r="CP385" i="14"/>
  <c r="CP386" i="14"/>
  <c r="CP410" i="14"/>
  <c r="CP434" i="14"/>
  <c r="CP237" i="13"/>
  <c r="CP238" i="13"/>
  <c r="CP244" i="13"/>
  <c r="CP261" i="13"/>
  <c r="CP262" i="13"/>
  <c r="CP264" i="13"/>
  <c r="CP268" i="13"/>
  <c r="CP276" i="13"/>
  <c r="CP324" i="13"/>
  <c r="CP326" i="13"/>
  <c r="CP330" i="13"/>
  <c r="CP346" i="13"/>
  <c r="CP371" i="13"/>
  <c r="CP372" i="13"/>
  <c r="CP374" i="13"/>
  <c r="CP376" i="13"/>
  <c r="CP378" i="13"/>
  <c r="CP382" i="13"/>
  <c r="CP390" i="13"/>
  <c r="CP423" i="13"/>
  <c r="CP426" i="13"/>
  <c r="CP430" i="13"/>
  <c r="CP431" i="13"/>
  <c r="CP438" i="13"/>
  <c r="CP196" i="13"/>
  <c r="CP221" i="13"/>
  <c r="CP222" i="13"/>
  <c r="CP224" i="13"/>
  <c r="CP228" i="13"/>
  <c r="CP277" i="13"/>
  <c r="CP278" i="13"/>
  <c r="CP280" i="13"/>
  <c r="CP284" i="13"/>
  <c r="CP308" i="13"/>
  <c r="CP310" i="13"/>
  <c r="CP314" i="13"/>
  <c r="CP347" i="13"/>
  <c r="CP348" i="13"/>
  <c r="CP350" i="13"/>
  <c r="CP363" i="13"/>
  <c r="CP366" i="13"/>
  <c r="CP391" i="13"/>
  <c r="CP392" i="13"/>
  <c r="CP394" i="13"/>
  <c r="CP398" i="13"/>
  <c r="CP415" i="13"/>
  <c r="CP416" i="13"/>
  <c r="CP418" i="13"/>
  <c r="CP439" i="13"/>
  <c r="CP440" i="13"/>
  <c r="CP197" i="13"/>
  <c r="CP198" i="13"/>
  <c r="CP200" i="13"/>
  <c r="CP213" i="13"/>
  <c r="CP214" i="13"/>
  <c r="CP216" i="13"/>
  <c r="CP229" i="13"/>
  <c r="CP230" i="13"/>
  <c r="CP232" i="13"/>
  <c r="CP254" i="13"/>
  <c r="CP256" i="13"/>
  <c r="CP269" i="13"/>
  <c r="CP270" i="13"/>
  <c r="CP272" i="13"/>
  <c r="CP285" i="13"/>
  <c r="CP286" i="13"/>
  <c r="CP288" i="13"/>
  <c r="CP300" i="13"/>
  <c r="CP302" i="13"/>
  <c r="CP316" i="13"/>
  <c r="CP318" i="13"/>
  <c r="CP332" i="13"/>
  <c r="CP334" i="13"/>
  <c r="CP351" i="13"/>
  <c r="CP359" i="13"/>
  <c r="CP367" i="13"/>
  <c r="CP383" i="13"/>
  <c r="CP384" i="13"/>
  <c r="CP386" i="13"/>
  <c r="CP399" i="13"/>
  <c r="CP400" i="13"/>
  <c r="CP402" i="13"/>
  <c r="CP442" i="13"/>
  <c r="CP432" i="13"/>
  <c r="CP434" i="13"/>
  <c r="CP356" i="13"/>
  <c r="CP364" i="13"/>
  <c r="CP379" i="13"/>
  <c r="CP380" i="13"/>
  <c r="CP387" i="13"/>
  <c r="CP388" i="13"/>
  <c r="CP395" i="13"/>
  <c r="CP396" i="13"/>
  <c r="CP403" i="13"/>
  <c r="CP404" i="13"/>
  <c r="CP411" i="13"/>
  <c r="CP412" i="13"/>
  <c r="CP419" i="13"/>
  <c r="CP420" i="13"/>
  <c r="CP427" i="13"/>
  <c r="CP428" i="13"/>
  <c r="CP435" i="13"/>
  <c r="CP436" i="13"/>
  <c r="CP443" i="13"/>
  <c r="CP444" i="13"/>
  <c r="CP201" i="13"/>
  <c r="CP202" i="13"/>
  <c r="CP209" i="13"/>
  <c r="CP210" i="13"/>
  <c r="CP217" i="13"/>
  <c r="CP218" i="13"/>
  <c r="CP225" i="13"/>
  <c r="CP226" i="13"/>
  <c r="CP233" i="13"/>
  <c r="CP234" i="13"/>
  <c r="CP257" i="13"/>
  <c r="CP258" i="13"/>
  <c r="CP265" i="13"/>
  <c r="CP266" i="13"/>
  <c r="CP273" i="13"/>
  <c r="CP274" i="13"/>
  <c r="CP281" i="13"/>
  <c r="CP282" i="13"/>
  <c r="CP289" i="13"/>
  <c r="CP290" i="13"/>
  <c r="CP336" i="13"/>
  <c r="CP352" i="13"/>
  <c r="CP360" i="13"/>
  <c r="CP368" i="13"/>
  <c r="CP375" i="13"/>
  <c r="CP424" i="13"/>
  <c r="CP250" i="12"/>
  <c r="CP299" i="12"/>
  <c r="CP300" i="12"/>
  <c r="CP303" i="12"/>
  <c r="CP307" i="12"/>
  <c r="CP313" i="12"/>
  <c r="CP371" i="12"/>
  <c r="CP373" i="12"/>
  <c r="CP377" i="12"/>
  <c r="CP385" i="12"/>
  <c r="CP433" i="12"/>
  <c r="CP417" i="12"/>
  <c r="CP231" i="12"/>
  <c r="CP232" i="12"/>
  <c r="CP239" i="12"/>
  <c r="CP251" i="12"/>
  <c r="CP252" i="12"/>
  <c r="CP254" i="12"/>
  <c r="CP258" i="12"/>
  <c r="CP283" i="12"/>
  <c r="CP284" i="12"/>
  <c r="CP286" i="12"/>
  <c r="CP290" i="12"/>
  <c r="CP317" i="12"/>
  <c r="CP321" i="12"/>
  <c r="CP355" i="12"/>
  <c r="CP357" i="12"/>
  <c r="CP361" i="12"/>
  <c r="CP387" i="12"/>
  <c r="CP389" i="12"/>
  <c r="CP393" i="12"/>
  <c r="CP418" i="12"/>
  <c r="CP419" i="12"/>
  <c r="CP421" i="12"/>
  <c r="CP434" i="12"/>
  <c r="CP435" i="12"/>
  <c r="CP450" i="12"/>
  <c r="CP451" i="12"/>
  <c r="CP453" i="12"/>
  <c r="CP470" i="12"/>
  <c r="CP223" i="12"/>
  <c r="CP224" i="12"/>
  <c r="CP226" i="12"/>
  <c r="CP259" i="12"/>
  <c r="CP260" i="12"/>
  <c r="CP262" i="12"/>
  <c r="CP275" i="12"/>
  <c r="CP276" i="12"/>
  <c r="CP278" i="12"/>
  <c r="CP291" i="12"/>
  <c r="CP292" i="12"/>
  <c r="CP294" i="12"/>
  <c r="CP308" i="12"/>
  <c r="CP309" i="12"/>
  <c r="CP311" i="12"/>
  <c r="CP325" i="12"/>
  <c r="CP347" i="12"/>
  <c r="CP349" i="12"/>
  <c r="CP363" i="12"/>
  <c r="CP365" i="12"/>
  <c r="CP379" i="12"/>
  <c r="CP381" i="12"/>
  <c r="CP394" i="12"/>
  <c r="CP395" i="12"/>
  <c r="CP397" i="12"/>
  <c r="CP411" i="12"/>
  <c r="CP413" i="12"/>
  <c r="CP429" i="12"/>
  <c r="CP445" i="12"/>
  <c r="CP437" i="12"/>
  <c r="CP466" i="12"/>
  <c r="CP219" i="12"/>
  <c r="CP220" i="12"/>
  <c r="CP227" i="12"/>
  <c r="CP228" i="12"/>
  <c r="CP255" i="12"/>
  <c r="CP256" i="12"/>
  <c r="CP263" i="12"/>
  <c r="CP264" i="12"/>
  <c r="CP271" i="12"/>
  <c r="CP272" i="12"/>
  <c r="CP279" i="12"/>
  <c r="CP280" i="12"/>
  <c r="CP287" i="12"/>
  <c r="CP288" i="12"/>
  <c r="CP295" i="12"/>
  <c r="CP296" i="12"/>
  <c r="CP304" i="12"/>
  <c r="CP305" i="12"/>
  <c r="CP319" i="12"/>
  <c r="CP327" i="12"/>
  <c r="CP343" i="12"/>
  <c r="CP351" i="12"/>
  <c r="CP359" i="12"/>
  <c r="CP367" i="12"/>
  <c r="CP375" i="12"/>
  <c r="CP383" i="12"/>
  <c r="CP390" i="12"/>
  <c r="CP391" i="12"/>
  <c r="CP398" i="12"/>
  <c r="CP399" i="12"/>
  <c r="CP406" i="12"/>
  <c r="CP407" i="12"/>
  <c r="CP414" i="12"/>
  <c r="CP415" i="12"/>
  <c r="CP422" i="12"/>
  <c r="CP423" i="12"/>
  <c r="CP430" i="12"/>
  <c r="CP431" i="12"/>
  <c r="CP438" i="12"/>
  <c r="CP439" i="12"/>
  <c r="CP446" i="12"/>
  <c r="CP447" i="12"/>
  <c r="CP454" i="12"/>
  <c r="CP455" i="12"/>
  <c r="CP462" i="12"/>
  <c r="CP463" i="12"/>
  <c r="CP467" i="12"/>
  <c r="CP239" i="4"/>
  <c r="CP255" i="4"/>
  <c r="CP353" i="4"/>
  <c r="CP360" i="4"/>
  <c r="CP401" i="4"/>
  <c r="CP408" i="4"/>
  <c r="CP416" i="4"/>
  <c r="CP392" i="4"/>
  <c r="CP417" i="4"/>
  <c r="CP424" i="4"/>
  <c r="CP221" i="4"/>
  <c r="CP256" i="4"/>
  <c r="CP259" i="4"/>
  <c r="CP263" i="4"/>
  <c r="CP271" i="4"/>
  <c r="CP288" i="4"/>
  <c r="CP346" i="4"/>
  <c r="CP361" i="4"/>
  <c r="CP362" i="4"/>
  <c r="CP364" i="4"/>
  <c r="CP393" i="4"/>
  <c r="CP396" i="4"/>
  <c r="CP409" i="4"/>
  <c r="CP410" i="4"/>
  <c r="CP425" i="4"/>
  <c r="CP426" i="4"/>
  <c r="CP428" i="4"/>
  <c r="CP432" i="4"/>
  <c r="CP240" i="4"/>
  <c r="CP243" i="4"/>
  <c r="CP289" i="4"/>
  <c r="CP290" i="4"/>
  <c r="CP292" i="4"/>
  <c r="CP296" i="4"/>
  <c r="CP304" i="4"/>
  <c r="CP209" i="4"/>
  <c r="CP404" i="4"/>
  <c r="CP420" i="4"/>
  <c r="CP433" i="4"/>
  <c r="CP436" i="4"/>
  <c r="CP247" i="4"/>
  <c r="CP272" i="4"/>
  <c r="CP275" i="4"/>
  <c r="CP279" i="4"/>
  <c r="CP305" i="4"/>
  <c r="CP306" i="4"/>
  <c r="CP308" i="4"/>
  <c r="CP312" i="4"/>
  <c r="CP368" i="4"/>
  <c r="CP412" i="4"/>
  <c r="CP307" i="11"/>
  <c r="CP309" i="11"/>
  <c r="CP313" i="11"/>
  <c r="CP345" i="11"/>
  <c r="CP329" i="11"/>
  <c r="CP377" i="11"/>
  <c r="CP258" i="11"/>
  <c r="CP272" i="11"/>
  <c r="CP378" i="11"/>
  <c r="CP379" i="11"/>
  <c r="CP381" i="11"/>
  <c r="CP385" i="11"/>
  <c r="CP393" i="11"/>
  <c r="CP409" i="11"/>
  <c r="CP202" i="11"/>
  <c r="CP273" i="11"/>
  <c r="CP274" i="11"/>
  <c r="CP280" i="11"/>
  <c r="CP289" i="11"/>
  <c r="CP346" i="11"/>
  <c r="CP347" i="11"/>
  <c r="CP349" i="11"/>
  <c r="CP353" i="11"/>
  <c r="CP361" i="11"/>
  <c r="CP410" i="11"/>
  <c r="CP411" i="11"/>
  <c r="CP413" i="11"/>
  <c r="CP417" i="11"/>
  <c r="CP425" i="11"/>
  <c r="CP210" i="4"/>
  <c r="CP211" i="4"/>
  <c r="CP213" i="4"/>
  <c r="CP248" i="4"/>
  <c r="CP251" i="4"/>
  <c r="CP264" i="4"/>
  <c r="CP267" i="4"/>
  <c r="CP280" i="4"/>
  <c r="CP281" i="4"/>
  <c r="CP284" i="4"/>
  <c r="CP297" i="4"/>
  <c r="CP298" i="4"/>
  <c r="CP300" i="4"/>
  <c r="CP313" i="4"/>
  <c r="CP314" i="4"/>
  <c r="CP316" i="4"/>
  <c r="CP337" i="4"/>
  <c r="CP338" i="4"/>
  <c r="CP340" i="4"/>
  <c r="CP354" i="4"/>
  <c r="CP356" i="4"/>
  <c r="CP369" i="4"/>
  <c r="CP370" i="4"/>
  <c r="CP372" i="4"/>
  <c r="CP385" i="4"/>
  <c r="CP386" i="4"/>
  <c r="CP388" i="4"/>
  <c r="CP397" i="4"/>
  <c r="CP405" i="4"/>
  <c r="CP413" i="4"/>
  <c r="CP421" i="4"/>
  <c r="CP429" i="4"/>
  <c r="CP437" i="4"/>
  <c r="CP451" i="4"/>
  <c r="CP348" i="4"/>
  <c r="CP394" i="4"/>
  <c r="L71" i="16"/>
  <c r="F66" i="18" s="1"/>
  <c r="K66" i="18" s="1"/>
  <c r="N46" i="16"/>
  <c r="L51" i="16"/>
  <c r="F64" i="18" s="1"/>
  <c r="K64" i="18" s="1"/>
  <c r="M21" i="16"/>
  <c r="M71" i="16"/>
  <c r="M66" i="18" s="1"/>
  <c r="N58" i="16"/>
  <c r="N36" i="16"/>
  <c r="L41" i="16"/>
  <c r="F63" i="18" s="1"/>
  <c r="K63" i="18" s="1"/>
  <c r="N66" i="16"/>
  <c r="J53" i="17"/>
  <c r="CP174" i="15"/>
  <c r="CP178" i="15"/>
  <c r="CP182" i="15"/>
  <c r="CP186" i="15"/>
  <c r="CP190" i="15"/>
  <c r="CP194" i="15"/>
  <c r="CP198" i="15"/>
  <c r="CP202" i="15"/>
  <c r="CP206" i="15"/>
  <c r="CP221" i="15"/>
  <c r="CP233" i="15"/>
  <c r="CP241" i="15"/>
  <c r="CP249" i="15"/>
  <c r="CP257" i="15"/>
  <c r="CP265" i="15"/>
  <c r="CP273" i="15"/>
  <c r="CP281" i="15"/>
  <c r="CP289" i="15"/>
  <c r="CP297" i="15"/>
  <c r="CP210" i="15"/>
  <c r="CP214" i="15"/>
  <c r="CP390" i="15"/>
  <c r="CP394" i="15"/>
  <c r="CP398" i="15"/>
  <c r="CP405" i="15"/>
  <c r="CP409" i="15"/>
  <c r="CP413" i="15"/>
  <c r="CP417" i="15"/>
  <c r="CP421" i="15"/>
  <c r="CP425" i="15"/>
  <c r="CP230" i="14"/>
  <c r="CP234" i="14"/>
  <c r="CP238" i="14"/>
  <c r="CP242" i="14"/>
  <c r="CP246" i="14"/>
  <c r="CP250" i="14"/>
  <c r="CP254" i="14"/>
  <c r="CP258" i="14"/>
  <c r="CP262" i="14"/>
  <c r="CP270" i="14"/>
  <c r="CP282" i="14"/>
  <c r="CP286" i="14"/>
  <c r="CP290" i="14"/>
  <c r="CP294" i="14"/>
  <c r="CP298" i="14"/>
  <c r="CP303" i="14"/>
  <c r="CP311" i="14"/>
  <c r="CP319" i="14"/>
  <c r="CP327" i="14"/>
  <c r="CP335" i="14"/>
  <c r="CP343" i="14"/>
  <c r="CP351" i="14"/>
  <c r="CP362" i="14"/>
  <c r="CP300" i="14"/>
  <c r="CP304" i="14"/>
  <c r="CP308" i="14"/>
  <c r="CP312" i="14"/>
  <c r="CP375" i="14"/>
  <c r="CP379" i="14"/>
  <c r="CP383" i="14"/>
  <c r="CP387" i="14"/>
  <c r="CP391" i="14"/>
  <c r="CP395" i="14"/>
  <c r="CP399" i="14"/>
  <c r="CP403" i="14"/>
  <c r="CP407" i="14"/>
  <c r="CP411" i="14"/>
  <c r="CP415" i="14"/>
  <c r="CP419" i="14"/>
  <c r="CP423" i="14"/>
  <c r="CP427" i="14"/>
  <c r="CP431" i="14"/>
  <c r="CP435" i="14"/>
  <c r="CP439" i="14"/>
  <c r="CP443" i="14"/>
  <c r="CP447" i="14"/>
  <c r="CP451" i="14"/>
  <c r="CP455" i="14"/>
  <c r="CP459" i="14"/>
  <c r="CP463" i="14"/>
  <c r="CP467" i="14"/>
  <c r="CP471" i="14"/>
  <c r="CP475" i="14"/>
  <c r="CP479" i="14"/>
  <c r="CP483" i="14"/>
  <c r="CP199" i="13"/>
  <c r="CP203" i="13"/>
  <c r="CP207" i="13"/>
  <c r="CP211" i="13"/>
  <c r="CP215" i="13"/>
  <c r="CP219" i="13"/>
  <c r="CP223" i="13"/>
  <c r="CP227" i="13"/>
  <c r="CP231" i="13"/>
  <c r="CP235" i="13"/>
  <c r="CP255" i="13"/>
  <c r="CP259" i="13"/>
  <c r="CP263" i="13"/>
  <c r="CP267" i="13"/>
  <c r="CP271" i="13"/>
  <c r="CP275" i="13"/>
  <c r="CP279" i="13"/>
  <c r="CP296" i="13"/>
  <c r="CP304" i="13"/>
  <c r="CP312" i="13"/>
  <c r="CP320" i="13"/>
  <c r="CP328" i="13"/>
  <c r="CP293" i="13"/>
  <c r="CP297" i="13"/>
  <c r="CP301" i="13"/>
  <c r="CP305" i="13"/>
  <c r="CP309" i="13"/>
  <c r="CP313" i="13"/>
  <c r="CP317" i="13"/>
  <c r="CP321" i="13"/>
  <c r="CP325" i="13"/>
  <c r="CP329" i="13"/>
  <c r="CP333" i="13"/>
  <c r="CP337" i="13"/>
  <c r="CP345" i="13"/>
  <c r="CP349" i="13"/>
  <c r="CP353" i="13"/>
  <c r="CP357" i="13"/>
  <c r="CP361" i="13"/>
  <c r="CP365" i="13"/>
  <c r="CP369" i="13"/>
  <c r="CP373" i="13"/>
  <c r="CP377" i="13"/>
  <c r="CP381" i="13"/>
  <c r="CP385" i="13"/>
  <c r="CP389" i="13"/>
  <c r="CP393" i="13"/>
  <c r="CP397" i="13"/>
  <c r="CP401" i="13"/>
  <c r="CP405" i="13"/>
  <c r="CP409" i="13"/>
  <c r="CP413" i="13"/>
  <c r="CP417" i="13"/>
  <c r="CP421" i="13"/>
  <c r="CP425" i="13"/>
  <c r="CP429" i="13"/>
  <c r="CP433" i="13"/>
  <c r="CP437" i="13"/>
  <c r="CP441" i="13"/>
  <c r="CP445" i="13"/>
  <c r="CP449" i="13"/>
  <c r="CP217" i="12"/>
  <c r="CP221" i="12"/>
  <c r="CP225" i="12"/>
  <c r="CP229" i="12"/>
  <c r="CP233" i="12"/>
  <c r="CP249" i="12"/>
  <c r="CP253" i="12"/>
  <c r="CP257" i="12"/>
  <c r="CP261" i="12"/>
  <c r="CP265" i="12"/>
  <c r="CP269" i="12"/>
  <c r="CP273" i="12"/>
  <c r="CP277" i="12"/>
  <c r="CP281" i="12"/>
  <c r="CP285" i="12"/>
  <c r="CP289" i="12"/>
  <c r="CP293" i="12"/>
  <c r="CP297" i="12"/>
  <c r="CP301" i="12"/>
  <c r="CP315" i="12"/>
  <c r="CP323" i="12"/>
  <c r="CP331" i="12"/>
  <c r="CP312" i="12"/>
  <c r="CP316" i="12"/>
  <c r="CP320" i="12"/>
  <c r="CP324" i="12"/>
  <c r="CP328" i="12"/>
  <c r="CP332" i="12"/>
  <c r="CP340" i="12"/>
  <c r="CP344" i="12"/>
  <c r="CP348" i="12"/>
  <c r="CP352" i="12"/>
  <c r="CP356" i="12"/>
  <c r="CP360" i="12"/>
  <c r="CP364" i="12"/>
  <c r="CP368" i="12"/>
  <c r="CP372" i="12"/>
  <c r="CP376" i="12"/>
  <c r="CP380" i="12"/>
  <c r="CP384" i="12"/>
  <c r="CP388" i="12"/>
  <c r="CP392" i="12"/>
  <c r="CP396" i="12"/>
  <c r="CP400" i="12"/>
  <c r="CP404" i="12"/>
  <c r="CP408" i="12"/>
  <c r="CP412" i="12"/>
  <c r="CP416" i="12"/>
  <c r="CP420" i="12"/>
  <c r="CP424" i="12"/>
  <c r="CP428" i="12"/>
  <c r="CP432" i="12"/>
  <c r="CP436" i="12"/>
  <c r="CP440" i="12"/>
  <c r="CP444" i="12"/>
  <c r="CP448" i="12"/>
  <c r="CP452" i="12"/>
  <c r="CP456" i="12"/>
  <c r="CP460" i="12"/>
  <c r="CP464" i="12"/>
  <c r="CP468" i="12"/>
  <c r="CP203" i="11"/>
  <c r="CP204" i="11"/>
  <c r="CP206" i="11"/>
  <c r="CP210" i="11"/>
  <c r="CP259" i="11"/>
  <c r="CP260" i="11"/>
  <c r="CP266" i="11"/>
  <c r="CP291" i="11"/>
  <c r="CP297" i="11"/>
  <c r="CP330" i="11"/>
  <c r="CP331" i="11"/>
  <c r="CP333" i="11"/>
  <c r="CP337" i="11"/>
  <c r="CP362" i="11"/>
  <c r="CP363" i="11"/>
  <c r="CP365" i="11"/>
  <c r="CP369" i="11"/>
  <c r="CP394" i="11"/>
  <c r="CP395" i="11"/>
  <c r="CP397" i="11"/>
  <c r="CP401" i="11"/>
  <c r="CP426" i="11"/>
  <c r="CP427" i="11"/>
  <c r="CP429" i="11"/>
  <c r="CP433" i="11"/>
  <c r="CP199" i="4"/>
  <c r="CP206" i="4"/>
  <c r="CP207" i="4"/>
  <c r="CP214" i="4"/>
  <c r="CP215" i="4"/>
  <c r="CP222" i="4"/>
  <c r="CP228" i="4"/>
  <c r="CP244" i="4"/>
  <c r="CP245" i="4"/>
  <c r="CP252" i="4"/>
  <c r="CP253" i="4"/>
  <c r="CP260" i="4"/>
  <c r="CP261" i="4"/>
  <c r="CP268" i="4"/>
  <c r="CP269" i="4"/>
  <c r="CP276" i="4"/>
  <c r="CP277" i="4"/>
  <c r="CP285" i="4"/>
  <c r="CP286" i="4"/>
  <c r="CP293" i="4"/>
  <c r="CP294" i="4"/>
  <c r="CP301" i="4"/>
  <c r="CP302" i="4"/>
  <c r="CP309" i="4"/>
  <c r="CP310" i="4"/>
  <c r="CP317" i="4"/>
  <c r="CP318" i="4"/>
  <c r="CP333" i="4"/>
  <c r="CP334" i="4"/>
  <c r="CP341" i="4"/>
  <c r="CP342" i="4"/>
  <c r="CP349" i="4"/>
  <c r="CP350" i="4"/>
  <c r="CP357" i="4"/>
  <c r="CP358" i="4"/>
  <c r="CP365" i="4"/>
  <c r="CP366" i="4"/>
  <c r="CP373" i="4"/>
  <c r="CP374" i="4"/>
  <c r="CP381" i="4"/>
  <c r="CP382" i="4"/>
  <c r="CP389" i="4"/>
  <c r="CP390" i="4"/>
  <c r="CP398" i="4"/>
  <c r="CP406" i="4"/>
  <c r="CP414" i="4"/>
  <c r="CP422" i="4"/>
  <c r="CP430" i="4"/>
  <c r="CP438" i="4"/>
  <c r="CP402" i="4"/>
  <c r="CP418" i="4"/>
  <c r="CP434" i="4"/>
  <c r="CP198" i="11"/>
  <c r="CP211" i="11"/>
  <c r="CP212" i="11"/>
  <c r="CP214" i="11"/>
  <c r="CP238" i="11"/>
  <c r="CP251" i="11"/>
  <c r="CP252" i="11"/>
  <c r="CP254" i="11"/>
  <c r="CP268" i="11"/>
  <c r="CP281" i="11"/>
  <c r="CP283" i="11"/>
  <c r="CP285" i="11"/>
  <c r="CP299" i="11"/>
  <c r="CP301" i="11"/>
  <c r="CP315" i="11"/>
  <c r="CP317" i="11"/>
  <c r="CP338" i="11"/>
  <c r="CP339" i="11"/>
  <c r="CP341" i="11"/>
  <c r="CP354" i="11"/>
  <c r="CP355" i="11"/>
  <c r="CP357" i="11"/>
  <c r="CP370" i="11"/>
  <c r="CP371" i="11"/>
  <c r="CP373" i="11"/>
  <c r="CP386" i="11"/>
  <c r="CP387" i="11"/>
  <c r="CP389" i="11"/>
  <c r="CP402" i="11"/>
  <c r="CP403" i="11"/>
  <c r="CP405" i="11"/>
  <c r="CP418" i="11"/>
  <c r="CP419" i="11"/>
  <c r="CP421" i="11"/>
  <c r="CP434" i="11"/>
  <c r="CP435" i="11"/>
  <c r="CP437" i="11"/>
  <c r="CP200" i="4"/>
  <c r="CP204" i="4"/>
  <c r="CP208" i="4"/>
  <c r="CP212" i="4"/>
  <c r="CP216" i="4"/>
  <c r="CP220" i="4"/>
  <c r="CP241" i="4"/>
  <c r="CP249" i="4"/>
  <c r="CP257" i="4"/>
  <c r="CP265" i="4"/>
  <c r="CP273" i="4"/>
  <c r="CP238" i="4"/>
  <c r="CP242" i="4"/>
  <c r="CP246" i="4"/>
  <c r="CP250" i="4"/>
  <c r="CP254" i="4"/>
  <c r="CP258" i="4"/>
  <c r="CP262" i="4"/>
  <c r="CP266" i="4"/>
  <c r="CP270" i="4"/>
  <c r="CP274" i="4"/>
  <c r="CP278" i="4"/>
  <c r="CP282" i="4"/>
  <c r="CP395" i="4"/>
  <c r="CP399" i="4"/>
  <c r="CP403" i="4"/>
  <c r="CP407" i="4"/>
  <c r="CP411" i="4"/>
  <c r="CP415" i="4"/>
  <c r="CP419" i="4"/>
  <c r="CP423" i="4"/>
  <c r="CP427" i="4"/>
  <c r="CP431" i="4"/>
  <c r="CP435" i="4"/>
  <c r="CP439" i="4"/>
  <c r="CP443" i="4"/>
  <c r="CP447" i="4"/>
  <c r="CP449" i="4"/>
  <c r="CP234" i="15"/>
  <c r="CP238" i="15"/>
  <c r="CP242" i="15"/>
  <c r="CP246" i="15"/>
  <c r="CP250" i="15"/>
  <c r="CP254" i="15"/>
  <c r="CP258" i="15"/>
  <c r="CP262" i="15"/>
  <c r="CP266" i="15"/>
  <c r="CP270" i="15"/>
  <c r="CP274" i="15"/>
  <c r="CP278" i="15"/>
  <c r="CP282" i="15"/>
  <c r="CP286" i="15"/>
  <c r="CP290" i="15"/>
  <c r="CP294" i="15"/>
  <c r="CP298" i="15"/>
  <c r="CP302" i="15"/>
  <c r="CP306" i="15"/>
  <c r="CP310" i="15"/>
  <c r="CP314" i="15"/>
  <c r="CP322" i="15"/>
  <c r="CP326" i="15"/>
  <c r="CP330" i="15"/>
  <c r="CP334" i="15"/>
  <c r="CP338" i="15"/>
  <c r="CP342" i="15"/>
  <c r="CP346" i="15"/>
  <c r="CP350" i="15"/>
  <c r="CP354" i="15"/>
  <c r="CP358" i="15"/>
  <c r="CP362" i="15"/>
  <c r="CP366" i="15"/>
  <c r="CP370" i="15"/>
  <c r="CP374" i="15"/>
  <c r="CP378" i="15"/>
  <c r="CP382" i="15"/>
  <c r="CP386" i="15"/>
  <c r="CP388" i="15"/>
  <c r="CP316" i="14"/>
  <c r="CP320" i="14"/>
  <c r="CP324" i="14"/>
  <c r="CP328" i="14"/>
  <c r="CP332" i="14"/>
  <c r="CP336" i="14"/>
  <c r="CP340" i="14"/>
  <c r="CP344" i="14"/>
  <c r="CP348" i="14"/>
  <c r="CP352" i="14"/>
  <c r="CP359" i="14"/>
  <c r="CP363" i="14"/>
  <c r="CP283" i="13"/>
  <c r="CP287" i="13"/>
  <c r="CP291" i="13"/>
  <c r="CP295" i="13"/>
  <c r="CP299" i="13"/>
  <c r="CP303" i="13"/>
  <c r="CP307" i="13"/>
  <c r="CP311" i="13"/>
  <c r="CP315" i="13"/>
  <c r="CP319" i="13"/>
  <c r="CP323" i="13"/>
  <c r="CP327" i="13"/>
  <c r="CP331" i="13"/>
  <c r="CP335" i="13"/>
  <c r="CP302" i="12"/>
  <c r="CP306" i="12"/>
  <c r="CP310" i="12"/>
  <c r="CP314" i="12"/>
  <c r="CP318" i="12"/>
  <c r="CP322" i="12"/>
  <c r="CP326" i="12"/>
  <c r="CP330" i="12"/>
  <c r="CP342" i="12"/>
  <c r="CP346" i="12"/>
  <c r="CP350" i="12"/>
  <c r="CP354" i="12"/>
  <c r="CP358" i="12"/>
  <c r="CP362" i="12"/>
  <c r="CP366" i="12"/>
  <c r="CP370" i="12"/>
  <c r="CP374" i="12"/>
  <c r="CP378" i="12"/>
  <c r="CP382" i="12"/>
  <c r="CP386" i="12"/>
  <c r="CP199" i="11"/>
  <c r="CP200" i="11"/>
  <c r="CP207" i="11"/>
  <c r="CP208" i="11"/>
  <c r="CP215" i="11"/>
  <c r="CP216" i="11"/>
  <c r="CP246" i="11"/>
  <c r="CP262" i="11"/>
  <c r="CP276" i="11"/>
  <c r="CP293" i="11"/>
  <c r="CP239" i="11"/>
  <c r="CP240" i="11"/>
  <c r="CP247" i="11"/>
  <c r="CP248" i="11"/>
  <c r="CP255" i="11"/>
  <c r="CP256" i="11"/>
  <c r="CP263" i="11"/>
  <c r="CP264" i="11"/>
  <c r="CP269" i="11"/>
  <c r="CP277" i="11"/>
  <c r="CP334" i="11"/>
  <c r="CP342" i="11"/>
  <c r="CP350" i="11"/>
  <c r="CP358" i="11"/>
  <c r="CP359" i="11"/>
  <c r="CP366" i="11"/>
  <c r="CP367" i="11"/>
  <c r="CP374" i="11"/>
  <c r="CP375" i="11"/>
  <c r="CP382" i="11"/>
  <c r="CP383" i="11"/>
  <c r="CP390" i="11"/>
  <c r="CP391" i="11"/>
  <c r="CP398" i="11"/>
  <c r="CP399" i="11"/>
  <c r="CP406" i="11"/>
  <c r="CP407" i="11"/>
  <c r="CP414" i="11"/>
  <c r="CP415" i="11"/>
  <c r="CP422" i="11"/>
  <c r="CP423" i="11"/>
  <c r="CP430" i="11"/>
  <c r="CP431" i="11"/>
  <c r="CP438" i="11"/>
  <c r="CP439" i="11"/>
  <c r="CP448" i="11"/>
  <c r="CP449" i="11"/>
  <c r="CP197" i="11"/>
  <c r="CP201" i="11"/>
  <c r="CP205" i="11"/>
  <c r="CP209" i="11"/>
  <c r="CP213" i="11"/>
  <c r="CP217" i="11"/>
  <c r="CP221" i="11"/>
  <c r="CP237" i="11"/>
  <c r="CP241" i="11"/>
  <c r="CP245" i="11"/>
  <c r="CP249" i="11"/>
  <c r="CP253" i="11"/>
  <c r="CP257" i="11"/>
  <c r="CP261" i="11"/>
  <c r="CP265" i="11"/>
  <c r="CP270" i="11"/>
  <c r="CP278" i="11"/>
  <c r="CP287" i="11"/>
  <c r="CP295" i="11"/>
  <c r="CP303" i="11"/>
  <c r="CP311" i="11"/>
  <c r="CP319" i="11"/>
  <c r="CP335" i="11"/>
  <c r="CP343" i="11"/>
  <c r="CP351" i="11"/>
  <c r="CP267" i="11"/>
  <c r="CP271" i="11"/>
  <c r="CP275" i="11"/>
  <c r="CP279" i="11"/>
  <c r="CP284" i="11"/>
  <c r="CP288" i="11"/>
  <c r="CP292" i="11"/>
  <c r="CP296" i="11"/>
  <c r="CP300" i="11"/>
  <c r="CP304" i="11"/>
  <c r="CP308" i="11"/>
  <c r="CP312" i="11"/>
  <c r="CP316" i="11"/>
  <c r="CP344" i="11"/>
  <c r="CP348" i="11"/>
  <c r="CP352" i="11"/>
  <c r="CP356" i="11"/>
  <c r="CP360" i="11"/>
  <c r="CP364" i="11"/>
  <c r="CP368" i="11"/>
  <c r="CP372" i="11"/>
  <c r="CP376" i="11"/>
  <c r="CP380" i="11"/>
  <c r="CP384" i="11"/>
  <c r="CP388" i="11"/>
  <c r="CP392" i="11"/>
  <c r="CP396" i="11"/>
  <c r="CP400" i="11"/>
  <c r="CP404" i="11"/>
  <c r="CP408" i="11"/>
  <c r="CP412" i="11"/>
  <c r="CP416" i="11"/>
  <c r="CP420" i="11"/>
  <c r="CP424" i="11"/>
  <c r="CP428" i="11"/>
  <c r="CP432" i="11"/>
  <c r="CP436" i="11"/>
  <c r="CP440" i="11"/>
  <c r="CP446" i="11"/>
  <c r="CP450" i="11"/>
  <c r="CP320" i="11"/>
  <c r="CP328" i="11"/>
  <c r="CP332" i="11"/>
  <c r="CP336" i="11"/>
  <c r="CP340" i="11"/>
  <c r="CP282" i="11"/>
  <c r="CP286" i="11"/>
  <c r="CP290" i="11"/>
  <c r="CP294" i="11"/>
  <c r="CP298" i="11"/>
  <c r="CP302" i="11"/>
  <c r="CP306" i="11"/>
  <c r="CP310" i="11"/>
  <c r="CP314" i="11"/>
  <c r="CP318" i="11"/>
  <c r="CP283" i="4"/>
  <c r="CP287" i="4"/>
  <c r="CP291" i="4"/>
  <c r="CP295" i="4"/>
  <c r="CP299" i="4"/>
  <c r="CP303" i="4"/>
  <c r="CP307" i="4"/>
  <c r="CP311" i="4"/>
  <c r="CP315" i="4"/>
  <c r="CP319" i="4"/>
  <c r="CP331" i="4"/>
  <c r="CP335" i="4"/>
  <c r="CP339" i="4"/>
  <c r="CP343" i="4"/>
  <c r="CP347" i="4"/>
  <c r="CP351" i="4"/>
  <c r="CP355" i="4"/>
  <c r="CP359" i="4"/>
  <c r="CP363" i="4"/>
  <c r="CP367" i="4"/>
  <c r="CP371" i="4"/>
  <c r="CP375" i="4"/>
  <c r="CP379" i="4"/>
  <c r="CP383" i="4"/>
  <c r="CP387" i="4"/>
  <c r="CP391" i="4"/>
  <c r="CP198" i="4"/>
  <c r="J32" i="17" l="1"/>
  <c r="L61" i="16"/>
  <c r="F65" i="18" s="1"/>
  <c r="K65" i="18" s="1"/>
  <c r="W36" i="15"/>
  <c r="W35" i="15"/>
  <c r="W38" i="15"/>
  <c r="W50" i="14"/>
  <c r="W47" i="14"/>
  <c r="W58" i="14"/>
  <c r="W59" i="14"/>
  <c r="W51" i="14"/>
  <c r="W48" i="14"/>
  <c r="W49" i="14"/>
  <c r="W56" i="14"/>
  <c r="W57" i="14"/>
  <c r="W60" i="14"/>
  <c r="AO52" i="12"/>
  <c r="AW52" i="12"/>
  <c r="AX52" i="12" s="1"/>
  <c r="AR50" i="12"/>
  <c r="AO49" i="12"/>
  <c r="AW49" i="12"/>
  <c r="AX49" i="12" s="1"/>
  <c r="AQ51" i="12"/>
  <c r="AP51" i="12"/>
  <c r="L17" i="17"/>
  <c r="J24" i="17"/>
  <c r="M73" i="18"/>
  <c r="N73" i="18" s="1"/>
  <c r="AO36" i="15"/>
  <c r="AP36" i="15" s="1"/>
  <c r="AJ36" i="15"/>
  <c r="AK36" i="15" s="1"/>
  <c r="AO35" i="15"/>
  <c r="AP35" i="15" s="1"/>
  <c r="AJ35" i="15"/>
  <c r="AK35" i="15" s="1"/>
  <c r="AO38" i="15"/>
  <c r="AP38" i="15" s="1"/>
  <c r="AJ38" i="15"/>
  <c r="AK38" i="15" s="1"/>
  <c r="AO37" i="15"/>
  <c r="AP37" i="15" s="1"/>
  <c r="AJ37" i="15"/>
  <c r="AK37" i="15" s="1"/>
  <c r="AO34" i="15"/>
  <c r="AP34" i="15" s="1"/>
  <c r="AJ34" i="15"/>
  <c r="AK34" i="15" s="1"/>
  <c r="W23" i="15"/>
  <c r="W20" i="15"/>
  <c r="W21" i="15"/>
  <c r="W22" i="15"/>
  <c r="N21" i="16"/>
  <c r="M61" i="18"/>
  <c r="N61" i="18" s="1"/>
  <c r="N66" i="18"/>
  <c r="K32" i="17"/>
  <c r="F72" i="18"/>
  <c r="K72" i="18" s="1"/>
  <c r="K53" i="17"/>
  <c r="L53" i="17" s="1"/>
  <c r="M74" i="18"/>
  <c r="N74" i="18" s="1"/>
  <c r="W73" i="14"/>
  <c r="AC73" i="14" s="1"/>
  <c r="AD73" i="14" s="1"/>
  <c r="BG73" i="14" s="1"/>
  <c r="BH73" i="14" s="1"/>
  <c r="W72" i="14"/>
  <c r="AQ35" i="15"/>
  <c r="W18" i="14"/>
  <c r="AC18" i="14" s="1"/>
  <c r="AD18" i="14" s="1"/>
  <c r="W34" i="14"/>
  <c r="W36" i="14"/>
  <c r="W22" i="14"/>
  <c r="W37" i="14"/>
  <c r="AC37" i="14" s="1"/>
  <c r="AD37" i="14" s="1"/>
  <c r="BG37" i="14" s="1"/>
  <c r="BH37" i="14" s="1"/>
  <c r="W38" i="14"/>
  <c r="AC38" i="14" s="1"/>
  <c r="AD38" i="14" s="1"/>
  <c r="BG38" i="14" s="1"/>
  <c r="BH38" i="14" s="1"/>
  <c r="W29" i="14"/>
  <c r="W30" i="14"/>
  <c r="W32" i="14"/>
  <c r="W33" i="14"/>
  <c r="W17" i="14"/>
  <c r="AC17" i="14" s="1"/>
  <c r="AD17" i="14" s="1"/>
  <c r="W19" i="14"/>
  <c r="W35" i="14"/>
  <c r="AC35" i="14" s="1"/>
  <c r="AD35" i="14" s="1"/>
  <c r="W20" i="14"/>
  <c r="W21" i="14"/>
  <c r="W23" i="14"/>
  <c r="W24" i="14"/>
  <c r="W25" i="14"/>
  <c r="W26" i="14"/>
  <c r="W27" i="14"/>
  <c r="W31" i="14"/>
  <c r="N71" i="16"/>
  <c r="M51" i="16"/>
  <c r="M41" i="16"/>
  <c r="J41" i="17"/>
  <c r="M61" i="16" l="1"/>
  <c r="AQ34" i="15"/>
  <c r="AO51" i="14"/>
  <c r="AQ51" i="14" s="1"/>
  <c r="AJ51" i="14"/>
  <c r="AK51" i="14" s="1"/>
  <c r="AO50" i="14"/>
  <c r="AQ50" i="14" s="1"/>
  <c r="AJ50" i="14"/>
  <c r="AK50" i="14" s="1"/>
  <c r="AO48" i="14"/>
  <c r="AP48" i="14" s="1"/>
  <c r="AJ48" i="14"/>
  <c r="AK48" i="14" s="1"/>
  <c r="AO47" i="14"/>
  <c r="AQ47" i="14" s="1"/>
  <c r="AO49" i="14"/>
  <c r="AQ49" i="14" s="1"/>
  <c r="AJ49" i="14"/>
  <c r="AK49" i="14" s="1"/>
  <c r="AP47" i="14"/>
  <c r="AP49" i="14"/>
  <c r="AR51" i="12"/>
  <c r="BF51" i="12"/>
  <c r="AP49" i="12"/>
  <c r="AQ49" i="12"/>
  <c r="AP52" i="12"/>
  <c r="AQ52" i="12"/>
  <c r="F71" i="18"/>
  <c r="K71" i="18" s="1"/>
  <c r="K24" i="17"/>
  <c r="M72" i="18"/>
  <c r="N72" i="18" s="1"/>
  <c r="L32" i="17"/>
  <c r="AQ38" i="15"/>
  <c r="AR38" i="15" s="1"/>
  <c r="AQ36" i="15"/>
  <c r="AQ37" i="15"/>
  <c r="AR37" i="15" s="1"/>
  <c r="AO22" i="15"/>
  <c r="AQ22" i="15" s="1"/>
  <c r="AO21" i="15"/>
  <c r="AQ21" i="15" s="1"/>
  <c r="AO23" i="15"/>
  <c r="AQ23" i="15" s="1"/>
  <c r="AO20" i="15"/>
  <c r="AQ20" i="15" s="1"/>
  <c r="AO36" i="14"/>
  <c r="AQ36" i="14" s="1"/>
  <c r="AW36" i="14"/>
  <c r="AX36" i="14" s="1"/>
  <c r="BG35" i="14"/>
  <c r="BH35" i="14" s="1"/>
  <c r="AC39" i="14"/>
  <c r="AD39" i="14" s="1"/>
  <c r="AC40" i="14" s="1"/>
  <c r="AD40" i="14" s="1"/>
  <c r="AO34" i="14"/>
  <c r="AP34" i="14" s="1"/>
  <c r="AW34" i="14"/>
  <c r="AX34" i="14" s="1"/>
  <c r="AO33" i="14"/>
  <c r="AQ33" i="14" s="1"/>
  <c r="AW33" i="14"/>
  <c r="AX33" i="14" s="1"/>
  <c r="AO32" i="14"/>
  <c r="AQ32" i="14" s="1"/>
  <c r="AW32" i="14"/>
  <c r="AX32" i="14" s="1"/>
  <c r="AO31" i="14"/>
  <c r="AQ31" i="14" s="1"/>
  <c r="AW31" i="14"/>
  <c r="AX31" i="14" s="1"/>
  <c r="AO30" i="14"/>
  <c r="AQ30" i="14" s="1"/>
  <c r="AW30" i="14"/>
  <c r="AX30" i="14" s="1"/>
  <c r="AO29" i="14"/>
  <c r="AP29" i="14" s="1"/>
  <c r="AW29" i="14"/>
  <c r="AX29" i="14" s="1"/>
  <c r="AW39" i="14" s="1"/>
  <c r="AX39" i="14" s="1"/>
  <c r="AW40" i="14" s="1"/>
  <c r="AX40" i="14" s="1"/>
  <c r="AQ27" i="14"/>
  <c r="AR27" i="14" s="1"/>
  <c r="AC27" i="14"/>
  <c r="AD27" i="14" s="1"/>
  <c r="AJ27" i="14"/>
  <c r="AK27" i="14" s="1"/>
  <c r="AJ26" i="14"/>
  <c r="AK26" i="14" s="1"/>
  <c r="AQ26" i="14"/>
  <c r="AR26" i="14" s="1"/>
  <c r="AC26" i="14"/>
  <c r="AD26" i="14" s="1"/>
  <c r="BG26" i="14" s="1"/>
  <c r="BH26" i="14" s="1"/>
  <c r="AJ25" i="14"/>
  <c r="AK25" i="14" s="1"/>
  <c r="AC25" i="14"/>
  <c r="AD25" i="14" s="1"/>
  <c r="AQ25" i="14"/>
  <c r="AR25" i="14" s="1"/>
  <c r="AJ24" i="14"/>
  <c r="AK24" i="14" s="1"/>
  <c r="AQ24" i="14"/>
  <c r="AR24" i="14" s="1"/>
  <c r="AC23" i="14"/>
  <c r="AD23" i="14" s="1"/>
  <c r="AC28" i="14" s="1"/>
  <c r="AJ23" i="14"/>
  <c r="AK23" i="14" s="1"/>
  <c r="AQ23" i="14"/>
  <c r="AR23" i="14" s="1"/>
  <c r="AC22" i="14"/>
  <c r="AD22" i="14" s="1"/>
  <c r="BG22" i="14" s="1"/>
  <c r="BH22" i="14" s="1"/>
  <c r="AJ22" i="14"/>
  <c r="AK22" i="14" s="1"/>
  <c r="AQ22" i="14"/>
  <c r="AR22" i="14" s="1"/>
  <c r="AC21" i="14"/>
  <c r="AD21" i="14" s="1"/>
  <c r="AQ21" i="14"/>
  <c r="AR21" i="14" s="1"/>
  <c r="AJ21" i="14"/>
  <c r="AK21" i="14" s="1"/>
  <c r="AQ20" i="14"/>
  <c r="AR20" i="14" s="1"/>
  <c r="AJ20" i="14"/>
  <c r="AK20" i="14" s="1"/>
  <c r="AJ19" i="14"/>
  <c r="AK19" i="14" s="1"/>
  <c r="BG19" i="14" s="1"/>
  <c r="BH19" i="14" s="1"/>
  <c r="AQ19" i="14"/>
  <c r="AR19" i="14" s="1"/>
  <c r="N51" i="16"/>
  <c r="M64" i="18"/>
  <c r="N64" i="18" s="1"/>
  <c r="N41" i="16"/>
  <c r="M63" i="18"/>
  <c r="N63" i="18" s="1"/>
  <c r="N61" i="16"/>
  <c r="M65" i="18"/>
  <c r="N65" i="18" s="1"/>
  <c r="BF38" i="15"/>
  <c r="AR35" i="15"/>
  <c r="BF35" i="15"/>
  <c r="BF37" i="15"/>
  <c r="AR36" i="15"/>
  <c r="BF36" i="15"/>
  <c r="AR34" i="15"/>
  <c r="BF34" i="15"/>
  <c r="AP33" i="14"/>
  <c r="AQ34" i="14"/>
  <c r="AP32" i="14"/>
  <c r="BF32" i="14" s="1"/>
  <c r="AP36" i="14"/>
  <c r="J55" i="17"/>
  <c r="AP20" i="15" l="1"/>
  <c r="AQ48" i="14"/>
  <c r="AQ29" i="14"/>
  <c r="AP31" i="14"/>
  <c r="BF31" i="14" s="1"/>
  <c r="AP30" i="14"/>
  <c r="AP23" i="15"/>
  <c r="AP50" i="14"/>
  <c r="AR50" i="14" s="1"/>
  <c r="AP51" i="14"/>
  <c r="AR51" i="14" s="1"/>
  <c r="AR48" i="14"/>
  <c r="BF48" i="14"/>
  <c r="AR49" i="14"/>
  <c r="BF49" i="14"/>
  <c r="AR47" i="14"/>
  <c r="BG51" i="12"/>
  <c r="BH51" i="12" s="1"/>
  <c r="AR52" i="12"/>
  <c r="BF52" i="12"/>
  <c r="AR49" i="12"/>
  <c r="AP55" i="12"/>
  <c r="BF49" i="12"/>
  <c r="M71" i="18"/>
  <c r="N71" i="18" s="1"/>
  <c r="L24" i="17"/>
  <c r="K41" i="17" s="1"/>
  <c r="L41" i="17" s="1"/>
  <c r="K55" i="17" s="1"/>
  <c r="L55" i="17" s="1"/>
  <c r="BG34" i="15"/>
  <c r="BH34" i="15" s="1"/>
  <c r="BG36" i="15"/>
  <c r="BH36" i="15" s="1"/>
  <c r="AP22" i="15"/>
  <c r="AP21" i="15"/>
  <c r="BG27" i="14"/>
  <c r="BH27" i="14" s="1"/>
  <c r="BG25" i="14"/>
  <c r="BH25" i="14" s="1"/>
  <c r="BG24" i="14"/>
  <c r="BH24" i="14" s="1"/>
  <c r="BG23" i="14"/>
  <c r="BH23" i="14" s="1"/>
  <c r="BG21" i="14"/>
  <c r="BH21" i="14" s="1"/>
  <c r="BG20" i="14"/>
  <c r="BH20" i="14" s="1"/>
  <c r="AR23" i="15"/>
  <c r="AR21" i="15"/>
  <c r="AR22" i="15"/>
  <c r="AR20" i="15"/>
  <c r="F75" i="18"/>
  <c r="AR32" i="14"/>
  <c r="BG37" i="15"/>
  <c r="BH37" i="15" s="1"/>
  <c r="BG35" i="15"/>
  <c r="BH35" i="15" s="1"/>
  <c r="BG38" i="15"/>
  <c r="BH38" i="15" s="1"/>
  <c r="AR29" i="14"/>
  <c r="AP39" i="14"/>
  <c r="H45" i="18" s="1"/>
  <c r="BF29" i="14"/>
  <c r="AR34" i="14"/>
  <c r="BF34" i="14"/>
  <c r="AR36" i="14"/>
  <c r="BF36" i="14"/>
  <c r="BG32" i="14"/>
  <c r="BH32" i="14" s="1"/>
  <c r="AR31" i="14"/>
  <c r="AR30" i="14"/>
  <c r="BF30" i="14"/>
  <c r="AR33" i="14"/>
  <c r="BF33" i="14"/>
  <c r="BF50" i="14" l="1"/>
  <c r="BG50" i="14" s="1"/>
  <c r="BH50" i="14" s="1"/>
  <c r="BF51" i="14"/>
  <c r="BG51" i="14" s="1"/>
  <c r="BH51" i="14" s="1"/>
  <c r="BG49" i="14"/>
  <c r="BH49" i="14" s="1"/>
  <c r="BG48" i="14"/>
  <c r="BH48" i="14" s="1"/>
  <c r="BG49" i="12"/>
  <c r="BH49" i="12" s="1"/>
  <c r="H32" i="18"/>
  <c r="AQ55" i="12"/>
  <c r="AR55" i="12" s="1"/>
  <c r="BG52" i="12"/>
  <c r="BH52" i="12" s="1"/>
  <c r="M75" i="18"/>
  <c r="M76" i="18" s="1"/>
  <c r="M77" i="18" s="1"/>
  <c r="BG34" i="14"/>
  <c r="BH34" i="14" s="1"/>
  <c r="BG31" i="14"/>
  <c r="BH31" i="14" s="1"/>
  <c r="F76" i="18"/>
  <c r="K75" i="18"/>
  <c r="BG33" i="14"/>
  <c r="BH33" i="14" s="1"/>
  <c r="BG30" i="14"/>
  <c r="BH30" i="14" s="1"/>
  <c r="BG36" i="14"/>
  <c r="BH36" i="14" s="1"/>
  <c r="BF39" i="14"/>
  <c r="K45" i="18" s="1"/>
  <c r="BG29" i="14"/>
  <c r="BH29" i="14" s="1"/>
  <c r="AQ39" i="14"/>
  <c r="AR39" i="14" s="1"/>
  <c r="N75" i="18" l="1"/>
  <c r="K76" i="18"/>
  <c r="F77" i="18"/>
  <c r="BG39" i="14"/>
  <c r="L75" i="18" l="1"/>
  <c r="B13" i="20"/>
  <c r="L76" i="18"/>
  <c r="L77" i="18" s="1"/>
  <c r="K77" i="18"/>
  <c r="N76" i="18"/>
  <c r="L74" i="18"/>
  <c r="L71" i="18"/>
  <c r="L73" i="18"/>
  <c r="L72" i="18"/>
  <c r="BH39" i="14"/>
  <c r="M45" i="18"/>
  <c r="N45" i="18" s="1"/>
  <c r="N77" i="18" l="1"/>
  <c r="B25" i="20"/>
  <c r="B14" i="20"/>
  <c r="DM335" i="15"/>
  <c r="DM334" i="15"/>
  <c r="DC334" i="15" s="1"/>
  <c r="BK332" i="15"/>
  <c r="BK331" i="15"/>
  <c r="BK330" i="15"/>
  <c r="DM325" i="15"/>
  <c r="DM323" i="15"/>
  <c r="BY321" i="15"/>
  <c r="BX321" i="15"/>
  <c r="BS321" i="15"/>
  <c r="BR321" i="15"/>
  <c r="BP321" i="15"/>
  <c r="BN321" i="15"/>
  <c r="CQ321" i="15" s="1"/>
  <c r="BM321" i="15"/>
  <c r="CO321" i="15" s="1"/>
  <c r="BK321" i="15"/>
  <c r="BY320" i="15"/>
  <c r="BX320" i="15"/>
  <c r="BS320" i="15"/>
  <c r="BR320" i="15"/>
  <c r="BP320" i="15"/>
  <c r="BN320" i="15"/>
  <c r="CQ320" i="15" s="1"/>
  <c r="BM320" i="15"/>
  <c r="CO320" i="15" s="1"/>
  <c r="BK320" i="15"/>
  <c r="BN319" i="15"/>
  <c r="CQ319" i="15" s="1"/>
  <c r="BM319" i="15"/>
  <c r="CO319" i="15" s="1"/>
  <c r="BD319" i="15"/>
  <c r="BK319" i="15" s="1"/>
  <c r="BN318" i="15"/>
  <c r="CQ318" i="15" s="1"/>
  <c r="BM318" i="15"/>
  <c r="CO318" i="15" s="1"/>
  <c r="BK318" i="15"/>
  <c r="BN317" i="15"/>
  <c r="CQ317" i="15" s="1"/>
  <c r="BM317" i="15"/>
  <c r="CO317" i="15" s="1"/>
  <c r="BK317" i="15"/>
  <c r="BS316" i="15"/>
  <c r="BR316" i="15"/>
  <c r="BP316" i="15"/>
  <c r="BN316" i="15"/>
  <c r="CQ316" i="15" s="1"/>
  <c r="BM316" i="15"/>
  <c r="CO316" i="15" s="1"/>
  <c r="BK316" i="15"/>
  <c r="BS315" i="15"/>
  <c r="BR315" i="15"/>
  <c r="BP315" i="15"/>
  <c r="BN315" i="15"/>
  <c r="CQ315" i="15" s="1"/>
  <c r="BM315" i="15"/>
  <c r="CO315" i="15" s="1"/>
  <c r="BK315" i="15"/>
  <c r="BC315" i="15"/>
  <c r="BB315" i="15"/>
  <c r="BA315" i="15"/>
  <c r="AZ315" i="15"/>
  <c r="AY315" i="15"/>
  <c r="AW315" i="15"/>
  <c r="AV315" i="15"/>
  <c r="AU315" i="15"/>
  <c r="AT315" i="15"/>
  <c r="AS315" i="15"/>
  <c r="AQ315" i="15"/>
  <c r="AP315" i="15"/>
  <c r="DL314" i="15"/>
  <c r="BC314" i="15"/>
  <c r="BB314" i="15"/>
  <c r="BA314" i="15"/>
  <c r="AZ314" i="15"/>
  <c r="AY314" i="15"/>
  <c r="AW314" i="15"/>
  <c r="AV314" i="15"/>
  <c r="AU314" i="15"/>
  <c r="AT314" i="15"/>
  <c r="AS314" i="15"/>
  <c r="AQ314" i="15"/>
  <c r="AP314" i="15"/>
  <c r="BC313" i="15"/>
  <c r="BB313" i="15"/>
  <c r="BA313" i="15"/>
  <c r="AZ313" i="15"/>
  <c r="AY313" i="15"/>
  <c r="AW313" i="15"/>
  <c r="AV313" i="15"/>
  <c r="AU313" i="15"/>
  <c r="AT313" i="15"/>
  <c r="AS313" i="15"/>
  <c r="AQ313" i="15"/>
  <c r="AP313" i="15"/>
  <c r="DL312" i="15"/>
  <c r="BC312" i="15"/>
  <c r="BB312" i="15"/>
  <c r="BA312" i="15"/>
  <c r="AZ312" i="15"/>
  <c r="AY312" i="15"/>
  <c r="AW312" i="15"/>
  <c r="AV312" i="15"/>
  <c r="AU312" i="15"/>
  <c r="AT312" i="15"/>
  <c r="AS312" i="15"/>
  <c r="AQ312" i="15"/>
  <c r="AP312" i="15"/>
  <c r="AG312" i="15"/>
  <c r="AE312" i="15"/>
  <c r="AD312" i="15"/>
  <c r="AC312" i="15"/>
  <c r="AB312" i="15"/>
  <c r="AA312" i="15"/>
  <c r="Z312" i="15"/>
  <c r="Y312" i="15"/>
  <c r="X312" i="15"/>
  <c r="W312" i="15"/>
  <c r="V312" i="15"/>
  <c r="U312" i="15"/>
  <c r="T312" i="15"/>
  <c r="S312" i="15"/>
  <c r="BC311" i="15"/>
  <c r="BB311" i="15"/>
  <c r="BA311" i="15"/>
  <c r="AZ311" i="15"/>
  <c r="AY311" i="15"/>
  <c r="AW311" i="15"/>
  <c r="AV311" i="15"/>
  <c r="AU311" i="15"/>
  <c r="AT311" i="15"/>
  <c r="AS311" i="15"/>
  <c r="AQ311" i="15"/>
  <c r="AP311" i="15"/>
  <c r="AG311" i="15"/>
  <c r="AE311" i="15"/>
  <c r="AD311" i="15"/>
  <c r="AC311" i="15"/>
  <c r="AB311" i="15"/>
  <c r="AA311" i="15"/>
  <c r="Z311" i="15"/>
  <c r="Y311" i="15"/>
  <c r="X311" i="15"/>
  <c r="W311" i="15"/>
  <c r="V311" i="15"/>
  <c r="U311" i="15"/>
  <c r="T311" i="15"/>
  <c r="S311" i="15"/>
  <c r="BC310" i="15"/>
  <c r="BB310" i="15"/>
  <c r="BA310" i="15"/>
  <c r="AZ310" i="15"/>
  <c r="AY310" i="15"/>
  <c r="AW310" i="15"/>
  <c r="AV310" i="15"/>
  <c r="AU310" i="15"/>
  <c r="AT310" i="15"/>
  <c r="AS310" i="15"/>
  <c r="AQ310" i="15"/>
  <c r="AP310" i="15"/>
  <c r="AG310" i="15"/>
  <c r="AE310" i="15"/>
  <c r="AD310" i="15"/>
  <c r="AC310" i="15"/>
  <c r="AB310" i="15"/>
  <c r="AA310" i="15"/>
  <c r="Z310" i="15"/>
  <c r="Y310" i="15"/>
  <c r="X310" i="15"/>
  <c r="W310" i="15"/>
  <c r="V310" i="15"/>
  <c r="U310" i="15"/>
  <c r="T310" i="15"/>
  <c r="S310" i="15"/>
  <c r="DG309" i="15"/>
  <c r="DI309" i="15" s="1"/>
  <c r="DJ309" i="15" s="1"/>
  <c r="DD309" i="15"/>
  <c r="DC309" i="15"/>
  <c r="BP309" i="15"/>
  <c r="BK309" i="15"/>
  <c r="BC309" i="15"/>
  <c r="BB309" i="15"/>
  <c r="BA309" i="15"/>
  <c r="AZ309" i="15"/>
  <c r="AY309" i="15"/>
  <c r="AW309" i="15"/>
  <c r="AV309" i="15"/>
  <c r="AU309" i="15"/>
  <c r="AT309" i="15"/>
  <c r="AS309" i="15"/>
  <c r="AQ309" i="15"/>
  <c r="AP309" i="15"/>
  <c r="AG309" i="15"/>
  <c r="AE309" i="15"/>
  <c r="AD309" i="15"/>
  <c r="AC309" i="15"/>
  <c r="AB309" i="15"/>
  <c r="AA309" i="15"/>
  <c r="Z309" i="15"/>
  <c r="Y309" i="15"/>
  <c r="X309" i="15"/>
  <c r="W309" i="15"/>
  <c r="V309" i="15"/>
  <c r="U309" i="15"/>
  <c r="T309" i="15"/>
  <c r="S309" i="15"/>
  <c r="DG308" i="15"/>
  <c r="DI308" i="15" s="1"/>
  <c r="DJ308" i="15" s="1"/>
  <c r="DD308" i="15"/>
  <c r="DC308" i="15"/>
  <c r="BP308" i="15"/>
  <c r="BK308" i="15"/>
  <c r="BC308" i="15"/>
  <c r="BB308" i="15"/>
  <c r="BA308" i="15"/>
  <c r="AZ308" i="15"/>
  <c r="AY308" i="15"/>
  <c r="AW308" i="15"/>
  <c r="AV308" i="15"/>
  <c r="AU308" i="15"/>
  <c r="AT308" i="15"/>
  <c r="AS308" i="15"/>
  <c r="AQ308" i="15"/>
  <c r="AP308" i="15"/>
  <c r="AG308" i="15"/>
  <c r="AE308" i="15"/>
  <c r="AD308" i="15"/>
  <c r="AC308" i="15"/>
  <c r="AB308" i="15"/>
  <c r="AA308" i="15"/>
  <c r="Z308" i="15"/>
  <c r="Y308" i="15"/>
  <c r="X308" i="15"/>
  <c r="W308" i="15"/>
  <c r="V308" i="15"/>
  <c r="U308" i="15"/>
  <c r="T308" i="15"/>
  <c r="S308" i="15"/>
  <c r="DG307" i="15"/>
  <c r="DI307" i="15" s="1"/>
  <c r="DJ307" i="15" s="1"/>
  <c r="DD307" i="15"/>
  <c r="DC307" i="15"/>
  <c r="BP307" i="15"/>
  <c r="BK307" i="15"/>
  <c r="BC307" i="15"/>
  <c r="BB307" i="15"/>
  <c r="BA307" i="15"/>
  <c r="AZ307" i="15"/>
  <c r="AY307" i="15"/>
  <c r="AW307" i="15"/>
  <c r="AV307" i="15"/>
  <c r="AU307" i="15"/>
  <c r="AT307" i="15"/>
  <c r="AS307" i="15"/>
  <c r="AQ307" i="15"/>
  <c r="AP307" i="15"/>
  <c r="AG307" i="15"/>
  <c r="AE307" i="15"/>
  <c r="AD307" i="15"/>
  <c r="AC307" i="15"/>
  <c r="AB307" i="15"/>
  <c r="AA307" i="15"/>
  <c r="Z307" i="15"/>
  <c r="Y307" i="15"/>
  <c r="X307" i="15"/>
  <c r="W307" i="15"/>
  <c r="V307" i="15"/>
  <c r="U307" i="15"/>
  <c r="T307" i="15"/>
  <c r="S307" i="15"/>
  <c r="DG306" i="15"/>
  <c r="DI306" i="15" s="1"/>
  <c r="DD306" i="15"/>
  <c r="DC306" i="15"/>
  <c r="BP306" i="15"/>
  <c r="BK306" i="15"/>
  <c r="BC306" i="15"/>
  <c r="BB306" i="15"/>
  <c r="BA306" i="15"/>
  <c r="AZ306" i="15"/>
  <c r="AY306" i="15"/>
  <c r="AW306" i="15"/>
  <c r="AV306" i="15"/>
  <c r="AU306" i="15"/>
  <c r="AT306" i="15"/>
  <c r="AS306" i="15"/>
  <c r="AQ306" i="15"/>
  <c r="AP306" i="15"/>
  <c r="AG306" i="15"/>
  <c r="AE306" i="15"/>
  <c r="AD306" i="15"/>
  <c r="AC306" i="15"/>
  <c r="AB306" i="15"/>
  <c r="AA306" i="15"/>
  <c r="Z306" i="15"/>
  <c r="Y306" i="15"/>
  <c r="X306" i="15"/>
  <c r="W306" i="15"/>
  <c r="V306" i="15"/>
  <c r="U306" i="15"/>
  <c r="T306" i="15"/>
  <c r="S306" i="15"/>
  <c r="DG305" i="15"/>
  <c r="DI305" i="15" s="1"/>
  <c r="DD305" i="15"/>
  <c r="DC305" i="15"/>
  <c r="BP305" i="15"/>
  <c r="BK305" i="15"/>
  <c r="BC305" i="15"/>
  <c r="BB305" i="15"/>
  <c r="BA305" i="15"/>
  <c r="AZ305" i="15"/>
  <c r="AY305" i="15"/>
  <c r="AW305" i="15"/>
  <c r="AV305" i="15"/>
  <c r="AU305" i="15"/>
  <c r="AT305" i="15"/>
  <c r="AS305" i="15"/>
  <c r="AQ305" i="15"/>
  <c r="AP305" i="15"/>
  <c r="AG305" i="15"/>
  <c r="AE305" i="15"/>
  <c r="AD305" i="15"/>
  <c r="AC305" i="15"/>
  <c r="AB305" i="15"/>
  <c r="AA305" i="15"/>
  <c r="Z305" i="15"/>
  <c r="Y305" i="15"/>
  <c r="X305" i="15"/>
  <c r="W305" i="15"/>
  <c r="V305" i="15"/>
  <c r="U305" i="15"/>
  <c r="T305" i="15"/>
  <c r="S305" i="15"/>
  <c r="DG304" i="15"/>
  <c r="DI304" i="15" s="1"/>
  <c r="DD304" i="15"/>
  <c r="DC304" i="15"/>
  <c r="BP304" i="15"/>
  <c r="BK304" i="15"/>
  <c r="BC304" i="15"/>
  <c r="BB304" i="15"/>
  <c r="BA304" i="15"/>
  <c r="AZ304" i="15"/>
  <c r="AY304" i="15"/>
  <c r="AW304" i="15"/>
  <c r="AV304" i="15"/>
  <c r="AU304" i="15"/>
  <c r="AT304" i="15"/>
  <c r="AS304" i="15"/>
  <c r="AQ304" i="15"/>
  <c r="AP304" i="15"/>
  <c r="AG304" i="15"/>
  <c r="AE304" i="15"/>
  <c r="AD304" i="15"/>
  <c r="AC304" i="15"/>
  <c r="AB304" i="15"/>
  <c r="AA304" i="15"/>
  <c r="Z304" i="15"/>
  <c r="Y304" i="15"/>
  <c r="X304" i="15"/>
  <c r="W304" i="15"/>
  <c r="V304" i="15"/>
  <c r="U304" i="15"/>
  <c r="T304" i="15"/>
  <c r="S304" i="15"/>
  <c r="DG303" i="15"/>
  <c r="DI303" i="15" s="1"/>
  <c r="DD303" i="15"/>
  <c r="DC303" i="15"/>
  <c r="BP303" i="15"/>
  <c r="BK303" i="15"/>
  <c r="BC303" i="15"/>
  <c r="BB303" i="15"/>
  <c r="BA303" i="15"/>
  <c r="AZ303" i="15"/>
  <c r="AY303" i="15"/>
  <c r="AW303" i="15"/>
  <c r="AV303" i="15"/>
  <c r="AU303" i="15"/>
  <c r="AT303" i="15"/>
  <c r="AS303" i="15"/>
  <c r="AQ303" i="15"/>
  <c r="AP303" i="15"/>
  <c r="AG303" i="15"/>
  <c r="AE303" i="15"/>
  <c r="AD303" i="15"/>
  <c r="AC303" i="15"/>
  <c r="AB303" i="15"/>
  <c r="AA303" i="15"/>
  <c r="Z303" i="15"/>
  <c r="Y303" i="15"/>
  <c r="X303" i="15"/>
  <c r="W303" i="15"/>
  <c r="V303" i="15"/>
  <c r="U303" i="15"/>
  <c r="T303" i="15"/>
  <c r="S303" i="15"/>
  <c r="DG302" i="15"/>
  <c r="DI302" i="15" s="1"/>
  <c r="DD302" i="15"/>
  <c r="DC302" i="15"/>
  <c r="BP302" i="15"/>
  <c r="BK302" i="15"/>
  <c r="BC302" i="15"/>
  <c r="BB302" i="15"/>
  <c r="BA302" i="15"/>
  <c r="AZ302" i="15"/>
  <c r="AY302" i="15"/>
  <c r="AW302" i="15"/>
  <c r="AV302" i="15"/>
  <c r="AU302" i="15"/>
  <c r="AT302" i="15"/>
  <c r="AS302" i="15"/>
  <c r="AQ302" i="15"/>
  <c r="AP302" i="15"/>
  <c r="AG302" i="15"/>
  <c r="AE302" i="15"/>
  <c r="AD302" i="15"/>
  <c r="AC302" i="15"/>
  <c r="AB302" i="15"/>
  <c r="AA302" i="15"/>
  <c r="Z302" i="15"/>
  <c r="Y302" i="15"/>
  <c r="X302" i="15"/>
  <c r="W302" i="15"/>
  <c r="V302" i="15"/>
  <c r="U302" i="15"/>
  <c r="T302" i="15"/>
  <c r="S302" i="15"/>
  <c r="DG301" i="15"/>
  <c r="DI301" i="15" s="1"/>
  <c r="DD301" i="15"/>
  <c r="DC301" i="15"/>
  <c r="BP301" i="15"/>
  <c r="BK301" i="15"/>
  <c r="BC301" i="15"/>
  <c r="BB301" i="15"/>
  <c r="BA301" i="15"/>
  <c r="AZ301" i="15"/>
  <c r="AY301" i="15"/>
  <c r="AW301" i="15"/>
  <c r="AV301" i="15"/>
  <c r="AU301" i="15"/>
  <c r="AT301" i="15"/>
  <c r="AS301" i="15"/>
  <c r="AQ301" i="15"/>
  <c r="AP301" i="15"/>
  <c r="AG301" i="15"/>
  <c r="AE301" i="15"/>
  <c r="AD301" i="15"/>
  <c r="AC301" i="15"/>
  <c r="AB301" i="15"/>
  <c r="AA301" i="15"/>
  <c r="Z301" i="15"/>
  <c r="Y301" i="15"/>
  <c r="X301" i="15"/>
  <c r="W301" i="15"/>
  <c r="V301" i="15"/>
  <c r="U301" i="15"/>
  <c r="T301" i="15"/>
  <c r="S301" i="15"/>
  <c r="DG300" i="15"/>
  <c r="DI300" i="15" s="1"/>
  <c r="DD300" i="15"/>
  <c r="DC300" i="15"/>
  <c r="BP300" i="15"/>
  <c r="BK300" i="15"/>
  <c r="BC300" i="15"/>
  <c r="BB300" i="15"/>
  <c r="BA300" i="15"/>
  <c r="AZ300" i="15"/>
  <c r="AY300" i="15"/>
  <c r="AW300" i="15"/>
  <c r="AV300" i="15"/>
  <c r="AU300" i="15"/>
  <c r="AT300" i="15"/>
  <c r="AS300" i="15"/>
  <c r="AQ300" i="15"/>
  <c r="AP300" i="15"/>
  <c r="AG300" i="15"/>
  <c r="AE300" i="15"/>
  <c r="AD300" i="15"/>
  <c r="AC300" i="15"/>
  <c r="AB300" i="15"/>
  <c r="AA300" i="15"/>
  <c r="Z300" i="15"/>
  <c r="Y300" i="15"/>
  <c r="X300" i="15"/>
  <c r="W300" i="15"/>
  <c r="V300" i="15"/>
  <c r="U300" i="15"/>
  <c r="T300" i="15"/>
  <c r="S300" i="15"/>
  <c r="DG299" i="15"/>
  <c r="DI299" i="15" s="1"/>
  <c r="DD299" i="15"/>
  <c r="DC299" i="15"/>
  <c r="BP299" i="15"/>
  <c r="BK299" i="15"/>
  <c r="BC299" i="15"/>
  <c r="BB299" i="15"/>
  <c r="BA299" i="15"/>
  <c r="AZ299" i="15"/>
  <c r="AY299" i="15"/>
  <c r="AW299" i="15"/>
  <c r="AV299" i="15"/>
  <c r="AU299" i="15"/>
  <c r="AT299" i="15"/>
  <c r="AS299" i="15"/>
  <c r="AQ299" i="15"/>
  <c r="AP299" i="15"/>
  <c r="AG299" i="15"/>
  <c r="AE299" i="15"/>
  <c r="AD299" i="15"/>
  <c r="AC299" i="15"/>
  <c r="AB299" i="15"/>
  <c r="AA299" i="15"/>
  <c r="Z299" i="15"/>
  <c r="Y299" i="15"/>
  <c r="X299" i="15"/>
  <c r="W299" i="15"/>
  <c r="V299" i="15"/>
  <c r="U299" i="15"/>
  <c r="T299" i="15"/>
  <c r="S299" i="15"/>
  <c r="DG298" i="15"/>
  <c r="DI298" i="15" s="1"/>
  <c r="DJ298" i="15" s="1"/>
  <c r="DD298" i="15"/>
  <c r="DC298" i="15"/>
  <c r="BP298" i="15"/>
  <c r="BK298" i="15"/>
  <c r="BC298" i="15"/>
  <c r="BB298" i="15"/>
  <c r="BA298" i="15"/>
  <c r="AZ298" i="15"/>
  <c r="AY298" i="15"/>
  <c r="AW298" i="15"/>
  <c r="AV298" i="15"/>
  <c r="AU298" i="15"/>
  <c r="AT298" i="15"/>
  <c r="AS298" i="15"/>
  <c r="AQ298" i="15"/>
  <c r="AP298" i="15"/>
  <c r="AG298" i="15"/>
  <c r="AE298" i="15"/>
  <c r="AD298" i="15"/>
  <c r="AC298" i="15"/>
  <c r="AB298" i="15"/>
  <c r="AA298" i="15"/>
  <c r="Z298" i="15"/>
  <c r="Y298" i="15"/>
  <c r="X298" i="15"/>
  <c r="W298" i="15"/>
  <c r="V298" i="15"/>
  <c r="U298" i="15"/>
  <c r="T298" i="15"/>
  <c r="S298" i="15"/>
  <c r="DG297" i="15"/>
  <c r="DI297" i="15" s="1"/>
  <c r="DJ297" i="15" s="1"/>
  <c r="DD297" i="15"/>
  <c r="DC297" i="15"/>
  <c r="BP297" i="15"/>
  <c r="BK297" i="15"/>
  <c r="BC297" i="15"/>
  <c r="BB297" i="15"/>
  <c r="BA297" i="15"/>
  <c r="AZ297" i="15"/>
  <c r="AY297" i="15"/>
  <c r="AW297" i="15"/>
  <c r="AV297" i="15"/>
  <c r="AU297" i="15"/>
  <c r="AT297" i="15"/>
  <c r="AS297" i="15"/>
  <c r="AQ297" i="15"/>
  <c r="AP297" i="15"/>
  <c r="AG297" i="15"/>
  <c r="AE297" i="15"/>
  <c r="AD297" i="15"/>
  <c r="AC297" i="15"/>
  <c r="AB297" i="15"/>
  <c r="AA297" i="15"/>
  <c r="Z297" i="15"/>
  <c r="Y297" i="15"/>
  <c r="X297" i="15"/>
  <c r="W297" i="15"/>
  <c r="V297" i="15"/>
  <c r="U297" i="15"/>
  <c r="T297" i="15"/>
  <c r="S297" i="15"/>
  <c r="DG296" i="15"/>
  <c r="DI296" i="15" s="1"/>
  <c r="DJ296" i="15" s="1"/>
  <c r="DD296" i="15"/>
  <c r="DC296" i="15"/>
  <c r="BP296" i="15"/>
  <c r="BK296" i="15"/>
  <c r="BC296" i="15"/>
  <c r="BB296" i="15"/>
  <c r="BA296" i="15"/>
  <c r="AZ296" i="15"/>
  <c r="AY296" i="15"/>
  <c r="AW296" i="15"/>
  <c r="AV296" i="15"/>
  <c r="AU296" i="15"/>
  <c r="AT296" i="15"/>
  <c r="AS296" i="15"/>
  <c r="AQ296" i="15"/>
  <c r="AP296" i="15"/>
  <c r="AG296" i="15"/>
  <c r="AE296" i="15"/>
  <c r="AD296" i="15"/>
  <c r="AC296" i="15"/>
  <c r="AB296" i="15"/>
  <c r="AA296" i="15"/>
  <c r="Z296" i="15"/>
  <c r="Y296" i="15"/>
  <c r="X296" i="15"/>
  <c r="W296" i="15"/>
  <c r="V296" i="15"/>
  <c r="U296" i="15"/>
  <c r="T296" i="15"/>
  <c r="S296" i="15"/>
  <c r="DG295" i="15"/>
  <c r="DI295" i="15" s="1"/>
  <c r="DD295" i="15"/>
  <c r="DC295" i="15"/>
  <c r="BP295" i="15"/>
  <c r="BK295" i="15"/>
  <c r="BC295" i="15"/>
  <c r="BB295" i="15"/>
  <c r="BA295" i="15"/>
  <c r="AZ295" i="15"/>
  <c r="AY295" i="15"/>
  <c r="AW295" i="15"/>
  <c r="AV295" i="15"/>
  <c r="AU295" i="15"/>
  <c r="AT295" i="15"/>
  <c r="AS295" i="15"/>
  <c r="AQ295" i="15"/>
  <c r="AP295" i="15"/>
  <c r="AG295" i="15"/>
  <c r="AE295" i="15"/>
  <c r="AD295" i="15"/>
  <c r="AC295" i="15"/>
  <c r="AB295" i="15"/>
  <c r="AA295" i="15"/>
  <c r="Z295" i="15"/>
  <c r="Y295" i="15"/>
  <c r="X295" i="15"/>
  <c r="W295" i="15"/>
  <c r="V295" i="15"/>
  <c r="U295" i="15"/>
  <c r="T295" i="15"/>
  <c r="S295" i="15"/>
  <c r="DG294" i="15"/>
  <c r="DI294" i="15" s="1"/>
  <c r="DD294" i="15"/>
  <c r="DC294" i="15"/>
  <c r="BP294" i="15"/>
  <c r="BK294" i="15"/>
  <c r="BC294" i="15"/>
  <c r="BB294" i="15"/>
  <c r="BA294" i="15"/>
  <c r="AZ294" i="15"/>
  <c r="AY294" i="15"/>
  <c r="AW294" i="15"/>
  <c r="AV294" i="15"/>
  <c r="AU294" i="15"/>
  <c r="AT294" i="15"/>
  <c r="AS294" i="15"/>
  <c r="AQ294" i="15"/>
  <c r="AP294" i="15"/>
  <c r="AG294" i="15"/>
  <c r="AE294" i="15"/>
  <c r="AD294" i="15"/>
  <c r="AC294" i="15"/>
  <c r="AB294" i="15"/>
  <c r="AA294" i="15"/>
  <c r="Z294" i="15"/>
  <c r="Y294" i="15"/>
  <c r="X294" i="15"/>
  <c r="W294" i="15"/>
  <c r="V294" i="15"/>
  <c r="U294" i="15"/>
  <c r="T294" i="15"/>
  <c r="S294" i="15"/>
  <c r="DG293" i="15"/>
  <c r="DI293" i="15" s="1"/>
  <c r="DD293" i="15"/>
  <c r="DC293" i="15"/>
  <c r="BP293" i="15"/>
  <c r="BK293" i="15"/>
  <c r="BC293" i="15"/>
  <c r="BB293" i="15"/>
  <c r="BA293" i="15"/>
  <c r="AZ293" i="15"/>
  <c r="AY293" i="15"/>
  <c r="AW293" i="15"/>
  <c r="AV293" i="15"/>
  <c r="AU293" i="15"/>
  <c r="AT293" i="15"/>
  <c r="AS293" i="15"/>
  <c r="AQ293" i="15"/>
  <c r="AP293" i="15"/>
  <c r="AG293" i="15"/>
  <c r="AE293" i="15"/>
  <c r="AD293" i="15"/>
  <c r="AC293" i="15"/>
  <c r="AB293" i="15"/>
  <c r="AA293" i="15"/>
  <c r="Z293" i="15"/>
  <c r="Y293" i="15"/>
  <c r="X293" i="15"/>
  <c r="W293" i="15"/>
  <c r="V293" i="15"/>
  <c r="U293" i="15"/>
  <c r="T293" i="15"/>
  <c r="S293" i="15"/>
  <c r="DG292" i="15"/>
  <c r="DI292" i="15" s="1"/>
  <c r="DD292" i="15"/>
  <c r="DC292" i="15"/>
  <c r="BP292" i="15"/>
  <c r="BK292" i="15"/>
  <c r="BC292" i="15"/>
  <c r="BB292" i="15"/>
  <c r="BA292" i="15"/>
  <c r="AZ292" i="15"/>
  <c r="AY292" i="15"/>
  <c r="AW292" i="15"/>
  <c r="AV292" i="15"/>
  <c r="AU292" i="15"/>
  <c r="AT292" i="15"/>
  <c r="AS292" i="15"/>
  <c r="AQ292" i="15"/>
  <c r="AP292" i="15"/>
  <c r="AG292" i="15"/>
  <c r="AE292" i="15"/>
  <c r="AD292" i="15"/>
  <c r="AC292" i="15"/>
  <c r="AB292" i="15"/>
  <c r="AA292" i="15"/>
  <c r="Z292" i="15"/>
  <c r="Y292" i="15"/>
  <c r="X292" i="15"/>
  <c r="W292" i="15"/>
  <c r="V292" i="15"/>
  <c r="U292" i="15"/>
  <c r="T292" i="15"/>
  <c r="S292" i="15"/>
  <c r="DG291" i="15"/>
  <c r="DI291" i="15" s="1"/>
  <c r="DD291" i="15"/>
  <c r="DC291" i="15"/>
  <c r="BP291" i="15"/>
  <c r="BK291" i="15"/>
  <c r="BC291" i="15"/>
  <c r="BB291" i="15"/>
  <c r="BA291" i="15"/>
  <c r="AZ291" i="15"/>
  <c r="AY291" i="15"/>
  <c r="AW291" i="15"/>
  <c r="AV291" i="15"/>
  <c r="AU291" i="15"/>
  <c r="AT291" i="15"/>
  <c r="AS291" i="15"/>
  <c r="AQ291" i="15"/>
  <c r="AP291" i="15"/>
  <c r="AG291" i="15"/>
  <c r="AE291" i="15"/>
  <c r="AD291" i="15"/>
  <c r="AC291" i="15"/>
  <c r="AB291" i="15"/>
  <c r="AA291" i="15"/>
  <c r="Z291" i="15"/>
  <c r="Y291" i="15"/>
  <c r="X291" i="15"/>
  <c r="W291" i="15"/>
  <c r="V291" i="15"/>
  <c r="U291" i="15"/>
  <c r="T291" i="15"/>
  <c r="S291" i="15"/>
  <c r="DG290" i="15"/>
  <c r="DI290" i="15" s="1"/>
  <c r="DD290" i="15"/>
  <c r="DC290" i="15"/>
  <c r="BP290" i="15"/>
  <c r="BK290" i="15"/>
  <c r="BC290" i="15"/>
  <c r="BB290" i="15"/>
  <c r="BA290" i="15"/>
  <c r="AZ290" i="15"/>
  <c r="AY290" i="15"/>
  <c r="AW290" i="15"/>
  <c r="AV290" i="15"/>
  <c r="AU290" i="15"/>
  <c r="AT290" i="15"/>
  <c r="AS290" i="15"/>
  <c r="AQ290" i="15"/>
  <c r="AP290" i="15"/>
  <c r="AG290" i="15"/>
  <c r="AE290" i="15"/>
  <c r="AD290" i="15"/>
  <c r="AC290" i="15"/>
  <c r="AB290" i="15"/>
  <c r="AA290" i="15"/>
  <c r="Z290" i="15"/>
  <c r="Y290" i="15"/>
  <c r="X290" i="15"/>
  <c r="W290" i="15"/>
  <c r="V290" i="15"/>
  <c r="U290" i="15"/>
  <c r="T290" i="15"/>
  <c r="S290" i="15"/>
  <c r="DG289" i="15"/>
  <c r="DI289" i="15" s="1"/>
  <c r="DD289" i="15"/>
  <c r="DC289" i="15"/>
  <c r="BP289" i="15"/>
  <c r="BK289" i="15"/>
  <c r="BC289" i="15"/>
  <c r="BB289" i="15"/>
  <c r="BA289" i="15"/>
  <c r="AZ289" i="15"/>
  <c r="AY289" i="15"/>
  <c r="AW289" i="15"/>
  <c r="AV289" i="15"/>
  <c r="AU289" i="15"/>
  <c r="AT289" i="15"/>
  <c r="AS289" i="15"/>
  <c r="AQ289" i="15"/>
  <c r="AP289" i="15"/>
  <c r="AG289" i="15"/>
  <c r="AE289" i="15"/>
  <c r="AD289" i="15"/>
  <c r="AC289" i="15"/>
  <c r="AB289" i="15"/>
  <c r="AA289" i="15"/>
  <c r="Z289" i="15"/>
  <c r="Y289" i="15"/>
  <c r="X289" i="15"/>
  <c r="W289" i="15"/>
  <c r="V289" i="15"/>
  <c r="U289" i="15"/>
  <c r="T289" i="15"/>
  <c r="S289" i="15"/>
  <c r="DG288" i="15"/>
  <c r="DI288" i="15" s="1"/>
  <c r="DD288" i="15"/>
  <c r="DC288" i="15"/>
  <c r="BP288" i="15"/>
  <c r="BK288" i="15"/>
  <c r="BD288" i="15"/>
  <c r="BC288" i="15"/>
  <c r="BB288" i="15"/>
  <c r="BA288" i="15"/>
  <c r="AZ288" i="15"/>
  <c r="AV288" i="15"/>
  <c r="AU288" i="15"/>
  <c r="AT288" i="15"/>
  <c r="AS288" i="15"/>
  <c r="AQ288" i="15"/>
  <c r="AP288" i="15"/>
  <c r="AG288" i="15"/>
  <c r="AF288" i="15"/>
  <c r="AE288" i="15"/>
  <c r="AD288" i="15"/>
  <c r="AC288" i="15"/>
  <c r="AB288" i="15"/>
  <c r="AA288" i="15"/>
  <c r="X288" i="15"/>
  <c r="W288" i="15"/>
  <c r="V288" i="15"/>
  <c r="U288" i="15"/>
  <c r="T288" i="15"/>
  <c r="S288" i="15"/>
  <c r="DG287" i="15"/>
  <c r="DI287" i="15" s="1"/>
  <c r="DJ287" i="15" s="1"/>
  <c r="DD287" i="15"/>
  <c r="DC287" i="15"/>
  <c r="BP287" i="15"/>
  <c r="BK287" i="15"/>
  <c r="BD287" i="15"/>
  <c r="BC287" i="15"/>
  <c r="BB287" i="15"/>
  <c r="BA287" i="15"/>
  <c r="AZ287" i="15"/>
  <c r="AV287" i="15"/>
  <c r="AU287" i="15"/>
  <c r="AT287" i="15"/>
  <c r="AS287" i="15"/>
  <c r="AQ287" i="15"/>
  <c r="AP287" i="15"/>
  <c r="AG287" i="15"/>
  <c r="AF287" i="15"/>
  <c r="AE287" i="15"/>
  <c r="AD287" i="15"/>
  <c r="AC287" i="15"/>
  <c r="AB287" i="15"/>
  <c r="AA287" i="15"/>
  <c r="X287" i="15"/>
  <c r="W287" i="15"/>
  <c r="V287" i="15"/>
  <c r="U287" i="15"/>
  <c r="T287" i="15"/>
  <c r="S287" i="15"/>
  <c r="DG286" i="15"/>
  <c r="DI286" i="15" s="1"/>
  <c r="DD286" i="15"/>
  <c r="DC286" i="15"/>
  <c r="BP286" i="15"/>
  <c r="BK286" i="15"/>
  <c r="BD286" i="15"/>
  <c r="BC286" i="15"/>
  <c r="BB286" i="15"/>
  <c r="BA286" i="15"/>
  <c r="AZ286" i="15"/>
  <c r="AV286" i="15"/>
  <c r="AU286" i="15"/>
  <c r="AT286" i="15"/>
  <c r="AS286" i="15"/>
  <c r="AQ286" i="15"/>
  <c r="AP286" i="15"/>
  <c r="AG286" i="15"/>
  <c r="AF286" i="15"/>
  <c r="AE286" i="15"/>
  <c r="AD286" i="15"/>
  <c r="AC286" i="15"/>
  <c r="AB286" i="15"/>
  <c r="AA286" i="15"/>
  <c r="X286" i="15"/>
  <c r="W286" i="15"/>
  <c r="V286" i="15"/>
  <c r="U286" i="15"/>
  <c r="T286" i="15"/>
  <c r="S286" i="15"/>
  <c r="DG285" i="15"/>
  <c r="DI285" i="15" s="1"/>
  <c r="DD285" i="15"/>
  <c r="DC285" i="15"/>
  <c r="BP285" i="15"/>
  <c r="BK285" i="15"/>
  <c r="BC285" i="15"/>
  <c r="BB285" i="15"/>
  <c r="BA285" i="15"/>
  <c r="AZ285" i="15"/>
  <c r="AY285" i="15"/>
  <c r="AW285" i="15"/>
  <c r="AV285" i="15"/>
  <c r="AU285" i="15"/>
  <c r="AT285" i="15"/>
  <c r="AS285" i="15"/>
  <c r="AQ285" i="15"/>
  <c r="AP285" i="15"/>
  <c r="AG285" i="15"/>
  <c r="AE285" i="15"/>
  <c r="AD285" i="15"/>
  <c r="AC285" i="15"/>
  <c r="AB285" i="15"/>
  <c r="AA285" i="15"/>
  <c r="Z285" i="15"/>
  <c r="Y285" i="15"/>
  <c r="X285" i="15"/>
  <c r="W285" i="15"/>
  <c r="V285" i="15"/>
  <c r="U285" i="15"/>
  <c r="T285" i="15"/>
  <c r="S285" i="15"/>
  <c r="DG284" i="15"/>
  <c r="DI284" i="15" s="1"/>
  <c r="DD284" i="15"/>
  <c r="DC284" i="15"/>
  <c r="BP284" i="15"/>
  <c r="BK284" i="15"/>
  <c r="BC284" i="15"/>
  <c r="BB284" i="15"/>
  <c r="BA284" i="15"/>
  <c r="AZ284" i="15"/>
  <c r="AY284" i="15"/>
  <c r="AW284" i="15"/>
  <c r="AV284" i="15"/>
  <c r="AU284" i="15"/>
  <c r="AT284" i="15"/>
  <c r="AS284" i="15"/>
  <c r="AQ284" i="15"/>
  <c r="AP284" i="15"/>
  <c r="AG284" i="15"/>
  <c r="AE284" i="15"/>
  <c r="AD284" i="15"/>
  <c r="AC284" i="15"/>
  <c r="AB284" i="15"/>
  <c r="AA284" i="15"/>
  <c r="Z284" i="15"/>
  <c r="Y284" i="15"/>
  <c r="X284" i="15"/>
  <c r="W284" i="15"/>
  <c r="V284" i="15"/>
  <c r="U284" i="15"/>
  <c r="T284" i="15"/>
  <c r="S284" i="15"/>
  <c r="DG283" i="15"/>
  <c r="DI283" i="15" s="1"/>
  <c r="DD283" i="15"/>
  <c r="DC283" i="15"/>
  <c r="BP283" i="15"/>
  <c r="BK283" i="15"/>
  <c r="BC283" i="15"/>
  <c r="BB283" i="15"/>
  <c r="BA283" i="15"/>
  <c r="AZ283" i="15"/>
  <c r="AY283" i="15"/>
  <c r="AW283" i="15"/>
  <c r="AV283" i="15"/>
  <c r="AU283" i="15"/>
  <c r="AT283" i="15"/>
  <c r="AS283" i="15"/>
  <c r="AQ283" i="15"/>
  <c r="AP283" i="15"/>
  <c r="AG283" i="15"/>
  <c r="AE283" i="15"/>
  <c r="AD283" i="15"/>
  <c r="AC283" i="15"/>
  <c r="AB283" i="15"/>
  <c r="AA283" i="15"/>
  <c r="Z283" i="15"/>
  <c r="Y283" i="15"/>
  <c r="X283" i="15"/>
  <c r="W283" i="15"/>
  <c r="V283" i="15"/>
  <c r="U283" i="15"/>
  <c r="T283" i="15"/>
  <c r="S283" i="15"/>
  <c r="DG282" i="15"/>
  <c r="DI282" i="15" s="1"/>
  <c r="DJ282" i="15" s="1"/>
  <c r="DD282" i="15"/>
  <c r="DC282" i="15"/>
  <c r="BP282" i="15"/>
  <c r="BK282" i="15"/>
  <c r="BC282" i="15"/>
  <c r="BB282" i="15"/>
  <c r="BA282" i="15"/>
  <c r="AZ282" i="15"/>
  <c r="AY282" i="15"/>
  <c r="AW282" i="15"/>
  <c r="AV282" i="15"/>
  <c r="AU282" i="15"/>
  <c r="AT282" i="15"/>
  <c r="AS282" i="15"/>
  <c r="AQ282" i="15"/>
  <c r="AP282" i="15"/>
  <c r="AG282" i="15"/>
  <c r="AE282" i="15"/>
  <c r="AD282" i="15"/>
  <c r="AC282" i="15"/>
  <c r="AB282" i="15"/>
  <c r="AA282" i="15"/>
  <c r="Z282" i="15"/>
  <c r="Y282" i="15"/>
  <c r="X282" i="15"/>
  <c r="W282" i="15"/>
  <c r="V282" i="15"/>
  <c r="U282" i="15"/>
  <c r="T282" i="15"/>
  <c r="S282" i="15"/>
  <c r="DG281" i="15"/>
  <c r="DI281" i="15" s="1"/>
  <c r="DJ281" i="15" s="1"/>
  <c r="DD281" i="15"/>
  <c r="DC281" i="15"/>
  <c r="BP281" i="15"/>
  <c r="BK281" i="15"/>
  <c r="BC281" i="15"/>
  <c r="BB281" i="15"/>
  <c r="BA281" i="15"/>
  <c r="AZ281" i="15"/>
  <c r="AY281" i="15"/>
  <c r="AW281" i="15"/>
  <c r="AV281" i="15"/>
  <c r="AU281" i="15"/>
  <c r="AT281" i="15"/>
  <c r="AS281" i="15"/>
  <c r="AQ281" i="15"/>
  <c r="AP281" i="15"/>
  <c r="AG281" i="15"/>
  <c r="AE281" i="15"/>
  <c r="AD281" i="15"/>
  <c r="AC281" i="15"/>
  <c r="AB281" i="15"/>
  <c r="AA281" i="15"/>
  <c r="Z281" i="15"/>
  <c r="Y281" i="15"/>
  <c r="X281" i="15"/>
  <c r="W281" i="15"/>
  <c r="V281" i="15"/>
  <c r="U281" i="15"/>
  <c r="T281" i="15"/>
  <c r="S281" i="15"/>
  <c r="DG280" i="15"/>
  <c r="DI280" i="15" s="1"/>
  <c r="DJ280" i="15" s="1"/>
  <c r="DD280" i="15"/>
  <c r="DC280" i="15"/>
  <c r="BP280" i="15"/>
  <c r="BK280" i="15"/>
  <c r="BC280" i="15"/>
  <c r="BB280" i="15"/>
  <c r="BA280" i="15"/>
  <c r="AZ280" i="15"/>
  <c r="AY280" i="15"/>
  <c r="AW280" i="15"/>
  <c r="AV280" i="15"/>
  <c r="AU280" i="15"/>
  <c r="AT280" i="15"/>
  <c r="AS280" i="15"/>
  <c r="AQ280" i="15"/>
  <c r="AP280" i="15"/>
  <c r="AG280" i="15"/>
  <c r="AE280" i="15"/>
  <c r="AD280" i="15"/>
  <c r="AC280" i="15"/>
  <c r="AB280" i="15"/>
  <c r="AA280" i="15"/>
  <c r="Z280" i="15"/>
  <c r="Y280" i="15"/>
  <c r="X280" i="15"/>
  <c r="W280" i="15"/>
  <c r="V280" i="15"/>
  <c r="U280" i="15"/>
  <c r="T280" i="15"/>
  <c r="S280" i="15"/>
  <c r="DF275" i="15"/>
  <c r="DF274" i="15"/>
  <c r="DD274" i="15"/>
  <c r="BQ274" i="15"/>
  <c r="BQ273" i="15"/>
  <c r="BK272" i="15"/>
  <c r="DF271" i="15"/>
  <c r="DD271" i="15"/>
  <c r="BK271" i="15"/>
  <c r="DF270" i="15"/>
  <c r="DD270" i="15"/>
  <c r="DF269" i="15"/>
  <c r="DD269" i="15"/>
  <c r="DF268" i="15"/>
  <c r="DD268" i="15"/>
  <c r="DF267" i="15"/>
  <c r="DD267" i="15"/>
  <c r="DF266" i="15"/>
  <c r="DD266" i="15"/>
  <c r="AV260" i="15"/>
  <c r="AW260" i="15" s="1"/>
  <c r="AX260" i="15" s="1"/>
  <c r="AY260" i="15" s="1"/>
  <c r="AZ260" i="15" s="1"/>
  <c r="DF258" i="15"/>
  <c r="DD258" i="15"/>
  <c r="AZ257" i="15"/>
  <c r="AY257" i="15"/>
  <c r="AX257" i="15"/>
  <c r="AW257" i="15"/>
  <c r="AV257" i="15"/>
  <c r="BB257" i="15" s="1"/>
  <c r="AZ256" i="15"/>
  <c r="AY256" i="15"/>
  <c r="AX256" i="15"/>
  <c r="AW256" i="15"/>
  <c r="BA256" i="15" s="1"/>
  <c r="AV256" i="15"/>
  <c r="AZ255" i="15"/>
  <c r="AY255" i="15"/>
  <c r="AX255" i="15"/>
  <c r="AW255" i="15"/>
  <c r="AV255" i="15"/>
  <c r="BK244" i="15" s="1"/>
  <c r="AE22" i="15" s="1"/>
  <c r="AH22" i="15" s="1"/>
  <c r="AZ254" i="15"/>
  <c r="AY254" i="15"/>
  <c r="AX254" i="15"/>
  <c r="AW254" i="15"/>
  <c r="AV254" i="15"/>
  <c r="AZ253" i="15"/>
  <c r="AY253" i="15"/>
  <c r="AX253" i="15"/>
  <c r="AW253" i="15"/>
  <c r="AV253" i="15"/>
  <c r="BK242" i="15" s="1"/>
  <c r="AZ252" i="15"/>
  <c r="AY252" i="15"/>
  <c r="AX252" i="15"/>
  <c r="AW252" i="15"/>
  <c r="AV252" i="15"/>
  <c r="AZ251" i="15"/>
  <c r="AY251" i="15"/>
  <c r="AX251" i="15"/>
  <c r="AW251" i="15"/>
  <c r="AV251" i="15"/>
  <c r="AZ250" i="15"/>
  <c r="AY250" i="15"/>
  <c r="AX250" i="15"/>
  <c r="AW250" i="15"/>
  <c r="AV250" i="15"/>
  <c r="AZ249" i="15"/>
  <c r="AY249" i="15"/>
  <c r="AX249" i="15"/>
  <c r="AW249" i="15"/>
  <c r="AV249" i="15"/>
  <c r="BK238" i="15" s="1"/>
  <c r="AZ248" i="15"/>
  <c r="AY248" i="15"/>
  <c r="BK236" i="15" s="1"/>
  <c r="AX248" i="15"/>
  <c r="AW248" i="15"/>
  <c r="BK234" i="15" s="1"/>
  <c r="AE20" i="15" s="1"/>
  <c r="AH20" i="15" s="1"/>
  <c r="AV248" i="15"/>
  <c r="BK246" i="15"/>
  <c r="BK245" i="15"/>
  <c r="AE23" i="15" s="1"/>
  <c r="AH23" i="15" s="1"/>
  <c r="BK243" i="15"/>
  <c r="BK241" i="15"/>
  <c r="BK240" i="15"/>
  <c r="AV240" i="15"/>
  <c r="BK239" i="15"/>
  <c r="BX232" i="15"/>
  <c r="BX231" i="15"/>
  <c r="BN230" i="15"/>
  <c r="CQ230" i="15" s="1"/>
  <c r="CP230" i="15" s="1"/>
  <c r="BN229" i="15"/>
  <c r="CQ229" i="15" s="1"/>
  <c r="CP229" i="15" s="1"/>
  <c r="BN228" i="15"/>
  <c r="CQ228" i="15" s="1"/>
  <c r="CP228" i="15" s="1"/>
  <c r="BN227" i="15"/>
  <c r="BN226" i="15"/>
  <c r="CQ226" i="15" s="1"/>
  <c r="CP226" i="15" s="1"/>
  <c r="BN225" i="15"/>
  <c r="CQ225" i="15" s="1"/>
  <c r="CP225" i="15" s="1"/>
  <c r="BN224" i="15"/>
  <c r="CQ224" i="15" s="1"/>
  <c r="BM224" i="15"/>
  <c r="CO224" i="15" s="1"/>
  <c r="BN223" i="15"/>
  <c r="CQ223" i="15" s="1"/>
  <c r="BM223" i="15"/>
  <c r="CO223" i="15" s="1"/>
  <c r="BN222" i="15"/>
  <c r="CQ222" i="15" s="1"/>
  <c r="CP222" i="15" s="1"/>
  <c r="BN220" i="15"/>
  <c r="CQ220" i="15" s="1"/>
  <c r="BM220" i="15"/>
  <c r="CO220" i="15" s="1"/>
  <c r="BK220" i="15"/>
  <c r="BN219" i="15"/>
  <c r="CQ219" i="15" s="1"/>
  <c r="BM219" i="15"/>
  <c r="CO219" i="15" s="1"/>
  <c r="BK219" i="15"/>
  <c r="BN218" i="15"/>
  <c r="BM218" i="15"/>
  <c r="CO218" i="15" s="1"/>
  <c r="BK218" i="15"/>
  <c r="AE17" i="15" s="1"/>
  <c r="AH17" i="15" s="1"/>
  <c r="BN217" i="15"/>
  <c r="CQ217" i="15" s="1"/>
  <c r="BM217" i="15"/>
  <c r="CO217" i="15" s="1"/>
  <c r="BK217" i="15"/>
  <c r="AE18" i="15" s="1"/>
  <c r="AH18" i="15" s="1"/>
  <c r="BN216" i="15"/>
  <c r="CQ216" i="15" s="1"/>
  <c r="BM216" i="15"/>
  <c r="CO216" i="15" s="1"/>
  <c r="BK216" i="15"/>
  <c r="BK215" i="15"/>
  <c r="BX214" i="15"/>
  <c r="BK214" i="15"/>
  <c r="BK212" i="15"/>
  <c r="BK192" i="15"/>
  <c r="BE192" i="15"/>
  <c r="BD192" i="15"/>
  <c r="BK191" i="15"/>
  <c r="BE191" i="15"/>
  <c r="BD191" i="15"/>
  <c r="BK184" i="15"/>
  <c r="BK156" i="15"/>
  <c r="BK155" i="15"/>
  <c r="BK154" i="15"/>
  <c r="BK153" i="15"/>
  <c r="CI137" i="15"/>
  <c r="CC137" i="15"/>
  <c r="BW137" i="15"/>
  <c r="BQ137" i="15"/>
  <c r="CI136" i="15"/>
  <c r="CC136" i="15"/>
  <c r="BW136" i="15"/>
  <c r="BQ136" i="15"/>
  <c r="BK136" i="15"/>
  <c r="CI135" i="15"/>
  <c r="CC135" i="15"/>
  <c r="BW135" i="15"/>
  <c r="BQ135" i="15"/>
  <c r="CI134" i="15"/>
  <c r="CC134" i="15"/>
  <c r="BW134" i="15"/>
  <c r="BQ134" i="15"/>
  <c r="CI133" i="15"/>
  <c r="CC133" i="15"/>
  <c r="BW133" i="15"/>
  <c r="BQ133" i="15"/>
  <c r="CI132" i="15"/>
  <c r="CC132" i="15"/>
  <c r="BW132" i="15"/>
  <c r="BQ132" i="15"/>
  <c r="CI131" i="15"/>
  <c r="CC131" i="15"/>
  <c r="BW131" i="15"/>
  <c r="BQ131" i="15"/>
  <c r="CI130" i="15"/>
  <c r="CC130" i="15"/>
  <c r="BW130" i="15"/>
  <c r="BQ130" i="15"/>
  <c r="CI129" i="15"/>
  <c r="CC129" i="15"/>
  <c r="BW129" i="15"/>
  <c r="BQ129" i="15"/>
  <c r="CI128" i="15"/>
  <c r="CC128" i="15"/>
  <c r="BW128" i="15"/>
  <c r="BQ128" i="15"/>
  <c r="CI127" i="15"/>
  <c r="CC127" i="15"/>
  <c r="BW127" i="15"/>
  <c r="BQ127" i="15"/>
  <c r="CI126" i="15"/>
  <c r="CC126" i="15"/>
  <c r="BW126" i="15"/>
  <c r="BQ126" i="15"/>
  <c r="CI125" i="15"/>
  <c r="CC125" i="15"/>
  <c r="BW125" i="15"/>
  <c r="BQ125" i="15"/>
  <c r="CI124" i="15"/>
  <c r="CC124" i="15"/>
  <c r="BW124" i="15"/>
  <c r="BQ124" i="15"/>
  <c r="CI123" i="15"/>
  <c r="CC123" i="15"/>
  <c r="BW123" i="15"/>
  <c r="BQ123" i="15"/>
  <c r="CI122" i="15"/>
  <c r="CC122" i="15"/>
  <c r="BW122" i="15"/>
  <c r="BQ122" i="15"/>
  <c r="CI121" i="15"/>
  <c r="CC121" i="15"/>
  <c r="BW121" i="15"/>
  <c r="BQ121" i="15"/>
  <c r="CI120" i="15"/>
  <c r="CC120" i="15"/>
  <c r="BW120" i="15"/>
  <c r="BQ120" i="15"/>
  <c r="CI115" i="15"/>
  <c r="CC115" i="15"/>
  <c r="BW115" i="15"/>
  <c r="BQ115" i="15"/>
  <c r="CI114" i="15"/>
  <c r="CC114" i="15"/>
  <c r="BW114" i="15"/>
  <c r="BQ114" i="15"/>
  <c r="CI113" i="15"/>
  <c r="CC113" i="15"/>
  <c r="BW113" i="15"/>
  <c r="BQ113" i="15"/>
  <c r="CI112" i="15"/>
  <c r="CC112" i="15"/>
  <c r="BW112" i="15"/>
  <c r="BQ112" i="15"/>
  <c r="CI111" i="15"/>
  <c r="CC111" i="15"/>
  <c r="BW111" i="15"/>
  <c r="BQ111" i="15"/>
  <c r="CI110" i="15"/>
  <c r="CC110" i="15"/>
  <c r="BW110" i="15"/>
  <c r="BQ110" i="15"/>
  <c r="CI109" i="15"/>
  <c r="CC109" i="15"/>
  <c r="BW109" i="15"/>
  <c r="BQ109" i="15"/>
  <c r="CI108" i="15"/>
  <c r="CC108" i="15"/>
  <c r="BW108" i="15"/>
  <c r="BQ108" i="15"/>
  <c r="CI107" i="15"/>
  <c r="CC107" i="15"/>
  <c r="BW107" i="15"/>
  <c r="BQ107" i="15"/>
  <c r="CI106" i="15"/>
  <c r="CC106" i="15"/>
  <c r="BW106" i="15"/>
  <c r="BQ106" i="15"/>
  <c r="CI105" i="15"/>
  <c r="CC105" i="15"/>
  <c r="BW105" i="15"/>
  <c r="BQ105" i="15"/>
  <c r="CI104" i="15"/>
  <c r="CC104" i="15"/>
  <c r="BW104" i="15"/>
  <c r="BQ104" i="15"/>
  <c r="CI103" i="15"/>
  <c r="CC103" i="15"/>
  <c r="BW103" i="15"/>
  <c r="BQ103" i="15"/>
  <c r="CI98" i="15"/>
  <c r="CC98" i="15"/>
  <c r="BW98" i="15"/>
  <c r="BQ98" i="15"/>
  <c r="CI97" i="15"/>
  <c r="CC97" i="15"/>
  <c r="BW97" i="15"/>
  <c r="BQ97" i="15"/>
  <c r="CI96" i="15"/>
  <c r="CC96" i="15"/>
  <c r="BW96" i="15"/>
  <c r="BQ96" i="15"/>
  <c r="CI95" i="15"/>
  <c r="CC95" i="15"/>
  <c r="BW95" i="15"/>
  <c r="BQ95" i="15"/>
  <c r="CI94" i="15"/>
  <c r="CC94" i="15"/>
  <c r="BW94" i="15"/>
  <c r="BQ94" i="15"/>
  <c r="CI93" i="15"/>
  <c r="CC93" i="15"/>
  <c r="BW93" i="15"/>
  <c r="BQ93" i="15"/>
  <c r="CI92" i="15"/>
  <c r="CC92" i="15"/>
  <c r="BW92" i="15"/>
  <c r="BQ92" i="15"/>
  <c r="CI91" i="15"/>
  <c r="CC91" i="15"/>
  <c r="BW91" i="15"/>
  <c r="BQ91" i="15"/>
  <c r="CI90" i="15"/>
  <c r="CC90" i="15"/>
  <c r="BW90" i="15"/>
  <c r="BQ90" i="15"/>
  <c r="CI89" i="15"/>
  <c r="CC89" i="15"/>
  <c r="BW89" i="15"/>
  <c r="BQ89" i="15"/>
  <c r="CI88" i="15"/>
  <c r="CC88" i="15"/>
  <c r="BW88" i="15"/>
  <c r="BQ88" i="15"/>
  <c r="CI87" i="15"/>
  <c r="CC87" i="15"/>
  <c r="BW87" i="15"/>
  <c r="BQ87" i="15"/>
  <c r="CI86" i="15"/>
  <c r="CC86" i="15"/>
  <c r="BW86" i="15"/>
  <c r="BQ86" i="15"/>
  <c r="CI85" i="15"/>
  <c r="CC85" i="15"/>
  <c r="BW85" i="15"/>
  <c r="BQ85" i="15"/>
  <c r="CI84" i="15"/>
  <c r="CC84" i="15"/>
  <c r="BW84" i="15"/>
  <c r="BQ84" i="15"/>
  <c r="CI83" i="15"/>
  <c r="CC83" i="15"/>
  <c r="BW83" i="15"/>
  <c r="BQ83" i="15"/>
  <c r="CI82" i="15"/>
  <c r="CC82" i="15"/>
  <c r="BW82" i="15"/>
  <c r="BQ82" i="15"/>
  <c r="CI81" i="15"/>
  <c r="CC81" i="15"/>
  <c r="BW81" i="15"/>
  <c r="BQ81" i="15"/>
  <c r="CI80" i="15"/>
  <c r="CC80" i="15"/>
  <c r="BW80" i="15"/>
  <c r="BQ80" i="15"/>
  <c r="CI79" i="15"/>
  <c r="CC79" i="15"/>
  <c r="BW79" i="15"/>
  <c r="BQ79" i="15"/>
  <c r="CI78" i="15"/>
  <c r="CC78" i="15"/>
  <c r="BW78" i="15"/>
  <c r="BQ78" i="15"/>
  <c r="CI77" i="15"/>
  <c r="CC77" i="15"/>
  <c r="BW77" i="15"/>
  <c r="BQ77" i="15"/>
  <c r="CI76" i="15"/>
  <c r="CC76" i="15"/>
  <c r="BW76" i="15"/>
  <c r="BQ76" i="15"/>
  <c r="CI75" i="15"/>
  <c r="CC75" i="15"/>
  <c r="BW75" i="15"/>
  <c r="BQ75" i="15"/>
  <c r="CI74" i="15"/>
  <c r="CC74" i="15"/>
  <c r="BW74" i="15"/>
  <c r="BQ74" i="15"/>
  <c r="AG59" i="15"/>
  <c r="Y55" i="15"/>
  <c r="X55" i="15"/>
  <c r="R55" i="15"/>
  <c r="W55" i="15" s="1"/>
  <c r="Q55" i="15"/>
  <c r="D55" i="15"/>
  <c r="BH43" i="15"/>
  <c r="AV40" i="15"/>
  <c r="AX39" i="15"/>
  <c r="R39" i="15"/>
  <c r="W39" i="15" s="1"/>
  <c r="AO39" i="15" s="1"/>
  <c r="AP39" i="15" s="1"/>
  <c r="Q39" i="15"/>
  <c r="D39" i="15"/>
  <c r="AX33" i="15"/>
  <c r="AM33" i="15"/>
  <c r="R33" i="15"/>
  <c r="W33" i="15" s="1"/>
  <c r="Q33" i="15"/>
  <c r="AG33" i="15" s="1"/>
  <c r="D33" i="15"/>
  <c r="DJ387" i="14"/>
  <c r="DJ386" i="14"/>
  <c r="CZ386" i="14" s="1"/>
  <c r="BK384" i="14"/>
  <c r="X72" i="14" s="1"/>
  <c r="AA72" i="14" s="1"/>
  <c r="BK383" i="14"/>
  <c r="BK382" i="14"/>
  <c r="DJ377" i="14"/>
  <c r="DJ375" i="14"/>
  <c r="BY373" i="14"/>
  <c r="BX373" i="14"/>
  <c r="BS373" i="14"/>
  <c r="BR373" i="14"/>
  <c r="BP373" i="14"/>
  <c r="BN373" i="14"/>
  <c r="CQ373" i="14" s="1"/>
  <c r="BM373" i="14"/>
  <c r="CO373" i="14" s="1"/>
  <c r="BK373" i="14"/>
  <c r="AE65" i="14" s="1"/>
  <c r="AH65" i="14" s="1"/>
  <c r="AI65" i="14" s="1"/>
  <c r="BF65" i="14" s="1"/>
  <c r="BY372" i="14"/>
  <c r="BX372" i="14"/>
  <c r="BS372" i="14"/>
  <c r="BR372" i="14"/>
  <c r="BP372" i="14"/>
  <c r="BN372" i="14"/>
  <c r="CQ372" i="14" s="1"/>
  <c r="BM372" i="14"/>
  <c r="CO372" i="14" s="1"/>
  <c r="BK372" i="14"/>
  <c r="BN371" i="14"/>
  <c r="CQ371" i="14" s="1"/>
  <c r="BM371" i="14"/>
  <c r="CO371" i="14" s="1"/>
  <c r="BD371" i="14"/>
  <c r="BK371" i="14" s="1"/>
  <c r="BN370" i="14"/>
  <c r="CQ370" i="14" s="1"/>
  <c r="BM370" i="14"/>
  <c r="CO370" i="14" s="1"/>
  <c r="BK370" i="14"/>
  <c r="BN369" i="14"/>
  <c r="CQ369" i="14" s="1"/>
  <c r="BM369" i="14"/>
  <c r="CO369" i="14" s="1"/>
  <c r="BK369" i="14"/>
  <c r="BS368" i="14"/>
  <c r="BR368" i="14"/>
  <c r="BP368" i="14"/>
  <c r="BN368" i="14"/>
  <c r="CQ368" i="14" s="1"/>
  <c r="BM368" i="14"/>
  <c r="CO368" i="14" s="1"/>
  <c r="BK368" i="14"/>
  <c r="BS367" i="14"/>
  <c r="BR367" i="14"/>
  <c r="BP367" i="14"/>
  <c r="BN367" i="14"/>
  <c r="CQ367" i="14" s="1"/>
  <c r="BM367" i="14"/>
  <c r="CO367" i="14" s="1"/>
  <c r="BK367" i="14"/>
  <c r="BC364" i="14"/>
  <c r="BB364" i="14"/>
  <c r="BA364" i="14"/>
  <c r="AZ364" i="14"/>
  <c r="AY364" i="14"/>
  <c r="AW364" i="14"/>
  <c r="AV364" i="14"/>
  <c r="AU364" i="14"/>
  <c r="AT364" i="14"/>
  <c r="AS364" i="14"/>
  <c r="AQ364" i="14"/>
  <c r="AP364" i="14"/>
  <c r="DI366" i="14"/>
  <c r="BC363" i="14"/>
  <c r="BB363" i="14"/>
  <c r="BA363" i="14"/>
  <c r="AZ363" i="14"/>
  <c r="AY363" i="14"/>
  <c r="AW363" i="14"/>
  <c r="AV363" i="14"/>
  <c r="AU363" i="14"/>
  <c r="AT363" i="14"/>
  <c r="AS363" i="14"/>
  <c r="AQ363" i="14"/>
  <c r="AP363" i="14"/>
  <c r="BC362" i="14"/>
  <c r="BB362" i="14"/>
  <c r="BA362" i="14"/>
  <c r="AZ362" i="14"/>
  <c r="AY362" i="14"/>
  <c r="AW362" i="14"/>
  <c r="AV362" i="14"/>
  <c r="AU362" i="14"/>
  <c r="AT362" i="14"/>
  <c r="AS362" i="14"/>
  <c r="AQ362" i="14"/>
  <c r="AP362" i="14"/>
  <c r="DI364" i="14"/>
  <c r="BC361" i="14"/>
  <c r="BB361" i="14"/>
  <c r="BA361" i="14"/>
  <c r="AZ361" i="14"/>
  <c r="AY361" i="14"/>
  <c r="AW361" i="14"/>
  <c r="AV361" i="14"/>
  <c r="AU361" i="14"/>
  <c r="AT361" i="14"/>
  <c r="AS361" i="14"/>
  <c r="AQ361" i="14"/>
  <c r="AP361" i="14"/>
  <c r="AG361" i="14"/>
  <c r="AE361" i="14"/>
  <c r="AD361" i="14"/>
  <c r="AC361" i="14"/>
  <c r="AB361" i="14"/>
  <c r="AA361" i="14"/>
  <c r="Z361" i="14"/>
  <c r="Y361" i="14"/>
  <c r="X361" i="14"/>
  <c r="W361" i="14"/>
  <c r="V361" i="14"/>
  <c r="U361" i="14"/>
  <c r="T361" i="14"/>
  <c r="S361" i="14"/>
  <c r="BC360" i="14"/>
  <c r="BB360" i="14"/>
  <c r="BA360" i="14"/>
  <c r="AZ360" i="14"/>
  <c r="AY360" i="14"/>
  <c r="AW360" i="14"/>
  <c r="AV360" i="14"/>
  <c r="AU360" i="14"/>
  <c r="AT360" i="14"/>
  <c r="AS360" i="14"/>
  <c r="AQ360" i="14"/>
  <c r="AP360" i="14"/>
  <c r="AG360" i="14"/>
  <c r="AE360" i="14"/>
  <c r="AD360" i="14"/>
  <c r="AC360" i="14"/>
  <c r="AB360" i="14"/>
  <c r="AA360" i="14"/>
  <c r="Z360" i="14"/>
  <c r="Y360" i="14"/>
  <c r="X360" i="14"/>
  <c r="W360" i="14"/>
  <c r="V360" i="14"/>
  <c r="U360" i="14"/>
  <c r="T360" i="14"/>
  <c r="S360" i="14"/>
  <c r="BC359" i="14"/>
  <c r="BB359" i="14"/>
  <c r="BA359" i="14"/>
  <c r="AZ359" i="14"/>
  <c r="AY359" i="14"/>
  <c r="AW359" i="14"/>
  <c r="AV359" i="14"/>
  <c r="AU359" i="14"/>
  <c r="AT359" i="14"/>
  <c r="AS359" i="14"/>
  <c r="AQ359" i="14"/>
  <c r="AP359" i="14"/>
  <c r="AG359" i="14"/>
  <c r="AE359" i="14"/>
  <c r="AD359" i="14"/>
  <c r="AC359" i="14"/>
  <c r="AB359" i="14"/>
  <c r="AA359" i="14"/>
  <c r="Z359" i="14"/>
  <c r="Y359" i="14"/>
  <c r="X359" i="14"/>
  <c r="W359" i="14"/>
  <c r="V359" i="14"/>
  <c r="U359" i="14"/>
  <c r="T359" i="14"/>
  <c r="S359" i="14"/>
  <c r="DD361" i="14"/>
  <c r="DF361" i="14" s="1"/>
  <c r="DA361" i="14"/>
  <c r="CZ361" i="14"/>
  <c r="BC358" i="14"/>
  <c r="BB358" i="14"/>
  <c r="BA358" i="14"/>
  <c r="AZ358" i="14"/>
  <c r="AY358" i="14"/>
  <c r="AW358" i="14"/>
  <c r="AV358" i="14"/>
  <c r="AU358" i="14"/>
  <c r="AT358" i="14"/>
  <c r="AS358" i="14"/>
  <c r="AQ358" i="14"/>
  <c r="AP358" i="14"/>
  <c r="AG358" i="14"/>
  <c r="AE358" i="14"/>
  <c r="AD358" i="14"/>
  <c r="AC358" i="14"/>
  <c r="AB358" i="14"/>
  <c r="AA358" i="14"/>
  <c r="Z358" i="14"/>
  <c r="Y358" i="14"/>
  <c r="X358" i="14"/>
  <c r="W358" i="14"/>
  <c r="V358" i="14"/>
  <c r="U358" i="14"/>
  <c r="T358" i="14"/>
  <c r="S358" i="14"/>
  <c r="DD360" i="14"/>
  <c r="DF360" i="14" s="1"/>
  <c r="DA360" i="14"/>
  <c r="CZ360" i="14"/>
  <c r="BC357" i="14"/>
  <c r="BB357" i="14"/>
  <c r="BA357" i="14"/>
  <c r="AZ357" i="14"/>
  <c r="AY357" i="14"/>
  <c r="AW357" i="14"/>
  <c r="AV357" i="14"/>
  <c r="AU357" i="14"/>
  <c r="AT357" i="14"/>
  <c r="AS357" i="14"/>
  <c r="AQ357" i="14"/>
  <c r="AP357" i="14"/>
  <c r="AG357" i="14"/>
  <c r="AE357" i="14"/>
  <c r="AD357" i="14"/>
  <c r="AC357" i="14"/>
  <c r="AB357" i="14"/>
  <c r="AA357" i="14"/>
  <c r="Z357" i="14"/>
  <c r="Y357" i="14"/>
  <c r="X357" i="14"/>
  <c r="W357" i="14"/>
  <c r="V357" i="14"/>
  <c r="U357" i="14"/>
  <c r="T357" i="14"/>
  <c r="S357" i="14"/>
  <c r="DD359" i="14"/>
  <c r="DF359" i="14" s="1"/>
  <c r="DA359" i="14"/>
  <c r="CZ359" i="14"/>
  <c r="BC356" i="14"/>
  <c r="BB356" i="14"/>
  <c r="BA356" i="14"/>
  <c r="AZ356" i="14"/>
  <c r="AY356" i="14"/>
  <c r="AW356" i="14"/>
  <c r="AV356" i="14"/>
  <c r="AU356" i="14"/>
  <c r="AT356" i="14"/>
  <c r="AS356" i="14"/>
  <c r="AQ356" i="14"/>
  <c r="AP356" i="14"/>
  <c r="AG356" i="14"/>
  <c r="AE356" i="14"/>
  <c r="AD356" i="14"/>
  <c r="AC356" i="14"/>
  <c r="AB356" i="14"/>
  <c r="AA356" i="14"/>
  <c r="Z356" i="14"/>
  <c r="Y356" i="14"/>
  <c r="X356" i="14"/>
  <c r="W356" i="14"/>
  <c r="V356" i="14"/>
  <c r="U356" i="14"/>
  <c r="T356" i="14"/>
  <c r="S356" i="14"/>
  <c r="DD358" i="14"/>
  <c r="DF358" i="14" s="1"/>
  <c r="DG358" i="14" s="1"/>
  <c r="DA358" i="14"/>
  <c r="CZ358" i="14"/>
  <c r="BC355" i="14"/>
  <c r="BB355" i="14"/>
  <c r="BA355" i="14"/>
  <c r="AZ355" i="14"/>
  <c r="AY355" i="14"/>
  <c r="AW355" i="14"/>
  <c r="AV355" i="14"/>
  <c r="AU355" i="14"/>
  <c r="AT355" i="14"/>
  <c r="AS355" i="14"/>
  <c r="AQ355" i="14"/>
  <c r="AP355" i="14"/>
  <c r="AG355" i="14"/>
  <c r="AE355" i="14"/>
  <c r="AD355" i="14"/>
  <c r="AC355" i="14"/>
  <c r="AB355" i="14"/>
  <c r="AA355" i="14"/>
  <c r="Z355" i="14"/>
  <c r="Y355" i="14"/>
  <c r="X355" i="14"/>
  <c r="W355" i="14"/>
  <c r="V355" i="14"/>
  <c r="U355" i="14"/>
  <c r="T355" i="14"/>
  <c r="S355" i="14"/>
  <c r="DD357" i="14"/>
  <c r="DF357" i="14" s="1"/>
  <c r="DG357" i="14" s="1"/>
  <c r="DA357" i="14"/>
  <c r="CZ357" i="14"/>
  <c r="BC354" i="14"/>
  <c r="BB354" i="14"/>
  <c r="BA354" i="14"/>
  <c r="AZ354" i="14"/>
  <c r="AY354" i="14"/>
  <c r="AW354" i="14"/>
  <c r="AV354" i="14"/>
  <c r="AU354" i="14"/>
  <c r="AT354" i="14"/>
  <c r="AS354" i="14"/>
  <c r="AQ354" i="14"/>
  <c r="AP354" i="14"/>
  <c r="AG354" i="14"/>
  <c r="AE354" i="14"/>
  <c r="AD354" i="14"/>
  <c r="AC354" i="14"/>
  <c r="AB354" i="14"/>
  <c r="AA354" i="14"/>
  <c r="Z354" i="14"/>
  <c r="Y354" i="14"/>
  <c r="X354" i="14"/>
  <c r="W354" i="14"/>
  <c r="V354" i="14"/>
  <c r="U354" i="14"/>
  <c r="T354" i="14"/>
  <c r="S354" i="14"/>
  <c r="DD356" i="14"/>
  <c r="DF356" i="14" s="1"/>
  <c r="DG356" i="14" s="1"/>
  <c r="DA356" i="14"/>
  <c r="CZ356" i="14"/>
  <c r="BC353" i="14"/>
  <c r="BB353" i="14"/>
  <c r="BA353" i="14"/>
  <c r="AZ353" i="14"/>
  <c r="AY353" i="14"/>
  <c r="AW353" i="14"/>
  <c r="AV353" i="14"/>
  <c r="AU353" i="14"/>
  <c r="AT353" i="14"/>
  <c r="AS353" i="14"/>
  <c r="AQ353" i="14"/>
  <c r="AP353" i="14"/>
  <c r="AG353" i="14"/>
  <c r="AE353" i="14"/>
  <c r="AD353" i="14"/>
  <c r="AC353" i="14"/>
  <c r="AB353" i="14"/>
  <c r="AA353" i="14"/>
  <c r="Z353" i="14"/>
  <c r="Y353" i="14"/>
  <c r="X353" i="14"/>
  <c r="W353" i="14"/>
  <c r="V353" i="14"/>
  <c r="U353" i="14"/>
  <c r="T353" i="14"/>
  <c r="S353" i="14"/>
  <c r="DD352" i="14"/>
  <c r="DF352" i="14" s="1"/>
  <c r="DG352" i="14" s="1"/>
  <c r="DA352" i="14"/>
  <c r="CZ352" i="14"/>
  <c r="BC352" i="14"/>
  <c r="BB352" i="14"/>
  <c r="BA352" i="14"/>
  <c r="AZ352" i="14"/>
  <c r="AY352" i="14"/>
  <c r="AW352" i="14"/>
  <c r="AV352" i="14"/>
  <c r="AU352" i="14"/>
  <c r="AT352" i="14"/>
  <c r="AS352" i="14"/>
  <c r="AQ352" i="14"/>
  <c r="AP352" i="14"/>
  <c r="AG352" i="14"/>
  <c r="AE352" i="14"/>
  <c r="AD352" i="14"/>
  <c r="AC352" i="14"/>
  <c r="AB352" i="14"/>
  <c r="AA352" i="14"/>
  <c r="Z352" i="14"/>
  <c r="Y352" i="14"/>
  <c r="X352" i="14"/>
  <c r="W352" i="14"/>
  <c r="V352" i="14"/>
  <c r="U352" i="14"/>
  <c r="T352" i="14"/>
  <c r="S352" i="14"/>
  <c r="DD351" i="14"/>
  <c r="DF351" i="14" s="1"/>
  <c r="DG351" i="14" s="1"/>
  <c r="DA351" i="14"/>
  <c r="CZ351" i="14"/>
  <c r="BC351" i="14"/>
  <c r="BB351" i="14"/>
  <c r="BA351" i="14"/>
  <c r="AZ351" i="14"/>
  <c r="AY351" i="14"/>
  <c r="AW351" i="14"/>
  <c r="AV351" i="14"/>
  <c r="AU351" i="14"/>
  <c r="AT351" i="14"/>
  <c r="AS351" i="14"/>
  <c r="AQ351" i="14"/>
  <c r="AP351" i="14"/>
  <c r="AG351" i="14"/>
  <c r="AE351" i="14"/>
  <c r="AD351" i="14"/>
  <c r="AC351" i="14"/>
  <c r="AB351" i="14"/>
  <c r="AA351" i="14"/>
  <c r="Z351" i="14"/>
  <c r="Y351" i="14"/>
  <c r="X351" i="14"/>
  <c r="W351" i="14"/>
  <c r="V351" i="14"/>
  <c r="U351" i="14"/>
  <c r="T351" i="14"/>
  <c r="S351" i="14"/>
  <c r="DD350" i="14"/>
  <c r="DF350" i="14" s="1"/>
  <c r="DG350" i="14" s="1"/>
  <c r="DA350" i="14"/>
  <c r="CZ350" i="14"/>
  <c r="BC350" i="14"/>
  <c r="BB350" i="14"/>
  <c r="BA350" i="14"/>
  <c r="AZ350" i="14"/>
  <c r="AY350" i="14"/>
  <c r="AW350" i="14"/>
  <c r="AV350" i="14"/>
  <c r="AU350" i="14"/>
  <c r="AT350" i="14"/>
  <c r="AS350" i="14"/>
  <c r="AQ350" i="14"/>
  <c r="AP350" i="14"/>
  <c r="AG350" i="14"/>
  <c r="AE350" i="14"/>
  <c r="AD350" i="14"/>
  <c r="AC350" i="14"/>
  <c r="AB350" i="14"/>
  <c r="AA350" i="14"/>
  <c r="Z350" i="14"/>
  <c r="Y350" i="14"/>
  <c r="X350" i="14"/>
  <c r="W350" i="14"/>
  <c r="V350" i="14"/>
  <c r="U350" i="14"/>
  <c r="T350" i="14"/>
  <c r="S350" i="14"/>
  <c r="DD349" i="14"/>
  <c r="DF349" i="14" s="1"/>
  <c r="DA349" i="14"/>
  <c r="CZ349" i="14"/>
  <c r="DC324" i="14" s="1"/>
  <c r="BC349" i="14"/>
  <c r="BB349" i="14"/>
  <c r="BA349" i="14"/>
  <c r="AZ349" i="14"/>
  <c r="AY349" i="14"/>
  <c r="AW349" i="14"/>
  <c r="AV349" i="14"/>
  <c r="AU349" i="14"/>
  <c r="AT349" i="14"/>
  <c r="AS349" i="14"/>
  <c r="AQ349" i="14"/>
  <c r="AP349" i="14"/>
  <c r="AG349" i="14"/>
  <c r="AE349" i="14"/>
  <c r="AD349" i="14"/>
  <c r="AC349" i="14"/>
  <c r="AB349" i="14"/>
  <c r="AA349" i="14"/>
  <c r="Z349" i="14"/>
  <c r="Y349" i="14"/>
  <c r="X349" i="14"/>
  <c r="W349" i="14"/>
  <c r="V349" i="14"/>
  <c r="U349" i="14"/>
  <c r="T349" i="14"/>
  <c r="S349" i="14"/>
  <c r="DD348" i="14"/>
  <c r="DF348" i="14" s="1"/>
  <c r="DA348" i="14"/>
  <c r="CZ348" i="14"/>
  <c r="BC348" i="14"/>
  <c r="BB348" i="14"/>
  <c r="BA348" i="14"/>
  <c r="AZ348" i="14"/>
  <c r="AY348" i="14"/>
  <c r="AW348" i="14"/>
  <c r="AV348" i="14"/>
  <c r="AU348" i="14"/>
  <c r="AT348" i="14"/>
  <c r="AS348" i="14"/>
  <c r="AQ348" i="14"/>
  <c r="AP348" i="14"/>
  <c r="AG348" i="14"/>
  <c r="AE348" i="14"/>
  <c r="AD348" i="14"/>
  <c r="AC348" i="14"/>
  <c r="AB348" i="14"/>
  <c r="AA348" i="14"/>
  <c r="Z348" i="14"/>
  <c r="Y348" i="14"/>
  <c r="X348" i="14"/>
  <c r="W348" i="14"/>
  <c r="V348" i="14"/>
  <c r="U348" i="14"/>
  <c r="T348" i="14"/>
  <c r="S348" i="14"/>
  <c r="DD347" i="14"/>
  <c r="DF347" i="14" s="1"/>
  <c r="DA347" i="14"/>
  <c r="CZ347" i="14"/>
  <c r="BC347" i="14"/>
  <c r="BB347" i="14"/>
  <c r="BA347" i="14"/>
  <c r="AZ347" i="14"/>
  <c r="AY347" i="14"/>
  <c r="AW347" i="14"/>
  <c r="AV347" i="14"/>
  <c r="AU347" i="14"/>
  <c r="AT347" i="14"/>
  <c r="AS347" i="14"/>
  <c r="AQ347" i="14"/>
  <c r="AP347" i="14"/>
  <c r="AG347" i="14"/>
  <c r="AE347" i="14"/>
  <c r="AD347" i="14"/>
  <c r="AC347" i="14"/>
  <c r="AB347" i="14"/>
  <c r="AA347" i="14"/>
  <c r="Z347" i="14"/>
  <c r="Y347" i="14"/>
  <c r="X347" i="14"/>
  <c r="W347" i="14"/>
  <c r="V347" i="14"/>
  <c r="U347" i="14"/>
  <c r="T347" i="14"/>
  <c r="S347" i="14"/>
  <c r="DD346" i="14"/>
  <c r="DF346" i="14" s="1"/>
  <c r="DA346" i="14"/>
  <c r="CZ346" i="14"/>
  <c r="BC346" i="14"/>
  <c r="BB346" i="14"/>
  <c r="BA346" i="14"/>
  <c r="AZ346" i="14"/>
  <c r="AY346" i="14"/>
  <c r="AW346" i="14"/>
  <c r="AV346" i="14"/>
  <c r="AU346" i="14"/>
  <c r="AT346" i="14"/>
  <c r="AS346" i="14"/>
  <c r="AQ346" i="14"/>
  <c r="AP346" i="14"/>
  <c r="AG346" i="14"/>
  <c r="AE346" i="14"/>
  <c r="AD346" i="14"/>
  <c r="AC346" i="14"/>
  <c r="AB346" i="14"/>
  <c r="AA346" i="14"/>
  <c r="Z346" i="14"/>
  <c r="Y346" i="14"/>
  <c r="X346" i="14"/>
  <c r="W346" i="14"/>
  <c r="V346" i="14"/>
  <c r="U346" i="14"/>
  <c r="T346" i="14"/>
  <c r="S346" i="14"/>
  <c r="DD345" i="14"/>
  <c r="DF345" i="14" s="1"/>
  <c r="DA345" i="14"/>
  <c r="CZ345" i="14"/>
  <c r="BC345" i="14"/>
  <c r="BB345" i="14"/>
  <c r="BA345" i="14"/>
  <c r="AZ345" i="14"/>
  <c r="AY345" i="14"/>
  <c r="AW345" i="14"/>
  <c r="AV345" i="14"/>
  <c r="AU345" i="14"/>
  <c r="AT345" i="14"/>
  <c r="AS345" i="14"/>
  <c r="AQ345" i="14"/>
  <c r="AP345" i="14"/>
  <c r="AG345" i="14"/>
  <c r="AE345" i="14"/>
  <c r="AD345" i="14"/>
  <c r="AC345" i="14"/>
  <c r="AB345" i="14"/>
  <c r="AA345" i="14"/>
  <c r="Z345" i="14"/>
  <c r="Y345" i="14"/>
  <c r="X345" i="14"/>
  <c r="W345" i="14"/>
  <c r="V345" i="14"/>
  <c r="U345" i="14"/>
  <c r="T345" i="14"/>
  <c r="S345" i="14"/>
  <c r="DD344" i="14"/>
  <c r="DF344" i="14" s="1"/>
  <c r="DA344" i="14"/>
  <c r="CZ344" i="14"/>
  <c r="BC344" i="14"/>
  <c r="BB344" i="14"/>
  <c r="BA344" i="14"/>
  <c r="AZ344" i="14"/>
  <c r="AY344" i="14"/>
  <c r="AW344" i="14"/>
  <c r="AV344" i="14"/>
  <c r="AU344" i="14"/>
  <c r="AT344" i="14"/>
  <c r="AS344" i="14"/>
  <c r="AQ344" i="14"/>
  <c r="AP344" i="14"/>
  <c r="AG344" i="14"/>
  <c r="AE344" i="14"/>
  <c r="AD344" i="14"/>
  <c r="AC344" i="14"/>
  <c r="AB344" i="14"/>
  <c r="AA344" i="14"/>
  <c r="Z344" i="14"/>
  <c r="Y344" i="14"/>
  <c r="X344" i="14"/>
  <c r="W344" i="14"/>
  <c r="V344" i="14"/>
  <c r="U344" i="14"/>
  <c r="T344" i="14"/>
  <c r="S344" i="14"/>
  <c r="DD343" i="14"/>
  <c r="DF343" i="14" s="1"/>
  <c r="DA343" i="14"/>
  <c r="CZ343" i="14"/>
  <c r="BC343" i="14"/>
  <c r="BB343" i="14"/>
  <c r="BA343" i="14"/>
  <c r="AZ343" i="14"/>
  <c r="AY343" i="14"/>
  <c r="AW343" i="14"/>
  <c r="AV343" i="14"/>
  <c r="AU343" i="14"/>
  <c r="AT343" i="14"/>
  <c r="AS343" i="14"/>
  <c r="AQ343" i="14"/>
  <c r="AP343" i="14"/>
  <c r="AG343" i="14"/>
  <c r="AE343" i="14"/>
  <c r="AD343" i="14"/>
  <c r="AC343" i="14"/>
  <c r="AB343" i="14"/>
  <c r="AA343" i="14"/>
  <c r="Z343" i="14"/>
  <c r="Y343" i="14"/>
  <c r="X343" i="14"/>
  <c r="W343" i="14"/>
  <c r="V343" i="14"/>
  <c r="U343" i="14"/>
  <c r="T343" i="14"/>
  <c r="S343" i="14"/>
  <c r="DD342" i="14"/>
  <c r="DF342" i="14" s="1"/>
  <c r="DA342" i="14"/>
  <c r="CZ342" i="14"/>
  <c r="BC342" i="14"/>
  <c r="BB342" i="14"/>
  <c r="BA342" i="14"/>
  <c r="AZ342" i="14"/>
  <c r="AY342" i="14"/>
  <c r="AW342" i="14"/>
  <c r="AV342" i="14"/>
  <c r="AU342" i="14"/>
  <c r="AT342" i="14"/>
  <c r="AS342" i="14"/>
  <c r="AQ342" i="14"/>
  <c r="AP342" i="14"/>
  <c r="AG342" i="14"/>
  <c r="AE342" i="14"/>
  <c r="AD342" i="14"/>
  <c r="AC342" i="14"/>
  <c r="AB342" i="14"/>
  <c r="AA342" i="14"/>
  <c r="Z342" i="14"/>
  <c r="Y342" i="14"/>
  <c r="X342" i="14"/>
  <c r="W342" i="14"/>
  <c r="V342" i="14"/>
  <c r="U342" i="14"/>
  <c r="T342" i="14"/>
  <c r="S342" i="14"/>
  <c r="DD341" i="14"/>
  <c r="DF341" i="14" s="1"/>
  <c r="DG341" i="14" s="1"/>
  <c r="DA341" i="14"/>
  <c r="CZ341" i="14"/>
  <c r="BC341" i="14"/>
  <c r="BB341" i="14"/>
  <c r="BA341" i="14"/>
  <c r="AZ341" i="14"/>
  <c r="AY341" i="14"/>
  <c r="AW341" i="14"/>
  <c r="AV341" i="14"/>
  <c r="AU341" i="14"/>
  <c r="AT341" i="14"/>
  <c r="AS341" i="14"/>
  <c r="AQ341" i="14"/>
  <c r="AP341" i="14"/>
  <c r="AG341" i="14"/>
  <c r="AE341" i="14"/>
  <c r="AD341" i="14"/>
  <c r="AC341" i="14"/>
  <c r="AB341" i="14"/>
  <c r="AA341" i="14"/>
  <c r="Z341" i="14"/>
  <c r="Y341" i="14"/>
  <c r="X341" i="14"/>
  <c r="W341" i="14"/>
  <c r="V341" i="14"/>
  <c r="U341" i="14"/>
  <c r="T341" i="14"/>
  <c r="S341" i="14"/>
  <c r="DD340" i="14"/>
  <c r="DF340" i="14" s="1"/>
  <c r="DG340" i="14" s="1"/>
  <c r="DA340" i="14"/>
  <c r="CZ340" i="14"/>
  <c r="BC340" i="14"/>
  <c r="BB340" i="14"/>
  <c r="BA340" i="14"/>
  <c r="AZ340" i="14"/>
  <c r="AY340" i="14"/>
  <c r="AW340" i="14"/>
  <c r="AV340" i="14"/>
  <c r="AU340" i="14"/>
  <c r="AT340" i="14"/>
  <c r="AS340" i="14"/>
  <c r="AQ340" i="14"/>
  <c r="AP340" i="14"/>
  <c r="AG340" i="14"/>
  <c r="AE340" i="14"/>
  <c r="AD340" i="14"/>
  <c r="AC340" i="14"/>
  <c r="AB340" i="14"/>
  <c r="AA340" i="14"/>
  <c r="Z340" i="14"/>
  <c r="Y340" i="14"/>
  <c r="X340" i="14"/>
  <c r="W340" i="14"/>
  <c r="V340" i="14"/>
  <c r="U340" i="14"/>
  <c r="T340" i="14"/>
  <c r="S340" i="14"/>
  <c r="DD339" i="14"/>
  <c r="DF339" i="14" s="1"/>
  <c r="DG339" i="14" s="1"/>
  <c r="DA339" i="14"/>
  <c r="CZ339" i="14"/>
  <c r="BC339" i="14"/>
  <c r="BB339" i="14"/>
  <c r="BA339" i="14"/>
  <c r="AZ339" i="14"/>
  <c r="AY339" i="14"/>
  <c r="AW339" i="14"/>
  <c r="AV339" i="14"/>
  <c r="AU339" i="14"/>
  <c r="AT339" i="14"/>
  <c r="AS339" i="14"/>
  <c r="AQ339" i="14"/>
  <c r="AP339" i="14"/>
  <c r="AG339" i="14"/>
  <c r="AE339" i="14"/>
  <c r="AD339" i="14"/>
  <c r="AC339" i="14"/>
  <c r="AB339" i="14"/>
  <c r="AA339" i="14"/>
  <c r="Z339" i="14"/>
  <c r="Y339" i="14"/>
  <c r="X339" i="14"/>
  <c r="W339" i="14"/>
  <c r="V339" i="14"/>
  <c r="U339" i="14"/>
  <c r="T339" i="14"/>
  <c r="S339" i="14"/>
  <c r="DD338" i="14"/>
  <c r="DF338" i="14" s="1"/>
  <c r="DA338" i="14"/>
  <c r="CZ338" i="14"/>
  <c r="BC338" i="14"/>
  <c r="BB338" i="14"/>
  <c r="BA338" i="14"/>
  <c r="AZ338" i="14"/>
  <c r="AY338" i="14"/>
  <c r="AW338" i="14"/>
  <c r="AV338" i="14"/>
  <c r="AU338" i="14"/>
  <c r="AT338" i="14"/>
  <c r="AS338" i="14"/>
  <c r="AQ338" i="14"/>
  <c r="AP338" i="14"/>
  <c r="AG338" i="14"/>
  <c r="AE338" i="14"/>
  <c r="AD338" i="14"/>
  <c r="AC338" i="14"/>
  <c r="AB338" i="14"/>
  <c r="AA338" i="14"/>
  <c r="Z338" i="14"/>
  <c r="Y338" i="14"/>
  <c r="X338" i="14"/>
  <c r="W338" i="14"/>
  <c r="V338" i="14"/>
  <c r="U338" i="14"/>
  <c r="T338" i="14"/>
  <c r="S338" i="14"/>
  <c r="DD337" i="14"/>
  <c r="DF337" i="14" s="1"/>
  <c r="DG337" i="14" s="1"/>
  <c r="DA337" i="14"/>
  <c r="CZ337" i="14"/>
  <c r="BD337" i="14"/>
  <c r="BC337" i="14"/>
  <c r="BB337" i="14"/>
  <c r="BA337" i="14"/>
  <c r="AZ337" i="14"/>
  <c r="AV337" i="14"/>
  <c r="AU337" i="14"/>
  <c r="AT337" i="14"/>
  <c r="AS337" i="14"/>
  <c r="AQ337" i="14"/>
  <c r="AP337" i="14"/>
  <c r="AG337" i="14"/>
  <c r="AF337" i="14"/>
  <c r="AE337" i="14"/>
  <c r="AD337" i="14"/>
  <c r="AC337" i="14"/>
  <c r="AB337" i="14"/>
  <c r="AA337" i="14"/>
  <c r="X337" i="14"/>
  <c r="W337" i="14"/>
  <c r="V337" i="14"/>
  <c r="U337" i="14"/>
  <c r="T337" i="14"/>
  <c r="S337" i="14"/>
  <c r="DD336" i="14"/>
  <c r="DF336" i="14" s="1"/>
  <c r="DA336" i="14"/>
  <c r="CZ336" i="14"/>
  <c r="BD336" i="14"/>
  <c r="BC336" i="14"/>
  <c r="BB336" i="14"/>
  <c r="BA336" i="14"/>
  <c r="AZ336" i="14"/>
  <c r="AV336" i="14"/>
  <c r="AU336" i="14"/>
  <c r="AT336" i="14"/>
  <c r="AS336" i="14"/>
  <c r="AQ336" i="14"/>
  <c r="AP336" i="14"/>
  <c r="AG336" i="14"/>
  <c r="AF336" i="14"/>
  <c r="AE336" i="14"/>
  <c r="AD336" i="14"/>
  <c r="AC336" i="14"/>
  <c r="AB336" i="14"/>
  <c r="AA336" i="14"/>
  <c r="X336" i="14"/>
  <c r="W336" i="14"/>
  <c r="V336" i="14"/>
  <c r="U336" i="14"/>
  <c r="T336" i="14"/>
  <c r="S336" i="14"/>
  <c r="DD335" i="14"/>
  <c r="DF335" i="14" s="1"/>
  <c r="DA335" i="14"/>
  <c r="CZ335" i="14"/>
  <c r="BD335" i="14"/>
  <c r="BC335" i="14"/>
  <c r="BB335" i="14"/>
  <c r="BA335" i="14"/>
  <c r="AZ335" i="14"/>
  <c r="AV335" i="14"/>
  <c r="AU335" i="14"/>
  <c r="AT335" i="14"/>
  <c r="AS335" i="14"/>
  <c r="AQ335" i="14"/>
  <c r="AP335" i="14"/>
  <c r="AG335" i="14"/>
  <c r="AF335" i="14"/>
  <c r="AE335" i="14"/>
  <c r="AD335" i="14"/>
  <c r="AC335" i="14"/>
  <c r="AB335" i="14"/>
  <c r="AA335" i="14"/>
  <c r="X335" i="14"/>
  <c r="W335" i="14"/>
  <c r="V335" i="14"/>
  <c r="U335" i="14"/>
  <c r="T335" i="14"/>
  <c r="S335" i="14"/>
  <c r="DD334" i="14"/>
  <c r="DF334" i="14" s="1"/>
  <c r="DA334" i="14"/>
  <c r="CZ334" i="14"/>
  <c r="BC334" i="14"/>
  <c r="BB334" i="14"/>
  <c r="BA334" i="14"/>
  <c r="AZ334" i="14"/>
  <c r="AY334" i="14"/>
  <c r="AW334" i="14"/>
  <c r="AV334" i="14"/>
  <c r="AU334" i="14"/>
  <c r="AT334" i="14"/>
  <c r="AS334" i="14"/>
  <c r="AQ334" i="14"/>
  <c r="AP334" i="14"/>
  <c r="AG334" i="14"/>
  <c r="AE334" i="14"/>
  <c r="AD334" i="14"/>
  <c r="AC334" i="14"/>
  <c r="AB334" i="14"/>
  <c r="AA334" i="14"/>
  <c r="Z334" i="14"/>
  <c r="Y334" i="14"/>
  <c r="X334" i="14"/>
  <c r="W334" i="14"/>
  <c r="V334" i="14"/>
  <c r="U334" i="14"/>
  <c r="T334" i="14"/>
  <c r="S334" i="14"/>
  <c r="DD333" i="14"/>
  <c r="DF333" i="14" s="1"/>
  <c r="DA333" i="14"/>
  <c r="CZ333" i="14"/>
  <c r="BC333" i="14"/>
  <c r="BB333" i="14"/>
  <c r="BA333" i="14"/>
  <c r="AZ333" i="14"/>
  <c r="AY333" i="14"/>
  <c r="AW333" i="14"/>
  <c r="AV333" i="14"/>
  <c r="AU333" i="14"/>
  <c r="AT333" i="14"/>
  <c r="AS333" i="14"/>
  <c r="AQ333" i="14"/>
  <c r="AP333" i="14"/>
  <c r="AG333" i="14"/>
  <c r="AE333" i="14"/>
  <c r="AD333" i="14"/>
  <c r="AC333" i="14"/>
  <c r="AB333" i="14"/>
  <c r="AA333" i="14"/>
  <c r="Z333" i="14"/>
  <c r="Y333" i="14"/>
  <c r="X333" i="14"/>
  <c r="W333" i="14"/>
  <c r="V333" i="14"/>
  <c r="U333" i="14"/>
  <c r="T333" i="14"/>
  <c r="S333" i="14"/>
  <c r="DD332" i="14"/>
  <c r="DF332" i="14" s="1"/>
  <c r="DA332" i="14"/>
  <c r="CZ332" i="14"/>
  <c r="BC332" i="14"/>
  <c r="BB332" i="14"/>
  <c r="BA332" i="14"/>
  <c r="AZ332" i="14"/>
  <c r="AY332" i="14"/>
  <c r="AW332" i="14"/>
  <c r="AV332" i="14"/>
  <c r="AU332" i="14"/>
  <c r="AT332" i="14"/>
  <c r="AS332" i="14"/>
  <c r="AQ332" i="14"/>
  <c r="AP332" i="14"/>
  <c r="AG332" i="14"/>
  <c r="AE332" i="14"/>
  <c r="AD332" i="14"/>
  <c r="AC332" i="14"/>
  <c r="AB332" i="14"/>
  <c r="AA332" i="14"/>
  <c r="Z332" i="14"/>
  <c r="Y332" i="14"/>
  <c r="X332" i="14"/>
  <c r="W332" i="14"/>
  <c r="V332" i="14"/>
  <c r="U332" i="14"/>
  <c r="T332" i="14"/>
  <c r="S332" i="14"/>
  <c r="DD331" i="14"/>
  <c r="DF331" i="14" s="1"/>
  <c r="DA331" i="14"/>
  <c r="CZ331" i="14"/>
  <c r="BC331" i="14"/>
  <c r="BB331" i="14"/>
  <c r="BA331" i="14"/>
  <c r="AZ331" i="14"/>
  <c r="AY331" i="14"/>
  <c r="AW331" i="14"/>
  <c r="AV331" i="14"/>
  <c r="AU331" i="14"/>
  <c r="AT331" i="14"/>
  <c r="AS331" i="14"/>
  <c r="AQ331" i="14"/>
  <c r="AP331" i="14"/>
  <c r="AG331" i="14"/>
  <c r="AE331" i="14"/>
  <c r="AD331" i="14"/>
  <c r="AC331" i="14"/>
  <c r="AB331" i="14"/>
  <c r="AA331" i="14"/>
  <c r="Z331" i="14"/>
  <c r="Y331" i="14"/>
  <c r="X331" i="14"/>
  <c r="W331" i="14"/>
  <c r="V331" i="14"/>
  <c r="U331" i="14"/>
  <c r="T331" i="14"/>
  <c r="S331" i="14"/>
  <c r="DD330" i="14"/>
  <c r="DF330" i="14" s="1"/>
  <c r="DA330" i="14"/>
  <c r="CZ330" i="14"/>
  <c r="BC330" i="14"/>
  <c r="BB330" i="14"/>
  <c r="BA330" i="14"/>
  <c r="AZ330" i="14"/>
  <c r="AY330" i="14"/>
  <c r="AW330" i="14"/>
  <c r="AV330" i="14"/>
  <c r="AU330" i="14"/>
  <c r="AT330" i="14"/>
  <c r="AS330" i="14"/>
  <c r="AQ330" i="14"/>
  <c r="AP330" i="14"/>
  <c r="AG330" i="14"/>
  <c r="AE330" i="14"/>
  <c r="AD330" i="14"/>
  <c r="AC330" i="14"/>
  <c r="AB330" i="14"/>
  <c r="AA330" i="14"/>
  <c r="Z330" i="14"/>
  <c r="Y330" i="14"/>
  <c r="X330" i="14"/>
  <c r="W330" i="14"/>
  <c r="V330" i="14"/>
  <c r="U330" i="14"/>
  <c r="T330" i="14"/>
  <c r="S330" i="14"/>
  <c r="DD329" i="14"/>
  <c r="DF329" i="14" s="1"/>
  <c r="DA329" i="14"/>
  <c r="CZ329" i="14"/>
  <c r="BC329" i="14"/>
  <c r="BB329" i="14"/>
  <c r="BA329" i="14"/>
  <c r="AZ329" i="14"/>
  <c r="AY329" i="14"/>
  <c r="AW329" i="14"/>
  <c r="AV329" i="14"/>
  <c r="AU329" i="14"/>
  <c r="AT329" i="14"/>
  <c r="AS329" i="14"/>
  <c r="AQ329" i="14"/>
  <c r="AP329" i="14"/>
  <c r="AG329" i="14"/>
  <c r="AE329" i="14"/>
  <c r="AD329" i="14"/>
  <c r="AC329" i="14"/>
  <c r="AB329" i="14"/>
  <c r="AA329" i="14"/>
  <c r="Z329" i="14"/>
  <c r="Y329" i="14"/>
  <c r="X329" i="14"/>
  <c r="W329" i="14"/>
  <c r="V329" i="14"/>
  <c r="U329" i="14"/>
  <c r="T329" i="14"/>
  <c r="S329" i="14"/>
  <c r="DC323" i="14"/>
  <c r="DA323" i="14"/>
  <c r="BQ323" i="14"/>
  <c r="BQ322" i="14"/>
  <c r="BK321" i="14"/>
  <c r="AE47" i="14" s="1"/>
  <c r="AH47" i="14" s="1"/>
  <c r="DC320" i="14"/>
  <c r="DA320" i="14"/>
  <c r="BK320" i="14"/>
  <c r="DC319" i="14"/>
  <c r="DA319" i="14"/>
  <c r="DC318" i="14"/>
  <c r="DA318" i="14"/>
  <c r="DC317" i="14"/>
  <c r="DA317" i="14"/>
  <c r="DC316" i="14"/>
  <c r="DA316" i="14"/>
  <c r="DC315" i="14"/>
  <c r="DA315" i="14"/>
  <c r="AV309" i="14"/>
  <c r="AW309" i="14" s="1"/>
  <c r="AX309" i="14" s="1"/>
  <c r="AY309" i="14" s="1"/>
  <c r="AZ309" i="14" s="1"/>
  <c r="DC307" i="14"/>
  <c r="DA307" i="14"/>
  <c r="AZ306" i="14"/>
  <c r="AY306" i="14"/>
  <c r="AX306" i="14"/>
  <c r="AW306" i="14"/>
  <c r="AV306" i="14"/>
  <c r="AZ305" i="14"/>
  <c r="AY305" i="14"/>
  <c r="AX305" i="14"/>
  <c r="AW305" i="14"/>
  <c r="AV305" i="14"/>
  <c r="BK294" i="14" s="1"/>
  <c r="AZ304" i="14"/>
  <c r="AY304" i="14"/>
  <c r="AX304" i="14"/>
  <c r="AW304" i="14"/>
  <c r="AV304" i="14"/>
  <c r="AZ303" i="14"/>
  <c r="AY303" i="14"/>
  <c r="AX303" i="14"/>
  <c r="AW303" i="14"/>
  <c r="AV303" i="14"/>
  <c r="BK292" i="14" s="1"/>
  <c r="AZ302" i="14"/>
  <c r="AY302" i="14"/>
  <c r="AX302" i="14"/>
  <c r="AW302" i="14"/>
  <c r="AV302" i="14"/>
  <c r="AZ301" i="14"/>
  <c r="AY301" i="14"/>
  <c r="AX301" i="14"/>
  <c r="AW301" i="14"/>
  <c r="AV301" i="14"/>
  <c r="BK290" i="14" s="1"/>
  <c r="AZ300" i="14"/>
  <c r="AY300" i="14"/>
  <c r="AX300" i="14"/>
  <c r="AW300" i="14"/>
  <c r="AV300" i="14"/>
  <c r="AZ299" i="14"/>
  <c r="AY299" i="14"/>
  <c r="AX299" i="14"/>
  <c r="AW299" i="14"/>
  <c r="AV299" i="14"/>
  <c r="BK289" i="14" s="1"/>
  <c r="AZ298" i="14"/>
  <c r="AY298" i="14"/>
  <c r="AX298" i="14"/>
  <c r="AW298" i="14"/>
  <c r="AV298" i="14"/>
  <c r="BK287" i="14" s="1"/>
  <c r="AZ297" i="14"/>
  <c r="BK286" i="14" s="1"/>
  <c r="AY297" i="14"/>
  <c r="AX297" i="14"/>
  <c r="BG296" i="14" s="1"/>
  <c r="AW297" i="14"/>
  <c r="AV297" i="14"/>
  <c r="BG282" i="14" s="1"/>
  <c r="BK293" i="14"/>
  <c r="BK291" i="14"/>
  <c r="AV289" i="14"/>
  <c r="BK282" i="14"/>
  <c r="BX281" i="14"/>
  <c r="BX280" i="14"/>
  <c r="BN279" i="14"/>
  <c r="CQ279" i="14" s="1"/>
  <c r="CP279" i="14" s="1"/>
  <c r="BF279" i="14"/>
  <c r="BN278" i="14"/>
  <c r="CQ278" i="14" s="1"/>
  <c r="CP278" i="14" s="1"/>
  <c r="BF278" i="14"/>
  <c r="BN277" i="14"/>
  <c r="CQ277" i="14" s="1"/>
  <c r="CP277" i="14" s="1"/>
  <c r="BF277" i="14"/>
  <c r="BN276" i="14"/>
  <c r="CQ276" i="14" s="1"/>
  <c r="CP276" i="14" s="1"/>
  <c r="BG276" i="14"/>
  <c r="BF276" i="14"/>
  <c r="BN275" i="14"/>
  <c r="CQ275" i="14" s="1"/>
  <c r="CP275" i="14" s="1"/>
  <c r="BF275" i="14"/>
  <c r="BN274" i="14"/>
  <c r="CQ274" i="14" s="1"/>
  <c r="CP274" i="14" s="1"/>
  <c r="BF274" i="14"/>
  <c r="BN273" i="14"/>
  <c r="CQ273" i="14" s="1"/>
  <c r="BM273" i="14"/>
  <c r="CO273" i="14" s="1"/>
  <c r="BF273" i="14"/>
  <c r="BN272" i="14"/>
  <c r="CQ272" i="14" s="1"/>
  <c r="BM272" i="14"/>
  <c r="CO272" i="14" s="1"/>
  <c r="BG272" i="14"/>
  <c r="BF272" i="14"/>
  <c r="BN271" i="14"/>
  <c r="CQ271" i="14" s="1"/>
  <c r="CP271" i="14" s="1"/>
  <c r="BF271" i="14"/>
  <c r="BF270" i="14"/>
  <c r="BN269" i="14"/>
  <c r="CQ269" i="14" s="1"/>
  <c r="BM269" i="14"/>
  <c r="CO269" i="14" s="1"/>
  <c r="BK269" i="14"/>
  <c r="BF269" i="14" s="1"/>
  <c r="BN268" i="14"/>
  <c r="CQ268" i="14" s="1"/>
  <c r="BM268" i="14"/>
  <c r="CO268" i="14" s="1"/>
  <c r="BK268" i="14"/>
  <c r="BF268" i="14" s="1"/>
  <c r="BN267" i="14"/>
  <c r="CQ267" i="14" s="1"/>
  <c r="BM267" i="14"/>
  <c r="CO267" i="14" s="1"/>
  <c r="BK267" i="14"/>
  <c r="BF267" i="14" s="1"/>
  <c r="BN266" i="14"/>
  <c r="CQ266" i="14" s="1"/>
  <c r="BM266" i="14"/>
  <c r="CO266" i="14" s="1"/>
  <c r="BK266" i="14"/>
  <c r="BF266" i="14" s="1"/>
  <c r="BG266" i="14"/>
  <c r="BN265" i="14"/>
  <c r="CQ265" i="14" s="1"/>
  <c r="BM265" i="14"/>
  <c r="CO265" i="14" s="1"/>
  <c r="BK265" i="14"/>
  <c r="BF265" i="14" s="1"/>
  <c r="BK264" i="14"/>
  <c r="BF264" i="14" s="1"/>
  <c r="BX263" i="14"/>
  <c r="BK263" i="14"/>
  <c r="BK261" i="14"/>
  <c r="BG241" i="14"/>
  <c r="BK241" i="14" s="1"/>
  <c r="BF241" i="14"/>
  <c r="BE241" i="14"/>
  <c r="BD241" i="14"/>
  <c r="BG240" i="14"/>
  <c r="BK240" i="14" s="1"/>
  <c r="BF240" i="14"/>
  <c r="BE240" i="14"/>
  <c r="BD240" i="14"/>
  <c r="BK233" i="14"/>
  <c r="BK205" i="14"/>
  <c r="BK204" i="14"/>
  <c r="BK203" i="14"/>
  <c r="BK202" i="14"/>
  <c r="CI186" i="14"/>
  <c r="CC186" i="14"/>
  <c r="BW186" i="14"/>
  <c r="BQ186" i="14"/>
  <c r="CI185" i="14"/>
  <c r="CC185" i="14"/>
  <c r="BW185" i="14"/>
  <c r="BQ185" i="14"/>
  <c r="BK185" i="14"/>
  <c r="CI184" i="14"/>
  <c r="CC184" i="14"/>
  <c r="BW184" i="14"/>
  <c r="BQ184" i="14"/>
  <c r="CI183" i="14"/>
  <c r="CC183" i="14"/>
  <c r="BW183" i="14"/>
  <c r="BQ183" i="14"/>
  <c r="CI182" i="14"/>
  <c r="CC182" i="14"/>
  <c r="BW182" i="14"/>
  <c r="BQ182" i="14"/>
  <c r="CI181" i="14"/>
  <c r="CC181" i="14"/>
  <c r="BW181" i="14"/>
  <c r="BQ181" i="14"/>
  <c r="CI180" i="14"/>
  <c r="CC180" i="14"/>
  <c r="BW180" i="14"/>
  <c r="BQ180" i="14"/>
  <c r="CI179" i="14"/>
  <c r="CC179" i="14"/>
  <c r="BW179" i="14"/>
  <c r="BQ179" i="14"/>
  <c r="CI178" i="14"/>
  <c r="CC178" i="14"/>
  <c r="BW178" i="14"/>
  <c r="BQ178" i="14"/>
  <c r="CI177" i="14"/>
  <c r="CC177" i="14"/>
  <c r="BW177" i="14"/>
  <c r="BQ177" i="14"/>
  <c r="CI176" i="14"/>
  <c r="CC176" i="14"/>
  <c r="BW176" i="14"/>
  <c r="BQ176" i="14"/>
  <c r="CI175" i="14"/>
  <c r="CC175" i="14"/>
  <c r="BW175" i="14"/>
  <c r="BQ175" i="14"/>
  <c r="CI174" i="14"/>
  <c r="CC174" i="14"/>
  <c r="BW174" i="14"/>
  <c r="BQ174" i="14"/>
  <c r="CI173" i="14"/>
  <c r="CC173" i="14"/>
  <c r="BW173" i="14"/>
  <c r="BQ173" i="14"/>
  <c r="CI172" i="14"/>
  <c r="CC172" i="14"/>
  <c r="BW172" i="14"/>
  <c r="BQ172" i="14"/>
  <c r="CI171" i="14"/>
  <c r="CC171" i="14"/>
  <c r="BW171" i="14"/>
  <c r="BQ171" i="14"/>
  <c r="CI170" i="14"/>
  <c r="CC170" i="14"/>
  <c r="BW170" i="14"/>
  <c r="BQ170" i="14"/>
  <c r="CI169" i="14"/>
  <c r="CC169" i="14"/>
  <c r="BW169" i="14"/>
  <c r="BQ169" i="14"/>
  <c r="CI164" i="14"/>
  <c r="CC164" i="14"/>
  <c r="BW164" i="14"/>
  <c r="BQ164" i="14"/>
  <c r="CI163" i="14"/>
  <c r="CC163" i="14"/>
  <c r="BW163" i="14"/>
  <c r="BQ163" i="14"/>
  <c r="CI162" i="14"/>
  <c r="CC162" i="14"/>
  <c r="BW162" i="14"/>
  <c r="BQ162" i="14"/>
  <c r="CI161" i="14"/>
  <c r="CC161" i="14"/>
  <c r="BW161" i="14"/>
  <c r="BQ161" i="14"/>
  <c r="CI160" i="14"/>
  <c r="CC160" i="14"/>
  <c r="BW160" i="14"/>
  <c r="BQ160" i="14"/>
  <c r="CI159" i="14"/>
  <c r="CC159" i="14"/>
  <c r="BW159" i="14"/>
  <c r="BQ159" i="14"/>
  <c r="CI158" i="14"/>
  <c r="CC158" i="14"/>
  <c r="BW158" i="14"/>
  <c r="BQ158" i="14"/>
  <c r="CI157" i="14"/>
  <c r="CC157" i="14"/>
  <c r="BW157" i="14"/>
  <c r="BQ157" i="14"/>
  <c r="CI156" i="14"/>
  <c r="CC156" i="14"/>
  <c r="BW156" i="14"/>
  <c r="BQ156" i="14"/>
  <c r="CI155" i="14"/>
  <c r="CC155" i="14"/>
  <c r="BW155" i="14"/>
  <c r="BQ155" i="14"/>
  <c r="CI154" i="14"/>
  <c r="CC154" i="14"/>
  <c r="BW154" i="14"/>
  <c r="BQ154" i="14"/>
  <c r="CI153" i="14"/>
  <c r="CC153" i="14"/>
  <c r="BW153" i="14"/>
  <c r="BQ153" i="14"/>
  <c r="CI152" i="14"/>
  <c r="CC152" i="14"/>
  <c r="BW152" i="14"/>
  <c r="BQ152" i="14"/>
  <c r="CI147" i="14"/>
  <c r="CC147" i="14"/>
  <c r="BW147" i="14"/>
  <c r="BQ147" i="14"/>
  <c r="CI146" i="14"/>
  <c r="CC146" i="14"/>
  <c r="BW146" i="14"/>
  <c r="BQ146" i="14"/>
  <c r="CI145" i="14"/>
  <c r="CC145" i="14"/>
  <c r="BW145" i="14"/>
  <c r="BQ145" i="14"/>
  <c r="CI144" i="14"/>
  <c r="CC144" i="14"/>
  <c r="BW144" i="14"/>
  <c r="BQ144" i="14"/>
  <c r="CI143" i="14"/>
  <c r="CC143" i="14"/>
  <c r="BW143" i="14"/>
  <c r="BQ143" i="14"/>
  <c r="CI142" i="14"/>
  <c r="CC142" i="14"/>
  <c r="BW142" i="14"/>
  <c r="BQ142" i="14"/>
  <c r="CI141" i="14"/>
  <c r="CC141" i="14"/>
  <c r="BW141" i="14"/>
  <c r="BQ141" i="14"/>
  <c r="CI140" i="14"/>
  <c r="CC140" i="14"/>
  <c r="BW140" i="14"/>
  <c r="BQ140" i="14"/>
  <c r="CI139" i="14"/>
  <c r="CC139" i="14"/>
  <c r="BW139" i="14"/>
  <c r="BQ139" i="14"/>
  <c r="CI138" i="14"/>
  <c r="CC138" i="14"/>
  <c r="BW138" i="14"/>
  <c r="BQ138" i="14"/>
  <c r="CI137" i="14"/>
  <c r="CC137" i="14"/>
  <c r="BW137" i="14"/>
  <c r="BQ137" i="14"/>
  <c r="CI136" i="14"/>
  <c r="CC136" i="14"/>
  <c r="BW136" i="14"/>
  <c r="BQ136" i="14"/>
  <c r="CI135" i="14"/>
  <c r="CC135" i="14"/>
  <c r="BW135" i="14"/>
  <c r="BQ135" i="14"/>
  <c r="CI134" i="14"/>
  <c r="CC134" i="14"/>
  <c r="BW134" i="14"/>
  <c r="BQ134" i="14"/>
  <c r="CI133" i="14"/>
  <c r="CC133" i="14"/>
  <c r="BW133" i="14"/>
  <c r="BQ133" i="14"/>
  <c r="CI132" i="14"/>
  <c r="CC132" i="14"/>
  <c r="BW132" i="14"/>
  <c r="BQ132" i="14"/>
  <c r="CI131" i="14"/>
  <c r="CC131" i="14"/>
  <c r="BW131" i="14"/>
  <c r="BQ131" i="14"/>
  <c r="CI130" i="14"/>
  <c r="CC130" i="14"/>
  <c r="BW130" i="14"/>
  <c r="BQ130" i="14"/>
  <c r="CI129" i="14"/>
  <c r="CC129" i="14"/>
  <c r="BW129" i="14"/>
  <c r="BQ129" i="14"/>
  <c r="CI128" i="14"/>
  <c r="CC128" i="14"/>
  <c r="BW128" i="14"/>
  <c r="BQ128" i="14"/>
  <c r="CI127" i="14"/>
  <c r="CC127" i="14"/>
  <c r="BW127" i="14"/>
  <c r="BQ127" i="14"/>
  <c r="CI126" i="14"/>
  <c r="CC126" i="14"/>
  <c r="BW126" i="14"/>
  <c r="BQ126" i="14"/>
  <c r="CI125" i="14"/>
  <c r="CC125" i="14"/>
  <c r="BW125" i="14"/>
  <c r="BQ125" i="14"/>
  <c r="CI124" i="14"/>
  <c r="CC124" i="14"/>
  <c r="BW124" i="14"/>
  <c r="BQ124" i="14"/>
  <c r="CI123" i="14"/>
  <c r="CC123" i="14"/>
  <c r="BW123" i="14"/>
  <c r="BQ123" i="14"/>
  <c r="AG108" i="14"/>
  <c r="Y104" i="14"/>
  <c r="X104" i="14"/>
  <c r="R104" i="14"/>
  <c r="W104" i="14" s="1"/>
  <c r="Q104" i="14"/>
  <c r="AA104" i="14" s="1"/>
  <c r="D104" i="14"/>
  <c r="Y98" i="14"/>
  <c r="X98" i="14"/>
  <c r="R98" i="14"/>
  <c r="W98" i="14" s="1"/>
  <c r="Q98" i="14"/>
  <c r="Z98" i="14" s="1"/>
  <c r="D98" i="14"/>
  <c r="Y97" i="14"/>
  <c r="X97" i="14"/>
  <c r="R97" i="14"/>
  <c r="W97" i="14" s="1"/>
  <c r="Q97" i="14"/>
  <c r="Z97" i="14" s="1"/>
  <c r="D97" i="14"/>
  <c r="Y96" i="14"/>
  <c r="X96" i="14"/>
  <c r="R96" i="14"/>
  <c r="W96" i="14" s="1"/>
  <c r="Q96" i="14"/>
  <c r="Z96" i="14" s="1"/>
  <c r="D96" i="14"/>
  <c r="Y95" i="14"/>
  <c r="X95" i="14"/>
  <c r="R95" i="14"/>
  <c r="W95" i="14" s="1"/>
  <c r="Q95" i="14"/>
  <c r="Z95" i="14" s="1"/>
  <c r="D95" i="14"/>
  <c r="Y94" i="14"/>
  <c r="X94" i="14"/>
  <c r="R94" i="14"/>
  <c r="T94" i="14" s="1"/>
  <c r="Q94" i="14"/>
  <c r="Z94" i="14" s="1"/>
  <c r="D94" i="14"/>
  <c r="Y93" i="14"/>
  <c r="X93" i="14"/>
  <c r="R93" i="14"/>
  <c r="W93" i="14" s="1"/>
  <c r="Q93" i="14"/>
  <c r="D93" i="14"/>
  <c r="Y92" i="14"/>
  <c r="X92" i="14"/>
  <c r="R92" i="14"/>
  <c r="T92" i="14" s="1"/>
  <c r="Q92" i="14"/>
  <c r="Z92" i="14" s="1"/>
  <c r="D92" i="14"/>
  <c r="Y91" i="14"/>
  <c r="X91" i="14"/>
  <c r="R91" i="14"/>
  <c r="W91" i="14" s="1"/>
  <c r="Q91" i="14"/>
  <c r="Z91" i="14" s="1"/>
  <c r="D91" i="14"/>
  <c r="AG87" i="14"/>
  <c r="BH79" i="14"/>
  <c r="AX74" i="14"/>
  <c r="Y74" i="14"/>
  <c r="X74" i="14"/>
  <c r="R74" i="14"/>
  <c r="W74" i="14" s="1"/>
  <c r="Q74" i="14"/>
  <c r="BB74" i="14" s="1"/>
  <c r="BC74" i="14" s="1"/>
  <c r="D74" i="14"/>
  <c r="AX70" i="14"/>
  <c r="AM70" i="14"/>
  <c r="AL70" i="14"/>
  <c r="R70" i="14"/>
  <c r="W70" i="14" s="1"/>
  <c r="Q70" i="14"/>
  <c r="BB70" i="14" s="1"/>
  <c r="BC70" i="14" s="1"/>
  <c r="BE70" i="14" s="1"/>
  <c r="D70" i="14"/>
  <c r="AX69" i="14"/>
  <c r="AM69" i="14"/>
  <c r="AL69" i="14"/>
  <c r="R69" i="14"/>
  <c r="W69" i="14" s="1"/>
  <c r="Q69" i="14"/>
  <c r="BB69" i="14" s="1"/>
  <c r="BC69" i="14" s="1"/>
  <c r="BE69" i="14" s="1"/>
  <c r="D69" i="14"/>
  <c r="AX68" i="14"/>
  <c r="AM68" i="14"/>
  <c r="AL68" i="14"/>
  <c r="R68" i="14"/>
  <c r="W68" i="14" s="1"/>
  <c r="Q68" i="14"/>
  <c r="BB68" i="14" s="1"/>
  <c r="BC68" i="14" s="1"/>
  <c r="D68" i="14"/>
  <c r="AX66" i="14"/>
  <c r="AF66" i="14"/>
  <c r="AE66" i="14"/>
  <c r="R66" i="14"/>
  <c r="AL66" i="14" s="1"/>
  <c r="Q66" i="14"/>
  <c r="BB66" i="14" s="1"/>
  <c r="BC66" i="14" s="1"/>
  <c r="BE66" i="14" s="1"/>
  <c r="D66" i="14"/>
  <c r="AX64" i="14"/>
  <c r="AF64" i="14"/>
  <c r="AE64" i="14"/>
  <c r="R64" i="14"/>
  <c r="AL64" i="14" s="1"/>
  <c r="Q64" i="14"/>
  <c r="D64" i="14"/>
  <c r="AX62" i="14"/>
  <c r="AF62" i="14"/>
  <c r="R62" i="14"/>
  <c r="Q62" i="14"/>
  <c r="D62" i="14"/>
  <c r="AX61" i="14"/>
  <c r="AF61" i="14"/>
  <c r="R61" i="14"/>
  <c r="AL61" i="14" s="1"/>
  <c r="Q61" i="14"/>
  <c r="BB61" i="14" s="1"/>
  <c r="BC61" i="14" s="1"/>
  <c r="D61" i="14"/>
  <c r="AX55" i="14"/>
  <c r="AF55" i="14"/>
  <c r="R55" i="14"/>
  <c r="Q55" i="14"/>
  <c r="D55" i="14"/>
  <c r="AX53" i="14"/>
  <c r="AF53" i="14"/>
  <c r="R53" i="14"/>
  <c r="W53" i="14" s="1"/>
  <c r="AO53" i="14" s="1"/>
  <c r="Q53" i="14"/>
  <c r="D53" i="14"/>
  <c r="AX52" i="14"/>
  <c r="AF52" i="14"/>
  <c r="R52" i="14"/>
  <c r="AE52" i="14" s="1"/>
  <c r="Q52" i="14"/>
  <c r="BB52" i="14" s="1"/>
  <c r="BC52" i="14" s="1"/>
  <c r="BE52" i="14" s="1"/>
  <c r="D52" i="14"/>
  <c r="AX46" i="14"/>
  <c r="AF46" i="14"/>
  <c r="R46" i="14"/>
  <c r="W46" i="14" s="1"/>
  <c r="AO46" i="14" s="1"/>
  <c r="Q46" i="14"/>
  <c r="D46" i="14"/>
  <c r="AX45" i="14"/>
  <c r="AF45" i="14"/>
  <c r="AE45" i="14"/>
  <c r="R45" i="14"/>
  <c r="W45" i="14" s="1"/>
  <c r="AO45" i="14" s="1"/>
  <c r="Q45" i="14"/>
  <c r="BB45" i="14" s="1"/>
  <c r="BC45" i="14" s="1"/>
  <c r="D45" i="14"/>
  <c r="DM358" i="13"/>
  <c r="DM357" i="13"/>
  <c r="DC357" i="13" s="1"/>
  <c r="BK355" i="13"/>
  <c r="BK354" i="13"/>
  <c r="BK353" i="13"/>
  <c r="DM348" i="13"/>
  <c r="DM346" i="13"/>
  <c r="BY344" i="13"/>
  <c r="BX344" i="13"/>
  <c r="BS344" i="13"/>
  <c r="BR344" i="13"/>
  <c r="BP344" i="13"/>
  <c r="BN344" i="13"/>
  <c r="CQ344" i="13" s="1"/>
  <c r="BM344" i="13"/>
  <c r="CO344" i="13" s="1"/>
  <c r="BK344" i="13"/>
  <c r="BY343" i="13"/>
  <c r="BX343" i="13"/>
  <c r="BS343" i="13"/>
  <c r="BR343" i="13"/>
  <c r="BP343" i="13"/>
  <c r="BN343" i="13"/>
  <c r="CQ343" i="13" s="1"/>
  <c r="BM343" i="13"/>
  <c r="CO343" i="13" s="1"/>
  <c r="BK343" i="13"/>
  <c r="BN342" i="13"/>
  <c r="CQ342" i="13" s="1"/>
  <c r="BM342" i="13"/>
  <c r="CO342" i="13" s="1"/>
  <c r="BD342" i="13"/>
  <c r="BK342" i="13" s="1"/>
  <c r="BN341" i="13"/>
  <c r="CQ341" i="13" s="1"/>
  <c r="BM341" i="13"/>
  <c r="CO341" i="13" s="1"/>
  <c r="BK341" i="13"/>
  <c r="BN340" i="13"/>
  <c r="CQ340" i="13" s="1"/>
  <c r="BM340" i="13"/>
  <c r="CO340" i="13" s="1"/>
  <c r="BK340" i="13"/>
  <c r="BS339" i="13"/>
  <c r="BR339" i="13"/>
  <c r="BP339" i="13"/>
  <c r="BN339" i="13"/>
  <c r="CQ339" i="13" s="1"/>
  <c r="BM339" i="13"/>
  <c r="CO339" i="13" s="1"/>
  <c r="BK339" i="13"/>
  <c r="BS338" i="13"/>
  <c r="BR338" i="13"/>
  <c r="BP338" i="13"/>
  <c r="BN338" i="13"/>
  <c r="CQ338" i="13" s="1"/>
  <c r="BM338" i="13"/>
  <c r="CO338" i="13" s="1"/>
  <c r="BK338" i="13"/>
  <c r="BC338" i="13"/>
  <c r="BB338" i="13"/>
  <c r="BA338" i="13"/>
  <c r="AZ338" i="13"/>
  <c r="AY338" i="13"/>
  <c r="AW338" i="13"/>
  <c r="AV338" i="13"/>
  <c r="AU338" i="13"/>
  <c r="AT338" i="13"/>
  <c r="AS338" i="13"/>
  <c r="AQ338" i="13"/>
  <c r="AP338" i="13"/>
  <c r="DL337" i="13"/>
  <c r="BC337" i="13"/>
  <c r="BB337" i="13"/>
  <c r="BA337" i="13"/>
  <c r="AZ337" i="13"/>
  <c r="AY337" i="13"/>
  <c r="AW337" i="13"/>
  <c r="AV337" i="13"/>
  <c r="AU337" i="13"/>
  <c r="AT337" i="13"/>
  <c r="AS337" i="13"/>
  <c r="AQ337" i="13"/>
  <c r="AP337" i="13"/>
  <c r="BC336" i="13"/>
  <c r="BB336" i="13"/>
  <c r="BA336" i="13"/>
  <c r="AZ336" i="13"/>
  <c r="AY336" i="13"/>
  <c r="AW336" i="13"/>
  <c r="AV336" i="13"/>
  <c r="AU336" i="13"/>
  <c r="AT336" i="13"/>
  <c r="AS336" i="13"/>
  <c r="AQ336" i="13"/>
  <c r="AP336" i="13"/>
  <c r="DL335" i="13"/>
  <c r="BC335" i="13"/>
  <c r="BB335" i="13"/>
  <c r="BA335" i="13"/>
  <c r="AZ335" i="13"/>
  <c r="AY335" i="13"/>
  <c r="AW335" i="13"/>
  <c r="AV335" i="13"/>
  <c r="AU335" i="13"/>
  <c r="AT335" i="13"/>
  <c r="AS335" i="13"/>
  <c r="AQ335" i="13"/>
  <c r="AP335" i="13"/>
  <c r="AG335" i="13"/>
  <c r="AE335" i="13"/>
  <c r="AD335" i="13"/>
  <c r="AC335" i="13"/>
  <c r="AB335" i="13"/>
  <c r="AA335" i="13"/>
  <c r="Z335" i="13"/>
  <c r="Y335" i="13"/>
  <c r="X335" i="13"/>
  <c r="W335" i="13"/>
  <c r="V335" i="13"/>
  <c r="U335" i="13"/>
  <c r="T335" i="13"/>
  <c r="S335" i="13"/>
  <c r="BC334" i="13"/>
  <c r="BB334" i="13"/>
  <c r="BA334" i="13"/>
  <c r="AZ334" i="13"/>
  <c r="AY334" i="13"/>
  <c r="AW334" i="13"/>
  <c r="AV334" i="13"/>
  <c r="AU334" i="13"/>
  <c r="AT334" i="13"/>
  <c r="AS334" i="13"/>
  <c r="AQ334" i="13"/>
  <c r="AP334" i="13"/>
  <c r="AG334" i="13"/>
  <c r="AE334" i="13"/>
  <c r="AD334" i="13"/>
  <c r="AC334" i="13"/>
  <c r="AB334" i="13"/>
  <c r="AA334" i="13"/>
  <c r="Z334" i="13"/>
  <c r="Y334" i="13"/>
  <c r="X334" i="13"/>
  <c r="W334" i="13"/>
  <c r="V334" i="13"/>
  <c r="U334" i="13"/>
  <c r="T334" i="13"/>
  <c r="S334" i="13"/>
  <c r="BC333" i="13"/>
  <c r="BB333" i="13"/>
  <c r="BA333" i="13"/>
  <c r="AZ333" i="13"/>
  <c r="AY333" i="13"/>
  <c r="AW333" i="13"/>
  <c r="AV333" i="13"/>
  <c r="AU333" i="13"/>
  <c r="AT333" i="13"/>
  <c r="AS333" i="13"/>
  <c r="AQ333" i="13"/>
  <c r="AP333" i="13"/>
  <c r="AG333" i="13"/>
  <c r="AE333" i="13"/>
  <c r="AD333" i="13"/>
  <c r="AC333" i="13"/>
  <c r="AB333" i="13"/>
  <c r="AA333" i="13"/>
  <c r="Z333" i="13"/>
  <c r="Y333" i="13"/>
  <c r="X333" i="13"/>
  <c r="W333" i="13"/>
  <c r="V333" i="13"/>
  <c r="U333" i="13"/>
  <c r="T333" i="13"/>
  <c r="S333" i="13"/>
  <c r="DG332" i="13"/>
  <c r="DI332" i="13" s="1"/>
  <c r="DD332" i="13"/>
  <c r="DC332" i="13"/>
  <c r="BP332" i="13"/>
  <c r="BK332" i="13"/>
  <c r="BC332" i="13"/>
  <c r="BB332" i="13"/>
  <c r="BA332" i="13"/>
  <c r="AZ332" i="13"/>
  <c r="AY332" i="13"/>
  <c r="AW332" i="13"/>
  <c r="AV332" i="13"/>
  <c r="AU332" i="13"/>
  <c r="AT332" i="13"/>
  <c r="AS332" i="13"/>
  <c r="AQ332" i="13"/>
  <c r="AP332" i="13"/>
  <c r="AG332" i="13"/>
  <c r="AE332" i="13"/>
  <c r="AD332" i="13"/>
  <c r="AC332" i="13"/>
  <c r="AB332" i="13"/>
  <c r="AA332" i="13"/>
  <c r="Z332" i="13"/>
  <c r="Y332" i="13"/>
  <c r="X332" i="13"/>
  <c r="W332" i="13"/>
  <c r="V332" i="13"/>
  <c r="U332" i="13"/>
  <c r="T332" i="13"/>
  <c r="S332" i="13"/>
  <c r="DG331" i="13"/>
  <c r="DI331" i="13" s="1"/>
  <c r="DD331" i="13"/>
  <c r="DC331" i="13"/>
  <c r="BP331" i="13"/>
  <c r="BK331" i="13"/>
  <c r="BC331" i="13"/>
  <c r="BB331" i="13"/>
  <c r="BA331" i="13"/>
  <c r="AZ331" i="13"/>
  <c r="AY331" i="13"/>
  <c r="AW331" i="13"/>
  <c r="AV331" i="13"/>
  <c r="AU331" i="13"/>
  <c r="AT331" i="13"/>
  <c r="AS331" i="13"/>
  <c r="AQ331" i="13"/>
  <c r="AP331" i="13"/>
  <c r="AG331" i="13"/>
  <c r="AE331" i="13"/>
  <c r="AD331" i="13"/>
  <c r="AC331" i="13"/>
  <c r="AB331" i="13"/>
  <c r="AA331" i="13"/>
  <c r="Z331" i="13"/>
  <c r="Y331" i="13"/>
  <c r="X331" i="13"/>
  <c r="W331" i="13"/>
  <c r="V331" i="13"/>
  <c r="U331" i="13"/>
  <c r="T331" i="13"/>
  <c r="S331" i="13"/>
  <c r="DG330" i="13"/>
  <c r="DI330" i="13" s="1"/>
  <c r="DD330" i="13"/>
  <c r="DC330" i="13"/>
  <c r="BP330" i="13"/>
  <c r="BK330" i="13"/>
  <c r="BC330" i="13"/>
  <c r="BB330" i="13"/>
  <c r="BA330" i="13"/>
  <c r="AZ330" i="13"/>
  <c r="AY330" i="13"/>
  <c r="AW330" i="13"/>
  <c r="AV330" i="13"/>
  <c r="AU330" i="13"/>
  <c r="AT330" i="13"/>
  <c r="AS330" i="13"/>
  <c r="AQ330" i="13"/>
  <c r="AP330" i="13"/>
  <c r="AG330" i="13"/>
  <c r="AE330" i="13"/>
  <c r="AD330" i="13"/>
  <c r="AC330" i="13"/>
  <c r="AB330" i="13"/>
  <c r="AA330" i="13"/>
  <c r="Z330" i="13"/>
  <c r="Y330" i="13"/>
  <c r="X330" i="13"/>
  <c r="W330" i="13"/>
  <c r="V330" i="13"/>
  <c r="U330" i="13"/>
  <c r="T330" i="13"/>
  <c r="S330" i="13"/>
  <c r="DG329" i="13"/>
  <c r="DI329" i="13" s="1"/>
  <c r="DD329" i="13"/>
  <c r="DC329" i="13"/>
  <c r="BP329" i="13"/>
  <c r="BK329" i="13"/>
  <c r="BC329" i="13"/>
  <c r="BB329" i="13"/>
  <c r="BA329" i="13"/>
  <c r="AZ329" i="13"/>
  <c r="AY329" i="13"/>
  <c r="AW329" i="13"/>
  <c r="AV329" i="13"/>
  <c r="AU329" i="13"/>
  <c r="AT329" i="13"/>
  <c r="AS329" i="13"/>
  <c r="AQ329" i="13"/>
  <c r="AP329" i="13"/>
  <c r="AG329" i="13"/>
  <c r="AE329" i="13"/>
  <c r="AD329" i="13"/>
  <c r="AC329" i="13"/>
  <c r="AB329" i="13"/>
  <c r="AA329" i="13"/>
  <c r="Z329" i="13"/>
  <c r="Y329" i="13"/>
  <c r="X329" i="13"/>
  <c r="W329" i="13"/>
  <c r="V329" i="13"/>
  <c r="U329" i="13"/>
  <c r="T329" i="13"/>
  <c r="S329" i="13"/>
  <c r="DG328" i="13"/>
  <c r="DI328" i="13" s="1"/>
  <c r="DD328" i="13"/>
  <c r="DC328" i="13"/>
  <c r="BP328" i="13"/>
  <c r="BK328" i="13"/>
  <c r="BC328" i="13"/>
  <c r="BB328" i="13"/>
  <c r="BA328" i="13"/>
  <c r="AZ328" i="13"/>
  <c r="AY328" i="13"/>
  <c r="AW328" i="13"/>
  <c r="AV328" i="13"/>
  <c r="AU328" i="13"/>
  <c r="AT328" i="13"/>
  <c r="AS328" i="13"/>
  <c r="AQ328" i="13"/>
  <c r="AP328" i="13"/>
  <c r="AG328" i="13"/>
  <c r="AE328" i="13"/>
  <c r="AD328" i="13"/>
  <c r="AC328" i="13"/>
  <c r="AB328" i="13"/>
  <c r="AA328" i="13"/>
  <c r="Z328" i="13"/>
  <c r="Y328" i="13"/>
  <c r="X328" i="13"/>
  <c r="W328" i="13"/>
  <c r="V328" i="13"/>
  <c r="U328" i="13"/>
  <c r="T328" i="13"/>
  <c r="S328" i="13"/>
  <c r="DG327" i="13"/>
  <c r="DI327" i="13" s="1"/>
  <c r="DD327" i="13"/>
  <c r="DC327" i="13"/>
  <c r="BP327" i="13"/>
  <c r="BK327" i="13"/>
  <c r="BC327" i="13"/>
  <c r="BB327" i="13"/>
  <c r="BA327" i="13"/>
  <c r="AZ327" i="13"/>
  <c r="AY327" i="13"/>
  <c r="AW327" i="13"/>
  <c r="AV327" i="13"/>
  <c r="AU327" i="13"/>
  <c r="AT327" i="13"/>
  <c r="AS327" i="13"/>
  <c r="AQ327" i="13"/>
  <c r="AP327" i="13"/>
  <c r="AG327" i="13"/>
  <c r="AE327" i="13"/>
  <c r="AD327" i="13"/>
  <c r="AC327" i="13"/>
  <c r="AB327" i="13"/>
  <c r="AA327" i="13"/>
  <c r="Z327" i="13"/>
  <c r="Y327" i="13"/>
  <c r="X327" i="13"/>
  <c r="W327" i="13"/>
  <c r="V327" i="13"/>
  <c r="U327" i="13"/>
  <c r="T327" i="13"/>
  <c r="S327" i="13"/>
  <c r="DG326" i="13"/>
  <c r="DI326" i="13" s="1"/>
  <c r="DD326" i="13"/>
  <c r="DC326" i="13"/>
  <c r="BP326" i="13"/>
  <c r="BK326" i="13"/>
  <c r="BC326" i="13"/>
  <c r="BB326" i="13"/>
  <c r="BA326" i="13"/>
  <c r="AZ326" i="13"/>
  <c r="AY326" i="13"/>
  <c r="AW326" i="13"/>
  <c r="AV326" i="13"/>
  <c r="AU326" i="13"/>
  <c r="AT326" i="13"/>
  <c r="AS326" i="13"/>
  <c r="AQ326" i="13"/>
  <c r="AP326" i="13"/>
  <c r="AG326" i="13"/>
  <c r="AE326" i="13"/>
  <c r="AD326" i="13"/>
  <c r="AC326" i="13"/>
  <c r="AB326" i="13"/>
  <c r="AA326" i="13"/>
  <c r="Z326" i="13"/>
  <c r="Y326" i="13"/>
  <c r="X326" i="13"/>
  <c r="W326" i="13"/>
  <c r="V326" i="13"/>
  <c r="U326" i="13"/>
  <c r="T326" i="13"/>
  <c r="S326" i="13"/>
  <c r="DG325" i="13"/>
  <c r="DI325" i="13" s="1"/>
  <c r="DD325" i="13"/>
  <c r="DC325" i="13"/>
  <c r="BP325" i="13"/>
  <c r="BK325" i="13"/>
  <c r="BC325" i="13"/>
  <c r="BB325" i="13"/>
  <c r="BA325" i="13"/>
  <c r="AZ325" i="13"/>
  <c r="AY325" i="13"/>
  <c r="AW325" i="13"/>
  <c r="AV325" i="13"/>
  <c r="AU325" i="13"/>
  <c r="AT325" i="13"/>
  <c r="AS325" i="13"/>
  <c r="AQ325" i="13"/>
  <c r="AP325" i="13"/>
  <c r="AG325" i="13"/>
  <c r="AE325" i="13"/>
  <c r="AD325" i="13"/>
  <c r="AC325" i="13"/>
  <c r="AB325" i="13"/>
  <c r="AA325" i="13"/>
  <c r="Z325" i="13"/>
  <c r="Y325" i="13"/>
  <c r="X325" i="13"/>
  <c r="W325" i="13"/>
  <c r="V325" i="13"/>
  <c r="U325" i="13"/>
  <c r="T325" i="13"/>
  <c r="S325" i="13"/>
  <c r="DG324" i="13"/>
  <c r="DI324" i="13" s="1"/>
  <c r="DD324" i="13"/>
  <c r="DC324" i="13"/>
  <c r="BP324" i="13"/>
  <c r="BK324" i="13"/>
  <c r="BC324" i="13"/>
  <c r="BB324" i="13"/>
  <c r="BA324" i="13"/>
  <c r="AZ324" i="13"/>
  <c r="AY324" i="13"/>
  <c r="AW324" i="13"/>
  <c r="AV324" i="13"/>
  <c r="AU324" i="13"/>
  <c r="AT324" i="13"/>
  <c r="AS324" i="13"/>
  <c r="AQ324" i="13"/>
  <c r="AP324" i="13"/>
  <c r="AG324" i="13"/>
  <c r="AE324" i="13"/>
  <c r="AD324" i="13"/>
  <c r="AC324" i="13"/>
  <c r="AB324" i="13"/>
  <c r="AA324" i="13"/>
  <c r="Z324" i="13"/>
  <c r="Y324" i="13"/>
  <c r="X324" i="13"/>
  <c r="W324" i="13"/>
  <c r="V324" i="13"/>
  <c r="U324" i="13"/>
  <c r="T324" i="13"/>
  <c r="S324" i="13"/>
  <c r="DG323" i="13"/>
  <c r="DI323" i="13" s="1"/>
  <c r="DD323" i="13"/>
  <c r="DC323" i="13"/>
  <c r="DF298" i="13" s="1"/>
  <c r="BP323" i="13"/>
  <c r="BK323" i="13"/>
  <c r="BC323" i="13"/>
  <c r="BB323" i="13"/>
  <c r="BA323" i="13"/>
  <c r="AZ323" i="13"/>
  <c r="AY323" i="13"/>
  <c r="AW323" i="13"/>
  <c r="AV323" i="13"/>
  <c r="AU323" i="13"/>
  <c r="AT323" i="13"/>
  <c r="AS323" i="13"/>
  <c r="AQ323" i="13"/>
  <c r="AP323" i="13"/>
  <c r="AG323" i="13"/>
  <c r="AE323" i="13"/>
  <c r="AD323" i="13"/>
  <c r="AC323" i="13"/>
  <c r="AB323" i="13"/>
  <c r="AA323" i="13"/>
  <c r="Z323" i="13"/>
  <c r="Y323" i="13"/>
  <c r="X323" i="13"/>
  <c r="W323" i="13"/>
  <c r="V323" i="13"/>
  <c r="U323" i="13"/>
  <c r="T323" i="13"/>
  <c r="S323" i="13"/>
  <c r="DG322" i="13"/>
  <c r="DI322" i="13" s="1"/>
  <c r="DD322" i="13"/>
  <c r="DC322" i="13"/>
  <c r="BP322" i="13"/>
  <c r="BK322" i="13"/>
  <c r="BC322" i="13"/>
  <c r="BB322" i="13"/>
  <c r="BA322" i="13"/>
  <c r="AZ322" i="13"/>
  <c r="AY322" i="13"/>
  <c r="AW322" i="13"/>
  <c r="AV322" i="13"/>
  <c r="AU322" i="13"/>
  <c r="AT322" i="13"/>
  <c r="AS322" i="13"/>
  <c r="AQ322" i="13"/>
  <c r="AP322" i="13"/>
  <c r="AG322" i="13"/>
  <c r="AE322" i="13"/>
  <c r="AD322" i="13"/>
  <c r="AC322" i="13"/>
  <c r="AB322" i="13"/>
  <c r="AA322" i="13"/>
  <c r="Z322" i="13"/>
  <c r="Y322" i="13"/>
  <c r="X322" i="13"/>
  <c r="W322" i="13"/>
  <c r="V322" i="13"/>
  <c r="U322" i="13"/>
  <c r="T322" i="13"/>
  <c r="S322" i="13"/>
  <c r="DG321" i="13"/>
  <c r="DI321" i="13" s="1"/>
  <c r="DD321" i="13"/>
  <c r="DC321" i="13"/>
  <c r="BP321" i="13"/>
  <c r="BK321" i="13"/>
  <c r="BC321" i="13"/>
  <c r="BB321" i="13"/>
  <c r="BA321" i="13"/>
  <c r="AZ321" i="13"/>
  <c r="AY321" i="13"/>
  <c r="AW321" i="13"/>
  <c r="AV321" i="13"/>
  <c r="AU321" i="13"/>
  <c r="AT321" i="13"/>
  <c r="AS321" i="13"/>
  <c r="AQ321" i="13"/>
  <c r="AP321" i="13"/>
  <c r="AG321" i="13"/>
  <c r="AE321" i="13"/>
  <c r="AD321" i="13"/>
  <c r="AC321" i="13"/>
  <c r="AB321" i="13"/>
  <c r="AA321" i="13"/>
  <c r="Z321" i="13"/>
  <c r="Y321" i="13"/>
  <c r="X321" i="13"/>
  <c r="W321" i="13"/>
  <c r="V321" i="13"/>
  <c r="U321" i="13"/>
  <c r="T321" i="13"/>
  <c r="S321" i="13"/>
  <c r="DG320" i="13"/>
  <c r="DI320" i="13" s="1"/>
  <c r="DD320" i="13"/>
  <c r="DC320" i="13"/>
  <c r="BP320" i="13"/>
  <c r="BK320" i="13"/>
  <c r="BC320" i="13"/>
  <c r="BB320" i="13"/>
  <c r="BA320" i="13"/>
  <c r="AZ320" i="13"/>
  <c r="AY320" i="13"/>
  <c r="AW320" i="13"/>
  <c r="AV320" i="13"/>
  <c r="AU320" i="13"/>
  <c r="AT320" i="13"/>
  <c r="AS320" i="13"/>
  <c r="AQ320" i="13"/>
  <c r="AP320" i="13"/>
  <c r="AG320" i="13"/>
  <c r="AE320" i="13"/>
  <c r="AD320" i="13"/>
  <c r="AC320" i="13"/>
  <c r="AB320" i="13"/>
  <c r="AA320" i="13"/>
  <c r="Z320" i="13"/>
  <c r="Y320" i="13"/>
  <c r="X320" i="13"/>
  <c r="W320" i="13"/>
  <c r="V320" i="13"/>
  <c r="U320" i="13"/>
  <c r="T320" i="13"/>
  <c r="S320" i="13"/>
  <c r="DG319" i="13"/>
  <c r="DI319" i="13" s="1"/>
  <c r="DD319" i="13"/>
  <c r="DC319" i="13"/>
  <c r="BP319" i="13"/>
  <c r="BK319" i="13"/>
  <c r="BC319" i="13"/>
  <c r="BB319" i="13"/>
  <c r="BA319" i="13"/>
  <c r="AZ319" i="13"/>
  <c r="AY319" i="13"/>
  <c r="AW319" i="13"/>
  <c r="AV319" i="13"/>
  <c r="AU319" i="13"/>
  <c r="AT319" i="13"/>
  <c r="AS319" i="13"/>
  <c r="AQ319" i="13"/>
  <c r="AP319" i="13"/>
  <c r="AG319" i="13"/>
  <c r="AE319" i="13"/>
  <c r="AD319" i="13"/>
  <c r="AC319" i="13"/>
  <c r="AB319" i="13"/>
  <c r="AA319" i="13"/>
  <c r="Z319" i="13"/>
  <c r="Y319" i="13"/>
  <c r="X319" i="13"/>
  <c r="W319" i="13"/>
  <c r="V319" i="13"/>
  <c r="U319" i="13"/>
  <c r="T319" i="13"/>
  <c r="S319" i="13"/>
  <c r="DG318" i="13"/>
  <c r="DI318" i="13" s="1"/>
  <c r="DD318" i="13"/>
  <c r="DC318" i="13"/>
  <c r="BP318" i="13"/>
  <c r="BK318" i="13"/>
  <c r="BC318" i="13"/>
  <c r="BB318" i="13"/>
  <c r="BA318" i="13"/>
  <c r="AZ318" i="13"/>
  <c r="AY318" i="13"/>
  <c r="AW318" i="13"/>
  <c r="AV318" i="13"/>
  <c r="AU318" i="13"/>
  <c r="AT318" i="13"/>
  <c r="AS318" i="13"/>
  <c r="AQ318" i="13"/>
  <c r="AP318" i="13"/>
  <c r="AG318" i="13"/>
  <c r="AE318" i="13"/>
  <c r="AD318" i="13"/>
  <c r="AC318" i="13"/>
  <c r="AB318" i="13"/>
  <c r="AA318" i="13"/>
  <c r="Z318" i="13"/>
  <c r="Y318" i="13"/>
  <c r="X318" i="13"/>
  <c r="W318" i="13"/>
  <c r="V318" i="13"/>
  <c r="U318" i="13"/>
  <c r="T318" i="13"/>
  <c r="S318" i="13"/>
  <c r="DG317" i="13"/>
  <c r="DI317" i="13" s="1"/>
  <c r="DD317" i="13"/>
  <c r="DC317" i="13"/>
  <c r="BP317" i="13"/>
  <c r="BK317" i="13"/>
  <c r="BC317" i="13"/>
  <c r="BB317" i="13"/>
  <c r="BA317" i="13"/>
  <c r="AZ317" i="13"/>
  <c r="AY317" i="13"/>
  <c r="AW317" i="13"/>
  <c r="AV317" i="13"/>
  <c r="AU317" i="13"/>
  <c r="AT317" i="13"/>
  <c r="AS317" i="13"/>
  <c r="AQ317" i="13"/>
  <c r="AP317" i="13"/>
  <c r="AG317" i="13"/>
  <c r="AE317" i="13"/>
  <c r="AD317" i="13"/>
  <c r="AC317" i="13"/>
  <c r="AB317" i="13"/>
  <c r="AA317" i="13"/>
  <c r="Z317" i="13"/>
  <c r="Y317" i="13"/>
  <c r="X317" i="13"/>
  <c r="W317" i="13"/>
  <c r="V317" i="13"/>
  <c r="U317" i="13"/>
  <c r="T317" i="13"/>
  <c r="S317" i="13"/>
  <c r="DG316" i="13"/>
  <c r="DI316" i="13" s="1"/>
  <c r="DJ316" i="13" s="1"/>
  <c r="DD316" i="13"/>
  <c r="DC316" i="13"/>
  <c r="BP316" i="13"/>
  <c r="BK316" i="13"/>
  <c r="BC316" i="13"/>
  <c r="BB316" i="13"/>
  <c r="BA316" i="13"/>
  <c r="AZ316" i="13"/>
  <c r="AY316" i="13"/>
  <c r="AW316" i="13"/>
  <c r="AV316" i="13"/>
  <c r="AU316" i="13"/>
  <c r="AT316" i="13"/>
  <c r="AS316" i="13"/>
  <c r="AQ316" i="13"/>
  <c r="AP316" i="13"/>
  <c r="AG316" i="13"/>
  <c r="AE316" i="13"/>
  <c r="AD316" i="13"/>
  <c r="AC316" i="13"/>
  <c r="AB316" i="13"/>
  <c r="AA316" i="13"/>
  <c r="Z316" i="13"/>
  <c r="Y316" i="13"/>
  <c r="X316" i="13"/>
  <c r="W316" i="13"/>
  <c r="V316" i="13"/>
  <c r="U316" i="13"/>
  <c r="T316" i="13"/>
  <c r="S316" i="13"/>
  <c r="DG315" i="13"/>
  <c r="DI315" i="13" s="1"/>
  <c r="DJ315" i="13" s="1"/>
  <c r="DD315" i="13"/>
  <c r="DC315" i="13"/>
  <c r="BP315" i="13"/>
  <c r="BK315" i="13"/>
  <c r="BC315" i="13"/>
  <c r="BB315" i="13"/>
  <c r="BA315" i="13"/>
  <c r="AZ315" i="13"/>
  <c r="AY315" i="13"/>
  <c r="AW315" i="13"/>
  <c r="AV315" i="13"/>
  <c r="AU315" i="13"/>
  <c r="AT315" i="13"/>
  <c r="AS315" i="13"/>
  <c r="AQ315" i="13"/>
  <c r="AP315" i="13"/>
  <c r="AG315" i="13"/>
  <c r="AE315" i="13"/>
  <c r="AD315" i="13"/>
  <c r="AC315" i="13"/>
  <c r="AB315" i="13"/>
  <c r="AA315" i="13"/>
  <c r="Z315" i="13"/>
  <c r="Y315" i="13"/>
  <c r="X315" i="13"/>
  <c r="W315" i="13"/>
  <c r="V315" i="13"/>
  <c r="U315" i="13"/>
  <c r="T315" i="13"/>
  <c r="S315" i="13"/>
  <c r="DG314" i="13"/>
  <c r="DI314" i="13" s="1"/>
  <c r="DJ314" i="13" s="1"/>
  <c r="DD314" i="13"/>
  <c r="DC314" i="13"/>
  <c r="BP314" i="13"/>
  <c r="BK314" i="13"/>
  <c r="BC314" i="13"/>
  <c r="BB314" i="13"/>
  <c r="BA314" i="13"/>
  <c r="AZ314" i="13"/>
  <c r="AY314" i="13"/>
  <c r="AW314" i="13"/>
  <c r="AV314" i="13"/>
  <c r="AU314" i="13"/>
  <c r="AT314" i="13"/>
  <c r="AS314" i="13"/>
  <c r="AQ314" i="13"/>
  <c r="AP314" i="13"/>
  <c r="AG314" i="13"/>
  <c r="AE314" i="13"/>
  <c r="AD314" i="13"/>
  <c r="AC314" i="13"/>
  <c r="AB314" i="13"/>
  <c r="AA314" i="13"/>
  <c r="Z314" i="13"/>
  <c r="Y314" i="13"/>
  <c r="X314" i="13"/>
  <c r="W314" i="13"/>
  <c r="V314" i="13"/>
  <c r="U314" i="13"/>
  <c r="T314" i="13"/>
  <c r="S314" i="13"/>
  <c r="DG313" i="13"/>
  <c r="DI313" i="13" s="1"/>
  <c r="DD313" i="13"/>
  <c r="DC313" i="13"/>
  <c r="BP313" i="13"/>
  <c r="BK313" i="13"/>
  <c r="BC313" i="13"/>
  <c r="BB313" i="13"/>
  <c r="BA313" i="13"/>
  <c r="AZ313" i="13"/>
  <c r="AY313" i="13"/>
  <c r="AW313" i="13"/>
  <c r="AV313" i="13"/>
  <c r="AU313" i="13"/>
  <c r="AT313" i="13"/>
  <c r="AS313" i="13"/>
  <c r="AQ313" i="13"/>
  <c r="AP313" i="13"/>
  <c r="AG313" i="13"/>
  <c r="AE313" i="13"/>
  <c r="AD313" i="13"/>
  <c r="AC313" i="13"/>
  <c r="AB313" i="13"/>
  <c r="AA313" i="13"/>
  <c r="Z313" i="13"/>
  <c r="Y313" i="13"/>
  <c r="X313" i="13"/>
  <c r="W313" i="13"/>
  <c r="V313" i="13"/>
  <c r="U313" i="13"/>
  <c r="T313" i="13"/>
  <c r="S313" i="13"/>
  <c r="DG312" i="13"/>
  <c r="DI312" i="13" s="1"/>
  <c r="DJ312" i="13" s="1"/>
  <c r="DD312" i="13"/>
  <c r="DC312" i="13"/>
  <c r="BP312" i="13"/>
  <c r="BK312" i="13"/>
  <c r="BC312" i="13"/>
  <c r="BB312" i="13"/>
  <c r="BA312" i="13"/>
  <c r="AZ312" i="13"/>
  <c r="AY312" i="13"/>
  <c r="AW312" i="13"/>
  <c r="AV312" i="13"/>
  <c r="AU312" i="13"/>
  <c r="AT312" i="13"/>
  <c r="AS312" i="13"/>
  <c r="AQ312" i="13"/>
  <c r="AP312" i="13"/>
  <c r="AG312" i="13"/>
  <c r="AE312" i="13"/>
  <c r="AD312" i="13"/>
  <c r="AC312" i="13"/>
  <c r="AB312" i="13"/>
  <c r="AA312" i="13"/>
  <c r="Z312" i="13"/>
  <c r="Y312" i="13"/>
  <c r="X312" i="13"/>
  <c r="W312" i="13"/>
  <c r="V312" i="13"/>
  <c r="U312" i="13"/>
  <c r="T312" i="13"/>
  <c r="S312" i="13"/>
  <c r="DG311" i="13"/>
  <c r="DI311" i="13" s="1"/>
  <c r="DD311" i="13"/>
  <c r="DC311" i="13"/>
  <c r="BP311" i="13"/>
  <c r="BK311" i="13"/>
  <c r="BD311" i="13"/>
  <c r="BC311" i="13"/>
  <c r="BB311" i="13"/>
  <c r="BA311" i="13"/>
  <c r="AZ311" i="13"/>
  <c r="AV311" i="13"/>
  <c r="AU311" i="13"/>
  <c r="AT311" i="13"/>
  <c r="AS311" i="13"/>
  <c r="AQ311" i="13"/>
  <c r="AP311" i="13"/>
  <c r="AG311" i="13"/>
  <c r="AF311" i="13"/>
  <c r="AE311" i="13"/>
  <c r="AD311" i="13"/>
  <c r="AC311" i="13"/>
  <c r="AB311" i="13"/>
  <c r="AA311" i="13"/>
  <c r="X311" i="13"/>
  <c r="W311" i="13"/>
  <c r="V311" i="13"/>
  <c r="U311" i="13"/>
  <c r="T311" i="13"/>
  <c r="S311" i="13"/>
  <c r="DG310" i="13"/>
  <c r="DI310" i="13" s="1"/>
  <c r="DD310" i="13"/>
  <c r="DC310" i="13"/>
  <c r="BP310" i="13"/>
  <c r="BK310" i="13"/>
  <c r="BD310" i="13"/>
  <c r="BC310" i="13"/>
  <c r="BB310" i="13"/>
  <c r="BA310" i="13"/>
  <c r="AZ310" i="13"/>
  <c r="AV310" i="13"/>
  <c r="AU310" i="13"/>
  <c r="AT310" i="13"/>
  <c r="AS310" i="13"/>
  <c r="AQ310" i="13"/>
  <c r="AP310" i="13"/>
  <c r="AG310" i="13"/>
  <c r="AF310" i="13"/>
  <c r="AE310" i="13"/>
  <c r="AD310" i="13"/>
  <c r="AC310" i="13"/>
  <c r="AB310" i="13"/>
  <c r="AA310" i="13"/>
  <c r="X310" i="13"/>
  <c r="W310" i="13"/>
  <c r="V310" i="13"/>
  <c r="U310" i="13"/>
  <c r="T310" i="13"/>
  <c r="S310" i="13"/>
  <c r="DG309" i="13"/>
  <c r="DI309" i="13" s="1"/>
  <c r="DD309" i="13"/>
  <c r="DC309" i="13"/>
  <c r="BP309" i="13"/>
  <c r="BK309" i="13"/>
  <c r="BD309" i="13"/>
  <c r="BC309" i="13"/>
  <c r="BB309" i="13"/>
  <c r="BA309" i="13"/>
  <c r="AZ309" i="13"/>
  <c r="AV309" i="13"/>
  <c r="AU309" i="13"/>
  <c r="AT309" i="13"/>
  <c r="AS309" i="13"/>
  <c r="AQ309" i="13"/>
  <c r="AP309" i="13"/>
  <c r="AG309" i="13"/>
  <c r="AF309" i="13"/>
  <c r="AE309" i="13"/>
  <c r="AD309" i="13"/>
  <c r="AC309" i="13"/>
  <c r="AB309" i="13"/>
  <c r="AA309" i="13"/>
  <c r="X309" i="13"/>
  <c r="W309" i="13"/>
  <c r="V309" i="13"/>
  <c r="U309" i="13"/>
  <c r="T309" i="13"/>
  <c r="S309" i="13"/>
  <c r="DG308" i="13"/>
  <c r="DI308" i="13" s="1"/>
  <c r="DD308" i="13"/>
  <c r="DC308" i="13"/>
  <c r="BP308" i="13"/>
  <c r="BK308" i="13"/>
  <c r="BC308" i="13"/>
  <c r="BB308" i="13"/>
  <c r="BA308" i="13"/>
  <c r="AZ308" i="13"/>
  <c r="AY308" i="13"/>
  <c r="AW308" i="13"/>
  <c r="AV308" i="13"/>
  <c r="AU308" i="13"/>
  <c r="AT308" i="13"/>
  <c r="AS308" i="13"/>
  <c r="AQ308" i="13"/>
  <c r="AP308" i="13"/>
  <c r="AG308" i="13"/>
  <c r="AE308" i="13"/>
  <c r="AD308" i="13"/>
  <c r="AC308" i="13"/>
  <c r="AB308" i="13"/>
  <c r="AA308" i="13"/>
  <c r="Z308" i="13"/>
  <c r="Y308" i="13"/>
  <c r="X308" i="13"/>
  <c r="W308" i="13"/>
  <c r="V308" i="13"/>
  <c r="U308" i="13"/>
  <c r="T308" i="13"/>
  <c r="S308" i="13"/>
  <c r="DG307" i="13"/>
  <c r="DI307" i="13" s="1"/>
  <c r="DD307" i="13"/>
  <c r="DC307" i="13"/>
  <c r="BP307" i="13"/>
  <c r="BK307" i="13"/>
  <c r="BC307" i="13"/>
  <c r="BB307" i="13"/>
  <c r="BA307" i="13"/>
  <c r="AZ307" i="13"/>
  <c r="AY307" i="13"/>
  <c r="AW307" i="13"/>
  <c r="AV307" i="13"/>
  <c r="AU307" i="13"/>
  <c r="AT307" i="13"/>
  <c r="AS307" i="13"/>
  <c r="AQ307" i="13"/>
  <c r="AP307" i="13"/>
  <c r="AG307" i="13"/>
  <c r="AE307" i="13"/>
  <c r="AD307" i="13"/>
  <c r="AC307" i="13"/>
  <c r="AB307" i="13"/>
  <c r="AA307" i="13"/>
  <c r="Z307" i="13"/>
  <c r="Y307" i="13"/>
  <c r="X307" i="13"/>
  <c r="W307" i="13"/>
  <c r="V307" i="13"/>
  <c r="U307" i="13"/>
  <c r="T307" i="13"/>
  <c r="S307" i="13"/>
  <c r="DG306" i="13"/>
  <c r="DI306" i="13" s="1"/>
  <c r="DD306" i="13"/>
  <c r="DC306" i="13"/>
  <c r="BP306" i="13"/>
  <c r="BK306" i="13"/>
  <c r="BC306" i="13"/>
  <c r="BB306" i="13"/>
  <c r="BA306" i="13"/>
  <c r="AZ306" i="13"/>
  <c r="AY306" i="13"/>
  <c r="AW306" i="13"/>
  <c r="AV306" i="13"/>
  <c r="AU306" i="13"/>
  <c r="AT306" i="13"/>
  <c r="AS306" i="13"/>
  <c r="AQ306" i="13"/>
  <c r="AP306" i="13"/>
  <c r="AG306" i="13"/>
  <c r="AE306" i="13"/>
  <c r="AD306" i="13"/>
  <c r="AC306" i="13"/>
  <c r="AB306" i="13"/>
  <c r="AA306" i="13"/>
  <c r="Z306" i="13"/>
  <c r="Y306" i="13"/>
  <c r="X306" i="13"/>
  <c r="W306" i="13"/>
  <c r="V306" i="13"/>
  <c r="U306" i="13"/>
  <c r="T306" i="13"/>
  <c r="S306" i="13"/>
  <c r="DG305" i="13"/>
  <c r="DI305" i="13" s="1"/>
  <c r="DD305" i="13"/>
  <c r="DC305" i="13"/>
  <c r="BP305" i="13"/>
  <c r="BK305" i="13"/>
  <c r="BC305" i="13"/>
  <c r="BB305" i="13"/>
  <c r="BA305" i="13"/>
  <c r="AZ305" i="13"/>
  <c r="AY305" i="13"/>
  <c r="AW305" i="13"/>
  <c r="AV305" i="13"/>
  <c r="AU305" i="13"/>
  <c r="AT305" i="13"/>
  <c r="AS305" i="13"/>
  <c r="AQ305" i="13"/>
  <c r="AP305" i="13"/>
  <c r="AG305" i="13"/>
  <c r="AE305" i="13"/>
  <c r="AD305" i="13"/>
  <c r="AC305" i="13"/>
  <c r="AB305" i="13"/>
  <c r="AA305" i="13"/>
  <c r="Z305" i="13"/>
  <c r="Y305" i="13"/>
  <c r="X305" i="13"/>
  <c r="W305" i="13"/>
  <c r="V305" i="13"/>
  <c r="U305" i="13"/>
  <c r="T305" i="13"/>
  <c r="S305" i="13"/>
  <c r="DG304" i="13"/>
  <c r="DI304" i="13" s="1"/>
  <c r="DD304" i="13"/>
  <c r="DC304" i="13"/>
  <c r="BP304" i="13"/>
  <c r="BK304" i="13"/>
  <c r="BC304" i="13"/>
  <c r="BB304" i="13"/>
  <c r="BA304" i="13"/>
  <c r="AZ304" i="13"/>
  <c r="AY304" i="13"/>
  <c r="AW304" i="13"/>
  <c r="AV304" i="13"/>
  <c r="AU304" i="13"/>
  <c r="AT304" i="13"/>
  <c r="AS304" i="13"/>
  <c r="AQ304" i="13"/>
  <c r="AP304" i="13"/>
  <c r="AG304" i="13"/>
  <c r="AE304" i="13"/>
  <c r="AD304" i="13"/>
  <c r="AC304" i="13"/>
  <c r="AB304" i="13"/>
  <c r="AA304" i="13"/>
  <c r="Z304" i="13"/>
  <c r="Y304" i="13"/>
  <c r="X304" i="13"/>
  <c r="W304" i="13"/>
  <c r="V304" i="13"/>
  <c r="U304" i="13"/>
  <c r="T304" i="13"/>
  <c r="S304" i="13"/>
  <c r="DG303" i="13"/>
  <c r="DI303" i="13" s="1"/>
  <c r="DD303" i="13"/>
  <c r="DC303" i="13"/>
  <c r="BP303" i="13"/>
  <c r="BK303" i="13"/>
  <c r="BC303" i="13"/>
  <c r="BB303" i="13"/>
  <c r="BA303" i="13"/>
  <c r="AZ303" i="13"/>
  <c r="AY303" i="13"/>
  <c r="AW303" i="13"/>
  <c r="AV303" i="13"/>
  <c r="AU303" i="13"/>
  <c r="AT303" i="13"/>
  <c r="AS303" i="13"/>
  <c r="AQ303" i="13"/>
  <c r="AP303" i="13"/>
  <c r="AG303" i="13"/>
  <c r="AE303" i="13"/>
  <c r="AD303" i="13"/>
  <c r="AC303" i="13"/>
  <c r="AB303" i="13"/>
  <c r="AA303" i="13"/>
  <c r="Z303" i="13"/>
  <c r="Y303" i="13"/>
  <c r="X303" i="13"/>
  <c r="W303" i="13"/>
  <c r="V303" i="13"/>
  <c r="U303" i="13"/>
  <c r="T303" i="13"/>
  <c r="S303" i="13"/>
  <c r="DF297" i="13"/>
  <c r="DD297" i="13"/>
  <c r="BQ297" i="13"/>
  <c r="BQ296" i="13"/>
  <c r="BK295" i="13"/>
  <c r="DF294" i="13"/>
  <c r="DD294" i="13"/>
  <c r="BK294" i="13"/>
  <c r="DF293" i="13"/>
  <c r="DD293" i="13"/>
  <c r="DF292" i="13"/>
  <c r="DD292" i="13"/>
  <c r="DF291" i="13"/>
  <c r="DD291" i="13"/>
  <c r="DF290" i="13"/>
  <c r="DD290" i="13"/>
  <c r="DF289" i="13"/>
  <c r="DD289" i="13"/>
  <c r="AV283" i="13"/>
  <c r="AW283" i="13" s="1"/>
  <c r="AX283" i="13" s="1"/>
  <c r="AY283" i="13" s="1"/>
  <c r="AZ283" i="13" s="1"/>
  <c r="DF281" i="13"/>
  <c r="DD281" i="13"/>
  <c r="AZ280" i="13"/>
  <c r="AY280" i="13"/>
  <c r="AX280" i="13"/>
  <c r="AW280" i="13"/>
  <c r="AV280" i="13"/>
  <c r="AZ279" i="13"/>
  <c r="AY279" i="13"/>
  <c r="AX279" i="13"/>
  <c r="AW279" i="13"/>
  <c r="AV279" i="13"/>
  <c r="AZ278" i="13"/>
  <c r="AY278" i="13"/>
  <c r="AX278" i="13"/>
  <c r="AW278" i="13"/>
  <c r="AV278" i="13"/>
  <c r="AZ277" i="13"/>
  <c r="AY277" i="13"/>
  <c r="AX277" i="13"/>
  <c r="AW277" i="13"/>
  <c r="AV277" i="13"/>
  <c r="BK266" i="13" s="1"/>
  <c r="AZ276" i="13"/>
  <c r="AY276" i="13"/>
  <c r="AX276" i="13"/>
  <c r="AW276" i="13"/>
  <c r="AV276" i="13"/>
  <c r="AZ275" i="13"/>
  <c r="AY275" i="13"/>
  <c r="AX275" i="13"/>
  <c r="AW275" i="13"/>
  <c r="AV275" i="13"/>
  <c r="BK264" i="13" s="1"/>
  <c r="AZ274" i="13"/>
  <c r="AY274" i="13"/>
  <c r="AX274" i="13"/>
  <c r="AW274" i="13"/>
  <c r="AV274" i="13"/>
  <c r="AZ273" i="13"/>
  <c r="AY273" i="13"/>
  <c r="AX273" i="13"/>
  <c r="AW273" i="13"/>
  <c r="AV273" i="13"/>
  <c r="AZ272" i="13"/>
  <c r="AY272" i="13"/>
  <c r="AX272" i="13"/>
  <c r="AW272" i="13"/>
  <c r="AV272" i="13"/>
  <c r="BK261" i="13" s="1"/>
  <c r="AZ271" i="13"/>
  <c r="AY271" i="13"/>
  <c r="AX271" i="13"/>
  <c r="AW271" i="13"/>
  <c r="AV271" i="13"/>
  <c r="BG256" i="13" s="1"/>
  <c r="BK269" i="13"/>
  <c r="BK268" i="13"/>
  <c r="BK267" i="13"/>
  <c r="AV263" i="13"/>
  <c r="BX255" i="13"/>
  <c r="BX254" i="13"/>
  <c r="BN253" i="13"/>
  <c r="CQ253" i="13" s="1"/>
  <c r="CP253" i="13" s="1"/>
  <c r="BF253" i="13"/>
  <c r="BN252" i="13"/>
  <c r="CQ252" i="13" s="1"/>
  <c r="CP252" i="13" s="1"/>
  <c r="BF252" i="13"/>
  <c r="BN251" i="13"/>
  <c r="CQ251" i="13" s="1"/>
  <c r="CP251" i="13" s="1"/>
  <c r="BF251" i="13"/>
  <c r="BN250" i="13"/>
  <c r="CQ250" i="13" s="1"/>
  <c r="CP250" i="13" s="1"/>
  <c r="BG250" i="13"/>
  <c r="BF250" i="13"/>
  <c r="BN249" i="13"/>
  <c r="CQ249" i="13" s="1"/>
  <c r="CP249" i="13" s="1"/>
  <c r="BF249" i="13"/>
  <c r="BN248" i="13"/>
  <c r="CQ248" i="13" s="1"/>
  <c r="CP248" i="13" s="1"/>
  <c r="BF248" i="13"/>
  <c r="BN247" i="13"/>
  <c r="CQ247" i="13" s="1"/>
  <c r="BM247" i="13"/>
  <c r="CO247" i="13" s="1"/>
  <c r="BF247" i="13"/>
  <c r="BN246" i="13"/>
  <c r="CQ246" i="13" s="1"/>
  <c r="BM246" i="13"/>
  <c r="CO246" i="13" s="1"/>
  <c r="BG246" i="13"/>
  <c r="BF246" i="13"/>
  <c r="BN245" i="13"/>
  <c r="CQ245" i="13" s="1"/>
  <c r="CP245" i="13" s="1"/>
  <c r="BF245" i="13"/>
  <c r="BF244" i="13"/>
  <c r="BN243" i="13"/>
  <c r="CQ243" i="13" s="1"/>
  <c r="BM243" i="13"/>
  <c r="CO243" i="13" s="1"/>
  <c r="BK243" i="13"/>
  <c r="BF243" i="13" s="1"/>
  <c r="BN242" i="13"/>
  <c r="CQ242" i="13" s="1"/>
  <c r="BM242" i="13"/>
  <c r="CO242" i="13" s="1"/>
  <c r="BK242" i="13"/>
  <c r="BF242" i="13" s="1"/>
  <c r="BN241" i="13"/>
  <c r="CQ241" i="13" s="1"/>
  <c r="BM241" i="13"/>
  <c r="CO241" i="13" s="1"/>
  <c r="BK241" i="13"/>
  <c r="BF241" i="13" s="1"/>
  <c r="BN240" i="13"/>
  <c r="CQ240" i="13" s="1"/>
  <c r="BM240" i="13"/>
  <c r="CO240" i="13" s="1"/>
  <c r="BK240" i="13"/>
  <c r="BF240" i="13" s="1"/>
  <c r="BG240" i="13"/>
  <c r="BN239" i="13"/>
  <c r="CQ239" i="13" s="1"/>
  <c r="BM239" i="13"/>
  <c r="CO239" i="13" s="1"/>
  <c r="BK239" i="13"/>
  <c r="BF239" i="13" s="1"/>
  <c r="BK238" i="13"/>
  <c r="BF238" i="13" s="1"/>
  <c r="BX237" i="13"/>
  <c r="BK237" i="13"/>
  <c r="BK235" i="13"/>
  <c r="BG215" i="13"/>
  <c r="BK215" i="13" s="1"/>
  <c r="BF215" i="13"/>
  <c r="BE215" i="13"/>
  <c r="BD215" i="13"/>
  <c r="BG214" i="13"/>
  <c r="BK214" i="13" s="1"/>
  <c r="BF214" i="13"/>
  <c r="BE214" i="13"/>
  <c r="BD214" i="13"/>
  <c r="BK207" i="13"/>
  <c r="BK179" i="13"/>
  <c r="BK178" i="13"/>
  <c r="BK177" i="13"/>
  <c r="BK176" i="13"/>
  <c r="CI160" i="13"/>
  <c r="CC160" i="13"/>
  <c r="BW160" i="13"/>
  <c r="BQ160" i="13"/>
  <c r="CI159" i="13"/>
  <c r="CC159" i="13"/>
  <c r="BW159" i="13"/>
  <c r="BQ159" i="13"/>
  <c r="BK159" i="13"/>
  <c r="CI158" i="13"/>
  <c r="CC158" i="13"/>
  <c r="BW158" i="13"/>
  <c r="BQ158" i="13"/>
  <c r="CI157" i="13"/>
  <c r="CC157" i="13"/>
  <c r="BW157" i="13"/>
  <c r="BQ157" i="13"/>
  <c r="CI156" i="13"/>
  <c r="CC156" i="13"/>
  <c r="BW156" i="13"/>
  <c r="BQ156" i="13"/>
  <c r="CI155" i="13"/>
  <c r="CC155" i="13"/>
  <c r="BW155" i="13"/>
  <c r="BQ155" i="13"/>
  <c r="CI154" i="13"/>
  <c r="CC154" i="13"/>
  <c r="BW154" i="13"/>
  <c r="BQ154" i="13"/>
  <c r="CI153" i="13"/>
  <c r="CC153" i="13"/>
  <c r="BW153" i="13"/>
  <c r="BQ153" i="13"/>
  <c r="CI152" i="13"/>
  <c r="CC152" i="13"/>
  <c r="BW152" i="13"/>
  <c r="BQ152" i="13"/>
  <c r="CI151" i="13"/>
  <c r="CC151" i="13"/>
  <c r="BW151" i="13"/>
  <c r="BQ151" i="13"/>
  <c r="CI150" i="13"/>
  <c r="CC150" i="13"/>
  <c r="BW150" i="13"/>
  <c r="BQ150" i="13"/>
  <c r="CI149" i="13"/>
  <c r="CC149" i="13"/>
  <c r="BW149" i="13"/>
  <c r="BQ149" i="13"/>
  <c r="CI148" i="13"/>
  <c r="CC148" i="13"/>
  <c r="BW148" i="13"/>
  <c r="BQ148" i="13"/>
  <c r="CI147" i="13"/>
  <c r="CC147" i="13"/>
  <c r="BW147" i="13"/>
  <c r="BQ147" i="13"/>
  <c r="CI146" i="13"/>
  <c r="CC146" i="13"/>
  <c r="BW146" i="13"/>
  <c r="BQ146" i="13"/>
  <c r="CI145" i="13"/>
  <c r="CC145" i="13"/>
  <c r="BW145" i="13"/>
  <c r="BQ145" i="13"/>
  <c r="CI144" i="13"/>
  <c r="CC144" i="13"/>
  <c r="BW144" i="13"/>
  <c r="BQ144" i="13"/>
  <c r="CI143" i="13"/>
  <c r="CC143" i="13"/>
  <c r="BW143" i="13"/>
  <c r="BQ143" i="13"/>
  <c r="CI138" i="13"/>
  <c r="CC138" i="13"/>
  <c r="BW138" i="13"/>
  <c r="BQ138" i="13"/>
  <c r="CI137" i="13"/>
  <c r="CC137" i="13"/>
  <c r="BW137" i="13"/>
  <c r="BQ137" i="13"/>
  <c r="CI136" i="13"/>
  <c r="CC136" i="13"/>
  <c r="BW136" i="13"/>
  <c r="BQ136" i="13"/>
  <c r="CI135" i="13"/>
  <c r="CC135" i="13"/>
  <c r="BW135" i="13"/>
  <c r="BQ135" i="13"/>
  <c r="CI134" i="13"/>
  <c r="CC134" i="13"/>
  <c r="BW134" i="13"/>
  <c r="BQ134" i="13"/>
  <c r="CI133" i="13"/>
  <c r="CC133" i="13"/>
  <c r="BW133" i="13"/>
  <c r="BQ133" i="13"/>
  <c r="CI132" i="13"/>
  <c r="CC132" i="13"/>
  <c r="BW132" i="13"/>
  <c r="BQ132" i="13"/>
  <c r="CI131" i="13"/>
  <c r="CC131" i="13"/>
  <c r="BW131" i="13"/>
  <c r="BQ131" i="13"/>
  <c r="CI130" i="13"/>
  <c r="CC130" i="13"/>
  <c r="BW130" i="13"/>
  <c r="BQ130" i="13"/>
  <c r="CI129" i="13"/>
  <c r="CC129" i="13"/>
  <c r="BW129" i="13"/>
  <c r="BQ129" i="13"/>
  <c r="CI128" i="13"/>
  <c r="CC128" i="13"/>
  <c r="BW128" i="13"/>
  <c r="BQ128" i="13"/>
  <c r="CI127" i="13"/>
  <c r="CC127" i="13"/>
  <c r="BW127" i="13"/>
  <c r="BQ127" i="13"/>
  <c r="CI126" i="13"/>
  <c r="CC126" i="13"/>
  <c r="BW126" i="13"/>
  <c r="BQ126" i="13"/>
  <c r="CI121" i="13"/>
  <c r="CC121" i="13"/>
  <c r="BW121" i="13"/>
  <c r="BQ121" i="13"/>
  <c r="CI120" i="13"/>
  <c r="CC120" i="13"/>
  <c r="BW120" i="13"/>
  <c r="BQ120" i="13"/>
  <c r="CI119" i="13"/>
  <c r="CC119" i="13"/>
  <c r="BW119" i="13"/>
  <c r="BQ119" i="13"/>
  <c r="CI118" i="13"/>
  <c r="CC118" i="13"/>
  <c r="BW118" i="13"/>
  <c r="BQ118" i="13"/>
  <c r="CI117" i="13"/>
  <c r="CC117" i="13"/>
  <c r="BW117" i="13"/>
  <c r="BQ117" i="13"/>
  <c r="CI116" i="13"/>
  <c r="CC116" i="13"/>
  <c r="BW116" i="13"/>
  <c r="BQ116" i="13"/>
  <c r="CI115" i="13"/>
  <c r="CC115" i="13"/>
  <c r="BW115" i="13"/>
  <c r="BQ115" i="13"/>
  <c r="CI114" i="13"/>
  <c r="CC114" i="13"/>
  <c r="BW114" i="13"/>
  <c r="BQ114" i="13"/>
  <c r="CI113" i="13"/>
  <c r="CC113" i="13"/>
  <c r="BW113" i="13"/>
  <c r="BQ113" i="13"/>
  <c r="CI112" i="13"/>
  <c r="CC112" i="13"/>
  <c r="BW112" i="13"/>
  <c r="BQ112" i="13"/>
  <c r="CI111" i="13"/>
  <c r="CC111" i="13"/>
  <c r="BW111" i="13"/>
  <c r="BQ111" i="13"/>
  <c r="CI110" i="13"/>
  <c r="CC110" i="13"/>
  <c r="BW110" i="13"/>
  <c r="BQ110" i="13"/>
  <c r="CI109" i="13"/>
  <c r="CC109" i="13"/>
  <c r="BW109" i="13"/>
  <c r="BQ109" i="13"/>
  <c r="CI108" i="13"/>
  <c r="CC108" i="13"/>
  <c r="BW108" i="13"/>
  <c r="BQ108" i="13"/>
  <c r="CI107" i="13"/>
  <c r="CC107" i="13"/>
  <c r="BW107" i="13"/>
  <c r="BQ107" i="13"/>
  <c r="CI106" i="13"/>
  <c r="CC106" i="13"/>
  <c r="BW106" i="13"/>
  <c r="BQ106" i="13"/>
  <c r="CI105" i="13"/>
  <c r="CC105" i="13"/>
  <c r="BW105" i="13"/>
  <c r="BQ105" i="13"/>
  <c r="CI104" i="13"/>
  <c r="CC104" i="13"/>
  <c r="BW104" i="13"/>
  <c r="BQ104" i="13"/>
  <c r="CI103" i="13"/>
  <c r="CC103" i="13"/>
  <c r="BW103" i="13"/>
  <c r="BQ103" i="13"/>
  <c r="CI102" i="13"/>
  <c r="CC102" i="13"/>
  <c r="BW102" i="13"/>
  <c r="BQ102" i="13"/>
  <c r="CI101" i="13"/>
  <c r="CC101" i="13"/>
  <c r="BW101" i="13"/>
  <c r="BQ101" i="13"/>
  <c r="CI100" i="13"/>
  <c r="CC100" i="13"/>
  <c r="BW100" i="13"/>
  <c r="BQ100" i="13"/>
  <c r="CI99" i="13"/>
  <c r="CC99" i="13"/>
  <c r="BW99" i="13"/>
  <c r="BQ99" i="13"/>
  <c r="CI98" i="13"/>
  <c r="CC98" i="13"/>
  <c r="BW98" i="13"/>
  <c r="BQ98" i="13"/>
  <c r="CI97" i="13"/>
  <c r="CC97" i="13"/>
  <c r="BW97" i="13"/>
  <c r="BQ97" i="13"/>
  <c r="AG82" i="13"/>
  <c r="Y78" i="13"/>
  <c r="X78" i="13"/>
  <c r="R78" i="13"/>
  <c r="W78" i="13" s="1"/>
  <c r="Q78" i="13"/>
  <c r="Z78" i="13" s="1"/>
  <c r="D78" i="13"/>
  <c r="Y77" i="13"/>
  <c r="X77" i="13"/>
  <c r="R77" i="13"/>
  <c r="W77" i="13" s="1"/>
  <c r="Q77" i="13"/>
  <c r="Z77" i="13" s="1"/>
  <c r="D77" i="13"/>
  <c r="Y76" i="13"/>
  <c r="X76" i="13"/>
  <c r="R76" i="13"/>
  <c r="W76" i="13" s="1"/>
  <c r="Q76" i="13"/>
  <c r="Z76" i="13" s="1"/>
  <c r="D76" i="13"/>
  <c r="Y75" i="13"/>
  <c r="X75" i="13"/>
  <c r="R75" i="13"/>
  <c r="W75" i="13" s="1"/>
  <c r="Q75" i="13"/>
  <c r="Z75" i="13" s="1"/>
  <c r="D75" i="13"/>
  <c r="Y74" i="13"/>
  <c r="X74" i="13"/>
  <c r="R74" i="13"/>
  <c r="T74" i="13" s="1"/>
  <c r="Q74" i="13"/>
  <c r="Z74" i="13" s="1"/>
  <c r="D74" i="13"/>
  <c r="Y73" i="13"/>
  <c r="X73" i="13"/>
  <c r="R73" i="13"/>
  <c r="W73" i="13" s="1"/>
  <c r="Q73" i="13"/>
  <c r="D73" i="13"/>
  <c r="Y71" i="13"/>
  <c r="X71" i="13"/>
  <c r="R71" i="13"/>
  <c r="S71" i="13" s="1"/>
  <c r="Q71" i="13"/>
  <c r="D71" i="13"/>
  <c r="AG67" i="13"/>
  <c r="BH59" i="13"/>
  <c r="BD58" i="13"/>
  <c r="AW58" i="13"/>
  <c r="AV58" i="13"/>
  <c r="I41" i="18" s="1"/>
  <c r="AX57" i="13"/>
  <c r="AX58" i="13" s="1"/>
  <c r="Y57" i="13"/>
  <c r="X57" i="13"/>
  <c r="R57" i="13"/>
  <c r="W57" i="13" s="1"/>
  <c r="AO57" i="13" s="1"/>
  <c r="Q57" i="13"/>
  <c r="AH57" i="13" s="1"/>
  <c r="D57" i="13"/>
  <c r="BH56" i="13"/>
  <c r="BH55" i="13"/>
  <c r="AV52" i="13"/>
  <c r="AX51" i="13"/>
  <c r="Y51" i="13"/>
  <c r="X51" i="13"/>
  <c r="R51" i="13"/>
  <c r="U51" i="13" s="1"/>
  <c r="Q51" i="13"/>
  <c r="BB51" i="13" s="1"/>
  <c r="BC51" i="13" s="1"/>
  <c r="BE51" i="13" s="1"/>
  <c r="D51" i="13"/>
  <c r="AX50" i="13"/>
  <c r="AM50" i="13"/>
  <c r="AL50" i="13"/>
  <c r="R50" i="13"/>
  <c r="W50" i="13" s="1"/>
  <c r="Q50" i="13"/>
  <c r="D50" i="13"/>
  <c r="AX49" i="13"/>
  <c r="AF49" i="13"/>
  <c r="AE49" i="13"/>
  <c r="Y49" i="13"/>
  <c r="X49" i="13"/>
  <c r="R49" i="13"/>
  <c r="W49" i="13" s="1"/>
  <c r="AO49" i="13" s="1"/>
  <c r="Q49" i="13"/>
  <c r="D49" i="13"/>
  <c r="AX48" i="13"/>
  <c r="AF48" i="13"/>
  <c r="AE48" i="13"/>
  <c r="R48" i="13"/>
  <c r="U48" i="13" s="1"/>
  <c r="Q48" i="13"/>
  <c r="BB48" i="13" s="1"/>
  <c r="BC48" i="13" s="1"/>
  <c r="BE48" i="13" s="1"/>
  <c r="D48" i="13"/>
  <c r="AX47" i="13"/>
  <c r="AF47" i="13"/>
  <c r="AE47" i="13"/>
  <c r="R47" i="13"/>
  <c r="W47" i="13" s="1"/>
  <c r="AO47" i="13" s="1"/>
  <c r="Q47" i="13"/>
  <c r="D47" i="13"/>
  <c r="AZ40" i="13"/>
  <c r="AY40" i="13"/>
  <c r="R40" i="13"/>
  <c r="U40" i="13" s="1"/>
  <c r="Q40" i="13"/>
  <c r="D40" i="13"/>
  <c r="Y39" i="13"/>
  <c r="X39" i="13"/>
  <c r="R39" i="13"/>
  <c r="U39" i="13" s="1"/>
  <c r="Q39" i="13"/>
  <c r="BB39" i="13" s="1"/>
  <c r="D39" i="13"/>
  <c r="Y38" i="13"/>
  <c r="X38" i="13"/>
  <c r="R38" i="13"/>
  <c r="U38" i="13" s="1"/>
  <c r="Q38" i="13"/>
  <c r="BB38" i="13" s="1"/>
  <c r="D38" i="13"/>
  <c r="Y37" i="13"/>
  <c r="X37" i="13"/>
  <c r="R37" i="13"/>
  <c r="U37" i="13" s="1"/>
  <c r="Q37" i="13"/>
  <c r="BB37" i="13" s="1"/>
  <c r="D37" i="13"/>
  <c r="AT36" i="13"/>
  <c r="AS36" i="13"/>
  <c r="R36" i="13"/>
  <c r="W36" i="13" s="1"/>
  <c r="AO36" i="13" s="1"/>
  <c r="Q36" i="13"/>
  <c r="D36" i="13"/>
  <c r="Y35" i="13"/>
  <c r="X35" i="13"/>
  <c r="R35" i="13"/>
  <c r="W35" i="13" s="1"/>
  <c r="Q35" i="13"/>
  <c r="AV35" i="13" s="1"/>
  <c r="D35" i="13"/>
  <c r="AT34" i="13"/>
  <c r="AS34" i="13"/>
  <c r="R34" i="13"/>
  <c r="U34" i="13" s="1"/>
  <c r="Q34" i="13"/>
  <c r="BB34" i="13" s="1"/>
  <c r="BC34" i="13" s="1"/>
  <c r="BE34" i="13" s="1"/>
  <c r="D34" i="13"/>
  <c r="AT33" i="13"/>
  <c r="AS33" i="13"/>
  <c r="R33" i="13"/>
  <c r="W33" i="13" s="1"/>
  <c r="AO33" i="13" s="1"/>
  <c r="Q33" i="13"/>
  <c r="D33" i="13"/>
  <c r="AT32" i="13"/>
  <c r="AS32" i="13"/>
  <c r="R32" i="13"/>
  <c r="U32" i="13" s="1"/>
  <c r="Q32" i="13"/>
  <c r="BB32" i="13" s="1"/>
  <c r="BC32" i="13" s="1"/>
  <c r="BE32" i="13" s="1"/>
  <c r="D32" i="13"/>
  <c r="AT31" i="13"/>
  <c r="AS31" i="13"/>
  <c r="R31" i="13"/>
  <c r="W31" i="13" s="1"/>
  <c r="AO31" i="13" s="1"/>
  <c r="Q31" i="13"/>
  <c r="D31" i="13"/>
  <c r="AT30" i="13"/>
  <c r="AS30" i="13"/>
  <c r="R30" i="13"/>
  <c r="U30" i="13" s="1"/>
  <c r="Q30" i="13"/>
  <c r="BB30" i="13" s="1"/>
  <c r="BC30" i="13" s="1"/>
  <c r="BE30" i="13" s="1"/>
  <c r="D30" i="13"/>
  <c r="AT29" i="13"/>
  <c r="AS29" i="13"/>
  <c r="AM29" i="13"/>
  <c r="R29" i="13"/>
  <c r="U29" i="13" s="1"/>
  <c r="Q29" i="13"/>
  <c r="D29" i="13"/>
  <c r="AM27" i="13"/>
  <c r="AL27" i="13"/>
  <c r="AF27" i="13"/>
  <c r="AE27" i="13"/>
  <c r="Y27" i="13"/>
  <c r="X27" i="13"/>
  <c r="R27" i="13"/>
  <c r="W27" i="13" s="1"/>
  <c r="Q27" i="13"/>
  <c r="AV27" i="13" s="1"/>
  <c r="D27" i="13"/>
  <c r="AM26" i="13"/>
  <c r="AL26" i="13"/>
  <c r="AF26" i="13"/>
  <c r="AE26" i="13"/>
  <c r="Y26" i="13"/>
  <c r="X26" i="13"/>
  <c r="R26" i="13"/>
  <c r="W26" i="13" s="1"/>
  <c r="Q26" i="13"/>
  <c r="AV26" i="13" s="1"/>
  <c r="D26" i="13"/>
  <c r="AM25" i="13"/>
  <c r="AL25" i="13"/>
  <c r="AF25" i="13"/>
  <c r="AE25" i="13"/>
  <c r="Y25" i="13"/>
  <c r="X25" i="13"/>
  <c r="R25" i="13"/>
  <c r="W25" i="13" s="1"/>
  <c r="Q25" i="13"/>
  <c r="AV25" i="13" s="1"/>
  <c r="D25" i="13"/>
  <c r="AM24" i="13"/>
  <c r="AL24" i="13"/>
  <c r="AF24" i="13"/>
  <c r="AE24" i="13"/>
  <c r="Y24" i="13"/>
  <c r="X24" i="13"/>
  <c r="R24" i="13"/>
  <c r="W24" i="13" s="1"/>
  <c r="Q24" i="13"/>
  <c r="AV24" i="13" s="1"/>
  <c r="D24" i="13"/>
  <c r="AM23" i="13"/>
  <c r="AL23" i="13"/>
  <c r="AF23" i="13"/>
  <c r="AE23" i="13"/>
  <c r="Y23" i="13"/>
  <c r="X23" i="13"/>
  <c r="R23" i="13"/>
  <c r="W23" i="13" s="1"/>
  <c r="Q23" i="13"/>
  <c r="AV23" i="13" s="1"/>
  <c r="D23" i="13"/>
  <c r="AM22" i="13"/>
  <c r="AL22" i="13"/>
  <c r="AF22" i="13"/>
  <c r="AE22" i="13"/>
  <c r="Y22" i="13"/>
  <c r="X22" i="13"/>
  <c r="R22" i="13"/>
  <c r="W22" i="13" s="1"/>
  <c r="Q22" i="13"/>
  <c r="AV22" i="13" s="1"/>
  <c r="D22" i="13"/>
  <c r="AM21" i="13"/>
  <c r="AL21" i="13"/>
  <c r="AF21" i="13"/>
  <c r="AE21" i="13"/>
  <c r="Y21" i="13"/>
  <c r="X21" i="13"/>
  <c r="R21" i="13"/>
  <c r="W21" i="13" s="1"/>
  <c r="Q21" i="13"/>
  <c r="AV21" i="13" s="1"/>
  <c r="D21" i="13"/>
  <c r="AM20" i="13"/>
  <c r="AL20" i="13"/>
  <c r="AF20" i="13"/>
  <c r="AE20" i="13"/>
  <c r="Y20" i="13"/>
  <c r="X20" i="13"/>
  <c r="R20" i="13"/>
  <c r="W20" i="13" s="1"/>
  <c r="Q20" i="13"/>
  <c r="AV20" i="13" s="1"/>
  <c r="D20" i="13"/>
  <c r="AM19" i="13"/>
  <c r="AL19" i="13"/>
  <c r="AF19" i="13"/>
  <c r="AE19" i="13"/>
  <c r="Y19" i="13"/>
  <c r="X19" i="13"/>
  <c r="R19" i="13"/>
  <c r="W19" i="13" s="1"/>
  <c r="Q19" i="13"/>
  <c r="AV19" i="13" s="1"/>
  <c r="D19" i="13"/>
  <c r="AM18" i="13"/>
  <c r="AL18" i="13"/>
  <c r="AF18" i="13"/>
  <c r="AE18" i="13"/>
  <c r="Y18" i="13"/>
  <c r="X18" i="13"/>
  <c r="R18" i="13"/>
  <c r="W18" i="13" s="1"/>
  <c r="Q18" i="13"/>
  <c r="AV18" i="13" s="1"/>
  <c r="D18" i="13"/>
  <c r="AM17" i="13"/>
  <c r="AL17" i="13"/>
  <c r="AF17" i="13"/>
  <c r="AE17" i="13"/>
  <c r="Y17" i="13"/>
  <c r="X17" i="13"/>
  <c r="R17" i="13"/>
  <c r="W17" i="13" s="1"/>
  <c r="Q17" i="13"/>
  <c r="BB17" i="13" s="1"/>
  <c r="D17" i="13"/>
  <c r="DM353" i="12"/>
  <c r="DM352" i="12"/>
  <c r="DC352" i="12" s="1"/>
  <c r="BK350" i="12"/>
  <c r="BK349" i="12"/>
  <c r="BK348" i="12"/>
  <c r="DM343" i="12"/>
  <c r="DM341" i="12"/>
  <c r="BY339" i="12"/>
  <c r="BX339" i="12"/>
  <c r="BS339" i="12"/>
  <c r="BR339" i="12"/>
  <c r="BP339" i="12"/>
  <c r="BN339" i="12"/>
  <c r="CQ339" i="12" s="1"/>
  <c r="BM339" i="12"/>
  <c r="CO339" i="12" s="1"/>
  <c r="BK339" i="12"/>
  <c r="BY338" i="12"/>
  <c r="BX338" i="12"/>
  <c r="BS338" i="12"/>
  <c r="BR338" i="12"/>
  <c r="BP338" i="12"/>
  <c r="BN338" i="12"/>
  <c r="CQ338" i="12" s="1"/>
  <c r="BM338" i="12"/>
  <c r="CO338" i="12" s="1"/>
  <c r="BK338" i="12"/>
  <c r="BN337" i="12"/>
  <c r="CQ337" i="12" s="1"/>
  <c r="BM337" i="12"/>
  <c r="CO337" i="12" s="1"/>
  <c r="BD337" i="12"/>
  <c r="BK337" i="12" s="1"/>
  <c r="BN336" i="12"/>
  <c r="CQ336" i="12" s="1"/>
  <c r="BM336" i="12"/>
  <c r="CO336" i="12" s="1"/>
  <c r="BK336" i="12"/>
  <c r="BN335" i="12"/>
  <c r="CQ335" i="12" s="1"/>
  <c r="BM335" i="12"/>
  <c r="CO335" i="12" s="1"/>
  <c r="BK335" i="12"/>
  <c r="BS334" i="12"/>
  <c r="BR334" i="12"/>
  <c r="BP334" i="12"/>
  <c r="BN334" i="12"/>
  <c r="CQ334" i="12" s="1"/>
  <c r="BM334" i="12"/>
  <c r="CO334" i="12" s="1"/>
  <c r="BK334" i="12"/>
  <c r="BS333" i="12"/>
  <c r="BR333" i="12"/>
  <c r="BP333" i="12"/>
  <c r="BN333" i="12"/>
  <c r="CQ333" i="12" s="1"/>
  <c r="BM333" i="12"/>
  <c r="CO333" i="12" s="1"/>
  <c r="BK333" i="12"/>
  <c r="BC333" i="12"/>
  <c r="BB333" i="12"/>
  <c r="BA333" i="12"/>
  <c r="AZ333" i="12"/>
  <c r="AY333" i="12"/>
  <c r="AW333" i="12"/>
  <c r="AV333" i="12"/>
  <c r="AU333" i="12"/>
  <c r="AT333" i="12"/>
  <c r="AS333" i="12"/>
  <c r="AQ333" i="12"/>
  <c r="AP333" i="12"/>
  <c r="DL332" i="12"/>
  <c r="BC332" i="12"/>
  <c r="BB332" i="12"/>
  <c r="BA332" i="12"/>
  <c r="AZ332" i="12"/>
  <c r="AY332" i="12"/>
  <c r="AW332" i="12"/>
  <c r="AV332" i="12"/>
  <c r="AU332" i="12"/>
  <c r="AT332" i="12"/>
  <c r="AS332" i="12"/>
  <c r="AQ332" i="12"/>
  <c r="AP332" i="12"/>
  <c r="BC331" i="12"/>
  <c r="BB331" i="12"/>
  <c r="BA331" i="12"/>
  <c r="AZ331" i="12"/>
  <c r="AY331" i="12"/>
  <c r="AW331" i="12"/>
  <c r="AV331" i="12"/>
  <c r="AU331" i="12"/>
  <c r="AT331" i="12"/>
  <c r="AS331" i="12"/>
  <c r="AQ331" i="12"/>
  <c r="AP331" i="12"/>
  <c r="DL330" i="12"/>
  <c r="BC330" i="12"/>
  <c r="BB330" i="12"/>
  <c r="BA330" i="12"/>
  <c r="AZ330" i="12"/>
  <c r="AY330" i="12"/>
  <c r="AW330" i="12"/>
  <c r="AV330" i="12"/>
  <c r="AU330" i="12"/>
  <c r="AT330" i="12"/>
  <c r="AS330" i="12"/>
  <c r="AQ330" i="12"/>
  <c r="AP330" i="12"/>
  <c r="AG330" i="12"/>
  <c r="AE330" i="12"/>
  <c r="AD330" i="12"/>
  <c r="AC330" i="12"/>
  <c r="AB330" i="12"/>
  <c r="AA330" i="12"/>
  <c r="Z330" i="12"/>
  <c r="Y330" i="12"/>
  <c r="X330" i="12"/>
  <c r="W330" i="12"/>
  <c r="V330" i="12"/>
  <c r="U330" i="12"/>
  <c r="T330" i="12"/>
  <c r="S330" i="12"/>
  <c r="BC329" i="12"/>
  <c r="BB329" i="12"/>
  <c r="BA329" i="12"/>
  <c r="AZ329" i="12"/>
  <c r="AY329" i="12"/>
  <c r="AW329" i="12"/>
  <c r="AV329" i="12"/>
  <c r="AU329" i="12"/>
  <c r="AT329" i="12"/>
  <c r="AS329" i="12"/>
  <c r="AQ329" i="12"/>
  <c r="AP329" i="12"/>
  <c r="AG329" i="12"/>
  <c r="AE329" i="12"/>
  <c r="AD329" i="12"/>
  <c r="AC329" i="12"/>
  <c r="AB329" i="12"/>
  <c r="AA329" i="12"/>
  <c r="Z329" i="12"/>
  <c r="Y329" i="12"/>
  <c r="X329" i="12"/>
  <c r="W329" i="12"/>
  <c r="V329" i="12"/>
  <c r="U329" i="12"/>
  <c r="T329" i="12"/>
  <c r="S329" i="12"/>
  <c r="BC328" i="12"/>
  <c r="BB328" i="12"/>
  <c r="BA328" i="12"/>
  <c r="AZ328" i="12"/>
  <c r="AY328" i="12"/>
  <c r="AW328" i="12"/>
  <c r="AV328" i="12"/>
  <c r="AU328" i="12"/>
  <c r="AT328" i="12"/>
  <c r="AS328" i="12"/>
  <c r="AQ328" i="12"/>
  <c r="AP328" i="12"/>
  <c r="AG328" i="12"/>
  <c r="AE328" i="12"/>
  <c r="AD328" i="12"/>
  <c r="AC328" i="12"/>
  <c r="AB328" i="12"/>
  <c r="AA328" i="12"/>
  <c r="Z328" i="12"/>
  <c r="Y328" i="12"/>
  <c r="X328" i="12"/>
  <c r="W328" i="12"/>
  <c r="V328" i="12"/>
  <c r="U328" i="12"/>
  <c r="T328" i="12"/>
  <c r="S328" i="12"/>
  <c r="DG327" i="12"/>
  <c r="DI327" i="12" s="1"/>
  <c r="DD327" i="12"/>
  <c r="DC327" i="12"/>
  <c r="BP327" i="12"/>
  <c r="BK327" i="12"/>
  <c r="BC327" i="12"/>
  <c r="BB327" i="12"/>
  <c r="BA327" i="12"/>
  <c r="AZ327" i="12"/>
  <c r="AY327" i="12"/>
  <c r="AW327" i="12"/>
  <c r="AV327" i="12"/>
  <c r="AU327" i="12"/>
  <c r="AT327" i="12"/>
  <c r="AS327" i="12"/>
  <c r="AQ327" i="12"/>
  <c r="AP327" i="12"/>
  <c r="AG327" i="12"/>
  <c r="AE327" i="12"/>
  <c r="AD327" i="12"/>
  <c r="AC327" i="12"/>
  <c r="AB327" i="12"/>
  <c r="AA327" i="12"/>
  <c r="Z327" i="12"/>
  <c r="Y327" i="12"/>
  <c r="X327" i="12"/>
  <c r="W327" i="12"/>
  <c r="V327" i="12"/>
  <c r="U327" i="12"/>
  <c r="T327" i="12"/>
  <c r="S327" i="12"/>
  <c r="DG326" i="12"/>
  <c r="DI326" i="12" s="1"/>
  <c r="DD326" i="12"/>
  <c r="DC326" i="12"/>
  <c r="BP326" i="12"/>
  <c r="BK326" i="12"/>
  <c r="BC326" i="12"/>
  <c r="BB326" i="12"/>
  <c r="BA326" i="12"/>
  <c r="AZ326" i="12"/>
  <c r="AY326" i="12"/>
  <c r="AW326" i="12"/>
  <c r="AV326" i="12"/>
  <c r="AU326" i="12"/>
  <c r="AT326" i="12"/>
  <c r="AS326" i="12"/>
  <c r="AQ326" i="12"/>
  <c r="AP326" i="12"/>
  <c r="AG326" i="12"/>
  <c r="AE326" i="12"/>
  <c r="AD326" i="12"/>
  <c r="AC326" i="12"/>
  <c r="AB326" i="12"/>
  <c r="AA326" i="12"/>
  <c r="Z326" i="12"/>
  <c r="Y326" i="12"/>
  <c r="X326" i="12"/>
  <c r="W326" i="12"/>
  <c r="V326" i="12"/>
  <c r="U326" i="12"/>
  <c r="T326" i="12"/>
  <c r="S326" i="12"/>
  <c r="DG325" i="12"/>
  <c r="DI325" i="12" s="1"/>
  <c r="DD325" i="12"/>
  <c r="DC325" i="12"/>
  <c r="BP325" i="12"/>
  <c r="BK325" i="12"/>
  <c r="BC325" i="12"/>
  <c r="BB325" i="12"/>
  <c r="BA325" i="12"/>
  <c r="AZ325" i="12"/>
  <c r="AY325" i="12"/>
  <c r="AW325" i="12"/>
  <c r="AV325" i="12"/>
  <c r="AU325" i="12"/>
  <c r="AT325" i="12"/>
  <c r="AS325" i="12"/>
  <c r="AQ325" i="12"/>
  <c r="AP325" i="12"/>
  <c r="AG325" i="12"/>
  <c r="AE325" i="12"/>
  <c r="AD325" i="12"/>
  <c r="AC325" i="12"/>
  <c r="AB325" i="12"/>
  <c r="AA325" i="12"/>
  <c r="Z325" i="12"/>
  <c r="Y325" i="12"/>
  <c r="X325" i="12"/>
  <c r="W325" i="12"/>
  <c r="V325" i="12"/>
  <c r="U325" i="12"/>
  <c r="T325" i="12"/>
  <c r="S325" i="12"/>
  <c r="DG324" i="12"/>
  <c r="DI324" i="12" s="1"/>
  <c r="DD324" i="12"/>
  <c r="DC324" i="12"/>
  <c r="BP324" i="12"/>
  <c r="BK324" i="12"/>
  <c r="BC324" i="12"/>
  <c r="BB324" i="12"/>
  <c r="BA324" i="12"/>
  <c r="AZ324" i="12"/>
  <c r="AY324" i="12"/>
  <c r="AW324" i="12"/>
  <c r="AV324" i="12"/>
  <c r="AU324" i="12"/>
  <c r="AT324" i="12"/>
  <c r="AS324" i="12"/>
  <c r="AQ324" i="12"/>
  <c r="AP324" i="12"/>
  <c r="AG324" i="12"/>
  <c r="AE324" i="12"/>
  <c r="AD324" i="12"/>
  <c r="AC324" i="12"/>
  <c r="AB324" i="12"/>
  <c r="AA324" i="12"/>
  <c r="Z324" i="12"/>
  <c r="Y324" i="12"/>
  <c r="X324" i="12"/>
  <c r="W324" i="12"/>
  <c r="V324" i="12"/>
  <c r="U324" i="12"/>
  <c r="T324" i="12"/>
  <c r="S324" i="12"/>
  <c r="DG323" i="12"/>
  <c r="DI323" i="12" s="1"/>
  <c r="DD323" i="12"/>
  <c r="DC323" i="12"/>
  <c r="BP323" i="12"/>
  <c r="BK323" i="12"/>
  <c r="BC323" i="12"/>
  <c r="BB323" i="12"/>
  <c r="BA323" i="12"/>
  <c r="AZ323" i="12"/>
  <c r="AY323" i="12"/>
  <c r="AW323" i="12"/>
  <c r="AV323" i="12"/>
  <c r="AU323" i="12"/>
  <c r="AT323" i="12"/>
  <c r="AS323" i="12"/>
  <c r="AQ323" i="12"/>
  <c r="AP323" i="12"/>
  <c r="AG323" i="12"/>
  <c r="AE323" i="12"/>
  <c r="AD323" i="12"/>
  <c r="AC323" i="12"/>
  <c r="AB323" i="12"/>
  <c r="AA323" i="12"/>
  <c r="Z323" i="12"/>
  <c r="Y323" i="12"/>
  <c r="X323" i="12"/>
  <c r="W323" i="12"/>
  <c r="V323" i="12"/>
  <c r="U323" i="12"/>
  <c r="T323" i="12"/>
  <c r="S323" i="12"/>
  <c r="DG322" i="12"/>
  <c r="DI322" i="12" s="1"/>
  <c r="DD322" i="12"/>
  <c r="DC322" i="12"/>
  <c r="BP322" i="12"/>
  <c r="BK322" i="12"/>
  <c r="BC322" i="12"/>
  <c r="BB322" i="12"/>
  <c r="BA322" i="12"/>
  <c r="AZ322" i="12"/>
  <c r="AY322" i="12"/>
  <c r="AW322" i="12"/>
  <c r="AV322" i="12"/>
  <c r="AU322" i="12"/>
  <c r="AT322" i="12"/>
  <c r="AS322" i="12"/>
  <c r="AQ322" i="12"/>
  <c r="AP322" i="12"/>
  <c r="AG322" i="12"/>
  <c r="AE322" i="12"/>
  <c r="AD322" i="12"/>
  <c r="AC322" i="12"/>
  <c r="AB322" i="12"/>
  <c r="AA322" i="12"/>
  <c r="Z322" i="12"/>
  <c r="Y322" i="12"/>
  <c r="X322" i="12"/>
  <c r="W322" i="12"/>
  <c r="V322" i="12"/>
  <c r="U322" i="12"/>
  <c r="T322" i="12"/>
  <c r="S322" i="12"/>
  <c r="DG321" i="12"/>
  <c r="DI321" i="12" s="1"/>
  <c r="DD321" i="12"/>
  <c r="DC321" i="12"/>
  <c r="BP321" i="12"/>
  <c r="BK321" i="12"/>
  <c r="BC321" i="12"/>
  <c r="BB321" i="12"/>
  <c r="BA321" i="12"/>
  <c r="AZ321" i="12"/>
  <c r="AY321" i="12"/>
  <c r="AW321" i="12"/>
  <c r="AV321" i="12"/>
  <c r="AU321" i="12"/>
  <c r="AT321" i="12"/>
  <c r="AS321" i="12"/>
  <c r="AQ321" i="12"/>
  <c r="AP321" i="12"/>
  <c r="AG321" i="12"/>
  <c r="AE321" i="12"/>
  <c r="AD321" i="12"/>
  <c r="AC321" i="12"/>
  <c r="AB321" i="12"/>
  <c r="AA321" i="12"/>
  <c r="Z321" i="12"/>
  <c r="Y321" i="12"/>
  <c r="X321" i="12"/>
  <c r="W321" i="12"/>
  <c r="V321" i="12"/>
  <c r="U321" i="12"/>
  <c r="T321" i="12"/>
  <c r="S321" i="12"/>
  <c r="DG320" i="12"/>
  <c r="DI320" i="12" s="1"/>
  <c r="DD320" i="12"/>
  <c r="DC320" i="12"/>
  <c r="BP320" i="12"/>
  <c r="BK320" i="12"/>
  <c r="BC320" i="12"/>
  <c r="BB320" i="12"/>
  <c r="BA320" i="12"/>
  <c r="AZ320" i="12"/>
  <c r="AY320" i="12"/>
  <c r="AW320" i="12"/>
  <c r="AV320" i="12"/>
  <c r="AU320" i="12"/>
  <c r="AT320" i="12"/>
  <c r="AS320" i="12"/>
  <c r="AQ320" i="12"/>
  <c r="AP320" i="12"/>
  <c r="AG320" i="12"/>
  <c r="AE320" i="12"/>
  <c r="AD320" i="12"/>
  <c r="AC320" i="12"/>
  <c r="AB320" i="12"/>
  <c r="AA320" i="12"/>
  <c r="Z320" i="12"/>
  <c r="Y320" i="12"/>
  <c r="X320" i="12"/>
  <c r="W320" i="12"/>
  <c r="V320" i="12"/>
  <c r="U320" i="12"/>
  <c r="T320" i="12"/>
  <c r="S320" i="12"/>
  <c r="DG319" i="12"/>
  <c r="DI319" i="12" s="1"/>
  <c r="DD319" i="12"/>
  <c r="DC319" i="12"/>
  <c r="BP319" i="12"/>
  <c r="BK319" i="12"/>
  <c r="BC319" i="12"/>
  <c r="BB319" i="12"/>
  <c r="BA319" i="12"/>
  <c r="AZ319" i="12"/>
  <c r="AY319" i="12"/>
  <c r="AW319" i="12"/>
  <c r="AV319" i="12"/>
  <c r="AU319" i="12"/>
  <c r="AT319" i="12"/>
  <c r="AS319" i="12"/>
  <c r="AQ319" i="12"/>
  <c r="AP319" i="12"/>
  <c r="AG319" i="12"/>
  <c r="AE319" i="12"/>
  <c r="AD319" i="12"/>
  <c r="AC319" i="12"/>
  <c r="AB319" i="12"/>
  <c r="AA319" i="12"/>
  <c r="Z319" i="12"/>
  <c r="Y319" i="12"/>
  <c r="X319" i="12"/>
  <c r="W319" i="12"/>
  <c r="V319" i="12"/>
  <c r="U319" i="12"/>
  <c r="T319" i="12"/>
  <c r="S319" i="12"/>
  <c r="DG318" i="12"/>
  <c r="DI318" i="12" s="1"/>
  <c r="DD318" i="12"/>
  <c r="DC318" i="12"/>
  <c r="DF293" i="12" s="1"/>
  <c r="BP318" i="12"/>
  <c r="BK318" i="12"/>
  <c r="BC318" i="12"/>
  <c r="BB318" i="12"/>
  <c r="BA318" i="12"/>
  <c r="AZ318" i="12"/>
  <c r="AY318" i="12"/>
  <c r="AW318" i="12"/>
  <c r="AV318" i="12"/>
  <c r="AU318" i="12"/>
  <c r="AT318" i="12"/>
  <c r="AS318" i="12"/>
  <c r="AQ318" i="12"/>
  <c r="AP318" i="12"/>
  <c r="AG318" i="12"/>
  <c r="AE318" i="12"/>
  <c r="AD318" i="12"/>
  <c r="AC318" i="12"/>
  <c r="AB318" i="12"/>
  <c r="AA318" i="12"/>
  <c r="Z318" i="12"/>
  <c r="Y318" i="12"/>
  <c r="X318" i="12"/>
  <c r="W318" i="12"/>
  <c r="V318" i="12"/>
  <c r="U318" i="12"/>
  <c r="T318" i="12"/>
  <c r="S318" i="12"/>
  <c r="DG317" i="12"/>
  <c r="DI317" i="12" s="1"/>
  <c r="DD317" i="12"/>
  <c r="DC317" i="12"/>
  <c r="BP317" i="12"/>
  <c r="BK317" i="12"/>
  <c r="BC317" i="12"/>
  <c r="BB317" i="12"/>
  <c r="BA317" i="12"/>
  <c r="AZ317" i="12"/>
  <c r="AY317" i="12"/>
  <c r="AW317" i="12"/>
  <c r="AV317" i="12"/>
  <c r="AU317" i="12"/>
  <c r="AT317" i="12"/>
  <c r="AS317" i="12"/>
  <c r="AQ317" i="12"/>
  <c r="AP317" i="12"/>
  <c r="AG317" i="12"/>
  <c r="AE317" i="12"/>
  <c r="AD317" i="12"/>
  <c r="AC317" i="12"/>
  <c r="AB317" i="12"/>
  <c r="AA317" i="12"/>
  <c r="Z317" i="12"/>
  <c r="Y317" i="12"/>
  <c r="X317" i="12"/>
  <c r="W317" i="12"/>
  <c r="V317" i="12"/>
  <c r="U317" i="12"/>
  <c r="T317" i="12"/>
  <c r="S317" i="12"/>
  <c r="DG316" i="12"/>
  <c r="DI316" i="12" s="1"/>
  <c r="DD316" i="12"/>
  <c r="DC316" i="12"/>
  <c r="BP316" i="12"/>
  <c r="BK316" i="12"/>
  <c r="BC316" i="12"/>
  <c r="BB316" i="12"/>
  <c r="BA316" i="12"/>
  <c r="AZ316" i="12"/>
  <c r="AY316" i="12"/>
  <c r="AW316" i="12"/>
  <c r="AV316" i="12"/>
  <c r="AU316" i="12"/>
  <c r="AT316" i="12"/>
  <c r="AS316" i="12"/>
  <c r="AQ316" i="12"/>
  <c r="AP316" i="12"/>
  <c r="AG316" i="12"/>
  <c r="AE316" i="12"/>
  <c r="AD316" i="12"/>
  <c r="AC316" i="12"/>
  <c r="AB316" i="12"/>
  <c r="AA316" i="12"/>
  <c r="Z316" i="12"/>
  <c r="Y316" i="12"/>
  <c r="X316" i="12"/>
  <c r="W316" i="12"/>
  <c r="V316" i="12"/>
  <c r="U316" i="12"/>
  <c r="T316" i="12"/>
  <c r="S316" i="12"/>
  <c r="DG315" i="12"/>
  <c r="DI315" i="12" s="1"/>
  <c r="DD315" i="12"/>
  <c r="DC315" i="12"/>
  <c r="BP315" i="12"/>
  <c r="BK315" i="12"/>
  <c r="BC315" i="12"/>
  <c r="BB315" i="12"/>
  <c r="BA315" i="12"/>
  <c r="AZ315" i="12"/>
  <c r="AY315" i="12"/>
  <c r="AW315" i="12"/>
  <c r="AV315" i="12"/>
  <c r="AU315" i="12"/>
  <c r="AT315" i="12"/>
  <c r="AS315" i="12"/>
  <c r="AQ315" i="12"/>
  <c r="AP315" i="12"/>
  <c r="AG315" i="12"/>
  <c r="AE315" i="12"/>
  <c r="AD315" i="12"/>
  <c r="AC315" i="12"/>
  <c r="AB315" i="12"/>
  <c r="AA315" i="12"/>
  <c r="Z315" i="12"/>
  <c r="Y315" i="12"/>
  <c r="X315" i="12"/>
  <c r="W315" i="12"/>
  <c r="V315" i="12"/>
  <c r="U315" i="12"/>
  <c r="T315" i="12"/>
  <c r="S315" i="12"/>
  <c r="DG314" i="12"/>
  <c r="DI314" i="12" s="1"/>
  <c r="DD314" i="12"/>
  <c r="DC314" i="12"/>
  <c r="BP314" i="12"/>
  <c r="BK314" i="12"/>
  <c r="BC314" i="12"/>
  <c r="BB314" i="12"/>
  <c r="BA314" i="12"/>
  <c r="AZ314" i="12"/>
  <c r="AY314" i="12"/>
  <c r="AW314" i="12"/>
  <c r="AV314" i="12"/>
  <c r="AU314" i="12"/>
  <c r="AT314" i="12"/>
  <c r="AS314" i="12"/>
  <c r="AQ314" i="12"/>
  <c r="AP314" i="12"/>
  <c r="AG314" i="12"/>
  <c r="AE314" i="12"/>
  <c r="AD314" i="12"/>
  <c r="AC314" i="12"/>
  <c r="AB314" i="12"/>
  <c r="AA314" i="12"/>
  <c r="Z314" i="12"/>
  <c r="Y314" i="12"/>
  <c r="X314" i="12"/>
  <c r="W314" i="12"/>
  <c r="V314" i="12"/>
  <c r="U314" i="12"/>
  <c r="T314" i="12"/>
  <c r="S314" i="12"/>
  <c r="DG313" i="12"/>
  <c r="DI313" i="12" s="1"/>
  <c r="DD313" i="12"/>
  <c r="DC313" i="12"/>
  <c r="BP313" i="12"/>
  <c r="BK313" i="12"/>
  <c r="BC313" i="12"/>
  <c r="BB313" i="12"/>
  <c r="BA313" i="12"/>
  <c r="AZ313" i="12"/>
  <c r="AY313" i="12"/>
  <c r="AW313" i="12"/>
  <c r="AV313" i="12"/>
  <c r="AU313" i="12"/>
  <c r="AT313" i="12"/>
  <c r="AS313" i="12"/>
  <c r="AQ313" i="12"/>
  <c r="AP313" i="12"/>
  <c r="AG313" i="12"/>
  <c r="AE313" i="12"/>
  <c r="AD313" i="12"/>
  <c r="AC313" i="12"/>
  <c r="AB313" i="12"/>
  <c r="AA313" i="12"/>
  <c r="Z313" i="12"/>
  <c r="Y313" i="12"/>
  <c r="X313" i="12"/>
  <c r="W313" i="12"/>
  <c r="V313" i="12"/>
  <c r="U313" i="12"/>
  <c r="T313" i="12"/>
  <c r="S313" i="12"/>
  <c r="DG312" i="12"/>
  <c r="DI312" i="12" s="1"/>
  <c r="DD312" i="12"/>
  <c r="DC312" i="12"/>
  <c r="BP312" i="12"/>
  <c r="BK312" i="12"/>
  <c r="BC312" i="12"/>
  <c r="BB312" i="12"/>
  <c r="BA312" i="12"/>
  <c r="AZ312" i="12"/>
  <c r="AY312" i="12"/>
  <c r="AW312" i="12"/>
  <c r="AV312" i="12"/>
  <c r="AU312" i="12"/>
  <c r="AT312" i="12"/>
  <c r="AS312" i="12"/>
  <c r="AQ312" i="12"/>
  <c r="AP312" i="12"/>
  <c r="AG312" i="12"/>
  <c r="AE312" i="12"/>
  <c r="AD312" i="12"/>
  <c r="AC312" i="12"/>
  <c r="AB312" i="12"/>
  <c r="AA312" i="12"/>
  <c r="Z312" i="12"/>
  <c r="Y312" i="12"/>
  <c r="X312" i="12"/>
  <c r="W312" i="12"/>
  <c r="V312" i="12"/>
  <c r="U312" i="12"/>
  <c r="T312" i="12"/>
  <c r="S312" i="12"/>
  <c r="DG311" i="12"/>
  <c r="DI311" i="12" s="1"/>
  <c r="DD311" i="12"/>
  <c r="DC311" i="12"/>
  <c r="BP311" i="12"/>
  <c r="BK311" i="12"/>
  <c r="BC311" i="12"/>
  <c r="BB311" i="12"/>
  <c r="BA311" i="12"/>
  <c r="AZ311" i="12"/>
  <c r="AY311" i="12"/>
  <c r="AW311" i="12"/>
  <c r="AV311" i="12"/>
  <c r="AU311" i="12"/>
  <c r="AT311" i="12"/>
  <c r="AS311" i="12"/>
  <c r="AQ311" i="12"/>
  <c r="AP311" i="12"/>
  <c r="AG311" i="12"/>
  <c r="AE311" i="12"/>
  <c r="AD311" i="12"/>
  <c r="AC311" i="12"/>
  <c r="AB311" i="12"/>
  <c r="AA311" i="12"/>
  <c r="Z311" i="12"/>
  <c r="Y311" i="12"/>
  <c r="X311" i="12"/>
  <c r="W311" i="12"/>
  <c r="V311" i="12"/>
  <c r="U311" i="12"/>
  <c r="T311" i="12"/>
  <c r="S311" i="12"/>
  <c r="DG310" i="12"/>
  <c r="DI310" i="12" s="1"/>
  <c r="DD310" i="12"/>
  <c r="DC310" i="12"/>
  <c r="BP310" i="12"/>
  <c r="BK310" i="12"/>
  <c r="BC310" i="12"/>
  <c r="BB310" i="12"/>
  <c r="BA310" i="12"/>
  <c r="AZ310" i="12"/>
  <c r="AY310" i="12"/>
  <c r="AW310" i="12"/>
  <c r="AV310" i="12"/>
  <c r="AU310" i="12"/>
  <c r="AT310" i="12"/>
  <c r="AS310" i="12"/>
  <c r="AQ310" i="12"/>
  <c r="AP310" i="12"/>
  <c r="AG310" i="12"/>
  <c r="AE310" i="12"/>
  <c r="AD310" i="12"/>
  <c r="AC310" i="12"/>
  <c r="AB310" i="12"/>
  <c r="AA310" i="12"/>
  <c r="Z310" i="12"/>
  <c r="Y310" i="12"/>
  <c r="X310" i="12"/>
  <c r="W310" i="12"/>
  <c r="V310" i="12"/>
  <c r="U310" i="12"/>
  <c r="T310" i="12"/>
  <c r="S310" i="12"/>
  <c r="DG309" i="12"/>
  <c r="DI309" i="12" s="1"/>
  <c r="DD309" i="12"/>
  <c r="DC309" i="12"/>
  <c r="BP309" i="12"/>
  <c r="BK309" i="12"/>
  <c r="BC309" i="12"/>
  <c r="BB309" i="12"/>
  <c r="BA309" i="12"/>
  <c r="AZ309" i="12"/>
  <c r="AY309" i="12"/>
  <c r="AW309" i="12"/>
  <c r="AV309" i="12"/>
  <c r="AU309" i="12"/>
  <c r="AT309" i="12"/>
  <c r="AS309" i="12"/>
  <c r="AQ309" i="12"/>
  <c r="AP309" i="12"/>
  <c r="AG309" i="12"/>
  <c r="AE309" i="12"/>
  <c r="AD309" i="12"/>
  <c r="AC309" i="12"/>
  <c r="AB309" i="12"/>
  <c r="AA309" i="12"/>
  <c r="Z309" i="12"/>
  <c r="Y309" i="12"/>
  <c r="X309" i="12"/>
  <c r="W309" i="12"/>
  <c r="V309" i="12"/>
  <c r="U309" i="12"/>
  <c r="T309" i="12"/>
  <c r="S309" i="12"/>
  <c r="DG308" i="12"/>
  <c r="DI308" i="12" s="1"/>
  <c r="DD308" i="12"/>
  <c r="DC308" i="12"/>
  <c r="BP308" i="12"/>
  <c r="BK308" i="12"/>
  <c r="BC308" i="12"/>
  <c r="BB308" i="12"/>
  <c r="BA308" i="12"/>
  <c r="AZ308" i="12"/>
  <c r="AY308" i="12"/>
  <c r="AW308" i="12"/>
  <c r="AV308" i="12"/>
  <c r="AU308" i="12"/>
  <c r="AT308" i="12"/>
  <c r="AS308" i="12"/>
  <c r="AQ308" i="12"/>
  <c r="AP308" i="12"/>
  <c r="AG308" i="12"/>
  <c r="AE308" i="12"/>
  <c r="AD308" i="12"/>
  <c r="AC308" i="12"/>
  <c r="AB308" i="12"/>
  <c r="AA308" i="12"/>
  <c r="Z308" i="12"/>
  <c r="Y308" i="12"/>
  <c r="X308" i="12"/>
  <c r="W308" i="12"/>
  <c r="V308" i="12"/>
  <c r="U308" i="12"/>
  <c r="T308" i="12"/>
  <c r="S308" i="12"/>
  <c r="DG307" i="12"/>
  <c r="DI307" i="12" s="1"/>
  <c r="DD307" i="12"/>
  <c r="DC307" i="12"/>
  <c r="BP307" i="12"/>
  <c r="BK307" i="12"/>
  <c r="BC307" i="12"/>
  <c r="BB307" i="12"/>
  <c r="BA307" i="12"/>
  <c r="AZ307" i="12"/>
  <c r="AY307" i="12"/>
  <c r="AW307" i="12"/>
  <c r="AV307" i="12"/>
  <c r="AU307" i="12"/>
  <c r="AT307" i="12"/>
  <c r="AS307" i="12"/>
  <c r="AQ307" i="12"/>
  <c r="AP307" i="12"/>
  <c r="AG307" i="12"/>
  <c r="AE307" i="12"/>
  <c r="AD307" i="12"/>
  <c r="AC307" i="12"/>
  <c r="AB307" i="12"/>
  <c r="AA307" i="12"/>
  <c r="Z307" i="12"/>
  <c r="Y307" i="12"/>
  <c r="X307" i="12"/>
  <c r="W307" i="12"/>
  <c r="V307" i="12"/>
  <c r="U307" i="12"/>
  <c r="T307" i="12"/>
  <c r="S307" i="12"/>
  <c r="DG306" i="12"/>
  <c r="DI306" i="12" s="1"/>
  <c r="DD306" i="12"/>
  <c r="DC306" i="12"/>
  <c r="BP306" i="12"/>
  <c r="BK306" i="12"/>
  <c r="BD306" i="12"/>
  <c r="BC306" i="12"/>
  <c r="BB306" i="12"/>
  <c r="BA306" i="12"/>
  <c r="AZ306" i="12"/>
  <c r="AV306" i="12"/>
  <c r="AU306" i="12"/>
  <c r="AT306" i="12"/>
  <c r="AS306" i="12"/>
  <c r="AQ306" i="12"/>
  <c r="AP306" i="12"/>
  <c r="AG306" i="12"/>
  <c r="AF306" i="12"/>
  <c r="AE306" i="12"/>
  <c r="AD306" i="12"/>
  <c r="AC306" i="12"/>
  <c r="AB306" i="12"/>
  <c r="AA306" i="12"/>
  <c r="X306" i="12"/>
  <c r="W306" i="12"/>
  <c r="V306" i="12"/>
  <c r="U306" i="12"/>
  <c r="T306" i="12"/>
  <c r="S306" i="12"/>
  <c r="DG305" i="12"/>
  <c r="DI305" i="12" s="1"/>
  <c r="DD305" i="12"/>
  <c r="DC305" i="12"/>
  <c r="BP305" i="12"/>
  <c r="BK305" i="12"/>
  <c r="BD305" i="12"/>
  <c r="BC305" i="12"/>
  <c r="BB305" i="12"/>
  <c r="BA305" i="12"/>
  <c r="AZ305" i="12"/>
  <c r="AV305" i="12"/>
  <c r="AU305" i="12"/>
  <c r="AT305" i="12"/>
  <c r="AS305" i="12"/>
  <c r="AQ305" i="12"/>
  <c r="AP305" i="12"/>
  <c r="AG305" i="12"/>
  <c r="AF305" i="12"/>
  <c r="AE305" i="12"/>
  <c r="AD305" i="12"/>
  <c r="AC305" i="12"/>
  <c r="AB305" i="12"/>
  <c r="AA305" i="12"/>
  <c r="X305" i="12"/>
  <c r="W305" i="12"/>
  <c r="V305" i="12"/>
  <c r="U305" i="12"/>
  <c r="T305" i="12"/>
  <c r="S305" i="12"/>
  <c r="DG304" i="12"/>
  <c r="DI304" i="12" s="1"/>
  <c r="DD304" i="12"/>
  <c r="DC304" i="12"/>
  <c r="BP304" i="12"/>
  <c r="BK304" i="12"/>
  <c r="BD304" i="12"/>
  <c r="BC304" i="12"/>
  <c r="BB304" i="12"/>
  <c r="BA304" i="12"/>
  <c r="AZ304" i="12"/>
  <c r="AV304" i="12"/>
  <c r="AU304" i="12"/>
  <c r="AT304" i="12"/>
  <c r="AS304" i="12"/>
  <c r="AQ304" i="12"/>
  <c r="AP304" i="12"/>
  <c r="AG304" i="12"/>
  <c r="AF304" i="12"/>
  <c r="AE304" i="12"/>
  <c r="AD304" i="12"/>
  <c r="AC304" i="12"/>
  <c r="AB304" i="12"/>
  <c r="AA304" i="12"/>
  <c r="X304" i="12"/>
  <c r="W304" i="12"/>
  <c r="V304" i="12"/>
  <c r="U304" i="12"/>
  <c r="T304" i="12"/>
  <c r="S304" i="12"/>
  <c r="DG303" i="12"/>
  <c r="DI303" i="12" s="1"/>
  <c r="DD303" i="12"/>
  <c r="DC303" i="12"/>
  <c r="BP303" i="12"/>
  <c r="BK303" i="12"/>
  <c r="BC303" i="12"/>
  <c r="BB303" i="12"/>
  <c r="BA303" i="12"/>
  <c r="AZ303" i="12"/>
  <c r="AY303" i="12"/>
  <c r="AW303" i="12"/>
  <c r="AV303" i="12"/>
  <c r="AU303" i="12"/>
  <c r="AT303" i="12"/>
  <c r="AS303" i="12"/>
  <c r="AQ303" i="12"/>
  <c r="AP303" i="12"/>
  <c r="AG303" i="12"/>
  <c r="AE303" i="12"/>
  <c r="AD303" i="12"/>
  <c r="AC303" i="12"/>
  <c r="AB303" i="12"/>
  <c r="AA303" i="12"/>
  <c r="Z303" i="12"/>
  <c r="Y303" i="12"/>
  <c r="X303" i="12"/>
  <c r="W303" i="12"/>
  <c r="V303" i="12"/>
  <c r="U303" i="12"/>
  <c r="T303" i="12"/>
  <c r="S303" i="12"/>
  <c r="DG302" i="12"/>
  <c r="DI302" i="12" s="1"/>
  <c r="DD302" i="12"/>
  <c r="DC302" i="12"/>
  <c r="BP302" i="12"/>
  <c r="BK302" i="12"/>
  <c r="BC302" i="12"/>
  <c r="BB302" i="12"/>
  <c r="BA302" i="12"/>
  <c r="AZ302" i="12"/>
  <c r="AY302" i="12"/>
  <c r="AW302" i="12"/>
  <c r="AV302" i="12"/>
  <c r="AU302" i="12"/>
  <c r="AT302" i="12"/>
  <c r="AS302" i="12"/>
  <c r="AQ302" i="12"/>
  <c r="AP302" i="12"/>
  <c r="AG302" i="12"/>
  <c r="AE302" i="12"/>
  <c r="AD302" i="12"/>
  <c r="AC302" i="12"/>
  <c r="AB302" i="12"/>
  <c r="AA302" i="12"/>
  <c r="Z302" i="12"/>
  <c r="Y302" i="12"/>
  <c r="X302" i="12"/>
  <c r="W302" i="12"/>
  <c r="V302" i="12"/>
  <c r="U302" i="12"/>
  <c r="T302" i="12"/>
  <c r="S302" i="12"/>
  <c r="DG301" i="12"/>
  <c r="DI301" i="12" s="1"/>
  <c r="DD301" i="12"/>
  <c r="DC301" i="12"/>
  <c r="BP301" i="12"/>
  <c r="BK301" i="12"/>
  <c r="BC301" i="12"/>
  <c r="BB301" i="12"/>
  <c r="BA301" i="12"/>
  <c r="AZ301" i="12"/>
  <c r="AY301" i="12"/>
  <c r="AW301" i="12"/>
  <c r="AV301" i="12"/>
  <c r="AU301" i="12"/>
  <c r="AT301" i="12"/>
  <c r="AS301" i="12"/>
  <c r="AQ301" i="12"/>
  <c r="AP301" i="12"/>
  <c r="AG301" i="12"/>
  <c r="AE301" i="12"/>
  <c r="AD301" i="12"/>
  <c r="AC301" i="12"/>
  <c r="AB301" i="12"/>
  <c r="AA301" i="12"/>
  <c r="Z301" i="12"/>
  <c r="Y301" i="12"/>
  <c r="X301" i="12"/>
  <c r="W301" i="12"/>
  <c r="V301" i="12"/>
  <c r="U301" i="12"/>
  <c r="T301" i="12"/>
  <c r="S301" i="12"/>
  <c r="DG300" i="12"/>
  <c r="DI300" i="12" s="1"/>
  <c r="DD300" i="12"/>
  <c r="DC300" i="12"/>
  <c r="BP300" i="12"/>
  <c r="BK300" i="12"/>
  <c r="BC300" i="12"/>
  <c r="BB300" i="12"/>
  <c r="BA300" i="12"/>
  <c r="AZ300" i="12"/>
  <c r="AY300" i="12"/>
  <c r="AW300" i="12"/>
  <c r="AV300" i="12"/>
  <c r="AU300" i="12"/>
  <c r="AT300" i="12"/>
  <c r="AS300" i="12"/>
  <c r="AQ300" i="12"/>
  <c r="AP300" i="12"/>
  <c r="AG300" i="12"/>
  <c r="AE300" i="12"/>
  <c r="AD300" i="12"/>
  <c r="AC300" i="12"/>
  <c r="AB300" i="12"/>
  <c r="AA300" i="12"/>
  <c r="Z300" i="12"/>
  <c r="Y300" i="12"/>
  <c r="X300" i="12"/>
  <c r="W300" i="12"/>
  <c r="V300" i="12"/>
  <c r="U300" i="12"/>
  <c r="T300" i="12"/>
  <c r="S300" i="12"/>
  <c r="DG299" i="12"/>
  <c r="DI299" i="12" s="1"/>
  <c r="DK299" i="12" s="1"/>
  <c r="DD299" i="12"/>
  <c r="DC299" i="12"/>
  <c r="BP299" i="12"/>
  <c r="BK299" i="12"/>
  <c r="BC299" i="12"/>
  <c r="BB299" i="12"/>
  <c r="BA299" i="12"/>
  <c r="AZ299" i="12"/>
  <c r="AY299" i="12"/>
  <c r="AW299" i="12"/>
  <c r="AV299" i="12"/>
  <c r="AU299" i="12"/>
  <c r="AT299" i="12"/>
  <c r="AS299" i="12"/>
  <c r="AQ299" i="12"/>
  <c r="AP299" i="12"/>
  <c r="AG299" i="12"/>
  <c r="AE299" i="12"/>
  <c r="AD299" i="12"/>
  <c r="AC299" i="12"/>
  <c r="AB299" i="12"/>
  <c r="AA299" i="12"/>
  <c r="Z299" i="12"/>
  <c r="Y299" i="12"/>
  <c r="X299" i="12"/>
  <c r="W299" i="12"/>
  <c r="V299" i="12"/>
  <c r="U299" i="12"/>
  <c r="T299" i="12"/>
  <c r="S299" i="12"/>
  <c r="DG298" i="12"/>
  <c r="DI298" i="12" s="1"/>
  <c r="DK298" i="12" s="1"/>
  <c r="DD298" i="12"/>
  <c r="DC298" i="12"/>
  <c r="BP298" i="12"/>
  <c r="BK298" i="12"/>
  <c r="BC298" i="12"/>
  <c r="BB298" i="12"/>
  <c r="BA298" i="12"/>
  <c r="AZ298" i="12"/>
  <c r="AY298" i="12"/>
  <c r="AW298" i="12"/>
  <c r="AV298" i="12"/>
  <c r="AU298" i="12"/>
  <c r="AT298" i="12"/>
  <c r="AS298" i="12"/>
  <c r="AQ298" i="12"/>
  <c r="AP298" i="12"/>
  <c r="AG298" i="12"/>
  <c r="AE298" i="12"/>
  <c r="AD298" i="12"/>
  <c r="AC298" i="12"/>
  <c r="AB298" i="12"/>
  <c r="AA298" i="12"/>
  <c r="Z298" i="12"/>
  <c r="Y298" i="12"/>
  <c r="X298" i="12"/>
  <c r="W298" i="12"/>
  <c r="V298" i="12"/>
  <c r="U298" i="12"/>
  <c r="T298" i="12"/>
  <c r="S298" i="12"/>
  <c r="DF292" i="12"/>
  <c r="DD292" i="12"/>
  <c r="BQ292" i="12"/>
  <c r="BQ291" i="12"/>
  <c r="BK290" i="12"/>
  <c r="DF289" i="12"/>
  <c r="DD289" i="12"/>
  <c r="BK289" i="12"/>
  <c r="DF288" i="12"/>
  <c r="DD288" i="12"/>
  <c r="DF287" i="12"/>
  <c r="DD287" i="12"/>
  <c r="DF286" i="12"/>
  <c r="DD286" i="12"/>
  <c r="DF285" i="12"/>
  <c r="DD285" i="12"/>
  <c r="DF284" i="12"/>
  <c r="DD284" i="12"/>
  <c r="AV278" i="12"/>
  <c r="AW278" i="12" s="1"/>
  <c r="AX278" i="12" s="1"/>
  <c r="AY278" i="12" s="1"/>
  <c r="AZ278" i="12" s="1"/>
  <c r="DF276" i="12"/>
  <c r="DD276" i="12"/>
  <c r="AZ275" i="12"/>
  <c r="AY275" i="12"/>
  <c r="AX275" i="12"/>
  <c r="AW275" i="12"/>
  <c r="AV275" i="12"/>
  <c r="BK264" i="12" s="1"/>
  <c r="AZ274" i="12"/>
  <c r="AY274" i="12"/>
  <c r="AX274" i="12"/>
  <c r="AW274" i="12"/>
  <c r="AV274" i="12"/>
  <c r="BK263" i="12" s="1"/>
  <c r="AZ273" i="12"/>
  <c r="AY273" i="12"/>
  <c r="AX273" i="12"/>
  <c r="AW273" i="12"/>
  <c r="AV273" i="12"/>
  <c r="AZ272" i="12"/>
  <c r="AY272" i="12"/>
  <c r="AX272" i="12"/>
  <c r="AW272" i="12"/>
  <c r="AV272" i="12"/>
  <c r="BK261" i="12" s="1"/>
  <c r="AZ271" i="12"/>
  <c r="AY271" i="12"/>
  <c r="AX271" i="12"/>
  <c r="AW271" i="12"/>
  <c r="AV271" i="12"/>
  <c r="AZ270" i="12"/>
  <c r="AY270" i="12"/>
  <c r="AX270" i="12"/>
  <c r="AW270" i="12"/>
  <c r="AV270" i="12"/>
  <c r="BK259" i="12" s="1"/>
  <c r="AZ269" i="12"/>
  <c r="AY269" i="12"/>
  <c r="AX269" i="12"/>
  <c r="AW269" i="12"/>
  <c r="AV269" i="12"/>
  <c r="AZ268" i="12"/>
  <c r="AY268" i="12"/>
  <c r="AX268" i="12"/>
  <c r="AW268" i="12"/>
  <c r="AV268" i="12"/>
  <c r="AZ267" i="12"/>
  <c r="AY267" i="12"/>
  <c r="AX267" i="12"/>
  <c r="AW267" i="12"/>
  <c r="AV267" i="12"/>
  <c r="AZ266" i="12"/>
  <c r="AY266" i="12"/>
  <c r="AX266" i="12"/>
  <c r="AW266" i="12"/>
  <c r="AV266" i="12"/>
  <c r="BG251" i="12" s="1"/>
  <c r="AV258" i="12"/>
  <c r="BX250" i="12"/>
  <c r="BX249" i="12"/>
  <c r="BN248" i="12"/>
  <c r="CQ248" i="12" s="1"/>
  <c r="CP248" i="12" s="1"/>
  <c r="BF248" i="12"/>
  <c r="BN247" i="12"/>
  <c r="CQ247" i="12" s="1"/>
  <c r="CP247" i="12" s="1"/>
  <c r="BF247" i="12"/>
  <c r="BN246" i="12"/>
  <c r="CQ246" i="12" s="1"/>
  <c r="CP246" i="12" s="1"/>
  <c r="BF246" i="12"/>
  <c r="BN245" i="12"/>
  <c r="CQ245" i="12" s="1"/>
  <c r="CP245" i="12" s="1"/>
  <c r="BG245" i="12"/>
  <c r="BF245" i="12"/>
  <c r="BN244" i="12"/>
  <c r="CQ244" i="12" s="1"/>
  <c r="CP244" i="12" s="1"/>
  <c r="BF244" i="12"/>
  <c r="BN243" i="12"/>
  <c r="CQ243" i="12" s="1"/>
  <c r="CP243" i="12" s="1"/>
  <c r="BF243" i="12"/>
  <c r="BN242" i="12"/>
  <c r="CQ242" i="12" s="1"/>
  <c r="BM242" i="12"/>
  <c r="CO242" i="12" s="1"/>
  <c r="BF242" i="12"/>
  <c r="BN241" i="12"/>
  <c r="CQ241" i="12" s="1"/>
  <c r="BM241" i="12"/>
  <c r="CO241" i="12" s="1"/>
  <c r="BG241" i="12"/>
  <c r="BF241" i="12"/>
  <c r="BN240" i="12"/>
  <c r="CQ240" i="12" s="1"/>
  <c r="CP240" i="12" s="1"/>
  <c r="BF240" i="12"/>
  <c r="BF239" i="12"/>
  <c r="BN238" i="12"/>
  <c r="CQ238" i="12" s="1"/>
  <c r="BM238" i="12"/>
  <c r="CO238" i="12" s="1"/>
  <c r="BK238" i="12"/>
  <c r="BF238" i="12" s="1"/>
  <c r="BN237" i="12"/>
  <c r="CQ237" i="12" s="1"/>
  <c r="BM237" i="12"/>
  <c r="CO237" i="12" s="1"/>
  <c r="BK237" i="12"/>
  <c r="BF237" i="12" s="1"/>
  <c r="BN236" i="12"/>
  <c r="CQ236" i="12" s="1"/>
  <c r="BM236" i="12"/>
  <c r="CO236" i="12" s="1"/>
  <c r="BK236" i="12"/>
  <c r="BF236" i="12" s="1"/>
  <c r="BN235" i="12"/>
  <c r="CQ235" i="12" s="1"/>
  <c r="BM235" i="12"/>
  <c r="CO235" i="12" s="1"/>
  <c r="BK235" i="12"/>
  <c r="BF235" i="12" s="1"/>
  <c r="BG235" i="12"/>
  <c r="BN234" i="12"/>
  <c r="CQ234" i="12" s="1"/>
  <c r="BM234" i="12"/>
  <c r="CO234" i="12" s="1"/>
  <c r="BK234" i="12"/>
  <c r="BF234" i="12" s="1"/>
  <c r="BK233" i="12"/>
  <c r="BF233" i="12" s="1"/>
  <c r="BX232" i="12"/>
  <c r="BK232" i="12"/>
  <c r="BK230" i="12"/>
  <c r="BG210" i="12"/>
  <c r="BK210" i="12" s="1"/>
  <c r="BF210" i="12"/>
  <c r="BE210" i="12"/>
  <c r="BD210" i="12"/>
  <c r="BG209" i="12"/>
  <c r="BK209" i="12" s="1"/>
  <c r="BF209" i="12"/>
  <c r="BE209" i="12"/>
  <c r="BD209" i="12"/>
  <c r="BK202" i="12"/>
  <c r="BK174" i="12"/>
  <c r="AS50" i="12" s="1"/>
  <c r="AV50" i="12" s="1"/>
  <c r="BK173" i="12"/>
  <c r="BK172" i="12"/>
  <c r="BK171" i="12"/>
  <c r="CI155" i="12"/>
  <c r="CC155" i="12"/>
  <c r="BW155" i="12"/>
  <c r="BQ155" i="12"/>
  <c r="CI154" i="12"/>
  <c r="CC154" i="12"/>
  <c r="BW154" i="12"/>
  <c r="BQ154" i="12"/>
  <c r="BK154" i="12"/>
  <c r="CI153" i="12"/>
  <c r="CC153" i="12"/>
  <c r="BW153" i="12"/>
  <c r="BQ153" i="12"/>
  <c r="CI152" i="12"/>
  <c r="CC152" i="12"/>
  <c r="BW152" i="12"/>
  <c r="BQ152" i="12"/>
  <c r="CI151" i="12"/>
  <c r="AL46" i="12" s="1"/>
  <c r="AO46" i="12" s="1"/>
  <c r="CC151" i="12"/>
  <c r="AE46" i="12" s="1"/>
  <c r="AH46" i="12" s="1"/>
  <c r="BW151" i="12"/>
  <c r="BQ151" i="12"/>
  <c r="CI150" i="12"/>
  <c r="CC150" i="12"/>
  <c r="BW150" i="12"/>
  <c r="BQ150" i="12"/>
  <c r="CI149" i="12"/>
  <c r="CC149" i="12"/>
  <c r="BW149" i="12"/>
  <c r="BQ149" i="12"/>
  <c r="CI148" i="12"/>
  <c r="CC148" i="12"/>
  <c r="BW148" i="12"/>
  <c r="BQ148" i="12"/>
  <c r="CI147" i="12"/>
  <c r="CC147" i="12"/>
  <c r="BW147" i="12"/>
  <c r="BQ147" i="12"/>
  <c r="CI146" i="12"/>
  <c r="CC146" i="12"/>
  <c r="BW146" i="12"/>
  <c r="BQ146" i="12"/>
  <c r="CI145" i="12"/>
  <c r="CC145" i="12"/>
  <c r="BW145" i="12"/>
  <c r="BQ145" i="12"/>
  <c r="CI144" i="12"/>
  <c r="CC144" i="12"/>
  <c r="BW144" i="12"/>
  <c r="BQ144" i="12"/>
  <c r="CI143" i="12"/>
  <c r="CC143" i="12"/>
  <c r="BW143" i="12"/>
  <c r="BQ143" i="12"/>
  <c r="CI142" i="12"/>
  <c r="AL47" i="12" s="1"/>
  <c r="AO47" i="12" s="1"/>
  <c r="CC142" i="12"/>
  <c r="AE47" i="12" s="1"/>
  <c r="AH47" i="12" s="1"/>
  <c r="BW142" i="12"/>
  <c r="BQ142" i="12"/>
  <c r="CI141" i="12"/>
  <c r="CC141" i="12"/>
  <c r="BW141" i="12"/>
  <c r="BQ141" i="12"/>
  <c r="CI140" i="12"/>
  <c r="AL45" i="12" s="1"/>
  <c r="AO45" i="12" s="1"/>
  <c r="CC140" i="12"/>
  <c r="AE45" i="12" s="1"/>
  <c r="AH45" i="12" s="1"/>
  <c r="BW140" i="12"/>
  <c r="BQ140" i="12"/>
  <c r="CI139" i="12"/>
  <c r="CC139" i="12"/>
  <c r="BW139" i="12"/>
  <c r="BQ139" i="12"/>
  <c r="CI138" i="12"/>
  <c r="AL44" i="12" s="1"/>
  <c r="AO44" i="12" s="1"/>
  <c r="CC138" i="12"/>
  <c r="AE44" i="12" s="1"/>
  <c r="AH44" i="12" s="1"/>
  <c r="BW138" i="12"/>
  <c r="BQ138" i="12"/>
  <c r="CI133" i="12"/>
  <c r="CC133" i="12"/>
  <c r="BW133" i="12"/>
  <c r="BQ133" i="12"/>
  <c r="CI132" i="12"/>
  <c r="CC132" i="12"/>
  <c r="BW132" i="12"/>
  <c r="BQ132" i="12"/>
  <c r="CI131" i="12"/>
  <c r="CC131" i="12"/>
  <c r="BW131" i="12"/>
  <c r="BQ131" i="12"/>
  <c r="CI130" i="12"/>
  <c r="CC130" i="12"/>
  <c r="BW130" i="12"/>
  <c r="BQ130" i="12"/>
  <c r="CI129" i="12"/>
  <c r="CC129" i="12"/>
  <c r="BW129" i="12"/>
  <c r="BQ129" i="12"/>
  <c r="CI128" i="12"/>
  <c r="CC128" i="12"/>
  <c r="BW128" i="12"/>
  <c r="BQ128" i="12"/>
  <c r="CI127" i="12"/>
  <c r="CC127" i="12"/>
  <c r="BW127" i="12"/>
  <c r="BQ127" i="12"/>
  <c r="CI126" i="12"/>
  <c r="CC126" i="12"/>
  <c r="BW126" i="12"/>
  <c r="BQ126" i="12"/>
  <c r="CI125" i="12"/>
  <c r="AL42" i="12" s="1"/>
  <c r="AO42" i="12" s="1"/>
  <c r="CC125" i="12"/>
  <c r="AE42" i="12" s="1"/>
  <c r="AH42" i="12" s="1"/>
  <c r="BW125" i="12"/>
  <c r="BQ125" i="12"/>
  <c r="CI124" i="12"/>
  <c r="AL43" i="12" s="1"/>
  <c r="AO43" i="12" s="1"/>
  <c r="CC124" i="12"/>
  <c r="AE43" i="12" s="1"/>
  <c r="AH43" i="12" s="1"/>
  <c r="BW124" i="12"/>
  <c r="BQ124" i="12"/>
  <c r="CI123" i="12"/>
  <c r="CC123" i="12"/>
  <c r="BW123" i="12"/>
  <c r="BQ123" i="12"/>
  <c r="CI122" i="12"/>
  <c r="AL40" i="12" s="1"/>
  <c r="AO40" i="12" s="1"/>
  <c r="CC122" i="12"/>
  <c r="AE40" i="12" s="1"/>
  <c r="AH40" i="12" s="1"/>
  <c r="BW122" i="12"/>
  <c r="BQ122" i="12"/>
  <c r="CI121" i="12"/>
  <c r="AL41" i="12" s="1"/>
  <c r="AO41" i="12" s="1"/>
  <c r="CC121" i="12"/>
  <c r="AE41" i="12" s="1"/>
  <c r="AH41" i="12" s="1"/>
  <c r="BW121" i="12"/>
  <c r="BQ121" i="12"/>
  <c r="CI116" i="12"/>
  <c r="CC116" i="12"/>
  <c r="BW116" i="12"/>
  <c r="BQ116" i="12"/>
  <c r="CI115" i="12"/>
  <c r="CC115" i="12"/>
  <c r="BW115" i="12"/>
  <c r="BQ115" i="12"/>
  <c r="CI114" i="12"/>
  <c r="CC114" i="12"/>
  <c r="BW114" i="12"/>
  <c r="BQ114" i="12"/>
  <c r="CI113" i="12"/>
  <c r="CC113" i="12"/>
  <c r="BW113" i="12"/>
  <c r="BQ113" i="12"/>
  <c r="CI112" i="12"/>
  <c r="CC112" i="12"/>
  <c r="BW112" i="12"/>
  <c r="BQ112" i="12"/>
  <c r="CI111" i="12"/>
  <c r="CC111" i="12"/>
  <c r="BW111" i="12"/>
  <c r="BQ111" i="12"/>
  <c r="CI110" i="12"/>
  <c r="CC110" i="12"/>
  <c r="BW110" i="12"/>
  <c r="BQ110" i="12"/>
  <c r="CI109" i="12"/>
  <c r="CC109" i="12"/>
  <c r="BW109" i="12"/>
  <c r="BQ109" i="12"/>
  <c r="CI108" i="12"/>
  <c r="CC108" i="12"/>
  <c r="BW108" i="12"/>
  <c r="BQ108" i="12"/>
  <c r="CI107" i="12"/>
  <c r="CC107" i="12"/>
  <c r="BW107" i="12"/>
  <c r="BQ107" i="12"/>
  <c r="CI106" i="12"/>
  <c r="CC106" i="12"/>
  <c r="BW106" i="12"/>
  <c r="BQ106" i="12"/>
  <c r="CI105" i="12"/>
  <c r="CC105" i="12"/>
  <c r="BW105" i="12"/>
  <c r="BQ105" i="12"/>
  <c r="CI104" i="12"/>
  <c r="CC104" i="12"/>
  <c r="BW104" i="12"/>
  <c r="BQ104" i="12"/>
  <c r="CI103" i="12"/>
  <c r="CC103" i="12"/>
  <c r="BW103" i="12"/>
  <c r="BQ103" i="12"/>
  <c r="CI102" i="12"/>
  <c r="CC102" i="12"/>
  <c r="BW102" i="12"/>
  <c r="BQ102" i="12"/>
  <c r="CI101" i="12"/>
  <c r="CC101" i="12"/>
  <c r="BW101" i="12"/>
  <c r="BQ101" i="12"/>
  <c r="CI100" i="12"/>
  <c r="CC100" i="12"/>
  <c r="BW100" i="12"/>
  <c r="BQ100" i="12"/>
  <c r="CI99" i="12"/>
  <c r="CC99" i="12"/>
  <c r="BW99" i="12"/>
  <c r="BQ99" i="12"/>
  <c r="CI98" i="12"/>
  <c r="CC98" i="12"/>
  <c r="BW98" i="12"/>
  <c r="BQ98" i="12"/>
  <c r="CI97" i="12"/>
  <c r="CC97" i="12"/>
  <c r="BW97" i="12"/>
  <c r="BQ97" i="12"/>
  <c r="CI96" i="12"/>
  <c r="CC96" i="12"/>
  <c r="BW96" i="12"/>
  <c r="BQ96" i="12"/>
  <c r="CI95" i="12"/>
  <c r="CC95" i="12"/>
  <c r="BW95" i="12"/>
  <c r="BQ95" i="12"/>
  <c r="CI94" i="12"/>
  <c r="CC94" i="12"/>
  <c r="BW94" i="12"/>
  <c r="BQ94" i="12"/>
  <c r="CI93" i="12"/>
  <c r="CC93" i="12"/>
  <c r="BW93" i="12"/>
  <c r="BQ93" i="12"/>
  <c r="CI92" i="12"/>
  <c r="CC92" i="12"/>
  <c r="BW92" i="12"/>
  <c r="BQ92" i="12"/>
  <c r="Y73" i="12"/>
  <c r="X73" i="12"/>
  <c r="R73" i="12"/>
  <c r="W73" i="12" s="1"/>
  <c r="Q73" i="12"/>
  <c r="Z73" i="12" s="1"/>
  <c r="D73" i="12"/>
  <c r="Y72" i="12"/>
  <c r="X72" i="12"/>
  <c r="R72" i="12"/>
  <c r="W72" i="12" s="1"/>
  <c r="Q72" i="12"/>
  <c r="Z72" i="12" s="1"/>
  <c r="D72" i="12"/>
  <c r="Y71" i="12"/>
  <c r="X71" i="12"/>
  <c r="R71" i="12"/>
  <c r="W71" i="12" s="1"/>
  <c r="Q71" i="12"/>
  <c r="Z71" i="12" s="1"/>
  <c r="D71" i="12"/>
  <c r="Y70" i="12"/>
  <c r="X70" i="12"/>
  <c r="R70" i="12"/>
  <c r="W70" i="12" s="1"/>
  <c r="Q70" i="12"/>
  <c r="Z70" i="12" s="1"/>
  <c r="D70" i="12"/>
  <c r="BH35" i="12"/>
  <c r="Y30" i="12"/>
  <c r="X30" i="12"/>
  <c r="R30" i="12"/>
  <c r="U30" i="12" s="1"/>
  <c r="Q30" i="12"/>
  <c r="BB30" i="12" s="1"/>
  <c r="D30" i="12"/>
  <c r="Y29" i="12"/>
  <c r="X29" i="12"/>
  <c r="R29" i="12"/>
  <c r="U29" i="12" s="1"/>
  <c r="Q29" i="12"/>
  <c r="BB29" i="12" s="1"/>
  <c r="D29" i="12"/>
  <c r="AT28" i="12"/>
  <c r="AS28" i="12"/>
  <c r="R28" i="12"/>
  <c r="U28" i="12" s="1"/>
  <c r="Q28" i="12"/>
  <c r="BB28" i="12" s="1"/>
  <c r="BC28" i="12" s="1"/>
  <c r="BE28" i="12" s="1"/>
  <c r="D28" i="12"/>
  <c r="AT27" i="12"/>
  <c r="AS27" i="12"/>
  <c r="R27" i="12"/>
  <c r="W27" i="12" s="1"/>
  <c r="AO27" i="12" s="1"/>
  <c r="Q27" i="12"/>
  <c r="D27" i="12"/>
  <c r="AT26" i="12"/>
  <c r="AS26" i="12"/>
  <c r="R26" i="12"/>
  <c r="U26" i="12" s="1"/>
  <c r="Q26" i="12"/>
  <c r="BB26" i="12" s="1"/>
  <c r="BC26" i="12" s="1"/>
  <c r="BE26" i="12" s="1"/>
  <c r="D26" i="12"/>
  <c r="AT25" i="12"/>
  <c r="AS25" i="12"/>
  <c r="AM25" i="12"/>
  <c r="R25" i="12"/>
  <c r="U25" i="12" s="1"/>
  <c r="Q25" i="12"/>
  <c r="D25" i="12"/>
  <c r="AM23" i="12"/>
  <c r="AL23" i="12"/>
  <c r="AF23" i="12"/>
  <c r="AE23" i="12"/>
  <c r="Y23" i="12"/>
  <c r="X23" i="12"/>
  <c r="R23" i="12"/>
  <c r="U23" i="12" s="1"/>
  <c r="Q23" i="12"/>
  <c r="BB23" i="12" s="1"/>
  <c r="D23" i="12"/>
  <c r="AM22" i="12"/>
  <c r="AL22" i="12"/>
  <c r="AF22" i="12"/>
  <c r="AE22" i="12"/>
  <c r="Y22" i="12"/>
  <c r="X22" i="12"/>
  <c r="R22" i="12"/>
  <c r="U22" i="12" s="1"/>
  <c r="Q22" i="12"/>
  <c r="BB22" i="12" s="1"/>
  <c r="D22" i="12"/>
  <c r="AM21" i="12"/>
  <c r="AL21" i="12"/>
  <c r="AF21" i="12"/>
  <c r="AE21" i="12"/>
  <c r="Y21" i="12"/>
  <c r="X21" i="12"/>
  <c r="R21" i="12"/>
  <c r="U21" i="12" s="1"/>
  <c r="Q21" i="12"/>
  <c r="BB21" i="12" s="1"/>
  <c r="D21" i="12"/>
  <c r="AM20" i="12"/>
  <c r="AL20" i="12"/>
  <c r="AF20" i="12"/>
  <c r="AE20" i="12"/>
  <c r="Y20" i="12"/>
  <c r="X20" i="12"/>
  <c r="R20" i="12"/>
  <c r="U20" i="12" s="1"/>
  <c r="Q20" i="12"/>
  <c r="BB20" i="12" s="1"/>
  <c r="D20" i="12"/>
  <c r="AM19" i="12"/>
  <c r="AL19" i="12"/>
  <c r="AF19" i="12"/>
  <c r="AE19" i="12"/>
  <c r="Y19" i="12"/>
  <c r="X19" i="12"/>
  <c r="R19" i="12"/>
  <c r="U19" i="12" s="1"/>
  <c r="Q19" i="12"/>
  <c r="BB19" i="12" s="1"/>
  <c r="D19" i="12"/>
  <c r="AM18" i="12"/>
  <c r="AL18" i="12"/>
  <c r="AF18" i="12"/>
  <c r="AE18" i="12"/>
  <c r="Y18" i="12"/>
  <c r="X18" i="12"/>
  <c r="R18" i="12"/>
  <c r="U18" i="12" s="1"/>
  <c r="Q18" i="12"/>
  <c r="BB18" i="12" s="1"/>
  <c r="D18" i="12"/>
  <c r="AM17" i="12"/>
  <c r="AL17" i="12"/>
  <c r="AF17" i="12"/>
  <c r="AE17" i="12"/>
  <c r="Y17" i="12"/>
  <c r="X17" i="12"/>
  <c r="R17" i="12"/>
  <c r="U17" i="12" s="1"/>
  <c r="Q17" i="12"/>
  <c r="BB17" i="12" s="1"/>
  <c r="D17" i="12"/>
  <c r="AM16" i="12"/>
  <c r="AL16" i="12"/>
  <c r="AF16" i="12"/>
  <c r="AE16" i="12"/>
  <c r="Y16" i="12"/>
  <c r="X16" i="12"/>
  <c r="R16" i="12"/>
  <c r="U16" i="12" s="1"/>
  <c r="Q16" i="12"/>
  <c r="BB16" i="12" s="1"/>
  <c r="D16" i="12"/>
  <c r="DM341" i="11"/>
  <c r="DM340" i="11"/>
  <c r="DC340" i="11" s="1"/>
  <c r="BK338" i="11"/>
  <c r="BK337" i="11"/>
  <c r="BK336" i="11"/>
  <c r="DM331" i="11"/>
  <c r="DM329" i="11"/>
  <c r="BY327" i="11"/>
  <c r="BX327" i="11"/>
  <c r="BS327" i="11"/>
  <c r="BR327" i="11"/>
  <c r="BP327" i="11"/>
  <c r="BN327" i="11"/>
  <c r="CQ327" i="11" s="1"/>
  <c r="BM327" i="11"/>
  <c r="CO327" i="11" s="1"/>
  <c r="BK327" i="11"/>
  <c r="BY326" i="11"/>
  <c r="BX326" i="11"/>
  <c r="BS326" i="11"/>
  <c r="BR326" i="11"/>
  <c r="BP326" i="11"/>
  <c r="BN326" i="11"/>
  <c r="CQ326" i="11" s="1"/>
  <c r="BM326" i="11"/>
  <c r="CO326" i="11" s="1"/>
  <c r="BK326" i="11"/>
  <c r="BN325" i="11"/>
  <c r="CQ325" i="11" s="1"/>
  <c r="BM325" i="11"/>
  <c r="CO325" i="11" s="1"/>
  <c r="BD325" i="11"/>
  <c r="BK325" i="11" s="1"/>
  <c r="BN324" i="11"/>
  <c r="CQ324" i="11" s="1"/>
  <c r="BM324" i="11"/>
  <c r="CO324" i="11" s="1"/>
  <c r="BK324" i="11"/>
  <c r="BN323" i="11"/>
  <c r="CQ323" i="11" s="1"/>
  <c r="BM323" i="11"/>
  <c r="CO323" i="11" s="1"/>
  <c r="BK323" i="11"/>
  <c r="BS322" i="11"/>
  <c r="BR322" i="11"/>
  <c r="BP322" i="11"/>
  <c r="BN322" i="11"/>
  <c r="CQ322" i="11" s="1"/>
  <c r="BM322" i="11"/>
  <c r="CO322" i="11" s="1"/>
  <c r="BK322" i="11"/>
  <c r="BS321" i="11"/>
  <c r="BR321" i="11"/>
  <c r="BP321" i="11"/>
  <c r="BN321" i="11"/>
  <c r="CQ321" i="11" s="1"/>
  <c r="BM321" i="11"/>
  <c r="CO321" i="11" s="1"/>
  <c r="BK321" i="11"/>
  <c r="BC321" i="11"/>
  <c r="BB321" i="11"/>
  <c r="BA321" i="11"/>
  <c r="AZ321" i="11"/>
  <c r="AY321" i="11"/>
  <c r="AW321" i="11"/>
  <c r="AV321" i="11"/>
  <c r="AU321" i="11"/>
  <c r="AT321" i="11"/>
  <c r="AS321" i="11"/>
  <c r="AQ321" i="11"/>
  <c r="AP321" i="11"/>
  <c r="DL320" i="11"/>
  <c r="BC320" i="11"/>
  <c r="BB320" i="11"/>
  <c r="BA320" i="11"/>
  <c r="AZ320" i="11"/>
  <c r="AY320" i="11"/>
  <c r="AW320" i="11"/>
  <c r="AV320" i="11"/>
  <c r="AU320" i="11"/>
  <c r="AT320" i="11"/>
  <c r="AS320" i="11"/>
  <c r="AQ320" i="11"/>
  <c r="AP320" i="11"/>
  <c r="BC319" i="11"/>
  <c r="BB319" i="11"/>
  <c r="BA319" i="11"/>
  <c r="AZ319" i="11"/>
  <c r="AY319" i="11"/>
  <c r="AW319" i="11"/>
  <c r="AV319" i="11"/>
  <c r="AU319" i="11"/>
  <c r="AT319" i="11"/>
  <c r="AS319" i="11"/>
  <c r="AQ319" i="11"/>
  <c r="AP319" i="11"/>
  <c r="DL318" i="11"/>
  <c r="BC318" i="11"/>
  <c r="BB318" i="11"/>
  <c r="BA318" i="11"/>
  <c r="AZ318" i="11"/>
  <c r="AY318" i="11"/>
  <c r="AW318" i="11"/>
  <c r="AV318" i="11"/>
  <c r="AU318" i="11"/>
  <c r="AT318" i="11"/>
  <c r="AS318" i="11"/>
  <c r="AQ318" i="11"/>
  <c r="AP318" i="11"/>
  <c r="AG318" i="11"/>
  <c r="AE318" i="11"/>
  <c r="AD318" i="11"/>
  <c r="AC318" i="11"/>
  <c r="AB318" i="11"/>
  <c r="AA318" i="11"/>
  <c r="Z318" i="11"/>
  <c r="Y318" i="11"/>
  <c r="X318" i="11"/>
  <c r="W318" i="11"/>
  <c r="V318" i="11"/>
  <c r="U318" i="11"/>
  <c r="T318" i="11"/>
  <c r="S318" i="11"/>
  <c r="BC317" i="11"/>
  <c r="BB317" i="11"/>
  <c r="BA317" i="11"/>
  <c r="AZ317" i="11"/>
  <c r="AY317" i="11"/>
  <c r="AW317" i="11"/>
  <c r="AV317" i="11"/>
  <c r="AU317" i="11"/>
  <c r="AT317" i="11"/>
  <c r="AS317" i="11"/>
  <c r="AQ317" i="11"/>
  <c r="AP317" i="11"/>
  <c r="AG317" i="11"/>
  <c r="AE317" i="11"/>
  <c r="AD317" i="11"/>
  <c r="AC317" i="11"/>
  <c r="AB317" i="11"/>
  <c r="AA317" i="11"/>
  <c r="Z317" i="11"/>
  <c r="Y317" i="11"/>
  <c r="X317" i="11"/>
  <c r="W317" i="11"/>
  <c r="V317" i="11"/>
  <c r="U317" i="11"/>
  <c r="T317" i="11"/>
  <c r="S317" i="11"/>
  <c r="BC316" i="11"/>
  <c r="BB316" i="11"/>
  <c r="BA316" i="11"/>
  <c r="AZ316" i="11"/>
  <c r="AY316" i="11"/>
  <c r="AW316" i="11"/>
  <c r="AV316" i="11"/>
  <c r="AU316" i="11"/>
  <c r="AT316" i="11"/>
  <c r="AS316" i="11"/>
  <c r="AQ316" i="11"/>
  <c r="AP316" i="11"/>
  <c r="AG316" i="11"/>
  <c r="AE316" i="11"/>
  <c r="AD316" i="11"/>
  <c r="AC316" i="11"/>
  <c r="AB316" i="11"/>
  <c r="AA316" i="11"/>
  <c r="Z316" i="11"/>
  <c r="Y316" i="11"/>
  <c r="X316" i="11"/>
  <c r="W316" i="11"/>
  <c r="V316" i="11"/>
  <c r="U316" i="11"/>
  <c r="T316" i="11"/>
  <c r="S316" i="11"/>
  <c r="DG315" i="11"/>
  <c r="DI315" i="11" s="1"/>
  <c r="DJ315" i="11" s="1"/>
  <c r="DD315" i="11"/>
  <c r="DC315" i="11"/>
  <c r="BP315" i="11"/>
  <c r="BK315" i="11"/>
  <c r="BC315" i="11"/>
  <c r="BB315" i="11"/>
  <c r="BA315" i="11"/>
  <c r="AZ315" i="11"/>
  <c r="AY315" i="11"/>
  <c r="AW315" i="11"/>
  <c r="AV315" i="11"/>
  <c r="AU315" i="11"/>
  <c r="AT315" i="11"/>
  <c r="AS315" i="11"/>
  <c r="AQ315" i="11"/>
  <c r="AP315" i="11"/>
  <c r="AG315" i="11"/>
  <c r="AE315" i="11"/>
  <c r="AD315" i="11"/>
  <c r="AC315" i="11"/>
  <c r="AB315" i="11"/>
  <c r="AA315" i="11"/>
  <c r="Z315" i="11"/>
  <c r="Y315" i="11"/>
  <c r="X315" i="11"/>
  <c r="W315" i="11"/>
  <c r="V315" i="11"/>
  <c r="U315" i="11"/>
  <c r="T315" i="11"/>
  <c r="S315" i="11"/>
  <c r="DG314" i="11"/>
  <c r="DI314" i="11" s="1"/>
  <c r="DD314" i="11"/>
  <c r="DC314" i="11"/>
  <c r="BP314" i="11"/>
  <c r="BK314" i="11"/>
  <c r="BC314" i="11"/>
  <c r="BB314" i="11"/>
  <c r="BA314" i="11"/>
  <c r="AZ314" i="11"/>
  <c r="AY314" i="11"/>
  <c r="AW314" i="11"/>
  <c r="AV314" i="11"/>
  <c r="AU314" i="11"/>
  <c r="AT314" i="11"/>
  <c r="AS314" i="11"/>
  <c r="AQ314" i="11"/>
  <c r="AP314" i="11"/>
  <c r="AG314" i="11"/>
  <c r="AE314" i="11"/>
  <c r="AD314" i="11"/>
  <c r="AC314" i="11"/>
  <c r="AB314" i="11"/>
  <c r="AA314" i="11"/>
  <c r="Z314" i="11"/>
  <c r="Y314" i="11"/>
  <c r="X314" i="11"/>
  <c r="W314" i="11"/>
  <c r="V314" i="11"/>
  <c r="U314" i="11"/>
  <c r="T314" i="11"/>
  <c r="S314" i="11"/>
  <c r="DG313" i="11"/>
  <c r="DI313" i="11" s="1"/>
  <c r="DD313" i="11"/>
  <c r="DC313" i="11"/>
  <c r="BP313" i="11"/>
  <c r="BK313" i="11"/>
  <c r="BC313" i="11"/>
  <c r="BB313" i="11"/>
  <c r="BA313" i="11"/>
  <c r="AZ313" i="11"/>
  <c r="AY313" i="11"/>
  <c r="AW313" i="11"/>
  <c r="AV313" i="11"/>
  <c r="AU313" i="11"/>
  <c r="AT313" i="11"/>
  <c r="AS313" i="11"/>
  <c r="AQ313" i="11"/>
  <c r="AP313" i="11"/>
  <c r="AG313" i="11"/>
  <c r="AE313" i="11"/>
  <c r="AD313" i="11"/>
  <c r="AC313" i="11"/>
  <c r="AB313" i="11"/>
  <c r="AA313" i="11"/>
  <c r="Z313" i="11"/>
  <c r="Y313" i="11"/>
  <c r="X313" i="11"/>
  <c r="W313" i="11"/>
  <c r="V313" i="11"/>
  <c r="U313" i="11"/>
  <c r="T313" i="11"/>
  <c r="S313" i="11"/>
  <c r="DG312" i="11"/>
  <c r="DI312" i="11" s="1"/>
  <c r="DD312" i="11"/>
  <c r="DC312" i="11"/>
  <c r="BP312" i="11"/>
  <c r="BK312" i="11"/>
  <c r="BC312" i="11"/>
  <c r="BB312" i="11"/>
  <c r="BA312" i="11"/>
  <c r="AZ312" i="11"/>
  <c r="AY312" i="11"/>
  <c r="AW312" i="11"/>
  <c r="AV312" i="11"/>
  <c r="AU312" i="11"/>
  <c r="AT312" i="11"/>
  <c r="AS312" i="11"/>
  <c r="AQ312" i="11"/>
  <c r="AP312" i="11"/>
  <c r="AG312" i="11"/>
  <c r="AE312" i="11"/>
  <c r="AD312" i="11"/>
  <c r="AC312" i="11"/>
  <c r="AB312" i="11"/>
  <c r="AA312" i="11"/>
  <c r="Z312" i="11"/>
  <c r="Y312" i="11"/>
  <c r="X312" i="11"/>
  <c r="W312" i="11"/>
  <c r="V312" i="11"/>
  <c r="U312" i="11"/>
  <c r="T312" i="11"/>
  <c r="S312" i="11"/>
  <c r="DG311" i="11"/>
  <c r="DI311" i="11" s="1"/>
  <c r="DD311" i="11"/>
  <c r="DC311" i="11"/>
  <c r="BP311" i="11"/>
  <c r="BK311" i="11"/>
  <c r="BC311" i="11"/>
  <c r="BB311" i="11"/>
  <c r="BA311" i="11"/>
  <c r="AZ311" i="11"/>
  <c r="AY311" i="11"/>
  <c r="AW311" i="11"/>
  <c r="AV311" i="11"/>
  <c r="AU311" i="11"/>
  <c r="AT311" i="11"/>
  <c r="AS311" i="11"/>
  <c r="AQ311" i="11"/>
  <c r="AP311" i="11"/>
  <c r="AG311" i="11"/>
  <c r="AE311" i="11"/>
  <c r="AD311" i="11"/>
  <c r="AC311" i="11"/>
  <c r="AB311" i="11"/>
  <c r="AA311" i="11"/>
  <c r="Z311" i="11"/>
  <c r="Y311" i="11"/>
  <c r="X311" i="11"/>
  <c r="W311" i="11"/>
  <c r="V311" i="11"/>
  <c r="U311" i="11"/>
  <c r="T311" i="11"/>
  <c r="S311" i="11"/>
  <c r="DG310" i="11"/>
  <c r="DI310" i="11" s="1"/>
  <c r="DJ310" i="11" s="1"/>
  <c r="DD310" i="11"/>
  <c r="DC310" i="11"/>
  <c r="BP310" i="11"/>
  <c r="BK310" i="11"/>
  <c r="BC310" i="11"/>
  <c r="BB310" i="11"/>
  <c r="BA310" i="11"/>
  <c r="AZ310" i="11"/>
  <c r="AY310" i="11"/>
  <c r="AW310" i="11"/>
  <c r="AV310" i="11"/>
  <c r="AU310" i="11"/>
  <c r="AT310" i="11"/>
  <c r="AS310" i="11"/>
  <c r="AQ310" i="11"/>
  <c r="AP310" i="11"/>
  <c r="AG310" i="11"/>
  <c r="AE310" i="11"/>
  <c r="AD310" i="11"/>
  <c r="AC310" i="11"/>
  <c r="AB310" i="11"/>
  <c r="AA310" i="11"/>
  <c r="Z310" i="11"/>
  <c r="Y310" i="11"/>
  <c r="X310" i="11"/>
  <c r="W310" i="11"/>
  <c r="V310" i="11"/>
  <c r="U310" i="11"/>
  <c r="T310" i="11"/>
  <c r="S310" i="11"/>
  <c r="DG309" i="11"/>
  <c r="DI309" i="11" s="1"/>
  <c r="DJ309" i="11" s="1"/>
  <c r="DD309" i="11"/>
  <c r="DC309" i="11"/>
  <c r="BP309" i="11"/>
  <c r="BK309" i="11"/>
  <c r="BC309" i="11"/>
  <c r="BB309" i="11"/>
  <c r="BA309" i="11"/>
  <c r="AZ309" i="11"/>
  <c r="AY309" i="11"/>
  <c r="AW309" i="11"/>
  <c r="AV309" i="11"/>
  <c r="AU309" i="11"/>
  <c r="AT309" i="11"/>
  <c r="AS309" i="11"/>
  <c r="AQ309" i="11"/>
  <c r="AP309" i="11"/>
  <c r="AG309" i="11"/>
  <c r="AE309" i="11"/>
  <c r="AD309" i="11"/>
  <c r="AC309" i="11"/>
  <c r="AB309" i="11"/>
  <c r="AA309" i="11"/>
  <c r="Z309" i="11"/>
  <c r="Y309" i="11"/>
  <c r="X309" i="11"/>
  <c r="W309" i="11"/>
  <c r="V309" i="11"/>
  <c r="U309" i="11"/>
  <c r="T309" i="11"/>
  <c r="S309" i="11"/>
  <c r="DG308" i="11"/>
  <c r="DI308" i="11" s="1"/>
  <c r="DJ308" i="11" s="1"/>
  <c r="DD308" i="11"/>
  <c r="DC308" i="11"/>
  <c r="BP308" i="11"/>
  <c r="BK308" i="11"/>
  <c r="BC308" i="11"/>
  <c r="BB308" i="11"/>
  <c r="BA308" i="11"/>
  <c r="AZ308" i="11"/>
  <c r="AY308" i="11"/>
  <c r="AW308" i="11"/>
  <c r="AV308" i="11"/>
  <c r="AU308" i="11"/>
  <c r="AT308" i="11"/>
  <c r="AS308" i="11"/>
  <c r="AQ308" i="11"/>
  <c r="AP308" i="11"/>
  <c r="AG308" i="11"/>
  <c r="AE308" i="11"/>
  <c r="AD308" i="11"/>
  <c r="AC308" i="11"/>
  <c r="AB308" i="11"/>
  <c r="AA308" i="11"/>
  <c r="Z308" i="11"/>
  <c r="Y308" i="11"/>
  <c r="X308" i="11"/>
  <c r="W308" i="11"/>
  <c r="V308" i="11"/>
  <c r="U308" i="11"/>
  <c r="T308" i="11"/>
  <c r="S308" i="11"/>
  <c r="DG307" i="11"/>
  <c r="DI307" i="11" s="1"/>
  <c r="DJ307" i="11" s="1"/>
  <c r="DD307" i="11"/>
  <c r="DC307" i="11"/>
  <c r="BP307" i="11"/>
  <c r="BK307" i="11"/>
  <c r="BC307" i="11"/>
  <c r="BB307" i="11"/>
  <c r="BA307" i="11"/>
  <c r="AZ307" i="11"/>
  <c r="AY307" i="11"/>
  <c r="AW307" i="11"/>
  <c r="AV307" i="11"/>
  <c r="AU307" i="11"/>
  <c r="AT307" i="11"/>
  <c r="AS307" i="11"/>
  <c r="AQ307" i="11"/>
  <c r="AP307" i="11"/>
  <c r="AG307" i="11"/>
  <c r="AE307" i="11"/>
  <c r="AD307" i="11"/>
  <c r="AC307" i="11"/>
  <c r="AB307" i="11"/>
  <c r="AA307" i="11"/>
  <c r="Z307" i="11"/>
  <c r="Y307" i="11"/>
  <c r="X307" i="11"/>
  <c r="W307" i="11"/>
  <c r="V307" i="11"/>
  <c r="U307" i="11"/>
  <c r="T307" i="11"/>
  <c r="S307" i="11"/>
  <c r="DG306" i="11"/>
  <c r="DI306" i="11" s="1"/>
  <c r="DD306" i="11"/>
  <c r="DC306" i="11"/>
  <c r="DF281" i="11" s="1"/>
  <c r="BP306" i="11"/>
  <c r="BK306" i="11"/>
  <c r="BC306" i="11"/>
  <c r="BB306" i="11"/>
  <c r="BA306" i="11"/>
  <c r="AZ306" i="11"/>
  <c r="AY306" i="11"/>
  <c r="AW306" i="11"/>
  <c r="AV306" i="11"/>
  <c r="AU306" i="11"/>
  <c r="AT306" i="11"/>
  <c r="AS306" i="11"/>
  <c r="AQ306" i="11"/>
  <c r="AP306" i="11"/>
  <c r="AG306" i="11"/>
  <c r="AE306" i="11"/>
  <c r="AD306" i="11"/>
  <c r="AC306" i="11"/>
  <c r="AB306" i="11"/>
  <c r="AA306" i="11"/>
  <c r="Z306" i="11"/>
  <c r="Y306" i="11"/>
  <c r="X306" i="11"/>
  <c r="W306" i="11"/>
  <c r="V306" i="11"/>
  <c r="U306" i="11"/>
  <c r="T306" i="11"/>
  <c r="S306" i="11"/>
  <c r="DG305" i="11"/>
  <c r="DI305" i="11" s="1"/>
  <c r="DD305" i="11"/>
  <c r="DC305" i="11"/>
  <c r="BP305" i="11"/>
  <c r="BK305" i="11"/>
  <c r="BC305" i="11"/>
  <c r="BB305" i="11"/>
  <c r="BA305" i="11"/>
  <c r="AZ305" i="11"/>
  <c r="AY305" i="11"/>
  <c r="AW305" i="11"/>
  <c r="AV305" i="11"/>
  <c r="AU305" i="11"/>
  <c r="AT305" i="11"/>
  <c r="AS305" i="11"/>
  <c r="AQ305" i="11"/>
  <c r="AP305" i="11"/>
  <c r="AG305" i="11"/>
  <c r="AE305" i="11"/>
  <c r="AD305" i="11"/>
  <c r="AC305" i="11"/>
  <c r="AB305" i="11"/>
  <c r="AA305" i="11"/>
  <c r="Z305" i="11"/>
  <c r="Y305" i="11"/>
  <c r="X305" i="11"/>
  <c r="W305" i="11"/>
  <c r="V305" i="11"/>
  <c r="U305" i="11"/>
  <c r="T305" i="11"/>
  <c r="S305" i="11"/>
  <c r="DG304" i="11"/>
  <c r="DI304" i="11" s="1"/>
  <c r="DD304" i="11"/>
  <c r="DC304" i="11"/>
  <c r="BP304" i="11"/>
  <c r="BK304" i="11"/>
  <c r="BC304" i="11"/>
  <c r="BB304" i="11"/>
  <c r="BA304" i="11"/>
  <c r="AZ304" i="11"/>
  <c r="AY304" i="11"/>
  <c r="AW304" i="11"/>
  <c r="AV304" i="11"/>
  <c r="AU304" i="11"/>
  <c r="AT304" i="11"/>
  <c r="AS304" i="11"/>
  <c r="AQ304" i="11"/>
  <c r="AP304" i="11"/>
  <c r="AG304" i="11"/>
  <c r="AE304" i="11"/>
  <c r="AD304" i="11"/>
  <c r="AC304" i="11"/>
  <c r="AB304" i="11"/>
  <c r="AA304" i="11"/>
  <c r="Z304" i="11"/>
  <c r="Y304" i="11"/>
  <c r="X304" i="11"/>
  <c r="W304" i="11"/>
  <c r="V304" i="11"/>
  <c r="U304" i="11"/>
  <c r="T304" i="11"/>
  <c r="S304" i="11"/>
  <c r="DG303" i="11"/>
  <c r="DI303" i="11" s="1"/>
  <c r="DJ303" i="11" s="1"/>
  <c r="DD303" i="11"/>
  <c r="DC303" i="11"/>
  <c r="BP303" i="11"/>
  <c r="BK303" i="11"/>
  <c r="BC303" i="11"/>
  <c r="BB303" i="11"/>
  <c r="BA303" i="11"/>
  <c r="AZ303" i="11"/>
  <c r="AY303" i="11"/>
  <c r="AW303" i="11"/>
  <c r="AV303" i="11"/>
  <c r="AU303" i="11"/>
  <c r="AT303" i="11"/>
  <c r="AS303" i="11"/>
  <c r="AQ303" i="11"/>
  <c r="AP303" i="11"/>
  <c r="AG303" i="11"/>
  <c r="AE303" i="11"/>
  <c r="AD303" i="11"/>
  <c r="AC303" i="11"/>
  <c r="AB303" i="11"/>
  <c r="AA303" i="11"/>
  <c r="Z303" i="11"/>
  <c r="Y303" i="11"/>
  <c r="X303" i="11"/>
  <c r="W303" i="11"/>
  <c r="V303" i="11"/>
  <c r="U303" i="11"/>
  <c r="T303" i="11"/>
  <c r="S303" i="11"/>
  <c r="DG302" i="11"/>
  <c r="DI302" i="11" s="1"/>
  <c r="DD302" i="11"/>
  <c r="DC302" i="11"/>
  <c r="BP302" i="11"/>
  <c r="BK302" i="11"/>
  <c r="BC302" i="11"/>
  <c r="BB302" i="11"/>
  <c r="BA302" i="11"/>
  <c r="AZ302" i="11"/>
  <c r="AY302" i="11"/>
  <c r="AW302" i="11"/>
  <c r="AV302" i="11"/>
  <c r="AU302" i="11"/>
  <c r="AT302" i="11"/>
  <c r="AS302" i="11"/>
  <c r="AQ302" i="11"/>
  <c r="AP302" i="11"/>
  <c r="AG302" i="11"/>
  <c r="AE302" i="11"/>
  <c r="AD302" i="11"/>
  <c r="AC302" i="11"/>
  <c r="AB302" i="11"/>
  <c r="AA302" i="11"/>
  <c r="Z302" i="11"/>
  <c r="Y302" i="11"/>
  <c r="X302" i="11"/>
  <c r="W302" i="11"/>
  <c r="V302" i="11"/>
  <c r="U302" i="11"/>
  <c r="T302" i="11"/>
  <c r="S302" i="11"/>
  <c r="DG301" i="11"/>
  <c r="DI301" i="11" s="1"/>
  <c r="DD301" i="11"/>
  <c r="DC301" i="11"/>
  <c r="BP301" i="11"/>
  <c r="BK301" i="11"/>
  <c r="BC301" i="11"/>
  <c r="BB301" i="11"/>
  <c r="BA301" i="11"/>
  <c r="AZ301" i="11"/>
  <c r="AY301" i="11"/>
  <c r="AW301" i="11"/>
  <c r="AV301" i="11"/>
  <c r="AU301" i="11"/>
  <c r="AT301" i="11"/>
  <c r="AS301" i="11"/>
  <c r="AQ301" i="11"/>
  <c r="AP301" i="11"/>
  <c r="AG301" i="11"/>
  <c r="AE301" i="11"/>
  <c r="AD301" i="11"/>
  <c r="AC301" i="11"/>
  <c r="AB301" i="11"/>
  <c r="AA301" i="11"/>
  <c r="Z301" i="11"/>
  <c r="Y301" i="11"/>
  <c r="X301" i="11"/>
  <c r="W301" i="11"/>
  <c r="V301" i="11"/>
  <c r="U301" i="11"/>
  <c r="T301" i="11"/>
  <c r="S301" i="11"/>
  <c r="DG300" i="11"/>
  <c r="DI300" i="11" s="1"/>
  <c r="DD300" i="11"/>
  <c r="DC300" i="11"/>
  <c r="BP300" i="11"/>
  <c r="BK300" i="11"/>
  <c r="BC300" i="11"/>
  <c r="BB300" i="11"/>
  <c r="BA300" i="11"/>
  <c r="AZ300" i="11"/>
  <c r="AY300" i="11"/>
  <c r="AW300" i="11"/>
  <c r="AV300" i="11"/>
  <c r="AU300" i="11"/>
  <c r="AT300" i="11"/>
  <c r="AS300" i="11"/>
  <c r="AQ300" i="11"/>
  <c r="AP300" i="11"/>
  <c r="AG300" i="11"/>
  <c r="AE300" i="11"/>
  <c r="AD300" i="11"/>
  <c r="AC300" i="11"/>
  <c r="AB300" i="11"/>
  <c r="AA300" i="11"/>
  <c r="Z300" i="11"/>
  <c r="Y300" i="11"/>
  <c r="X300" i="11"/>
  <c r="W300" i="11"/>
  <c r="V300" i="11"/>
  <c r="U300" i="11"/>
  <c r="T300" i="11"/>
  <c r="S300" i="11"/>
  <c r="DG299" i="11"/>
  <c r="DI299" i="11" s="1"/>
  <c r="DD299" i="11"/>
  <c r="DC299" i="11"/>
  <c r="BP299" i="11"/>
  <c r="BK299" i="11"/>
  <c r="BC299" i="11"/>
  <c r="BB299" i="11"/>
  <c r="BA299" i="11"/>
  <c r="AZ299" i="11"/>
  <c r="AY299" i="11"/>
  <c r="AW299" i="11"/>
  <c r="AV299" i="11"/>
  <c r="AU299" i="11"/>
  <c r="AT299" i="11"/>
  <c r="AS299" i="11"/>
  <c r="AQ299" i="11"/>
  <c r="AP299" i="11"/>
  <c r="AG299" i="11"/>
  <c r="AE299" i="11"/>
  <c r="AD299" i="11"/>
  <c r="AC299" i="11"/>
  <c r="AB299" i="11"/>
  <c r="AA299" i="11"/>
  <c r="Z299" i="11"/>
  <c r="Y299" i="11"/>
  <c r="X299" i="11"/>
  <c r="W299" i="11"/>
  <c r="V299" i="11"/>
  <c r="U299" i="11"/>
  <c r="T299" i="11"/>
  <c r="S299" i="11"/>
  <c r="DG298" i="11"/>
  <c r="DI298" i="11" s="1"/>
  <c r="DD298" i="11"/>
  <c r="DC298" i="11"/>
  <c r="BP298" i="11"/>
  <c r="BK298" i="11"/>
  <c r="BC298" i="11"/>
  <c r="BB298" i="11"/>
  <c r="BA298" i="11"/>
  <c r="AZ298" i="11"/>
  <c r="AY298" i="11"/>
  <c r="AW298" i="11"/>
  <c r="AV298" i="11"/>
  <c r="AU298" i="11"/>
  <c r="AT298" i="11"/>
  <c r="AS298" i="11"/>
  <c r="AQ298" i="11"/>
  <c r="AP298" i="11"/>
  <c r="AG298" i="11"/>
  <c r="AE298" i="11"/>
  <c r="AD298" i="11"/>
  <c r="AC298" i="11"/>
  <c r="AB298" i="11"/>
  <c r="AA298" i="11"/>
  <c r="Z298" i="11"/>
  <c r="Y298" i="11"/>
  <c r="X298" i="11"/>
  <c r="W298" i="11"/>
  <c r="V298" i="11"/>
  <c r="U298" i="11"/>
  <c r="T298" i="11"/>
  <c r="S298" i="11"/>
  <c r="DG297" i="11"/>
  <c r="DI297" i="11" s="1"/>
  <c r="DD297" i="11"/>
  <c r="DC297" i="11"/>
  <c r="BP297" i="11"/>
  <c r="BK297" i="11"/>
  <c r="BC297" i="11"/>
  <c r="BB297" i="11"/>
  <c r="BA297" i="11"/>
  <c r="AZ297" i="11"/>
  <c r="AY297" i="11"/>
  <c r="AW297" i="11"/>
  <c r="AV297" i="11"/>
  <c r="AU297" i="11"/>
  <c r="AT297" i="11"/>
  <c r="AS297" i="11"/>
  <c r="AQ297" i="11"/>
  <c r="AP297" i="11"/>
  <c r="AG297" i="11"/>
  <c r="AE297" i="11"/>
  <c r="AD297" i="11"/>
  <c r="AC297" i="11"/>
  <c r="AB297" i="11"/>
  <c r="AA297" i="11"/>
  <c r="Z297" i="11"/>
  <c r="Y297" i="11"/>
  <c r="X297" i="11"/>
  <c r="W297" i="11"/>
  <c r="V297" i="11"/>
  <c r="U297" i="11"/>
  <c r="T297" i="11"/>
  <c r="S297" i="11"/>
  <c r="DG296" i="11"/>
  <c r="DI296" i="11" s="1"/>
  <c r="DD296" i="11"/>
  <c r="DC296" i="11"/>
  <c r="BP296" i="11"/>
  <c r="BK296" i="11"/>
  <c r="BC296" i="11"/>
  <c r="BB296" i="11"/>
  <c r="BA296" i="11"/>
  <c r="AZ296" i="11"/>
  <c r="AY296" i="11"/>
  <c r="AW296" i="11"/>
  <c r="AV296" i="11"/>
  <c r="AU296" i="11"/>
  <c r="AT296" i="11"/>
  <c r="AS296" i="11"/>
  <c r="AQ296" i="11"/>
  <c r="AP296" i="11"/>
  <c r="AG296" i="11"/>
  <c r="AE296" i="11"/>
  <c r="AD296" i="11"/>
  <c r="AC296" i="11"/>
  <c r="AB296" i="11"/>
  <c r="AA296" i="11"/>
  <c r="Z296" i="11"/>
  <c r="Y296" i="11"/>
  <c r="X296" i="11"/>
  <c r="W296" i="11"/>
  <c r="V296" i="11"/>
  <c r="U296" i="11"/>
  <c r="T296" i="11"/>
  <c r="S296" i="11"/>
  <c r="DG295" i="11"/>
  <c r="DI295" i="11" s="1"/>
  <c r="DD295" i="11"/>
  <c r="DC295" i="11"/>
  <c r="BP295" i="11"/>
  <c r="BK295" i="11"/>
  <c r="BC295" i="11"/>
  <c r="BB295" i="11"/>
  <c r="BA295" i="11"/>
  <c r="AZ295" i="11"/>
  <c r="AY295" i="11"/>
  <c r="AW295" i="11"/>
  <c r="AV295" i="11"/>
  <c r="AU295" i="11"/>
  <c r="AT295" i="11"/>
  <c r="AS295" i="11"/>
  <c r="AQ295" i="11"/>
  <c r="AP295" i="11"/>
  <c r="AG295" i="11"/>
  <c r="AE295" i="11"/>
  <c r="AD295" i="11"/>
  <c r="AC295" i="11"/>
  <c r="AB295" i="11"/>
  <c r="AA295" i="11"/>
  <c r="Z295" i="11"/>
  <c r="Y295" i="11"/>
  <c r="X295" i="11"/>
  <c r="W295" i="11"/>
  <c r="V295" i="11"/>
  <c r="U295" i="11"/>
  <c r="T295" i="11"/>
  <c r="S295" i="11"/>
  <c r="DG294" i="11"/>
  <c r="DI294" i="11" s="1"/>
  <c r="DJ294" i="11" s="1"/>
  <c r="DD294" i="11"/>
  <c r="DC294" i="11"/>
  <c r="BP294" i="11"/>
  <c r="BK294" i="11"/>
  <c r="BD294" i="11"/>
  <c r="BC294" i="11"/>
  <c r="BB294" i="11"/>
  <c r="BA294" i="11"/>
  <c r="AZ294" i="11"/>
  <c r="AV294" i="11"/>
  <c r="AU294" i="11"/>
  <c r="AT294" i="11"/>
  <c r="AS294" i="11"/>
  <c r="AQ294" i="11"/>
  <c r="AP294" i="11"/>
  <c r="AG294" i="11"/>
  <c r="AF294" i="11"/>
  <c r="AE294" i="11"/>
  <c r="AD294" i="11"/>
  <c r="AC294" i="11"/>
  <c r="AB294" i="11"/>
  <c r="AA294" i="11"/>
  <c r="X294" i="11"/>
  <c r="W294" i="11"/>
  <c r="V294" i="11"/>
  <c r="U294" i="11"/>
  <c r="T294" i="11"/>
  <c r="S294" i="11"/>
  <c r="DG293" i="11"/>
  <c r="DI293" i="11" s="1"/>
  <c r="DJ293" i="11" s="1"/>
  <c r="DD293" i="11"/>
  <c r="DC293" i="11"/>
  <c r="BP293" i="11"/>
  <c r="BK293" i="11"/>
  <c r="BD293" i="11"/>
  <c r="BC293" i="11"/>
  <c r="BB293" i="11"/>
  <c r="BA293" i="11"/>
  <c r="AZ293" i="11"/>
  <c r="AV293" i="11"/>
  <c r="AU293" i="11"/>
  <c r="AT293" i="11"/>
  <c r="AS293" i="11"/>
  <c r="AQ293" i="11"/>
  <c r="AP293" i="11"/>
  <c r="AG293" i="11"/>
  <c r="AF293" i="11"/>
  <c r="AE293" i="11"/>
  <c r="AD293" i="11"/>
  <c r="AC293" i="11"/>
  <c r="AB293" i="11"/>
  <c r="AA293" i="11"/>
  <c r="X293" i="11"/>
  <c r="W293" i="11"/>
  <c r="V293" i="11"/>
  <c r="U293" i="11"/>
  <c r="T293" i="11"/>
  <c r="S293" i="11"/>
  <c r="DG292" i="11"/>
  <c r="DI292" i="11" s="1"/>
  <c r="DJ292" i="11" s="1"/>
  <c r="DD292" i="11"/>
  <c r="DC292" i="11"/>
  <c r="BP292" i="11"/>
  <c r="BK292" i="11"/>
  <c r="BD292" i="11"/>
  <c r="BC292" i="11"/>
  <c r="BB292" i="11"/>
  <c r="BA292" i="11"/>
  <c r="AZ292" i="11"/>
  <c r="AV292" i="11"/>
  <c r="AU292" i="11"/>
  <c r="AT292" i="11"/>
  <c r="AS292" i="11"/>
  <c r="AQ292" i="11"/>
  <c r="AP292" i="11"/>
  <c r="AG292" i="11"/>
  <c r="AF292" i="11"/>
  <c r="AE292" i="11"/>
  <c r="AD292" i="11"/>
  <c r="AC292" i="11"/>
  <c r="AB292" i="11"/>
  <c r="AA292" i="11"/>
  <c r="X292" i="11"/>
  <c r="W292" i="11"/>
  <c r="V292" i="11"/>
  <c r="U292" i="11"/>
  <c r="T292" i="11"/>
  <c r="S292" i="11"/>
  <c r="DG291" i="11"/>
  <c r="DI291" i="11" s="1"/>
  <c r="DJ291" i="11" s="1"/>
  <c r="DD291" i="11"/>
  <c r="DC291" i="11"/>
  <c r="BP291" i="11"/>
  <c r="BK291" i="11"/>
  <c r="BC291" i="11"/>
  <c r="BB291" i="11"/>
  <c r="BA291" i="11"/>
  <c r="AZ291" i="11"/>
  <c r="AY291" i="11"/>
  <c r="AW291" i="11"/>
  <c r="AV291" i="11"/>
  <c r="AU291" i="11"/>
  <c r="AT291" i="11"/>
  <c r="AS291" i="11"/>
  <c r="AQ291" i="11"/>
  <c r="AP291" i="11"/>
  <c r="AG291" i="11"/>
  <c r="AE291" i="11"/>
  <c r="AD291" i="11"/>
  <c r="AC291" i="11"/>
  <c r="AB291" i="11"/>
  <c r="AA291" i="11"/>
  <c r="Z291" i="11"/>
  <c r="Y291" i="11"/>
  <c r="X291" i="11"/>
  <c r="W291" i="11"/>
  <c r="V291" i="11"/>
  <c r="U291" i="11"/>
  <c r="T291" i="11"/>
  <c r="S291" i="11"/>
  <c r="DG290" i="11"/>
  <c r="DI290" i="11" s="1"/>
  <c r="DJ290" i="11" s="1"/>
  <c r="DD290" i="11"/>
  <c r="DC290" i="11"/>
  <c r="BP290" i="11"/>
  <c r="BK290" i="11"/>
  <c r="BC290" i="11"/>
  <c r="BB290" i="11"/>
  <c r="BA290" i="11"/>
  <c r="AZ290" i="11"/>
  <c r="AY290" i="11"/>
  <c r="AW290" i="11"/>
  <c r="AV290" i="11"/>
  <c r="AU290" i="11"/>
  <c r="AT290" i="11"/>
  <c r="AS290" i="11"/>
  <c r="AQ290" i="11"/>
  <c r="AP290" i="11"/>
  <c r="AG290" i="11"/>
  <c r="AE290" i="11"/>
  <c r="AD290" i="11"/>
  <c r="AC290" i="11"/>
  <c r="AB290" i="11"/>
  <c r="AA290" i="11"/>
  <c r="Z290" i="11"/>
  <c r="Y290" i="11"/>
  <c r="X290" i="11"/>
  <c r="W290" i="11"/>
  <c r="V290" i="11"/>
  <c r="U290" i="11"/>
  <c r="T290" i="11"/>
  <c r="S290" i="11"/>
  <c r="DG289" i="11"/>
  <c r="DI289" i="11" s="1"/>
  <c r="DJ289" i="11" s="1"/>
  <c r="DD289" i="11"/>
  <c r="DC289" i="11"/>
  <c r="BP289" i="11"/>
  <c r="BK289" i="11"/>
  <c r="BC289" i="11"/>
  <c r="BB289" i="11"/>
  <c r="BA289" i="11"/>
  <c r="AZ289" i="11"/>
  <c r="AY289" i="11"/>
  <c r="AW289" i="11"/>
  <c r="AV289" i="11"/>
  <c r="AU289" i="11"/>
  <c r="AT289" i="11"/>
  <c r="AS289" i="11"/>
  <c r="AQ289" i="11"/>
  <c r="AP289" i="11"/>
  <c r="AG289" i="11"/>
  <c r="AE289" i="11"/>
  <c r="AD289" i="11"/>
  <c r="AC289" i="11"/>
  <c r="AB289" i="11"/>
  <c r="AA289" i="11"/>
  <c r="Z289" i="11"/>
  <c r="Y289" i="11"/>
  <c r="X289" i="11"/>
  <c r="W289" i="11"/>
  <c r="V289" i="11"/>
  <c r="U289" i="11"/>
  <c r="T289" i="11"/>
  <c r="S289" i="11"/>
  <c r="DG288" i="11"/>
  <c r="DI288" i="11" s="1"/>
  <c r="DJ288" i="11" s="1"/>
  <c r="DD288" i="11"/>
  <c r="DC288" i="11"/>
  <c r="BP288" i="11"/>
  <c r="BK288" i="11"/>
  <c r="BC288" i="11"/>
  <c r="BB288" i="11"/>
  <c r="BA288" i="11"/>
  <c r="AZ288" i="11"/>
  <c r="AY288" i="11"/>
  <c r="AW288" i="11"/>
  <c r="AV288" i="11"/>
  <c r="AU288" i="11"/>
  <c r="AT288" i="11"/>
  <c r="AS288" i="11"/>
  <c r="AQ288" i="11"/>
  <c r="AP288" i="11"/>
  <c r="AG288" i="11"/>
  <c r="AE288" i="11"/>
  <c r="AD288" i="11"/>
  <c r="AC288" i="11"/>
  <c r="AB288" i="11"/>
  <c r="AA288" i="11"/>
  <c r="Z288" i="11"/>
  <c r="Y288" i="11"/>
  <c r="X288" i="11"/>
  <c r="W288" i="11"/>
  <c r="V288" i="11"/>
  <c r="U288" i="11"/>
  <c r="T288" i="11"/>
  <c r="S288" i="11"/>
  <c r="DG287" i="11"/>
  <c r="DI287" i="11" s="1"/>
  <c r="DJ287" i="11" s="1"/>
  <c r="DD287" i="11"/>
  <c r="DC287" i="11"/>
  <c r="BP287" i="11"/>
  <c r="BK287" i="11"/>
  <c r="BC287" i="11"/>
  <c r="BB287" i="11"/>
  <c r="BA287" i="11"/>
  <c r="AZ287" i="11"/>
  <c r="AY287" i="11"/>
  <c r="AW287" i="11"/>
  <c r="AV287" i="11"/>
  <c r="AU287" i="11"/>
  <c r="AT287" i="11"/>
  <c r="AS287" i="11"/>
  <c r="AQ287" i="11"/>
  <c r="AP287" i="11"/>
  <c r="AG287" i="11"/>
  <c r="AE287" i="11"/>
  <c r="AD287" i="11"/>
  <c r="AC287" i="11"/>
  <c r="AB287" i="11"/>
  <c r="AA287" i="11"/>
  <c r="Z287" i="11"/>
  <c r="Y287" i="11"/>
  <c r="X287" i="11"/>
  <c r="W287" i="11"/>
  <c r="V287" i="11"/>
  <c r="U287" i="11"/>
  <c r="T287" i="11"/>
  <c r="S287" i="11"/>
  <c r="DG286" i="11"/>
  <c r="DI286" i="11" s="1"/>
  <c r="DJ286" i="11" s="1"/>
  <c r="DD286" i="11"/>
  <c r="DC286" i="11"/>
  <c r="BP286" i="11"/>
  <c r="BK286" i="11"/>
  <c r="BC286" i="11"/>
  <c r="BB286" i="11"/>
  <c r="BA286" i="11"/>
  <c r="AZ286" i="11"/>
  <c r="AY286" i="11"/>
  <c r="AW286" i="11"/>
  <c r="AV286" i="11"/>
  <c r="AU286" i="11"/>
  <c r="AT286" i="11"/>
  <c r="AS286" i="11"/>
  <c r="AQ286" i="11"/>
  <c r="AP286" i="11"/>
  <c r="AG286" i="11"/>
  <c r="AE286" i="11"/>
  <c r="AD286" i="11"/>
  <c r="AC286" i="11"/>
  <c r="AB286" i="11"/>
  <c r="AA286" i="11"/>
  <c r="Z286" i="11"/>
  <c r="Y286" i="11"/>
  <c r="X286" i="11"/>
  <c r="W286" i="11"/>
  <c r="V286" i="11"/>
  <c r="U286" i="11"/>
  <c r="T286" i="11"/>
  <c r="S286" i="11"/>
  <c r="DF280" i="11"/>
  <c r="DD280" i="11"/>
  <c r="BQ280" i="11"/>
  <c r="BQ279" i="11"/>
  <c r="BK278" i="11"/>
  <c r="DF277" i="11"/>
  <c r="DD277" i="11"/>
  <c r="BK277" i="11"/>
  <c r="DF276" i="11"/>
  <c r="DD276" i="11"/>
  <c r="DF275" i="11"/>
  <c r="DD275" i="11"/>
  <c r="DF274" i="11"/>
  <c r="DD274" i="11"/>
  <c r="DF273" i="11"/>
  <c r="DD273" i="11"/>
  <c r="DF272" i="11"/>
  <c r="DD272" i="11"/>
  <c r="AV266" i="11"/>
  <c r="AW266" i="11" s="1"/>
  <c r="AX266" i="11" s="1"/>
  <c r="AY266" i="11" s="1"/>
  <c r="AZ266" i="11" s="1"/>
  <c r="DF264" i="11"/>
  <c r="DD264" i="11"/>
  <c r="AZ263" i="11"/>
  <c r="AY263" i="11"/>
  <c r="AX263" i="11"/>
  <c r="AW263" i="11"/>
  <c r="AV263" i="11"/>
  <c r="BK252" i="11" s="1"/>
  <c r="AZ262" i="11"/>
  <c r="AY262" i="11"/>
  <c r="AX262" i="11"/>
  <c r="AW262" i="11"/>
  <c r="AV262" i="11"/>
  <c r="AZ261" i="11"/>
  <c r="AY261" i="11"/>
  <c r="AX261" i="11"/>
  <c r="AW261" i="11"/>
  <c r="AV261" i="11"/>
  <c r="AZ260" i="11"/>
  <c r="AY260" i="11"/>
  <c r="AX260" i="11"/>
  <c r="AW260" i="11"/>
  <c r="AV260" i="11"/>
  <c r="AZ259" i="11"/>
  <c r="AY259" i="11"/>
  <c r="AX259" i="11"/>
  <c r="AW259" i="11"/>
  <c r="AV259" i="11"/>
  <c r="AZ258" i="11"/>
  <c r="AY258" i="11"/>
  <c r="AX258" i="11"/>
  <c r="AW258" i="11"/>
  <c r="AV258" i="11"/>
  <c r="AZ257" i="11"/>
  <c r="AY257" i="11"/>
  <c r="AX257" i="11"/>
  <c r="AW257" i="11"/>
  <c r="AV257" i="11"/>
  <c r="AZ256" i="11"/>
  <c r="AY256" i="11"/>
  <c r="AX256" i="11"/>
  <c r="AW256" i="11"/>
  <c r="AV256" i="11"/>
  <c r="AZ255" i="11"/>
  <c r="AY255" i="11"/>
  <c r="AX255" i="11"/>
  <c r="AW255" i="11"/>
  <c r="AV255" i="11"/>
  <c r="BK244" i="11" s="1"/>
  <c r="AZ254" i="11"/>
  <c r="BG255" i="11" s="1"/>
  <c r="AY254" i="11"/>
  <c r="BK242" i="11" s="1"/>
  <c r="AX254" i="11"/>
  <c r="BG253" i="11" s="1"/>
  <c r="AW254" i="11"/>
  <c r="BG252" i="11" s="1"/>
  <c r="AV254" i="11"/>
  <c r="BG239" i="11" s="1"/>
  <c r="BK251" i="11"/>
  <c r="AV246" i="11"/>
  <c r="BX238" i="11"/>
  <c r="BX237" i="11"/>
  <c r="BN236" i="11"/>
  <c r="CQ236" i="11" s="1"/>
  <c r="CP236" i="11" s="1"/>
  <c r="BF236" i="11"/>
  <c r="BN235" i="11"/>
  <c r="CQ235" i="11" s="1"/>
  <c r="CP235" i="11" s="1"/>
  <c r="BF235" i="11"/>
  <c r="BN234" i="11"/>
  <c r="CQ234" i="11" s="1"/>
  <c r="CP234" i="11" s="1"/>
  <c r="BF234" i="11"/>
  <c r="BN233" i="11"/>
  <c r="CQ233" i="11" s="1"/>
  <c r="CP233" i="11" s="1"/>
  <c r="BG233" i="11"/>
  <c r="BF233" i="11"/>
  <c r="BN232" i="11"/>
  <c r="CQ232" i="11" s="1"/>
  <c r="CP232" i="11" s="1"/>
  <c r="BF232" i="11"/>
  <c r="BN231" i="11"/>
  <c r="CQ231" i="11" s="1"/>
  <c r="CP231" i="11" s="1"/>
  <c r="BF231" i="11"/>
  <c r="BN230" i="11"/>
  <c r="CQ230" i="11" s="1"/>
  <c r="BM230" i="11"/>
  <c r="CO230" i="11" s="1"/>
  <c r="BF230" i="11"/>
  <c r="BN229" i="11"/>
  <c r="CQ229" i="11" s="1"/>
  <c r="BM229" i="11"/>
  <c r="CO229" i="11" s="1"/>
  <c r="BG229" i="11"/>
  <c r="BF229" i="11"/>
  <c r="BN228" i="11"/>
  <c r="CQ228" i="11" s="1"/>
  <c r="CP228" i="11" s="1"/>
  <c r="BF228" i="11"/>
  <c r="BF227" i="11"/>
  <c r="BN226" i="11"/>
  <c r="CQ226" i="11" s="1"/>
  <c r="BM226" i="11"/>
  <c r="CO226" i="11" s="1"/>
  <c r="BK226" i="11"/>
  <c r="BF226" i="11" s="1"/>
  <c r="BN225" i="11"/>
  <c r="CQ225" i="11" s="1"/>
  <c r="BM225" i="11"/>
  <c r="CO225" i="11" s="1"/>
  <c r="BK225" i="11"/>
  <c r="BF225" i="11" s="1"/>
  <c r="BN224" i="11"/>
  <c r="CQ224" i="11" s="1"/>
  <c r="BM224" i="11"/>
  <c r="CO224" i="11" s="1"/>
  <c r="BK224" i="11"/>
  <c r="BF224" i="11" s="1"/>
  <c r="BN223" i="11"/>
  <c r="CQ223" i="11" s="1"/>
  <c r="BM223" i="11"/>
  <c r="CO223" i="11" s="1"/>
  <c r="BK223" i="11"/>
  <c r="BG223" i="11"/>
  <c r="BF223" i="11"/>
  <c r="BN222" i="11"/>
  <c r="CQ222" i="11" s="1"/>
  <c r="BM222" i="11"/>
  <c r="CO222" i="11" s="1"/>
  <c r="BK222" i="11"/>
  <c r="BF222" i="11" s="1"/>
  <c r="BK221" i="11"/>
  <c r="BF221" i="11" s="1"/>
  <c r="BX220" i="11"/>
  <c r="BK220" i="11"/>
  <c r="BK218" i="11"/>
  <c r="BG198" i="11"/>
  <c r="BK198" i="11" s="1"/>
  <c r="BF198" i="11"/>
  <c r="BE198" i="11"/>
  <c r="BD198" i="11"/>
  <c r="BG197" i="11"/>
  <c r="BK197" i="11" s="1"/>
  <c r="BF197" i="11"/>
  <c r="BE197" i="11"/>
  <c r="BD197" i="11"/>
  <c r="BK190" i="11"/>
  <c r="BK162" i="11"/>
  <c r="BK161" i="11"/>
  <c r="BK160" i="11"/>
  <c r="BK159" i="11"/>
  <c r="CI143" i="11"/>
  <c r="CC143" i="11"/>
  <c r="BW143" i="11"/>
  <c r="BQ143" i="11"/>
  <c r="CI142" i="11"/>
  <c r="CC142" i="11"/>
  <c r="BW142" i="11"/>
  <c r="BQ142" i="11"/>
  <c r="BK142" i="11"/>
  <c r="CI141" i="11"/>
  <c r="CC141" i="11"/>
  <c r="BW141" i="11"/>
  <c r="BQ141" i="11"/>
  <c r="CI140" i="11"/>
  <c r="CC140" i="11"/>
  <c r="BW140" i="11"/>
  <c r="BQ140" i="11"/>
  <c r="CI139" i="11"/>
  <c r="CC139" i="11"/>
  <c r="BW139" i="11"/>
  <c r="BQ139" i="11"/>
  <c r="CI138" i="11"/>
  <c r="CC138" i="11"/>
  <c r="BW138" i="11"/>
  <c r="BQ138" i="11"/>
  <c r="CI137" i="11"/>
  <c r="CC137" i="11"/>
  <c r="BW137" i="11"/>
  <c r="BQ137" i="11"/>
  <c r="CI136" i="11"/>
  <c r="CC136" i="11"/>
  <c r="BW136" i="11"/>
  <c r="BQ136" i="11"/>
  <c r="AE26" i="11" s="1"/>
  <c r="CI135" i="11"/>
  <c r="CC135" i="11"/>
  <c r="BW135" i="11"/>
  <c r="BQ135" i="11"/>
  <c r="CI134" i="11"/>
  <c r="CC134" i="11"/>
  <c r="BW134" i="11"/>
  <c r="BQ134" i="11"/>
  <c r="CI133" i="11"/>
  <c r="CC133" i="11"/>
  <c r="BW133" i="11"/>
  <c r="BQ133" i="11"/>
  <c r="CI132" i="11"/>
  <c r="CC132" i="11"/>
  <c r="BW132" i="11"/>
  <c r="BQ132" i="11"/>
  <c r="CI131" i="11"/>
  <c r="CC131" i="11"/>
  <c r="BW131" i="11"/>
  <c r="BQ131" i="11"/>
  <c r="CI130" i="11"/>
  <c r="CC130" i="11"/>
  <c r="BW130" i="11"/>
  <c r="BQ130" i="11"/>
  <c r="CI129" i="11"/>
  <c r="CC129" i="11"/>
  <c r="BW129" i="11"/>
  <c r="BQ129" i="11"/>
  <c r="CI128" i="11"/>
  <c r="CC128" i="11"/>
  <c r="BW128" i="11"/>
  <c r="BQ128" i="11"/>
  <c r="CI127" i="11"/>
  <c r="CC127" i="11"/>
  <c r="BW127" i="11"/>
  <c r="BQ127" i="11"/>
  <c r="CI126" i="11"/>
  <c r="CC126" i="11"/>
  <c r="BW126" i="11"/>
  <c r="BQ126" i="11"/>
  <c r="CI121" i="11"/>
  <c r="CC121" i="11"/>
  <c r="BW121" i="11"/>
  <c r="BQ121" i="11"/>
  <c r="CI120" i="11"/>
  <c r="CC120" i="11"/>
  <c r="BW120" i="11"/>
  <c r="BQ120" i="11"/>
  <c r="CI119" i="11"/>
  <c r="CC119" i="11"/>
  <c r="BW119" i="11"/>
  <c r="BQ119" i="11"/>
  <c r="CI118" i="11"/>
  <c r="CC118" i="11"/>
  <c r="BW118" i="11"/>
  <c r="BQ118" i="11"/>
  <c r="CI117" i="11"/>
  <c r="CC117" i="11"/>
  <c r="BW117" i="11"/>
  <c r="BQ117" i="11"/>
  <c r="CI116" i="11"/>
  <c r="CC116" i="11"/>
  <c r="BW116" i="11"/>
  <c r="BQ116" i="11"/>
  <c r="CI115" i="11"/>
  <c r="CC115" i="11"/>
  <c r="BW115" i="11"/>
  <c r="BQ115" i="11"/>
  <c r="CI114" i="11"/>
  <c r="CC114" i="11"/>
  <c r="BW114" i="11"/>
  <c r="BQ114" i="11"/>
  <c r="CI113" i="11"/>
  <c r="CC113" i="11"/>
  <c r="BW113" i="11"/>
  <c r="BQ113" i="11"/>
  <c r="CI112" i="11"/>
  <c r="CC112" i="11"/>
  <c r="BW112" i="11"/>
  <c r="BQ112" i="11"/>
  <c r="CI111" i="11"/>
  <c r="CC111" i="11"/>
  <c r="BW111" i="11"/>
  <c r="BQ111" i="11"/>
  <c r="CI110" i="11"/>
  <c r="CC110" i="11"/>
  <c r="BW110" i="11"/>
  <c r="BQ110" i="11"/>
  <c r="CI109" i="11"/>
  <c r="CC109" i="11"/>
  <c r="BW109" i="11"/>
  <c r="BQ109" i="11"/>
  <c r="CI104" i="11"/>
  <c r="CC104" i="11"/>
  <c r="BW104" i="11"/>
  <c r="BQ104" i="11"/>
  <c r="CI103" i="11"/>
  <c r="CC103" i="11"/>
  <c r="BW103" i="11"/>
  <c r="BQ103" i="11"/>
  <c r="CI102" i="11"/>
  <c r="CC102" i="11"/>
  <c r="BW102" i="11"/>
  <c r="BQ102" i="11"/>
  <c r="CI101" i="11"/>
  <c r="CC101" i="11"/>
  <c r="BW101" i="11"/>
  <c r="BQ101" i="11"/>
  <c r="CI100" i="11"/>
  <c r="CC100" i="11"/>
  <c r="BW100" i="11"/>
  <c r="BQ100" i="11"/>
  <c r="CI99" i="11"/>
  <c r="CC99" i="11"/>
  <c r="BW99" i="11"/>
  <c r="BQ99" i="11"/>
  <c r="CI98" i="11"/>
  <c r="CC98" i="11"/>
  <c r="BW98" i="11"/>
  <c r="BQ98" i="11"/>
  <c r="CI97" i="11"/>
  <c r="CC97" i="11"/>
  <c r="BW97" i="11"/>
  <c r="BQ97" i="11"/>
  <c r="CI96" i="11"/>
  <c r="CC96" i="11"/>
  <c r="BW96" i="11"/>
  <c r="BQ96" i="11"/>
  <c r="CI95" i="11"/>
  <c r="CC95" i="11"/>
  <c r="BW95" i="11"/>
  <c r="BQ95" i="11"/>
  <c r="CI94" i="11"/>
  <c r="CC94" i="11"/>
  <c r="BW94" i="11"/>
  <c r="BQ94" i="11"/>
  <c r="CI93" i="11"/>
  <c r="CC93" i="11"/>
  <c r="BW93" i="11"/>
  <c r="BQ93" i="11"/>
  <c r="CI92" i="11"/>
  <c r="CC92" i="11"/>
  <c r="BW92" i="11"/>
  <c r="BQ92" i="11"/>
  <c r="CI91" i="11"/>
  <c r="CC91" i="11"/>
  <c r="BW91" i="11"/>
  <c r="BQ91" i="11"/>
  <c r="CI90" i="11"/>
  <c r="CC90" i="11"/>
  <c r="BW90" i="11"/>
  <c r="BQ90" i="11"/>
  <c r="CI89" i="11"/>
  <c r="CC89" i="11"/>
  <c r="BW89" i="11"/>
  <c r="BQ89" i="11"/>
  <c r="CI88" i="11"/>
  <c r="CC88" i="11"/>
  <c r="BW88" i="11"/>
  <c r="BQ88" i="11"/>
  <c r="CI87" i="11"/>
  <c r="CC87" i="11"/>
  <c r="BW87" i="11"/>
  <c r="BQ87" i="11"/>
  <c r="CI86" i="11"/>
  <c r="CC86" i="11"/>
  <c r="BW86" i="11"/>
  <c r="BQ86" i="11"/>
  <c r="CI85" i="11"/>
  <c r="CC85" i="11"/>
  <c r="BW85" i="11"/>
  <c r="BQ85" i="11"/>
  <c r="CI84" i="11"/>
  <c r="CC84" i="11"/>
  <c r="BW84" i="11"/>
  <c r="BQ84" i="11"/>
  <c r="CI83" i="11"/>
  <c r="CC83" i="11"/>
  <c r="BW83" i="11"/>
  <c r="BQ83" i="11"/>
  <c r="CI82" i="11"/>
  <c r="CC82" i="11"/>
  <c r="BW82" i="11"/>
  <c r="BQ82" i="11"/>
  <c r="CI81" i="11"/>
  <c r="CC81" i="11"/>
  <c r="BW81" i="11"/>
  <c r="BQ81" i="11"/>
  <c r="CI80" i="11"/>
  <c r="CC80" i="11"/>
  <c r="BW80" i="11"/>
  <c r="BQ80" i="11"/>
  <c r="AG65" i="11"/>
  <c r="Y61" i="11"/>
  <c r="X61" i="11"/>
  <c r="R61" i="11"/>
  <c r="W61" i="11" s="1"/>
  <c r="Q61" i="11"/>
  <c r="Z61" i="11" s="1"/>
  <c r="D61" i="11"/>
  <c r="Y60" i="11"/>
  <c r="X60" i="11"/>
  <c r="R60" i="11"/>
  <c r="W60" i="11" s="1"/>
  <c r="Q60" i="11"/>
  <c r="Z60" i="11" s="1"/>
  <c r="D60" i="11"/>
  <c r="Y59" i="11"/>
  <c r="X59" i="11"/>
  <c r="R59" i="11"/>
  <c r="W59" i="11" s="1"/>
  <c r="Q59" i="11"/>
  <c r="Z59" i="11" s="1"/>
  <c r="D59" i="11"/>
  <c r="Y58" i="11"/>
  <c r="X58" i="11"/>
  <c r="R58" i="11"/>
  <c r="W58" i="11" s="1"/>
  <c r="Q58" i="11"/>
  <c r="Z58" i="11" s="1"/>
  <c r="D58" i="11"/>
  <c r="Y57" i="11"/>
  <c r="X57" i="11"/>
  <c r="R57" i="11"/>
  <c r="W57" i="11" s="1"/>
  <c r="Q57" i="11"/>
  <c r="Z57" i="11" s="1"/>
  <c r="D57" i="11"/>
  <c r="Y56" i="11"/>
  <c r="X56" i="11"/>
  <c r="R56" i="11"/>
  <c r="W56" i="11" s="1"/>
  <c r="Q56" i="11"/>
  <c r="Z56" i="11" s="1"/>
  <c r="D56" i="11"/>
  <c r="Y54" i="11"/>
  <c r="X54" i="11"/>
  <c r="R54" i="11"/>
  <c r="W54" i="11" s="1"/>
  <c r="Q54" i="11"/>
  <c r="D54" i="11"/>
  <c r="BH43" i="11"/>
  <c r="AX41" i="11"/>
  <c r="Y41" i="11"/>
  <c r="X41" i="11"/>
  <c r="R41" i="11"/>
  <c r="W41" i="11" s="1"/>
  <c r="AO41" i="11" s="1"/>
  <c r="Q41" i="11"/>
  <c r="BB41" i="11" s="1"/>
  <c r="BC41" i="11" s="1"/>
  <c r="D41" i="11"/>
  <c r="BH40" i="11"/>
  <c r="BH39" i="11"/>
  <c r="AT34" i="11"/>
  <c r="AS34" i="11"/>
  <c r="R34" i="11"/>
  <c r="W34" i="11" s="1"/>
  <c r="AO34" i="11" s="1"/>
  <c r="Q34" i="11"/>
  <c r="BB34" i="11" s="1"/>
  <c r="BC34" i="11" s="1"/>
  <c r="BE34" i="11" s="1"/>
  <c r="D34" i="11"/>
  <c r="AT33" i="11"/>
  <c r="AS33" i="11"/>
  <c r="R33" i="11"/>
  <c r="W33" i="11" s="1"/>
  <c r="AO33" i="11" s="1"/>
  <c r="Q33" i="11"/>
  <c r="D33" i="11"/>
  <c r="AT32" i="11"/>
  <c r="AS32" i="11"/>
  <c r="R32" i="11"/>
  <c r="W32" i="11" s="1"/>
  <c r="AO32" i="11" s="1"/>
  <c r="Q32" i="11"/>
  <c r="BB32" i="11" s="1"/>
  <c r="BC32" i="11" s="1"/>
  <c r="BE32" i="11" s="1"/>
  <c r="D32" i="11"/>
  <c r="AT31" i="11"/>
  <c r="AS31" i="11"/>
  <c r="R31" i="11"/>
  <c r="W31" i="11" s="1"/>
  <c r="AO31" i="11" s="1"/>
  <c r="Q31" i="11"/>
  <c r="D31" i="11"/>
  <c r="AT30" i="11"/>
  <c r="AS30" i="11"/>
  <c r="R30" i="11"/>
  <c r="W30" i="11" s="1"/>
  <c r="AO30" i="11" s="1"/>
  <c r="Q30" i="11"/>
  <c r="BB30" i="11" s="1"/>
  <c r="BC30" i="11" s="1"/>
  <c r="BE30" i="11" s="1"/>
  <c r="D30" i="11"/>
  <c r="AT29" i="11"/>
  <c r="AS29" i="11"/>
  <c r="AM29" i="11"/>
  <c r="R29" i="11"/>
  <c r="W29" i="11" s="1"/>
  <c r="AO29" i="11" s="1"/>
  <c r="Q29" i="11"/>
  <c r="D29" i="11"/>
  <c r="AM27" i="11"/>
  <c r="AL27" i="11"/>
  <c r="AF27" i="11"/>
  <c r="AE27" i="11"/>
  <c r="Y27" i="11"/>
  <c r="X27" i="11"/>
  <c r="R27" i="11"/>
  <c r="W27" i="11" s="1"/>
  <c r="Q27" i="11"/>
  <c r="AV27" i="11" s="1"/>
  <c r="D27" i="11"/>
  <c r="AM26" i="11"/>
  <c r="AL26" i="11"/>
  <c r="AF26" i="11"/>
  <c r="Y26" i="11"/>
  <c r="X26" i="11"/>
  <c r="R26" i="11"/>
  <c r="W26" i="11" s="1"/>
  <c r="Q26" i="11"/>
  <c r="AV26" i="11" s="1"/>
  <c r="D26" i="11"/>
  <c r="AM25" i="11"/>
  <c r="AL25" i="11"/>
  <c r="AF25" i="11"/>
  <c r="AE25" i="11"/>
  <c r="Y25" i="11"/>
  <c r="X25" i="11"/>
  <c r="R25" i="11"/>
  <c r="W25" i="11" s="1"/>
  <c r="Q25" i="11"/>
  <c r="AV25" i="11" s="1"/>
  <c r="D25" i="11"/>
  <c r="AM24" i="11"/>
  <c r="AL24" i="11"/>
  <c r="AF24" i="11"/>
  <c r="AE24" i="11"/>
  <c r="Y24" i="11"/>
  <c r="X24" i="11"/>
  <c r="R24" i="11"/>
  <c r="W24" i="11" s="1"/>
  <c r="Q24" i="11"/>
  <c r="AV24" i="11" s="1"/>
  <c r="D24" i="11"/>
  <c r="AM23" i="11"/>
  <c r="AL23" i="11"/>
  <c r="AF23" i="11"/>
  <c r="AE23" i="11"/>
  <c r="Y23" i="11"/>
  <c r="X23" i="11"/>
  <c r="R23" i="11"/>
  <c r="W23" i="11" s="1"/>
  <c r="Q23" i="11"/>
  <c r="BB23" i="11" s="1"/>
  <c r="D23" i="11"/>
  <c r="AM22" i="11"/>
  <c r="AL22" i="11"/>
  <c r="AF22" i="11"/>
  <c r="AE22" i="11"/>
  <c r="Y22" i="11"/>
  <c r="X22" i="11"/>
  <c r="R22" i="11"/>
  <c r="W22" i="11" s="1"/>
  <c r="Q22" i="11"/>
  <c r="AV22" i="11" s="1"/>
  <c r="D22" i="11"/>
  <c r="AM21" i="11"/>
  <c r="AL21" i="11"/>
  <c r="AF21" i="11"/>
  <c r="AE21" i="11"/>
  <c r="Y21" i="11"/>
  <c r="X21" i="11"/>
  <c r="R21" i="11"/>
  <c r="W21" i="11" s="1"/>
  <c r="Q21" i="11"/>
  <c r="AV21" i="11" s="1"/>
  <c r="D21" i="11"/>
  <c r="AM20" i="11"/>
  <c r="AL20" i="11"/>
  <c r="AF20" i="11"/>
  <c r="AE20" i="11"/>
  <c r="Y20" i="11"/>
  <c r="X20" i="11"/>
  <c r="R20" i="11"/>
  <c r="W20" i="11" s="1"/>
  <c r="Q20" i="11"/>
  <c r="AV20" i="11" s="1"/>
  <c r="D20" i="11"/>
  <c r="AM19" i="11"/>
  <c r="AL19" i="11"/>
  <c r="AF19" i="11"/>
  <c r="AE19" i="11"/>
  <c r="Y19" i="11"/>
  <c r="X19" i="11"/>
  <c r="R19" i="11"/>
  <c r="W19" i="11" s="1"/>
  <c r="Q19" i="11"/>
  <c r="BB19" i="11" s="1"/>
  <c r="D19" i="11"/>
  <c r="AM18" i="11"/>
  <c r="AL18" i="11"/>
  <c r="AF18" i="11"/>
  <c r="AE18" i="11"/>
  <c r="Y18" i="11"/>
  <c r="X18" i="11"/>
  <c r="R18" i="11"/>
  <c r="W18" i="11" s="1"/>
  <c r="Q18" i="11"/>
  <c r="BB18" i="11" s="1"/>
  <c r="D18" i="11"/>
  <c r="AM17" i="11"/>
  <c r="AL17" i="11"/>
  <c r="AF17" i="11"/>
  <c r="AE17" i="11"/>
  <c r="Y17" i="11"/>
  <c r="X17" i="11"/>
  <c r="R17" i="11"/>
  <c r="W17" i="11" s="1"/>
  <c r="Q17" i="11"/>
  <c r="BB17" i="11" s="1"/>
  <c r="D17" i="11"/>
  <c r="BK240" i="11" l="1"/>
  <c r="AV36" i="13"/>
  <c r="BB40" i="13"/>
  <c r="AH338" i="14"/>
  <c r="BP338" i="14" s="1"/>
  <c r="AL60" i="14" s="1"/>
  <c r="AO60" i="14" s="1"/>
  <c r="AQ60" i="14" s="1"/>
  <c r="AH342" i="14"/>
  <c r="BP342" i="14" s="1"/>
  <c r="AH346" i="14"/>
  <c r="BP346" i="14" s="1"/>
  <c r="AH350" i="14"/>
  <c r="BP350" i="14" s="1"/>
  <c r="AH354" i="14"/>
  <c r="BP354" i="14" s="1"/>
  <c r="AO50" i="13"/>
  <c r="AA55" i="15"/>
  <c r="AJ18" i="15"/>
  <c r="AI18" i="15"/>
  <c r="AH334" i="14"/>
  <c r="BP334" i="14" s="1"/>
  <c r="AH344" i="14"/>
  <c r="BP344" i="14" s="1"/>
  <c r="AH348" i="14"/>
  <c r="BP348" i="14" s="1"/>
  <c r="AH352" i="14"/>
  <c r="BP352" i="14" s="1"/>
  <c r="BF354" i="14"/>
  <c r="BK354" i="14" s="1"/>
  <c r="AA93" i="14"/>
  <c r="CP324" i="11"/>
  <c r="CP327" i="11"/>
  <c r="CP235" i="12"/>
  <c r="DN330" i="12"/>
  <c r="DC330" i="12" s="1"/>
  <c r="CP336" i="12"/>
  <c r="CP338" i="12"/>
  <c r="CP339" i="12"/>
  <c r="AV33" i="11"/>
  <c r="BA255" i="11"/>
  <c r="BB256" i="11"/>
  <c r="BB258" i="11"/>
  <c r="BB260" i="11"/>
  <c r="BB262" i="11"/>
  <c r="DN320" i="11"/>
  <c r="DN332" i="12"/>
  <c r="AI47" i="14"/>
  <c r="BF47" i="14" s="1"/>
  <c r="AJ47" i="14"/>
  <c r="AP60" i="14"/>
  <c r="AB72" i="14"/>
  <c r="BF72" i="14" s="1"/>
  <c r="AC72" i="14"/>
  <c r="DN335" i="13"/>
  <c r="DC335" i="13" s="1"/>
  <c r="CP341" i="13"/>
  <c r="CP343" i="13"/>
  <c r="CP344" i="13"/>
  <c r="AH329" i="14"/>
  <c r="BP329" i="14" s="1"/>
  <c r="AH331" i="14"/>
  <c r="BP331" i="14" s="1"/>
  <c r="AH333" i="14"/>
  <c r="BP333" i="14" s="1"/>
  <c r="AH335" i="14"/>
  <c r="BP335" i="14" s="1"/>
  <c r="AH357" i="14"/>
  <c r="BP357" i="14" s="1"/>
  <c r="AH359" i="14"/>
  <c r="BP359" i="14" s="1"/>
  <c r="AL59" i="14" s="1"/>
  <c r="AO59" i="14" s="1"/>
  <c r="AH360" i="14"/>
  <c r="BP360" i="14" s="1"/>
  <c r="AH361" i="14"/>
  <c r="BP361" i="14" s="1"/>
  <c r="BF364" i="14"/>
  <c r="T62" i="14"/>
  <c r="AH356" i="14"/>
  <c r="BP356" i="14" s="1"/>
  <c r="AL62" i="14" s="1"/>
  <c r="AO62" i="14" s="1"/>
  <c r="AP62" i="14" s="1"/>
  <c r="BF356" i="14"/>
  <c r="BK356" i="14" s="1"/>
  <c r="AH358" i="14"/>
  <c r="BP358" i="14" s="1"/>
  <c r="BF362" i="14"/>
  <c r="AH337" i="14"/>
  <c r="BP337" i="14" s="1"/>
  <c r="AH339" i="14"/>
  <c r="BP339" i="14" s="1"/>
  <c r="AH341" i="14"/>
  <c r="BP341" i="14" s="1"/>
  <c r="AL56" i="14" s="1"/>
  <c r="AO56" i="14" s="1"/>
  <c r="AH330" i="14"/>
  <c r="BP330" i="14" s="1"/>
  <c r="BF330" i="14"/>
  <c r="BK330" i="14" s="1"/>
  <c r="AH332" i="14"/>
  <c r="BP332" i="14" s="1"/>
  <c r="AL55" i="14" s="1"/>
  <c r="AO55" i="14" s="1"/>
  <c r="BF332" i="14"/>
  <c r="BK332" i="14" s="1"/>
  <c r="AE55" i="14" s="1"/>
  <c r="AH55" i="14" s="1"/>
  <c r="BF334" i="14"/>
  <c r="BK334" i="14" s="1"/>
  <c r="BF335" i="14"/>
  <c r="BK335" i="14" s="1"/>
  <c r="AH336" i="14"/>
  <c r="BP336" i="14" s="1"/>
  <c r="BF337" i="14"/>
  <c r="BK337" i="14" s="1"/>
  <c r="BF338" i="14"/>
  <c r="BK338" i="14" s="1"/>
  <c r="AE60" i="14" s="1"/>
  <c r="AH60" i="14" s="1"/>
  <c r="AH340" i="14"/>
  <c r="BP340" i="14" s="1"/>
  <c r="BF340" i="14"/>
  <c r="BK340" i="14" s="1"/>
  <c r="BF342" i="14"/>
  <c r="BK342" i="14" s="1"/>
  <c r="BF344" i="14"/>
  <c r="BK344" i="14" s="1"/>
  <c r="BF346" i="14"/>
  <c r="BK346" i="14" s="1"/>
  <c r="BF348" i="14"/>
  <c r="BK348" i="14" s="1"/>
  <c r="BF350" i="14"/>
  <c r="BK350" i="14" s="1"/>
  <c r="BF352" i="14"/>
  <c r="BK352" i="14" s="1"/>
  <c r="BF358" i="14"/>
  <c r="BK358" i="14" s="1"/>
  <c r="BF363" i="14"/>
  <c r="AH343" i="14"/>
  <c r="BP343" i="14" s="1"/>
  <c r="AH345" i="14"/>
  <c r="BP345" i="14" s="1"/>
  <c r="AH347" i="14"/>
  <c r="BP347" i="14" s="1"/>
  <c r="AL58" i="14" s="1"/>
  <c r="AO58" i="14" s="1"/>
  <c r="AH349" i="14"/>
  <c r="BP349" i="14" s="1"/>
  <c r="AH351" i="14"/>
  <c r="BP351" i="14" s="1"/>
  <c r="AH353" i="14"/>
  <c r="BP353" i="14" s="1"/>
  <c r="AL57" i="14" s="1"/>
  <c r="AO57" i="14" s="1"/>
  <c r="AH355" i="14"/>
  <c r="BP355" i="14" s="1"/>
  <c r="BF329" i="14"/>
  <c r="BK329" i="14" s="1"/>
  <c r="BF331" i="14"/>
  <c r="BK331" i="14" s="1"/>
  <c r="BF333" i="14"/>
  <c r="BK333" i="14" s="1"/>
  <c r="BF336" i="14"/>
  <c r="BK336" i="14" s="1"/>
  <c r="BF339" i="14"/>
  <c r="BK339" i="14" s="1"/>
  <c r="BF341" i="14"/>
  <c r="BK341" i="14" s="1"/>
  <c r="AE56" i="14" s="1"/>
  <c r="AH56" i="14" s="1"/>
  <c r="BF343" i="14"/>
  <c r="BK343" i="14" s="1"/>
  <c r="BF345" i="14"/>
  <c r="BK345" i="14" s="1"/>
  <c r="BF347" i="14"/>
  <c r="BK347" i="14" s="1"/>
  <c r="AE58" i="14" s="1"/>
  <c r="AH58" i="14" s="1"/>
  <c r="BF349" i="14"/>
  <c r="BK349" i="14" s="1"/>
  <c r="BF351" i="14"/>
  <c r="BK351" i="14" s="1"/>
  <c r="BF353" i="14"/>
  <c r="BK353" i="14" s="1"/>
  <c r="AE57" i="14" s="1"/>
  <c r="AH57" i="14" s="1"/>
  <c r="BF355" i="14"/>
  <c r="BK355" i="14" s="1"/>
  <c r="BF357" i="14"/>
  <c r="BK357" i="14" s="1"/>
  <c r="BF359" i="14"/>
  <c r="BK359" i="14" s="1"/>
  <c r="AE59" i="14" s="1"/>
  <c r="AH59" i="14" s="1"/>
  <c r="BF360" i="14"/>
  <c r="BK360" i="14" s="1"/>
  <c r="BF361" i="14"/>
  <c r="BK361" i="14" s="1"/>
  <c r="CP326" i="11"/>
  <c r="AJ41" i="12"/>
  <c r="AI41" i="12"/>
  <c r="AI40" i="12"/>
  <c r="AJ40" i="12"/>
  <c r="AJ43" i="12"/>
  <c r="AI43" i="12"/>
  <c r="AJ42" i="12"/>
  <c r="AI42" i="12"/>
  <c r="AJ44" i="12"/>
  <c r="AI44" i="12"/>
  <c r="AJ45" i="12"/>
  <c r="AI45" i="12"/>
  <c r="AI47" i="12"/>
  <c r="AJ47" i="12"/>
  <c r="AI46" i="12"/>
  <c r="AJ46" i="12"/>
  <c r="AV55" i="12"/>
  <c r="AW50" i="12"/>
  <c r="AX50" i="12" s="1"/>
  <c r="BF50" i="12"/>
  <c r="AP41" i="12"/>
  <c r="AQ41" i="12"/>
  <c r="AP40" i="12"/>
  <c r="AQ40" i="12"/>
  <c r="AQ43" i="12"/>
  <c r="AP43" i="12"/>
  <c r="AQ42" i="12"/>
  <c r="AP42" i="12"/>
  <c r="AQ44" i="12"/>
  <c r="AP44" i="12"/>
  <c r="AQ45" i="12"/>
  <c r="AP45" i="12"/>
  <c r="AQ47" i="12"/>
  <c r="AP47" i="12"/>
  <c r="AP46" i="12"/>
  <c r="AQ46" i="12"/>
  <c r="BB49" i="13"/>
  <c r="BC49" i="13" s="1"/>
  <c r="BE49" i="13" s="1"/>
  <c r="Z49" i="13"/>
  <c r="C87" i="20"/>
  <c r="B43" i="20"/>
  <c r="B26" i="20"/>
  <c r="AI20" i="15"/>
  <c r="BF20" i="15" s="1"/>
  <c r="AJ20" i="15"/>
  <c r="I57" i="18"/>
  <c r="AV42" i="15"/>
  <c r="AI22" i="15"/>
  <c r="BF22" i="15" s="1"/>
  <c r="AJ22" i="15"/>
  <c r="BB39" i="15"/>
  <c r="BC39" i="15" s="1"/>
  <c r="BE39" i="15" s="1"/>
  <c r="AN39" i="15"/>
  <c r="AI17" i="15"/>
  <c r="CQ218" i="15"/>
  <c r="AG17" i="15"/>
  <c r="CQ227" i="15"/>
  <c r="CP227" i="15" s="1"/>
  <c r="W19" i="15" s="1"/>
  <c r="AG19" i="15"/>
  <c r="AI23" i="15"/>
  <c r="BF23" i="15" s="1"/>
  <c r="AJ23" i="15"/>
  <c r="DN312" i="15"/>
  <c r="DC312" i="15" s="1"/>
  <c r="AE18" i="14"/>
  <c r="AH18" i="14" s="1"/>
  <c r="AE17" i="14"/>
  <c r="AH17" i="14" s="1"/>
  <c r="AL18" i="14"/>
  <c r="AO18" i="14" s="1"/>
  <c r="AL17" i="14"/>
  <c r="AO17" i="14" s="1"/>
  <c r="AW52" i="13"/>
  <c r="I38" i="18"/>
  <c r="J24" i="18"/>
  <c r="BC42" i="11"/>
  <c r="J25" i="18" s="1"/>
  <c r="CP318" i="15"/>
  <c r="CP320" i="15"/>
  <c r="CP321" i="15"/>
  <c r="BE74" i="14"/>
  <c r="BC75" i="14"/>
  <c r="J51" i="18" s="1"/>
  <c r="J46" i="18"/>
  <c r="BE68" i="14"/>
  <c r="BC71" i="14"/>
  <c r="J50" i="18" s="1"/>
  <c r="BE61" i="14"/>
  <c r="CP217" i="15"/>
  <c r="W18" i="15" s="1"/>
  <c r="AO18" i="15" s="1"/>
  <c r="CP219" i="15"/>
  <c r="CP223" i="15"/>
  <c r="AV258" i="15"/>
  <c r="AX258" i="15"/>
  <c r="AZ259" i="15"/>
  <c r="BA257" i="15"/>
  <c r="BC257" i="15" s="1"/>
  <c r="BB250" i="15"/>
  <c r="CP266" i="14"/>
  <c r="CP268" i="14"/>
  <c r="CP272" i="14"/>
  <c r="BK284" i="14"/>
  <c r="BK288" i="14"/>
  <c r="AW308" i="14"/>
  <c r="AY308" i="14"/>
  <c r="BB302" i="14"/>
  <c r="BB304" i="14"/>
  <c r="BA305" i="14"/>
  <c r="BB306" i="14"/>
  <c r="DK366" i="14"/>
  <c r="CP371" i="14"/>
  <c r="W66" i="14" s="1"/>
  <c r="CP370" i="14"/>
  <c r="CP372" i="14"/>
  <c r="W65" i="14" s="1"/>
  <c r="CP373" i="14"/>
  <c r="CP367" i="14"/>
  <c r="AV29" i="13"/>
  <c r="AV33" i="13"/>
  <c r="AA73" i="13"/>
  <c r="AB73" i="13" s="1"/>
  <c r="AE73" i="13" s="1"/>
  <c r="CP239" i="13"/>
  <c r="CP241" i="13"/>
  <c r="CP243" i="13"/>
  <c r="CP247" i="13"/>
  <c r="AW282" i="13"/>
  <c r="AY282" i="13"/>
  <c r="BB272" i="13"/>
  <c r="BC272" i="13" s="1"/>
  <c r="BB274" i="13"/>
  <c r="BB276" i="13"/>
  <c r="BB278" i="13"/>
  <c r="BB280" i="13"/>
  <c r="DN337" i="13"/>
  <c r="CP342" i="13"/>
  <c r="CP237" i="12"/>
  <c r="CP241" i="12"/>
  <c r="AV25" i="12"/>
  <c r="S73" i="12"/>
  <c r="AW277" i="12"/>
  <c r="AY277" i="12"/>
  <c r="BB267" i="12"/>
  <c r="BB269" i="12"/>
  <c r="BB271" i="12"/>
  <c r="BB273" i="12"/>
  <c r="BB275" i="12"/>
  <c r="BA251" i="15"/>
  <c r="CP216" i="15"/>
  <c r="CP218" i="15"/>
  <c r="W17" i="15" s="1"/>
  <c r="AO17" i="15" s="1"/>
  <c r="CP220" i="15"/>
  <c r="CP224" i="15"/>
  <c r="CP315" i="15"/>
  <c r="CP316" i="15"/>
  <c r="CP317" i="15"/>
  <c r="CP319" i="15"/>
  <c r="CP265" i="14"/>
  <c r="CP267" i="14"/>
  <c r="CP269" i="14"/>
  <c r="CP273" i="14"/>
  <c r="CP368" i="14"/>
  <c r="CP369" i="14"/>
  <c r="CP338" i="13"/>
  <c r="CP339" i="13"/>
  <c r="CP340" i="13"/>
  <c r="CP240" i="13"/>
  <c r="CP242" i="13"/>
  <c r="CP246" i="13"/>
  <c r="CP234" i="12"/>
  <c r="CP236" i="12"/>
  <c r="CP238" i="12"/>
  <c r="CP242" i="12"/>
  <c r="BK252" i="12"/>
  <c r="CP333" i="12"/>
  <c r="CP334" i="12"/>
  <c r="CP335" i="12"/>
  <c r="CP337" i="12"/>
  <c r="DM298" i="12"/>
  <c r="CP321" i="11"/>
  <c r="CP222" i="11"/>
  <c r="CP224" i="11"/>
  <c r="CP226" i="11"/>
  <c r="CP230" i="11"/>
  <c r="BK247" i="11"/>
  <c r="CP322" i="11"/>
  <c r="CP223" i="11"/>
  <c r="CP225" i="11"/>
  <c r="CP229" i="11"/>
  <c r="CP323" i="11"/>
  <c r="CP325" i="11"/>
  <c r="BK249" i="11"/>
  <c r="DN318" i="11"/>
  <c r="DC318" i="11" s="1"/>
  <c r="BB252" i="15"/>
  <c r="BA253" i="15"/>
  <c r="BB254" i="15"/>
  <c r="BA255" i="15"/>
  <c r="AO33" i="15"/>
  <c r="AP33" i="15" s="1"/>
  <c r="BK233" i="15"/>
  <c r="BK235" i="15"/>
  <c r="AE21" i="15" s="1"/>
  <c r="AH21" i="15" s="1"/>
  <c r="BK237" i="15"/>
  <c r="AW259" i="15"/>
  <c r="AY259" i="15"/>
  <c r="BB256" i="15"/>
  <c r="AH33" i="15"/>
  <c r="AJ33" i="15" s="1"/>
  <c r="AN33" i="15"/>
  <c r="BB33" i="15"/>
  <c r="BC33" i="15" s="1"/>
  <c r="BE33" i="15" s="1"/>
  <c r="AH39" i="15"/>
  <c r="BA249" i="15"/>
  <c r="BA250" i="15"/>
  <c r="BC250" i="15" s="1"/>
  <c r="BB251" i="15"/>
  <c r="BC251" i="15" s="1"/>
  <c r="BA252" i="15"/>
  <c r="BB253" i="15"/>
  <c r="BA254" i="15"/>
  <c r="BC254" i="15" s="1"/>
  <c r="BB255" i="15"/>
  <c r="BC255" i="15" s="1"/>
  <c r="DN314" i="15"/>
  <c r="DK364" i="14"/>
  <c r="CZ364" i="14" s="1"/>
  <c r="S74" i="14"/>
  <c r="S95" i="14"/>
  <c r="BG295" i="14"/>
  <c r="AE46" i="14"/>
  <c r="AH46" i="14" s="1"/>
  <c r="BK283" i="14"/>
  <c r="BK285" i="14"/>
  <c r="BK295" i="14"/>
  <c r="AV307" i="14"/>
  <c r="AX307" i="14"/>
  <c r="AZ308" i="14"/>
  <c r="BB299" i="14"/>
  <c r="BA300" i="14"/>
  <c r="BB301" i="14"/>
  <c r="BA302" i="14"/>
  <c r="BC302" i="14" s="1"/>
  <c r="BB303" i="14"/>
  <c r="BA304" i="14"/>
  <c r="BB305" i="14"/>
  <c r="BA306" i="14"/>
  <c r="S46" i="14"/>
  <c r="S45" i="14"/>
  <c r="U53" i="14"/>
  <c r="AO64" i="14"/>
  <c r="AQ64" i="14" s="1"/>
  <c r="BB64" i="14"/>
  <c r="BC64" i="14" s="1"/>
  <c r="AN64" i="14"/>
  <c r="AH64" i="14"/>
  <c r="AI64" i="14" s="1"/>
  <c r="U45" i="14"/>
  <c r="U46" i="14"/>
  <c r="AH52" i="14"/>
  <c r="AI52" i="14" s="1"/>
  <c r="S53" i="14"/>
  <c r="AE53" i="14"/>
  <c r="AH53" i="14" s="1"/>
  <c r="AN61" i="14"/>
  <c r="AN62" i="14"/>
  <c r="BB62" i="14"/>
  <c r="BC62" i="14" s="1"/>
  <c r="BE62" i="14" s="1"/>
  <c r="AN66" i="14"/>
  <c r="AO68" i="14"/>
  <c r="AP68" i="14" s="1"/>
  <c r="U69" i="14"/>
  <c r="S91" i="14"/>
  <c r="S93" i="14"/>
  <c r="U95" i="14"/>
  <c r="AA96" i="14"/>
  <c r="AC96" i="14" s="1"/>
  <c r="S97" i="14"/>
  <c r="BC304" i="14"/>
  <c r="AO66" i="14"/>
  <c r="AH66" i="14"/>
  <c r="AJ66" i="14" s="1"/>
  <c r="S69" i="14"/>
  <c r="AO70" i="14"/>
  <c r="AP70" i="14" s="1"/>
  <c r="U74" i="14"/>
  <c r="U91" i="14"/>
  <c r="U93" i="14"/>
  <c r="AA94" i="14"/>
  <c r="AB94" i="14" s="1"/>
  <c r="AE94" i="14" s="1"/>
  <c r="U97" i="14"/>
  <c r="AA98" i="14"/>
  <c r="AC98" i="14" s="1"/>
  <c r="BA298" i="14"/>
  <c r="BA299" i="14"/>
  <c r="BC299" i="14" s="1"/>
  <c r="BB300" i="14"/>
  <c r="BA301" i="14"/>
  <c r="BC301" i="14" s="1"/>
  <c r="BA303" i="14"/>
  <c r="DI339" i="14"/>
  <c r="DI340" i="14"/>
  <c r="DI341" i="14"/>
  <c r="DI350" i="14"/>
  <c r="DI351" i="14"/>
  <c r="DI352" i="14"/>
  <c r="DI356" i="14"/>
  <c r="DI357" i="14"/>
  <c r="DI358" i="14"/>
  <c r="AA71" i="13"/>
  <c r="AB71" i="13" s="1"/>
  <c r="AE71" i="13" s="1"/>
  <c r="S24" i="13"/>
  <c r="S35" i="13"/>
  <c r="BK259" i="13"/>
  <c r="AV281" i="13"/>
  <c r="AG17" i="13"/>
  <c r="AH38" i="13"/>
  <c r="AI38" i="13" s="1"/>
  <c r="AH51" i="13"/>
  <c r="AI51" i="13" s="1"/>
  <c r="S75" i="13"/>
  <c r="BK257" i="13"/>
  <c r="BG269" i="13"/>
  <c r="AX281" i="13"/>
  <c r="AZ281" i="13"/>
  <c r="S21" i="13"/>
  <c r="S22" i="13"/>
  <c r="S26" i="13"/>
  <c r="AV31" i="13"/>
  <c r="S31" i="13"/>
  <c r="AV38" i="13"/>
  <c r="AW38" i="13" s="1"/>
  <c r="AH47" i="13"/>
  <c r="AI47" i="13" s="1"/>
  <c r="S47" i="13"/>
  <c r="S57" i="13"/>
  <c r="AV17" i="13"/>
  <c r="AV28" i="13" s="1"/>
  <c r="I36" i="18" s="1"/>
  <c r="AA18" i="13"/>
  <c r="AC18" i="13" s="1"/>
  <c r="U23" i="13"/>
  <c r="U25" i="13"/>
  <c r="U27" i="13"/>
  <c r="BB29" i="13"/>
  <c r="BC29" i="13" s="1"/>
  <c r="BE29" i="13" s="1"/>
  <c r="AV30" i="13"/>
  <c r="U33" i="13"/>
  <c r="AV34" i="13"/>
  <c r="U36" i="13"/>
  <c r="AA37" i="13"/>
  <c r="AB37" i="13" s="1"/>
  <c r="AO37" i="13"/>
  <c r="AP37" i="13" s="1"/>
  <c r="AA39" i="13"/>
  <c r="AB39" i="13" s="1"/>
  <c r="AO39" i="13"/>
  <c r="AP39" i="13" s="1"/>
  <c r="AH48" i="13"/>
  <c r="AI48" i="13" s="1"/>
  <c r="U49" i="13"/>
  <c r="U50" i="13"/>
  <c r="AA17" i="13"/>
  <c r="AB17" i="13" s="1"/>
  <c r="AO17" i="13"/>
  <c r="AG18" i="13"/>
  <c r="AA19" i="13"/>
  <c r="AC19" i="13" s="1"/>
  <c r="U22" i="13"/>
  <c r="S23" i="13"/>
  <c r="U24" i="13"/>
  <c r="S25" i="13"/>
  <c r="U26" i="13"/>
  <c r="S27" i="13"/>
  <c r="AU29" i="13"/>
  <c r="U31" i="13"/>
  <c r="AV32" i="13"/>
  <c r="S33" i="13"/>
  <c r="U35" i="13"/>
  <c r="S36" i="13"/>
  <c r="AH37" i="13"/>
  <c r="AI37" i="13" s="1"/>
  <c r="AV37" i="13"/>
  <c r="AW37" i="13" s="1"/>
  <c r="AX37" i="13" s="1"/>
  <c r="AA38" i="13"/>
  <c r="AB38" i="13" s="1"/>
  <c r="AO38" i="13"/>
  <c r="AP38" i="13" s="1"/>
  <c r="AH39" i="13"/>
  <c r="AI39" i="13" s="1"/>
  <c r="AV39" i="13"/>
  <c r="AW39" i="13" s="1"/>
  <c r="BA40" i="13"/>
  <c r="U47" i="13"/>
  <c r="S49" i="13"/>
  <c r="S50" i="13"/>
  <c r="AA51" i="13"/>
  <c r="AB51" i="13" s="1"/>
  <c r="U57" i="13"/>
  <c r="U73" i="13"/>
  <c r="AA74" i="13"/>
  <c r="AB74" i="13" s="1"/>
  <c r="AE74" i="13" s="1"/>
  <c r="U77" i="13"/>
  <c r="AA78" i="13"/>
  <c r="AC78" i="13" s="1"/>
  <c r="BG271" i="13"/>
  <c r="BA272" i="13"/>
  <c r="BB273" i="13"/>
  <c r="BB275" i="13"/>
  <c r="BB277" i="13"/>
  <c r="BB279" i="13"/>
  <c r="S73" i="13"/>
  <c r="U75" i="13"/>
  <c r="AA76" i="13"/>
  <c r="AC76" i="13" s="1"/>
  <c r="S77" i="13"/>
  <c r="DL314" i="13"/>
  <c r="DL315" i="13"/>
  <c r="DL316" i="13"/>
  <c r="BK256" i="12"/>
  <c r="AG19" i="12"/>
  <c r="AG23" i="12"/>
  <c r="AH29" i="12"/>
  <c r="AI29" i="12" s="1"/>
  <c r="BK254" i="12"/>
  <c r="BG264" i="12"/>
  <c r="AV276" i="12"/>
  <c r="AX276" i="12"/>
  <c r="AZ276" i="12"/>
  <c r="AG17" i="12"/>
  <c r="AG21" i="12"/>
  <c r="AV27" i="12"/>
  <c r="S27" i="12"/>
  <c r="AV29" i="12"/>
  <c r="AW29" i="12" s="1"/>
  <c r="AG16" i="12"/>
  <c r="AV16" i="12"/>
  <c r="AW16" i="12" s="1"/>
  <c r="AX16" i="12" s="1"/>
  <c r="AA17" i="12"/>
  <c r="AB17" i="12" s="1"/>
  <c r="AO17" i="12"/>
  <c r="AP17" i="12" s="1"/>
  <c r="AG18" i="12"/>
  <c r="AV18" i="12"/>
  <c r="AW18" i="12" s="1"/>
  <c r="AA19" i="12"/>
  <c r="AB19" i="12" s="1"/>
  <c r="AO19" i="12"/>
  <c r="AP19" i="12" s="1"/>
  <c r="AG20" i="12"/>
  <c r="AV20" i="12"/>
  <c r="AW20" i="12" s="1"/>
  <c r="AA21" i="12"/>
  <c r="AB21" i="12" s="1"/>
  <c r="AO21" i="12"/>
  <c r="AP21" i="12" s="1"/>
  <c r="AG22" i="12"/>
  <c r="AV22" i="12"/>
  <c r="AW22" i="12" s="1"/>
  <c r="AA23" i="12"/>
  <c r="AB23" i="12" s="1"/>
  <c r="AO23" i="12"/>
  <c r="AP23" i="12" s="1"/>
  <c r="AU25" i="12"/>
  <c r="U27" i="12"/>
  <c r="AV28" i="12"/>
  <c r="AA29" i="12"/>
  <c r="AB29" i="12" s="1"/>
  <c r="AO29" i="12"/>
  <c r="AP29" i="12" s="1"/>
  <c r="AH30" i="12"/>
  <c r="AI30" i="12" s="1"/>
  <c r="AV30" i="12"/>
  <c r="AW30" i="12" s="1"/>
  <c r="AA16" i="12"/>
  <c r="AB16" i="12" s="1"/>
  <c r="AO16" i="12"/>
  <c r="AP16" i="12" s="1"/>
  <c r="AV17" i="12"/>
  <c r="AW17" i="12" s="1"/>
  <c r="AA18" i="12"/>
  <c r="AB18" i="12" s="1"/>
  <c r="AO18" i="12"/>
  <c r="AP18" i="12" s="1"/>
  <c r="AV19" i="12"/>
  <c r="AW19" i="12" s="1"/>
  <c r="AA20" i="12"/>
  <c r="AB20" i="12" s="1"/>
  <c r="AB24" i="12" s="1"/>
  <c r="F28" i="18" s="1"/>
  <c r="AO20" i="12"/>
  <c r="AP20" i="12" s="1"/>
  <c r="AV21" i="12"/>
  <c r="AW21" i="12" s="1"/>
  <c r="AA22" i="12"/>
  <c r="AB22" i="12" s="1"/>
  <c r="AO22" i="12"/>
  <c r="AP22" i="12" s="1"/>
  <c r="AV23" i="12"/>
  <c r="AW23" i="12" s="1"/>
  <c r="BB25" i="12"/>
  <c r="BC25" i="12" s="1"/>
  <c r="BE25" i="12" s="1"/>
  <c r="AV26" i="12"/>
  <c r="AA30" i="12"/>
  <c r="AB30" i="12" s="1"/>
  <c r="AO30" i="12"/>
  <c r="AP30" i="12" s="1"/>
  <c r="U71" i="12"/>
  <c r="AA72" i="12"/>
  <c r="AC72" i="12" s="1"/>
  <c r="AA70" i="12"/>
  <c r="AB70" i="12" s="1"/>
  <c r="AE70" i="12" s="1"/>
  <c r="S71" i="12"/>
  <c r="U73" i="12"/>
  <c r="BG266" i="12"/>
  <c r="BA267" i="12"/>
  <c r="BC267" i="12" s="1"/>
  <c r="BB268" i="12"/>
  <c r="BB270" i="12"/>
  <c r="BB272" i="12"/>
  <c r="BB274" i="12"/>
  <c r="AV31" i="11"/>
  <c r="S31" i="11"/>
  <c r="S32" i="11"/>
  <c r="S41" i="11"/>
  <c r="AA54" i="11"/>
  <c r="S54" i="11"/>
  <c r="AG17" i="11"/>
  <c r="AG19" i="11"/>
  <c r="AV17" i="11"/>
  <c r="AV19" i="11"/>
  <c r="AW19" i="11" s="1"/>
  <c r="AX19" i="11" s="1"/>
  <c r="S34" i="11"/>
  <c r="S58" i="11"/>
  <c r="AA18" i="11"/>
  <c r="AC18" i="11" s="1"/>
  <c r="AO18" i="11"/>
  <c r="AA20" i="11"/>
  <c r="AG23" i="11"/>
  <c r="AV23" i="11"/>
  <c r="AA24" i="11"/>
  <c r="AC24" i="11" s="1"/>
  <c r="AV29" i="11"/>
  <c r="S29" i="11"/>
  <c r="S30" i="11"/>
  <c r="U32" i="11"/>
  <c r="U34" i="11"/>
  <c r="U41" i="11"/>
  <c r="AA17" i="11"/>
  <c r="AB17" i="11" s="1"/>
  <c r="AO17" i="11"/>
  <c r="AG18" i="11"/>
  <c r="AV18" i="11"/>
  <c r="AW18" i="11" s="1"/>
  <c r="AX18" i="11" s="1"/>
  <c r="AA19" i="11"/>
  <c r="AC19" i="11" s="1"/>
  <c r="AO19" i="11"/>
  <c r="AG20" i="11"/>
  <c r="AA21" i="11"/>
  <c r="AB21" i="11" s="1"/>
  <c r="AA22" i="11"/>
  <c r="AA23" i="11"/>
  <c r="AO23" i="11"/>
  <c r="AG24" i="11"/>
  <c r="AA25" i="11"/>
  <c r="AA26" i="11"/>
  <c r="U29" i="11"/>
  <c r="U30" i="11"/>
  <c r="U56" i="11"/>
  <c r="AA57" i="11"/>
  <c r="AC57" i="11" s="1"/>
  <c r="U60" i="11"/>
  <c r="AA61" i="11"/>
  <c r="AC61" i="11" s="1"/>
  <c r="BG254" i="11"/>
  <c r="U54" i="11"/>
  <c r="S56" i="11"/>
  <c r="U58" i="11"/>
  <c r="AA59" i="11"/>
  <c r="AC59" i="11" s="1"/>
  <c r="S60" i="11"/>
  <c r="BA254" i="11"/>
  <c r="BB255" i="11"/>
  <c r="BC255" i="11" s="1"/>
  <c r="BB257" i="11"/>
  <c r="BB259" i="11"/>
  <c r="BB261" i="11"/>
  <c r="DL307" i="11"/>
  <c r="DL308" i="11"/>
  <c r="DL309" i="11"/>
  <c r="DL310" i="11"/>
  <c r="DL315" i="11"/>
  <c r="AQ39" i="15"/>
  <c r="S33" i="15"/>
  <c r="U33" i="15"/>
  <c r="AA33" i="15"/>
  <c r="S39" i="15"/>
  <c r="U39" i="15"/>
  <c r="AA39" i="15"/>
  <c r="AG39" i="15"/>
  <c r="AW40" i="15"/>
  <c r="AX40" i="15" s="1"/>
  <c r="T33" i="15"/>
  <c r="T39" i="15"/>
  <c r="AB55" i="15"/>
  <c r="AE55" i="15" s="1"/>
  <c r="AE56" i="15" s="1"/>
  <c r="AE58" i="15" s="1"/>
  <c r="BC252" i="15"/>
  <c r="BC256" i="15"/>
  <c r="S55" i="15"/>
  <c r="U55" i="15"/>
  <c r="Z55" i="15"/>
  <c r="AC55" i="15" s="1"/>
  <c r="BA248" i="15"/>
  <c r="BB249" i="15"/>
  <c r="BC249" i="15" s="1"/>
  <c r="AW258" i="15"/>
  <c r="AW261" i="15" s="1"/>
  <c r="AY258" i="15"/>
  <c r="AV259" i="15"/>
  <c r="AV261" i="15" s="1"/>
  <c r="AX259" i="15"/>
  <c r="AX261" i="15" s="1"/>
  <c r="DJ284" i="15"/>
  <c r="DL284" i="15" s="1"/>
  <c r="DK284" i="15"/>
  <c r="DM284" i="15" s="1"/>
  <c r="DJ286" i="15"/>
  <c r="DL286" i="15" s="1"/>
  <c r="DK286" i="15"/>
  <c r="DM286" i="15" s="1"/>
  <c r="DJ289" i="15"/>
  <c r="DL289" i="15" s="1"/>
  <c r="DK289" i="15"/>
  <c r="DM289" i="15" s="1"/>
  <c r="DJ291" i="15"/>
  <c r="DL291" i="15" s="1"/>
  <c r="DK291" i="15"/>
  <c r="DM291" i="15" s="1"/>
  <c r="DJ293" i="15"/>
  <c r="DL293" i="15" s="1"/>
  <c r="DK293" i="15"/>
  <c r="DM293" i="15" s="1"/>
  <c r="DJ295" i="15"/>
  <c r="DL295" i="15" s="1"/>
  <c r="DK295" i="15"/>
  <c r="DM295" i="15" s="1"/>
  <c r="DJ300" i="15"/>
  <c r="DL300" i="15" s="1"/>
  <c r="DK300" i="15"/>
  <c r="DM300" i="15" s="1"/>
  <c r="DJ302" i="15"/>
  <c r="DL302" i="15" s="1"/>
  <c r="DK302" i="15"/>
  <c r="DM302" i="15" s="1"/>
  <c r="DJ304" i="15"/>
  <c r="DL304" i="15" s="1"/>
  <c r="DK304" i="15"/>
  <c r="DM304" i="15" s="1"/>
  <c r="DJ306" i="15"/>
  <c r="DL306" i="15" s="1"/>
  <c r="DK306" i="15"/>
  <c r="DM306" i="15" s="1"/>
  <c r="T55" i="15"/>
  <c r="BB248" i="15"/>
  <c r="AZ258" i="15"/>
  <c r="AZ261" i="15" s="1"/>
  <c r="DL280" i="15"/>
  <c r="DL281" i="15"/>
  <c r="DL282" i="15"/>
  <c r="DJ283" i="15"/>
  <c r="DL283" i="15" s="1"/>
  <c r="DK283" i="15"/>
  <c r="DM283" i="15" s="1"/>
  <c r="DJ285" i="15"/>
  <c r="DL285" i="15" s="1"/>
  <c r="DK285" i="15"/>
  <c r="DM285" i="15" s="1"/>
  <c r="DL287" i="15"/>
  <c r="DJ288" i="15"/>
  <c r="DL288" i="15" s="1"/>
  <c r="DK288" i="15"/>
  <c r="DM288" i="15" s="1"/>
  <c r="DJ290" i="15"/>
  <c r="DL290" i="15" s="1"/>
  <c r="DK290" i="15"/>
  <c r="DM290" i="15" s="1"/>
  <c r="DJ292" i="15"/>
  <c r="DL292" i="15" s="1"/>
  <c r="DK292" i="15"/>
  <c r="DM292" i="15" s="1"/>
  <c r="DJ294" i="15"/>
  <c r="DL294" i="15" s="1"/>
  <c r="DK294" i="15"/>
  <c r="DM294" i="15" s="1"/>
  <c r="DL296" i="15"/>
  <c r="DL297" i="15"/>
  <c r="DL298" i="15"/>
  <c r="DJ299" i="15"/>
  <c r="DL299" i="15" s="1"/>
  <c r="DK299" i="15"/>
  <c r="DM299" i="15" s="1"/>
  <c r="DJ301" i="15"/>
  <c r="DL301" i="15" s="1"/>
  <c r="DK301" i="15"/>
  <c r="DM301" i="15" s="1"/>
  <c r="DJ303" i="15"/>
  <c r="DL303" i="15" s="1"/>
  <c r="DK303" i="15"/>
  <c r="DM303" i="15" s="1"/>
  <c r="DJ305" i="15"/>
  <c r="DL305" i="15" s="1"/>
  <c r="DK305" i="15"/>
  <c r="DM305" i="15" s="1"/>
  <c r="DL307" i="15"/>
  <c r="DL308" i="15"/>
  <c r="DL309" i="15"/>
  <c r="DK280" i="15"/>
  <c r="DM280" i="15" s="1"/>
  <c r="DK281" i="15"/>
  <c r="DM281" i="15" s="1"/>
  <c r="DK282" i="15"/>
  <c r="DM282" i="15" s="1"/>
  <c r="DK287" i="15"/>
  <c r="DM287" i="15" s="1"/>
  <c r="DK296" i="15"/>
  <c r="DM296" i="15" s="1"/>
  <c r="DK297" i="15"/>
  <c r="DM297" i="15" s="1"/>
  <c r="DK298" i="15"/>
  <c r="DM298" i="15" s="1"/>
  <c r="DK307" i="15"/>
  <c r="DM307" i="15" s="1"/>
  <c r="DK308" i="15"/>
  <c r="DM308" i="15" s="1"/>
  <c r="DK309" i="15"/>
  <c r="DM309" i="15" s="1"/>
  <c r="AP45" i="14"/>
  <c r="AQ45" i="14"/>
  <c r="AQ46" i="14"/>
  <c r="AP46" i="14"/>
  <c r="BE45" i="14"/>
  <c r="AQ53" i="14"/>
  <c r="AP53" i="14"/>
  <c r="T45" i="14"/>
  <c r="AH45" i="14"/>
  <c r="AA46" i="14"/>
  <c r="AG46" i="14"/>
  <c r="BB46" i="14"/>
  <c r="BC46" i="14" s="1"/>
  <c r="T52" i="14"/>
  <c r="W52" i="14"/>
  <c r="AO52" i="14" s="1"/>
  <c r="AA53" i="14"/>
  <c r="AG53" i="14"/>
  <c r="BB53" i="14"/>
  <c r="BC53" i="14" s="1"/>
  <c r="BE53" i="14" s="1"/>
  <c r="T55" i="14"/>
  <c r="W55" i="14"/>
  <c r="AE61" i="14"/>
  <c r="AH61" i="14" s="1"/>
  <c r="U61" i="14"/>
  <c r="S61" i="14"/>
  <c r="W61" i="14"/>
  <c r="AP66" i="14"/>
  <c r="AQ66" i="14"/>
  <c r="AA45" i="14"/>
  <c r="AG45" i="14"/>
  <c r="T46" i="14"/>
  <c r="S52" i="14"/>
  <c r="U52" i="14"/>
  <c r="AA52" i="14"/>
  <c r="AG52" i="14"/>
  <c r="T53" i="14"/>
  <c r="AG55" i="14"/>
  <c r="S55" i="14"/>
  <c r="U55" i="14"/>
  <c r="AA55" i="14"/>
  <c r="AN55" i="14"/>
  <c r="BB55" i="14"/>
  <c r="BC55" i="14" s="1"/>
  <c r="BE55" i="14" s="1"/>
  <c r="AO61" i="14"/>
  <c r="T61" i="14"/>
  <c r="AE62" i="14"/>
  <c r="AH62" i="14" s="1"/>
  <c r="U62" i="14"/>
  <c r="S62" i="14"/>
  <c r="W62" i="14"/>
  <c r="AA61" i="14"/>
  <c r="AG61" i="14"/>
  <c r="AA62" i="14"/>
  <c r="AG62" i="14"/>
  <c r="S64" i="14"/>
  <c r="U64" i="14"/>
  <c r="AA64" i="14"/>
  <c r="AG64" i="14"/>
  <c r="S66" i="14"/>
  <c r="U66" i="14"/>
  <c r="AA66" i="14"/>
  <c r="AG66" i="14"/>
  <c r="S68" i="14"/>
  <c r="U68" i="14"/>
  <c r="AA68" i="14"/>
  <c r="AH68" i="14"/>
  <c r="AN68" i="14"/>
  <c r="T69" i="14"/>
  <c r="AO69" i="14"/>
  <c r="S70" i="14"/>
  <c r="U70" i="14"/>
  <c r="AA70" i="14"/>
  <c r="AH70" i="14"/>
  <c r="AN70" i="14"/>
  <c r="T74" i="14"/>
  <c r="AA74" i="14"/>
  <c r="AH74" i="14"/>
  <c r="AO74" i="14"/>
  <c r="AW76" i="14"/>
  <c r="AX76" i="14" s="1"/>
  <c r="T64" i="14"/>
  <c r="T66" i="14"/>
  <c r="T68" i="14"/>
  <c r="AA69" i="14"/>
  <c r="AH69" i="14"/>
  <c r="AN69" i="14"/>
  <c r="T70" i="14"/>
  <c r="Z74" i="14"/>
  <c r="T91" i="14"/>
  <c r="AA91" i="14"/>
  <c r="AA92" i="14"/>
  <c r="AB93" i="14"/>
  <c r="AE93" i="14" s="1"/>
  <c r="BC303" i="14"/>
  <c r="BC305" i="14"/>
  <c r="U92" i="14"/>
  <c r="S92" i="14"/>
  <c r="W92" i="14"/>
  <c r="Z93" i="14"/>
  <c r="AC93" i="14" s="1"/>
  <c r="AF93" i="14" s="1"/>
  <c r="U94" i="14"/>
  <c r="S94" i="14"/>
  <c r="W94" i="14"/>
  <c r="AB104" i="14"/>
  <c r="AE104" i="14" s="1"/>
  <c r="AE105" i="14" s="1"/>
  <c r="BC306" i="14"/>
  <c r="T93" i="14"/>
  <c r="T95" i="14"/>
  <c r="AA95" i="14"/>
  <c r="S96" i="14"/>
  <c r="U96" i="14"/>
  <c r="AB96" i="14"/>
  <c r="AE96" i="14" s="1"/>
  <c r="T97" i="14"/>
  <c r="AA97" i="14"/>
  <c r="S98" i="14"/>
  <c r="U98" i="14"/>
  <c r="S104" i="14"/>
  <c r="U104" i="14"/>
  <c r="Z104" i="14"/>
  <c r="AC104" i="14" s="1"/>
  <c r="BA297" i="14"/>
  <c r="BB298" i="14"/>
  <c r="BC298" i="14" s="1"/>
  <c r="BG298" i="14"/>
  <c r="AW307" i="14"/>
  <c r="AW310" i="14" s="1"/>
  <c r="AY307" i="14"/>
  <c r="AV308" i="14"/>
  <c r="AX308" i="14"/>
  <c r="AX310" i="14" s="1"/>
  <c r="DG330" i="14"/>
  <c r="DI330" i="14" s="1"/>
  <c r="DH330" i="14"/>
  <c r="DJ330" i="14" s="1"/>
  <c r="DG332" i="14"/>
  <c r="DI332" i="14" s="1"/>
  <c r="DH332" i="14"/>
  <c r="DJ332" i="14" s="1"/>
  <c r="DG334" i="14"/>
  <c r="DI334" i="14" s="1"/>
  <c r="DH334" i="14"/>
  <c r="DJ334" i="14" s="1"/>
  <c r="DG336" i="14"/>
  <c r="DI336" i="14" s="1"/>
  <c r="DH336" i="14"/>
  <c r="DJ336" i="14" s="1"/>
  <c r="DG342" i="14"/>
  <c r="DI342" i="14" s="1"/>
  <c r="DH342" i="14"/>
  <c r="DJ342" i="14" s="1"/>
  <c r="DG344" i="14"/>
  <c r="DI344" i="14" s="1"/>
  <c r="DH344" i="14"/>
  <c r="DJ344" i="14" s="1"/>
  <c r="DG346" i="14"/>
  <c r="DI346" i="14" s="1"/>
  <c r="DH346" i="14"/>
  <c r="DG348" i="14"/>
  <c r="DI348" i="14" s="1"/>
  <c r="DH348" i="14"/>
  <c r="DJ348" i="14" s="1"/>
  <c r="DG359" i="14"/>
  <c r="DI359" i="14" s="1"/>
  <c r="DH359" i="14"/>
  <c r="DJ359" i="14" s="1"/>
  <c r="DG361" i="14"/>
  <c r="DI361" i="14" s="1"/>
  <c r="DH361" i="14"/>
  <c r="DJ361" i="14" s="1"/>
  <c r="T96" i="14"/>
  <c r="T98" i="14"/>
  <c r="T104" i="14"/>
  <c r="BB297" i="14"/>
  <c r="BG297" i="14"/>
  <c r="AZ307" i="14"/>
  <c r="DG329" i="14"/>
  <c r="DI329" i="14" s="1"/>
  <c r="DH329" i="14"/>
  <c r="DJ329" i="14" s="1"/>
  <c r="DG331" i="14"/>
  <c r="DI331" i="14" s="1"/>
  <c r="DH331" i="14"/>
  <c r="DJ331" i="14" s="1"/>
  <c r="DG333" i="14"/>
  <c r="DI333" i="14" s="1"/>
  <c r="DH333" i="14"/>
  <c r="DJ333" i="14" s="1"/>
  <c r="DG335" i="14"/>
  <c r="DI335" i="14" s="1"/>
  <c r="DH335" i="14"/>
  <c r="DJ335" i="14" s="1"/>
  <c r="DI337" i="14"/>
  <c r="DG338" i="14"/>
  <c r="DI338" i="14" s="1"/>
  <c r="DH338" i="14"/>
  <c r="DJ338" i="14" s="1"/>
  <c r="DG343" i="14"/>
  <c r="DI343" i="14" s="1"/>
  <c r="DH343" i="14"/>
  <c r="DJ343" i="14" s="1"/>
  <c r="DG345" i="14"/>
  <c r="DI345" i="14" s="1"/>
  <c r="DH345" i="14"/>
  <c r="DJ345" i="14" s="1"/>
  <c r="DJ346" i="14"/>
  <c r="DG347" i="14"/>
  <c r="DI347" i="14" s="1"/>
  <c r="DH347" i="14"/>
  <c r="DJ347" i="14" s="1"/>
  <c r="DG349" i="14"/>
  <c r="DI349" i="14" s="1"/>
  <c r="DH349" i="14"/>
  <c r="DJ349" i="14" s="1"/>
  <c r="DG360" i="14"/>
  <c r="DI360" i="14" s="1"/>
  <c r="DH360" i="14"/>
  <c r="DJ360" i="14" s="1"/>
  <c r="DH337" i="14"/>
  <c r="DJ337" i="14" s="1"/>
  <c r="DH339" i="14"/>
  <c r="DJ339" i="14" s="1"/>
  <c r="DH340" i="14"/>
  <c r="DJ340" i="14" s="1"/>
  <c r="DH341" i="14"/>
  <c r="DJ341" i="14" s="1"/>
  <c r="DH350" i="14"/>
  <c r="DJ350" i="14" s="1"/>
  <c r="DH351" i="14"/>
  <c r="DJ351" i="14" s="1"/>
  <c r="DH352" i="14"/>
  <c r="DJ352" i="14" s="1"/>
  <c r="DH356" i="14"/>
  <c r="DJ356" i="14" s="1"/>
  <c r="DH357" i="14"/>
  <c r="DJ357" i="14" s="1"/>
  <c r="DH358" i="14"/>
  <c r="DJ358" i="14" s="1"/>
  <c r="AW18" i="13"/>
  <c r="AX18" i="13" s="1"/>
  <c r="AW21" i="13"/>
  <c r="AX21" i="13" s="1"/>
  <c r="AW22" i="13"/>
  <c r="AX22" i="13" s="1"/>
  <c r="AW24" i="13"/>
  <c r="AX24" i="13" s="1"/>
  <c r="AW26" i="13"/>
  <c r="AX26" i="13" s="1"/>
  <c r="AP33" i="13"/>
  <c r="AQ33" i="13"/>
  <c r="AW35" i="13"/>
  <c r="AX35" i="13" s="1"/>
  <c r="AP36" i="13"/>
  <c r="AQ36" i="13"/>
  <c r="BD37" i="13"/>
  <c r="BC37" i="13"/>
  <c r="BD39" i="13"/>
  <c r="BC39" i="13"/>
  <c r="AP49" i="13"/>
  <c r="AQ49" i="13"/>
  <c r="BC17" i="13"/>
  <c r="BD17" i="13"/>
  <c r="AW19" i="13"/>
  <c r="AX19" i="13" s="1"/>
  <c r="AW20" i="13"/>
  <c r="AX20" i="13" s="1"/>
  <c r="AW23" i="13"/>
  <c r="AX23" i="13" s="1"/>
  <c r="AW25" i="13"/>
  <c r="AX25" i="13" s="1"/>
  <c r="AW27" i="13"/>
  <c r="AX27" i="13" s="1"/>
  <c r="AP31" i="13"/>
  <c r="AQ31" i="13"/>
  <c r="BD38" i="13"/>
  <c r="BC38" i="13"/>
  <c r="BC40" i="13"/>
  <c r="AQ47" i="13"/>
  <c r="AP47" i="13"/>
  <c r="AP50" i="13"/>
  <c r="S17" i="13"/>
  <c r="U17" i="13"/>
  <c r="Z17" i="13"/>
  <c r="AH17" i="13"/>
  <c r="AN17" i="13"/>
  <c r="AP17" i="13"/>
  <c r="S18" i="13"/>
  <c r="U18" i="13"/>
  <c r="Z18" i="13"/>
  <c r="AH18" i="13"/>
  <c r="AN18" i="13"/>
  <c r="BB18" i="13"/>
  <c r="S19" i="13"/>
  <c r="U19" i="13"/>
  <c r="Z19" i="13"/>
  <c r="AB19" i="13"/>
  <c r="AH19" i="13"/>
  <c r="AN19" i="13"/>
  <c r="BB19" i="13"/>
  <c r="S20" i="13"/>
  <c r="U20" i="13"/>
  <c r="Z20" i="13"/>
  <c r="AH20" i="13"/>
  <c r="AN20" i="13"/>
  <c r="BB20" i="13"/>
  <c r="U21" i="13"/>
  <c r="Z21" i="13"/>
  <c r="AH21" i="13"/>
  <c r="AN21" i="13"/>
  <c r="BB21" i="13"/>
  <c r="Z22" i="13"/>
  <c r="AH22" i="13"/>
  <c r="AN22" i="13"/>
  <c r="BB22" i="13"/>
  <c r="Z23" i="13"/>
  <c r="AH23" i="13"/>
  <c r="AN23" i="13"/>
  <c r="BB23" i="13"/>
  <c r="Z24" i="13"/>
  <c r="AH24" i="13"/>
  <c r="AN24" i="13"/>
  <c r="BB24" i="13"/>
  <c r="Z25" i="13"/>
  <c r="AH25" i="13"/>
  <c r="AN25" i="13"/>
  <c r="BB25" i="13"/>
  <c r="Z26" i="13"/>
  <c r="AH26" i="13"/>
  <c r="AN26" i="13"/>
  <c r="BB26" i="13"/>
  <c r="Z27" i="13"/>
  <c r="AH27" i="13"/>
  <c r="AN27" i="13"/>
  <c r="BB27" i="13"/>
  <c r="T29" i="13"/>
  <c r="W29" i="13"/>
  <c r="AO29" i="13" s="1"/>
  <c r="T30" i="13"/>
  <c r="W30" i="13"/>
  <c r="AO30" i="13" s="1"/>
  <c r="AA31" i="13"/>
  <c r="AH31" i="13"/>
  <c r="AU31" i="13"/>
  <c r="BB31" i="13"/>
  <c r="BC31" i="13" s="1"/>
  <c r="BE31" i="13" s="1"/>
  <c r="T32" i="13"/>
  <c r="W32" i="13"/>
  <c r="AO32" i="13" s="1"/>
  <c r="AA33" i="13"/>
  <c r="AH33" i="13"/>
  <c r="AU33" i="13"/>
  <c r="BB33" i="13"/>
  <c r="BC33" i="13" s="1"/>
  <c r="BE33" i="13" s="1"/>
  <c r="T34" i="13"/>
  <c r="W34" i="13"/>
  <c r="AO34" i="13" s="1"/>
  <c r="Z35" i="13"/>
  <c r="BB35" i="13"/>
  <c r="AA36" i="13"/>
  <c r="AH36" i="13"/>
  <c r="AU36" i="13"/>
  <c r="AW36" i="13" s="1"/>
  <c r="AX36" i="13" s="1"/>
  <c r="BB36" i="13"/>
  <c r="BC36" i="13" s="1"/>
  <c r="BE36" i="13" s="1"/>
  <c r="T37" i="13"/>
  <c r="W37" i="13"/>
  <c r="AQ37" i="13"/>
  <c r="AR37" i="13" s="1"/>
  <c r="T38" i="13"/>
  <c r="W38" i="13"/>
  <c r="AQ38" i="13"/>
  <c r="AR38" i="13" s="1"/>
  <c r="T39" i="13"/>
  <c r="W39" i="13"/>
  <c r="AX39" i="13"/>
  <c r="T40" i="13"/>
  <c r="W40" i="13"/>
  <c r="BD40" i="13" s="1"/>
  <c r="AA47" i="13"/>
  <c r="AG47" i="13"/>
  <c r="AJ47" i="13" s="1"/>
  <c r="BB47" i="13"/>
  <c r="BC47" i="13" s="1"/>
  <c r="BE47" i="13" s="1"/>
  <c r="T48" i="13"/>
  <c r="W48" i="13"/>
  <c r="AO48" i="13" s="1"/>
  <c r="AH49" i="13"/>
  <c r="AA50" i="13"/>
  <c r="AH50" i="13"/>
  <c r="AN50" i="13"/>
  <c r="AQ50" i="13" s="1"/>
  <c r="BB50" i="13"/>
  <c r="BC50" i="13" s="1"/>
  <c r="BE50" i="13" s="1"/>
  <c r="T51" i="13"/>
  <c r="W51" i="13"/>
  <c r="AO51" i="13" s="1"/>
  <c r="AJ57" i="13"/>
  <c r="AJ58" i="13" s="1"/>
  <c r="AI57" i="13"/>
  <c r="G40" i="18" s="1"/>
  <c r="T17" i="13"/>
  <c r="T18" i="13"/>
  <c r="AO18" i="13"/>
  <c r="T19" i="13"/>
  <c r="AG19" i="13"/>
  <c r="AO19" i="13"/>
  <c r="T20" i="13"/>
  <c r="AA20" i="13"/>
  <c r="AG20" i="13"/>
  <c r="AO20" i="13"/>
  <c r="T21" i="13"/>
  <c r="AA21" i="13"/>
  <c r="AG21" i="13"/>
  <c r="AO21" i="13"/>
  <c r="T22" i="13"/>
  <c r="AA22" i="13"/>
  <c r="AG22" i="13"/>
  <c r="AO22" i="13"/>
  <c r="T23" i="13"/>
  <c r="AA23" i="13"/>
  <c r="AG23" i="13"/>
  <c r="AO23" i="13"/>
  <c r="T24" i="13"/>
  <c r="AA24" i="13"/>
  <c r="AG24" i="13"/>
  <c r="AO24" i="13"/>
  <c r="T25" i="13"/>
  <c r="AA25" i="13"/>
  <c r="AG25" i="13"/>
  <c r="AO25" i="13"/>
  <c r="T26" i="13"/>
  <c r="AA26" i="13"/>
  <c r="AG26" i="13"/>
  <c r="AO26" i="13"/>
  <c r="T27" i="13"/>
  <c r="AA27" i="13"/>
  <c r="AG27" i="13"/>
  <c r="AO27" i="13"/>
  <c r="S29" i="13"/>
  <c r="AA29" i="13"/>
  <c r="AH29" i="13"/>
  <c r="S30" i="13"/>
  <c r="AA30" i="13"/>
  <c r="AH30" i="13"/>
  <c r="AU30" i="13"/>
  <c r="T31" i="13"/>
  <c r="S32" i="13"/>
  <c r="AA32" i="13"/>
  <c r="AH32" i="13"/>
  <c r="AU32" i="13"/>
  <c r="T33" i="13"/>
  <c r="S34" i="13"/>
  <c r="AA34" i="13"/>
  <c r="AH34" i="13"/>
  <c r="AU34" i="13"/>
  <c r="T35" i="13"/>
  <c r="AA35" i="13"/>
  <c r="AH35" i="13"/>
  <c r="AO35" i="13"/>
  <c r="T36" i="13"/>
  <c r="S37" i="13"/>
  <c r="Z37" i="13"/>
  <c r="S38" i="13"/>
  <c r="Z38" i="13"/>
  <c r="S39" i="13"/>
  <c r="Z39" i="13"/>
  <c r="S40" i="13"/>
  <c r="AA40" i="13"/>
  <c r="AH40" i="13"/>
  <c r="AO40" i="13"/>
  <c r="AV40" i="13"/>
  <c r="T47" i="13"/>
  <c r="S48" i="13"/>
  <c r="AA48" i="13"/>
  <c r="AG48" i="13"/>
  <c r="T49" i="13"/>
  <c r="AA49" i="13"/>
  <c r="AG49" i="13"/>
  <c r="T50" i="13"/>
  <c r="S51" i="13"/>
  <c r="Z51" i="13"/>
  <c r="AQ57" i="13"/>
  <c r="AQ58" i="13" s="1"/>
  <c r="AP57" i="13"/>
  <c r="H40" i="18" s="1"/>
  <c r="AX52" i="13"/>
  <c r="Z57" i="13"/>
  <c r="BB57" i="13"/>
  <c r="BC57" i="13" s="1"/>
  <c r="J40" i="18" s="1"/>
  <c r="T57" i="13"/>
  <c r="AA57" i="13"/>
  <c r="W71" i="13"/>
  <c r="T71" i="13"/>
  <c r="U71" i="13"/>
  <c r="Z71" i="13"/>
  <c r="Z73" i="13"/>
  <c r="U74" i="13"/>
  <c r="S74" i="13"/>
  <c r="W74" i="13"/>
  <c r="T73" i="13"/>
  <c r="T75" i="13"/>
  <c r="AA75" i="13"/>
  <c r="S76" i="13"/>
  <c r="U76" i="13"/>
  <c r="T77" i="13"/>
  <c r="AA77" i="13"/>
  <c r="S78" i="13"/>
  <c r="U78" i="13"/>
  <c r="BK256" i="13"/>
  <c r="BK258" i="13"/>
  <c r="BK260" i="13"/>
  <c r="BK262" i="13"/>
  <c r="BK263" i="13"/>
  <c r="BK265" i="13"/>
  <c r="BG270" i="13"/>
  <c r="BA271" i="13"/>
  <c r="BG272" i="13"/>
  <c r="BA273" i="13"/>
  <c r="BC273" i="13" s="1"/>
  <c r="BA274" i="13"/>
  <c r="BC274" i="13" s="1"/>
  <c r="BA275" i="13"/>
  <c r="BC275" i="13" s="1"/>
  <c r="BA276" i="13"/>
  <c r="BA277" i="13"/>
  <c r="BC277" i="13" s="1"/>
  <c r="BA278" i="13"/>
  <c r="BC278" i="13" s="1"/>
  <c r="BA279" i="13"/>
  <c r="BC279" i="13" s="1"/>
  <c r="BA280" i="13"/>
  <c r="AW281" i="13"/>
  <c r="AW284" i="13" s="1"/>
  <c r="AY281" i="13"/>
  <c r="AY284" i="13" s="1"/>
  <c r="AV282" i="13"/>
  <c r="AV284" i="13" s="1"/>
  <c r="AX282" i="13"/>
  <c r="AZ282" i="13"/>
  <c r="AZ284" i="13" s="1"/>
  <c r="DJ304" i="13"/>
  <c r="DL304" i="13" s="1"/>
  <c r="DK304" i="13"/>
  <c r="DM304" i="13" s="1"/>
  <c r="DJ306" i="13"/>
  <c r="DL306" i="13" s="1"/>
  <c r="DK306" i="13"/>
  <c r="DM306" i="13" s="1"/>
  <c r="DJ308" i="13"/>
  <c r="DL308" i="13" s="1"/>
  <c r="DK308" i="13"/>
  <c r="DM308" i="13" s="1"/>
  <c r="DJ310" i="13"/>
  <c r="DL310" i="13" s="1"/>
  <c r="DK310" i="13"/>
  <c r="DM310" i="13" s="1"/>
  <c r="DL312" i="13"/>
  <c r="DJ313" i="13"/>
  <c r="DL313" i="13" s="1"/>
  <c r="DK313" i="13"/>
  <c r="DM313" i="13" s="1"/>
  <c r="DJ318" i="13"/>
  <c r="DL318" i="13" s="1"/>
  <c r="DK318" i="13"/>
  <c r="DM318" i="13" s="1"/>
  <c r="DJ320" i="13"/>
  <c r="DL320" i="13" s="1"/>
  <c r="DK320" i="13"/>
  <c r="DM320" i="13" s="1"/>
  <c r="DJ322" i="13"/>
  <c r="DL322" i="13" s="1"/>
  <c r="DK322" i="13"/>
  <c r="DM322" i="13" s="1"/>
  <c r="DJ324" i="13"/>
  <c r="DL324" i="13" s="1"/>
  <c r="DK324" i="13"/>
  <c r="DM324" i="13" s="1"/>
  <c r="DJ326" i="13"/>
  <c r="DL326" i="13" s="1"/>
  <c r="DK326" i="13"/>
  <c r="DM326" i="13" s="1"/>
  <c r="DJ328" i="13"/>
  <c r="DL328" i="13" s="1"/>
  <c r="DK328" i="13"/>
  <c r="DM328" i="13" s="1"/>
  <c r="DJ330" i="13"/>
  <c r="DL330" i="13" s="1"/>
  <c r="DK330" i="13"/>
  <c r="DM330" i="13" s="1"/>
  <c r="DJ332" i="13"/>
  <c r="DL332" i="13" s="1"/>
  <c r="DK332" i="13"/>
  <c r="DM332" i="13" s="1"/>
  <c r="T76" i="13"/>
  <c r="T78" i="13"/>
  <c r="BB271" i="13"/>
  <c r="DJ303" i="13"/>
  <c r="DL303" i="13" s="1"/>
  <c r="DK303" i="13"/>
  <c r="DM303" i="13" s="1"/>
  <c r="DJ305" i="13"/>
  <c r="DL305" i="13" s="1"/>
  <c r="DK305" i="13"/>
  <c r="DM305" i="13" s="1"/>
  <c r="DJ307" i="13"/>
  <c r="DL307" i="13" s="1"/>
  <c r="DK307" i="13"/>
  <c r="DM307" i="13" s="1"/>
  <c r="DJ309" i="13"/>
  <c r="DL309" i="13" s="1"/>
  <c r="DK309" i="13"/>
  <c r="DM309" i="13" s="1"/>
  <c r="DJ311" i="13"/>
  <c r="DL311" i="13" s="1"/>
  <c r="DK311" i="13"/>
  <c r="DM311" i="13" s="1"/>
  <c r="DJ317" i="13"/>
  <c r="DL317" i="13" s="1"/>
  <c r="DK317" i="13"/>
  <c r="DM317" i="13" s="1"/>
  <c r="DJ319" i="13"/>
  <c r="DL319" i="13" s="1"/>
  <c r="DK319" i="13"/>
  <c r="DM319" i="13" s="1"/>
  <c r="DJ321" i="13"/>
  <c r="DL321" i="13" s="1"/>
  <c r="DK321" i="13"/>
  <c r="DM321" i="13" s="1"/>
  <c r="DJ323" i="13"/>
  <c r="DL323" i="13" s="1"/>
  <c r="DK323" i="13"/>
  <c r="DM323" i="13" s="1"/>
  <c r="DJ325" i="13"/>
  <c r="DL325" i="13" s="1"/>
  <c r="DK325" i="13"/>
  <c r="DM325" i="13" s="1"/>
  <c r="DJ327" i="13"/>
  <c r="DL327" i="13" s="1"/>
  <c r="DK327" i="13"/>
  <c r="DM327" i="13" s="1"/>
  <c r="DJ329" i="13"/>
  <c r="DL329" i="13" s="1"/>
  <c r="DK329" i="13"/>
  <c r="DM329" i="13" s="1"/>
  <c r="DJ331" i="13"/>
  <c r="DL331" i="13" s="1"/>
  <c r="DK331" i="13"/>
  <c r="DM331" i="13" s="1"/>
  <c r="DK312" i="13"/>
  <c r="DM312" i="13" s="1"/>
  <c r="DK314" i="13"/>
  <c r="DM314" i="13" s="1"/>
  <c r="DK315" i="13"/>
  <c r="DM315" i="13" s="1"/>
  <c r="DK316" i="13"/>
  <c r="DM316" i="13" s="1"/>
  <c r="BD17" i="12"/>
  <c r="BC17" i="12"/>
  <c r="BD19" i="12"/>
  <c r="BC19" i="12"/>
  <c r="BD21" i="12"/>
  <c r="BC21" i="12"/>
  <c r="BD23" i="12"/>
  <c r="BC23" i="12"/>
  <c r="AP27" i="12"/>
  <c r="AQ27" i="12"/>
  <c r="BD29" i="12"/>
  <c r="BC29" i="12"/>
  <c r="BD16" i="12"/>
  <c r="BC16" i="12"/>
  <c r="BD18" i="12"/>
  <c r="BC18" i="12"/>
  <c r="BD20" i="12"/>
  <c r="BC20" i="12"/>
  <c r="BD22" i="12"/>
  <c r="BC22" i="12"/>
  <c r="BD30" i="12"/>
  <c r="BC30" i="12"/>
  <c r="T16" i="12"/>
  <c r="W16" i="12"/>
  <c r="T17" i="12"/>
  <c r="W17" i="12"/>
  <c r="T18" i="12"/>
  <c r="W18" i="12"/>
  <c r="T19" i="12"/>
  <c r="W19" i="12"/>
  <c r="T20" i="12"/>
  <c r="W20" i="12"/>
  <c r="T21" i="12"/>
  <c r="W21" i="12"/>
  <c r="AX21" i="12"/>
  <c r="T22" i="12"/>
  <c r="W22" i="12"/>
  <c r="T23" i="12"/>
  <c r="W23" i="12"/>
  <c r="AQ23" i="12"/>
  <c r="AR23" i="12" s="1"/>
  <c r="AX23" i="12"/>
  <c r="T25" i="12"/>
  <c r="W25" i="12"/>
  <c r="AO25" i="12" s="1"/>
  <c r="T26" i="12"/>
  <c r="W26" i="12"/>
  <c r="AO26" i="12" s="1"/>
  <c r="AA27" i="12"/>
  <c r="AH27" i="12"/>
  <c r="AU27" i="12"/>
  <c r="BB27" i="12"/>
  <c r="BC27" i="12" s="1"/>
  <c r="BE27" i="12" s="1"/>
  <c r="T28" i="12"/>
  <c r="W28" i="12"/>
  <c r="AO28" i="12" s="1"/>
  <c r="T29" i="12"/>
  <c r="W29" i="12"/>
  <c r="AJ29" i="12"/>
  <c r="AK29" i="12" s="1"/>
  <c r="T30" i="12"/>
  <c r="W30" i="12"/>
  <c r="S16" i="12"/>
  <c r="Z16" i="12"/>
  <c r="AH16" i="12"/>
  <c r="AN16" i="12"/>
  <c r="S17" i="12"/>
  <c r="Z17" i="12"/>
  <c r="AH17" i="12"/>
  <c r="AN17" i="12"/>
  <c r="S18" i="12"/>
  <c r="Z18" i="12"/>
  <c r="AH18" i="12"/>
  <c r="AN18" i="12"/>
  <c r="S19" i="12"/>
  <c r="Z19" i="12"/>
  <c r="AH19" i="12"/>
  <c r="AN19" i="12"/>
  <c r="S20" i="12"/>
  <c r="Z20" i="12"/>
  <c r="AH20" i="12"/>
  <c r="AN20" i="12"/>
  <c r="S21" i="12"/>
  <c r="Z21" i="12"/>
  <c r="AC21" i="12" s="1"/>
  <c r="AD21" i="12" s="1"/>
  <c r="AH21" i="12"/>
  <c r="AN21" i="12"/>
  <c r="S22" i="12"/>
  <c r="Z22" i="12"/>
  <c r="AH22" i="12"/>
  <c r="AN22" i="12"/>
  <c r="S23" i="12"/>
  <c r="Z23" i="12"/>
  <c r="AC23" i="12" s="1"/>
  <c r="AD23" i="12" s="1"/>
  <c r="AH23" i="12"/>
  <c r="AN23" i="12"/>
  <c r="S25" i="12"/>
  <c r="AA25" i="12"/>
  <c r="AH25" i="12"/>
  <c r="S26" i="12"/>
  <c r="AA26" i="12"/>
  <c r="AH26" i="12"/>
  <c r="AU26" i="12"/>
  <c r="T27" i="12"/>
  <c r="S28" i="12"/>
  <c r="AA28" i="12"/>
  <c r="AH28" i="12"/>
  <c r="AU28" i="12"/>
  <c r="S29" i="12"/>
  <c r="Z29" i="12"/>
  <c r="S30" i="12"/>
  <c r="Z30" i="12"/>
  <c r="AC70" i="12"/>
  <c r="S70" i="12"/>
  <c r="U70" i="12"/>
  <c r="T71" i="12"/>
  <c r="AA71" i="12"/>
  <c r="S72" i="12"/>
  <c r="U72" i="12"/>
  <c r="AB72" i="12"/>
  <c r="AE72" i="12" s="1"/>
  <c r="T73" i="12"/>
  <c r="AA73" i="12"/>
  <c r="T70" i="12"/>
  <c r="T72" i="12"/>
  <c r="BK251" i="12"/>
  <c r="BK253" i="12"/>
  <c r="BK255" i="12"/>
  <c r="BK257" i="12"/>
  <c r="BK258" i="12"/>
  <c r="BK260" i="12"/>
  <c r="BK262" i="12"/>
  <c r="BG265" i="12"/>
  <c r="BA266" i="12"/>
  <c r="BG267" i="12"/>
  <c r="BA268" i="12"/>
  <c r="BC268" i="12" s="1"/>
  <c r="BA269" i="12"/>
  <c r="BC269" i="12" s="1"/>
  <c r="BA270" i="12"/>
  <c r="BA271" i="12"/>
  <c r="BC271" i="12" s="1"/>
  <c r="BA272" i="12"/>
  <c r="BC272" i="12" s="1"/>
  <c r="BA273" i="12"/>
  <c r="BA274" i="12"/>
  <c r="BA275" i="12"/>
  <c r="BC275" i="12" s="1"/>
  <c r="AW276" i="12"/>
  <c r="AW279" i="12" s="1"/>
  <c r="AY276" i="12"/>
  <c r="AV277" i="12"/>
  <c r="AV279" i="12" s="1"/>
  <c r="AX277" i="12"/>
  <c r="AZ277" i="12"/>
  <c r="AZ279" i="12" s="1"/>
  <c r="DJ298" i="12"/>
  <c r="DL298" i="12" s="1"/>
  <c r="DJ299" i="12"/>
  <c r="DL299" i="12" s="1"/>
  <c r="DJ301" i="12"/>
  <c r="DL301" i="12" s="1"/>
  <c r="DK301" i="12"/>
  <c r="DM301" i="12" s="1"/>
  <c r="DJ303" i="12"/>
  <c r="DL303" i="12" s="1"/>
  <c r="DK303" i="12"/>
  <c r="DM303" i="12" s="1"/>
  <c r="DJ305" i="12"/>
  <c r="DL305" i="12" s="1"/>
  <c r="DK305" i="12"/>
  <c r="DM305" i="12" s="1"/>
  <c r="DJ307" i="12"/>
  <c r="DL307" i="12" s="1"/>
  <c r="DK307" i="12"/>
  <c r="DM307" i="12" s="1"/>
  <c r="DJ309" i="12"/>
  <c r="DL309" i="12" s="1"/>
  <c r="DK309" i="12"/>
  <c r="DM309" i="12" s="1"/>
  <c r="DJ311" i="12"/>
  <c r="DL311" i="12" s="1"/>
  <c r="DK311" i="12"/>
  <c r="DM311" i="12" s="1"/>
  <c r="DJ313" i="12"/>
  <c r="DL313" i="12" s="1"/>
  <c r="DK313" i="12"/>
  <c r="DM313" i="12" s="1"/>
  <c r="DJ315" i="12"/>
  <c r="DL315" i="12" s="1"/>
  <c r="DK315" i="12"/>
  <c r="DM315" i="12" s="1"/>
  <c r="DJ317" i="12"/>
  <c r="DL317" i="12" s="1"/>
  <c r="DK317" i="12"/>
  <c r="DM317" i="12" s="1"/>
  <c r="DJ319" i="12"/>
  <c r="DL319" i="12" s="1"/>
  <c r="DK319" i="12"/>
  <c r="DJ321" i="12"/>
  <c r="DL321" i="12" s="1"/>
  <c r="DK321" i="12"/>
  <c r="DM321" i="12" s="1"/>
  <c r="DJ323" i="12"/>
  <c r="DL323" i="12" s="1"/>
  <c r="DK323" i="12"/>
  <c r="DM323" i="12" s="1"/>
  <c r="DJ325" i="12"/>
  <c r="DL325" i="12" s="1"/>
  <c r="DK325" i="12"/>
  <c r="DM325" i="12" s="1"/>
  <c r="DJ327" i="12"/>
  <c r="DL327" i="12" s="1"/>
  <c r="DK327" i="12"/>
  <c r="DM327" i="12" s="1"/>
  <c r="BB266" i="12"/>
  <c r="DM299" i="12"/>
  <c r="DJ300" i="12"/>
  <c r="DL300" i="12" s="1"/>
  <c r="DK300" i="12"/>
  <c r="DM300" i="12" s="1"/>
  <c r="DJ302" i="12"/>
  <c r="DL302" i="12" s="1"/>
  <c r="DK302" i="12"/>
  <c r="DM302" i="12" s="1"/>
  <c r="DJ304" i="12"/>
  <c r="DL304" i="12" s="1"/>
  <c r="DK304" i="12"/>
  <c r="DM304" i="12" s="1"/>
  <c r="DJ306" i="12"/>
  <c r="DL306" i="12" s="1"/>
  <c r="DK306" i="12"/>
  <c r="DM306" i="12" s="1"/>
  <c r="DJ308" i="12"/>
  <c r="DL308" i="12" s="1"/>
  <c r="DK308" i="12"/>
  <c r="DM308" i="12" s="1"/>
  <c r="DJ310" i="12"/>
  <c r="DL310" i="12" s="1"/>
  <c r="DK310" i="12"/>
  <c r="DM310" i="12" s="1"/>
  <c r="DJ312" i="12"/>
  <c r="DL312" i="12" s="1"/>
  <c r="DK312" i="12"/>
  <c r="DM312" i="12" s="1"/>
  <c r="DJ314" i="12"/>
  <c r="DL314" i="12" s="1"/>
  <c r="DK314" i="12"/>
  <c r="DM314" i="12" s="1"/>
  <c r="DJ316" i="12"/>
  <c r="DL316" i="12" s="1"/>
  <c r="DK316" i="12"/>
  <c r="DM316" i="12" s="1"/>
  <c r="DJ318" i="12"/>
  <c r="DL318" i="12" s="1"/>
  <c r="DK318" i="12"/>
  <c r="DM318" i="12" s="1"/>
  <c r="DM319" i="12"/>
  <c r="DJ320" i="12"/>
  <c r="DL320" i="12" s="1"/>
  <c r="DK320" i="12"/>
  <c r="DM320" i="12" s="1"/>
  <c r="DJ322" i="12"/>
  <c r="DL322" i="12" s="1"/>
  <c r="DK322" i="12"/>
  <c r="DM322" i="12" s="1"/>
  <c r="DJ324" i="12"/>
  <c r="DL324" i="12" s="1"/>
  <c r="DK324" i="12"/>
  <c r="DM324" i="12" s="1"/>
  <c r="DJ326" i="12"/>
  <c r="DL326" i="12" s="1"/>
  <c r="DK326" i="12"/>
  <c r="DM326" i="12" s="1"/>
  <c r="BC18" i="11"/>
  <c r="BD18" i="11"/>
  <c r="AW20" i="11"/>
  <c r="AX20" i="11" s="1"/>
  <c r="AW24" i="11"/>
  <c r="AX24" i="11" s="1"/>
  <c r="AP31" i="11"/>
  <c r="AQ31" i="11"/>
  <c r="AQ32" i="11"/>
  <c r="AP32" i="11"/>
  <c r="AQ34" i="11"/>
  <c r="AP34" i="11"/>
  <c r="BC17" i="11"/>
  <c r="BD17" i="11"/>
  <c r="BC19" i="11"/>
  <c r="BD19" i="11"/>
  <c r="AW21" i="11"/>
  <c r="AX21" i="11" s="1"/>
  <c r="AW22" i="11"/>
  <c r="AX22" i="11" s="1"/>
  <c r="BC23" i="11"/>
  <c r="BD23" i="11"/>
  <c r="AW25" i="11"/>
  <c r="AX25" i="11" s="1"/>
  <c r="AW26" i="11"/>
  <c r="AX26" i="11" s="1"/>
  <c r="AW27" i="11"/>
  <c r="AX27" i="11" s="1"/>
  <c r="AP29" i="11"/>
  <c r="AQ29" i="11"/>
  <c r="AQ30" i="11"/>
  <c r="AP30" i="11"/>
  <c r="AP33" i="11"/>
  <c r="AQ33" i="11"/>
  <c r="S17" i="11"/>
  <c r="U17" i="11"/>
  <c r="Z17" i="11"/>
  <c r="AH17" i="11"/>
  <c r="AN17" i="11"/>
  <c r="AP17" i="11"/>
  <c r="AW17" i="11"/>
  <c r="S18" i="11"/>
  <c r="U18" i="11"/>
  <c r="Z18" i="11"/>
  <c r="AB18" i="11"/>
  <c r="AH18" i="11"/>
  <c r="AN18" i="11"/>
  <c r="AP18" i="11"/>
  <c r="S19" i="11"/>
  <c r="U19" i="11"/>
  <c r="Z19" i="11"/>
  <c r="AB19" i="11"/>
  <c r="AH19" i="11"/>
  <c r="AN19" i="11"/>
  <c r="AP19" i="11"/>
  <c r="S20" i="11"/>
  <c r="U20" i="11"/>
  <c r="Z20" i="11"/>
  <c r="AB20" i="11"/>
  <c r="AH20" i="11"/>
  <c r="AN20" i="11"/>
  <c r="BB20" i="11"/>
  <c r="S21" i="11"/>
  <c r="U21" i="11"/>
  <c r="Z21" i="11"/>
  <c r="AH21" i="11"/>
  <c r="AN21" i="11"/>
  <c r="BB21" i="11"/>
  <c r="S22" i="11"/>
  <c r="U22" i="11"/>
  <c r="Z22" i="11"/>
  <c r="AB22" i="11"/>
  <c r="AH22" i="11"/>
  <c r="AN22" i="11"/>
  <c r="BB22" i="11"/>
  <c r="S23" i="11"/>
  <c r="U23" i="11"/>
  <c r="Z23" i="11"/>
  <c r="AB23" i="11"/>
  <c r="AH23" i="11"/>
  <c r="AN23" i="11"/>
  <c r="AP23" i="11"/>
  <c r="AW23" i="11"/>
  <c r="AX23" i="11" s="1"/>
  <c r="S24" i="11"/>
  <c r="U24" i="11"/>
  <c r="Z24" i="11"/>
  <c r="AB24" i="11"/>
  <c r="AH24" i="11"/>
  <c r="AN24" i="11"/>
  <c r="BB24" i="11"/>
  <c r="S25" i="11"/>
  <c r="U25" i="11"/>
  <c r="Z25" i="11"/>
  <c r="AB25" i="11"/>
  <c r="AH25" i="11"/>
  <c r="AN25" i="11"/>
  <c r="BB25" i="11"/>
  <c r="S26" i="11"/>
  <c r="U26" i="11"/>
  <c r="Z26" i="11"/>
  <c r="AB26" i="11"/>
  <c r="AH26" i="11"/>
  <c r="AN26" i="11"/>
  <c r="BB26" i="11"/>
  <c r="S27" i="11"/>
  <c r="U27" i="11"/>
  <c r="Z27" i="11"/>
  <c r="AH27" i="11"/>
  <c r="AN27" i="11"/>
  <c r="BB27" i="11"/>
  <c r="T29" i="11"/>
  <c r="AU29" i="11"/>
  <c r="AW29" i="11" s="1"/>
  <c r="AX29" i="11" s="1"/>
  <c r="BB29" i="11"/>
  <c r="BC29" i="11" s="1"/>
  <c r="T30" i="11"/>
  <c r="AV30" i="11"/>
  <c r="U31" i="11"/>
  <c r="AA31" i="11"/>
  <c r="AH31" i="11"/>
  <c r="AU31" i="11"/>
  <c r="AW31" i="11" s="1"/>
  <c r="AX31" i="11" s="1"/>
  <c r="BB31" i="11"/>
  <c r="BC31" i="11" s="1"/>
  <c r="BE31" i="11" s="1"/>
  <c r="T32" i="11"/>
  <c r="AV32" i="11"/>
  <c r="S33" i="11"/>
  <c r="U33" i="11"/>
  <c r="AA33" i="11"/>
  <c r="AH33" i="11"/>
  <c r="AU33" i="11"/>
  <c r="AW33" i="11" s="1"/>
  <c r="AX33" i="11" s="1"/>
  <c r="BB33" i="11"/>
  <c r="BC33" i="11" s="1"/>
  <c r="BE33" i="11" s="1"/>
  <c r="T34" i="11"/>
  <c r="AV34" i="11"/>
  <c r="AP41" i="11"/>
  <c r="AQ41" i="11"/>
  <c r="T17" i="11"/>
  <c r="AX17" i="11"/>
  <c r="T18" i="11"/>
  <c r="T19" i="11"/>
  <c r="T20" i="11"/>
  <c r="AO20" i="11"/>
  <c r="T21" i="11"/>
  <c r="AG21" i="11"/>
  <c r="AO21" i="11"/>
  <c r="T22" i="11"/>
  <c r="AG22" i="11"/>
  <c r="AO22" i="11"/>
  <c r="T23" i="11"/>
  <c r="T24" i="11"/>
  <c r="AO24" i="11"/>
  <c r="T25" i="11"/>
  <c r="AG25" i="11"/>
  <c r="AO25" i="11"/>
  <c r="T26" i="11"/>
  <c r="AG26" i="11"/>
  <c r="AO26" i="11"/>
  <c r="T27" i="11"/>
  <c r="AA27" i="11"/>
  <c r="AG27" i="11"/>
  <c r="AO27" i="11"/>
  <c r="AA29" i="11"/>
  <c r="AH29" i="11"/>
  <c r="AA30" i="11"/>
  <c r="AH30" i="11"/>
  <c r="AU30" i="11"/>
  <c r="T31" i="11"/>
  <c r="AA32" i="11"/>
  <c r="AH32" i="11"/>
  <c r="AU32" i="11"/>
  <c r="T33" i="11"/>
  <c r="AA34" i="11"/>
  <c r="AH34" i="11"/>
  <c r="AU34" i="11"/>
  <c r="BE41" i="11"/>
  <c r="T41" i="11"/>
  <c r="AA41" i="11"/>
  <c r="AH41" i="11"/>
  <c r="Z41" i="11"/>
  <c r="Z54" i="11"/>
  <c r="AB54" i="11"/>
  <c r="AE54" i="11" s="1"/>
  <c r="T54" i="11"/>
  <c r="T56" i="11"/>
  <c r="AA56" i="11"/>
  <c r="S57" i="11"/>
  <c r="U57" i="11"/>
  <c r="AB57" i="11"/>
  <c r="AE57" i="11" s="1"/>
  <c r="T58" i="11"/>
  <c r="AA58" i="11"/>
  <c r="S59" i="11"/>
  <c r="U59" i="11"/>
  <c r="AB59" i="11"/>
  <c r="AE59" i="11" s="1"/>
  <c r="T60" i="11"/>
  <c r="AA60" i="11"/>
  <c r="S61" i="11"/>
  <c r="U61" i="11"/>
  <c r="BK239" i="11"/>
  <c r="BK241" i="11"/>
  <c r="BK243" i="11"/>
  <c r="BK245" i="11"/>
  <c r="BK246" i="11"/>
  <c r="BK248" i="11"/>
  <c r="BK250" i="11"/>
  <c r="AW264" i="11"/>
  <c r="AW265" i="11"/>
  <c r="AY264" i="11"/>
  <c r="AY265" i="11"/>
  <c r="BA256" i="11"/>
  <c r="BC256" i="11" s="1"/>
  <c r="BA257" i="11"/>
  <c r="BC257" i="11" s="1"/>
  <c r="BA258" i="11"/>
  <c r="BC258" i="11" s="1"/>
  <c r="BA259" i="11"/>
  <c r="BA260" i="11"/>
  <c r="BC260" i="11" s="1"/>
  <c r="BA261" i="11"/>
  <c r="BC261" i="11" s="1"/>
  <c r="BA262" i="11"/>
  <c r="BC262" i="11" s="1"/>
  <c r="DL286" i="11"/>
  <c r="DL287" i="11"/>
  <c r="DL288" i="11"/>
  <c r="DL289" i="11"/>
  <c r="DL290" i="11"/>
  <c r="DL291" i="11"/>
  <c r="DL292" i="11"/>
  <c r="DL293" i="11"/>
  <c r="DL294" i="11"/>
  <c r="DJ295" i="11"/>
  <c r="DL295" i="11" s="1"/>
  <c r="DK295" i="11"/>
  <c r="DM295" i="11" s="1"/>
  <c r="DJ297" i="11"/>
  <c r="DL297" i="11" s="1"/>
  <c r="DK297" i="11"/>
  <c r="DJ299" i="11"/>
  <c r="DL299" i="11" s="1"/>
  <c r="DK299" i="11"/>
  <c r="DM299" i="11" s="1"/>
  <c r="DJ301" i="11"/>
  <c r="DL301" i="11" s="1"/>
  <c r="DK301" i="11"/>
  <c r="DL303" i="11"/>
  <c r="DJ304" i="11"/>
  <c r="DL304" i="11" s="1"/>
  <c r="DK304" i="11"/>
  <c r="DM304" i="11" s="1"/>
  <c r="DJ306" i="11"/>
  <c r="DL306" i="11" s="1"/>
  <c r="DK306" i="11"/>
  <c r="DM306" i="11" s="1"/>
  <c r="DJ312" i="11"/>
  <c r="DL312" i="11" s="1"/>
  <c r="DK312" i="11"/>
  <c r="DM312" i="11" s="1"/>
  <c r="DJ314" i="11"/>
  <c r="DL314" i="11" s="1"/>
  <c r="DK314" i="11"/>
  <c r="DM314" i="11" s="1"/>
  <c r="T57" i="11"/>
  <c r="T59" i="11"/>
  <c r="T61" i="11"/>
  <c r="AV265" i="11"/>
  <c r="AV264" i="11"/>
  <c r="AX265" i="11"/>
  <c r="AX264" i="11"/>
  <c r="AZ265" i="11"/>
  <c r="AZ264" i="11"/>
  <c r="BB254" i="11"/>
  <c r="BC254" i="11" s="1"/>
  <c r="BA263" i="11"/>
  <c r="BB263" i="11"/>
  <c r="DJ296" i="11"/>
  <c r="DL296" i="11" s="1"/>
  <c r="DK296" i="11"/>
  <c r="DM296" i="11" s="1"/>
  <c r="DM297" i="11"/>
  <c r="DJ298" i="11"/>
  <c r="DL298" i="11" s="1"/>
  <c r="DK298" i="11"/>
  <c r="DM298" i="11" s="1"/>
  <c r="DJ300" i="11"/>
  <c r="DL300" i="11" s="1"/>
  <c r="DK300" i="11"/>
  <c r="DM300" i="11" s="1"/>
  <c r="DM301" i="11"/>
  <c r="DJ302" i="11"/>
  <c r="DL302" i="11" s="1"/>
  <c r="DK302" i="11"/>
  <c r="DM302" i="11" s="1"/>
  <c r="DJ305" i="11"/>
  <c r="DL305" i="11" s="1"/>
  <c r="DK305" i="11"/>
  <c r="DM305" i="11" s="1"/>
  <c r="DJ311" i="11"/>
  <c r="DL311" i="11" s="1"/>
  <c r="DK311" i="11"/>
  <c r="DM311" i="11" s="1"/>
  <c r="DJ313" i="11"/>
  <c r="DL313" i="11" s="1"/>
  <c r="DK313" i="11"/>
  <c r="DM313" i="11" s="1"/>
  <c r="DK286" i="11"/>
  <c r="DM286" i="11" s="1"/>
  <c r="DK287" i="11"/>
  <c r="DM287" i="11" s="1"/>
  <c r="DK288" i="11"/>
  <c r="DM288" i="11" s="1"/>
  <c r="DK289" i="11"/>
  <c r="DM289" i="11" s="1"/>
  <c r="DK290" i="11"/>
  <c r="DM290" i="11" s="1"/>
  <c r="DK291" i="11"/>
  <c r="DM291" i="11" s="1"/>
  <c r="DK292" i="11"/>
  <c r="DM292" i="11" s="1"/>
  <c r="DK293" i="11"/>
  <c r="DM293" i="11" s="1"/>
  <c r="DK294" i="11"/>
  <c r="DM294" i="11" s="1"/>
  <c r="DK303" i="11"/>
  <c r="DM303" i="11" s="1"/>
  <c r="DK307" i="11"/>
  <c r="DM307" i="11" s="1"/>
  <c r="DK308" i="11"/>
  <c r="DM308" i="11" s="1"/>
  <c r="DK309" i="11"/>
  <c r="DM309" i="11" s="1"/>
  <c r="DK310" i="11"/>
  <c r="DM310" i="11" s="1"/>
  <c r="DK315" i="11"/>
  <c r="DM315" i="11" s="1"/>
  <c r="AK18" i="15" l="1"/>
  <c r="AB61" i="11"/>
  <c r="AE61" i="11" s="1"/>
  <c r="AY279" i="12"/>
  <c r="BC273" i="12"/>
  <c r="AJ30" i="12"/>
  <c r="AK30" i="12" s="1"/>
  <c r="AJ39" i="13"/>
  <c r="AK39" i="13" s="1"/>
  <c r="AG93" i="14"/>
  <c r="AW27" i="12"/>
  <c r="AX27" i="12" s="1"/>
  <c r="AX18" i="12"/>
  <c r="AB76" i="13"/>
  <c r="AE76" i="13" s="1"/>
  <c r="AZ310" i="14"/>
  <c r="AY310" i="14"/>
  <c r="AC94" i="14"/>
  <c r="BC253" i="15"/>
  <c r="AP18" i="15"/>
  <c r="AQ18" i="15"/>
  <c r="AX279" i="12"/>
  <c r="AY261" i="15"/>
  <c r="BC259" i="11"/>
  <c r="BC274" i="12"/>
  <c r="BC270" i="12"/>
  <c r="AQ22" i="12"/>
  <c r="AR22" i="12" s="1"/>
  <c r="AQ21" i="12"/>
  <c r="AR21" i="12" s="1"/>
  <c r="AQ19" i="12"/>
  <c r="AR19" i="12" s="1"/>
  <c r="AX29" i="12"/>
  <c r="AX22" i="12"/>
  <c r="AX20" i="12"/>
  <c r="AX17" i="12"/>
  <c r="AX284" i="13"/>
  <c r="BC280" i="13"/>
  <c r="BC276" i="13"/>
  <c r="AC38" i="13"/>
  <c r="AD38" i="13" s="1"/>
  <c r="AJ51" i="13"/>
  <c r="AK51" i="13" s="1"/>
  <c r="AQ39" i="13"/>
  <c r="AR39" i="13" s="1"/>
  <c r="AJ37" i="13"/>
  <c r="AK37" i="13" s="1"/>
  <c r="AW33" i="13"/>
  <c r="AX33" i="13" s="1"/>
  <c r="AB18" i="13"/>
  <c r="AV310" i="14"/>
  <c r="AI33" i="15"/>
  <c r="AK33" i="15" s="1"/>
  <c r="AR60" i="14"/>
  <c r="AK47" i="14"/>
  <c r="AP64" i="14"/>
  <c r="AP67" i="14" s="1"/>
  <c r="H49" i="18" s="1"/>
  <c r="AC74" i="13"/>
  <c r="AC37" i="13"/>
  <c r="AD37" i="13" s="1"/>
  <c r="AW31" i="13"/>
  <c r="AX31" i="13" s="1"/>
  <c r="AW17" i="13"/>
  <c r="AX17" i="13" s="1"/>
  <c r="AX30" i="12"/>
  <c r="AQ30" i="12"/>
  <c r="AR30" i="12" s="1"/>
  <c r="AQ29" i="12"/>
  <c r="AR29" i="12" s="1"/>
  <c r="AC17" i="12"/>
  <c r="AD17" i="12" s="1"/>
  <c r="AX19" i="12"/>
  <c r="AQ20" i="12"/>
  <c r="AR20" i="12" s="1"/>
  <c r="AC19" i="12"/>
  <c r="AD19" i="12" s="1"/>
  <c r="AQ16" i="12"/>
  <c r="AR16" i="12" s="1"/>
  <c r="AD72" i="14"/>
  <c r="BG72" i="14" s="1"/>
  <c r="BH72" i="14" s="1"/>
  <c r="AQ18" i="12"/>
  <c r="AR18" i="12" s="1"/>
  <c r="AQ17" i="12"/>
  <c r="AR17" i="12" s="1"/>
  <c r="AC16" i="12"/>
  <c r="AD16" i="12" s="1"/>
  <c r="AI57" i="14"/>
  <c r="AJ57" i="14"/>
  <c r="AK57" i="14" s="1"/>
  <c r="AI56" i="14"/>
  <c r="AJ56" i="14"/>
  <c r="AK56" i="14" s="1"/>
  <c r="AP58" i="14"/>
  <c r="AQ58" i="14"/>
  <c r="AR58" i="14" s="1"/>
  <c r="AP56" i="14"/>
  <c r="AQ56" i="14"/>
  <c r="AR56" i="14" s="1"/>
  <c r="AP59" i="14"/>
  <c r="AQ59" i="14"/>
  <c r="AR59" i="14" s="1"/>
  <c r="W64" i="14"/>
  <c r="AR47" i="12"/>
  <c r="AR45" i="12"/>
  <c r="AR44" i="12"/>
  <c r="AR42" i="12"/>
  <c r="AR43" i="12"/>
  <c r="AI59" i="14"/>
  <c r="BF59" i="14" s="1"/>
  <c r="AJ59" i="14"/>
  <c r="AI58" i="14"/>
  <c r="AJ58" i="14"/>
  <c r="AP57" i="14"/>
  <c r="AQ57" i="14"/>
  <c r="AI60" i="14"/>
  <c r="BF60" i="14" s="1"/>
  <c r="AJ60" i="14"/>
  <c r="BG47" i="14"/>
  <c r="BH47" i="14" s="1"/>
  <c r="AV31" i="12"/>
  <c r="I29" i="18" s="1"/>
  <c r="AQ62" i="14"/>
  <c r="AR62" i="14" s="1"/>
  <c r="AQ33" i="15"/>
  <c r="AR33" i="15" s="1"/>
  <c r="AC29" i="12"/>
  <c r="AD29" i="12" s="1"/>
  <c r="AR46" i="12"/>
  <c r="AR40" i="12"/>
  <c r="AP48" i="12"/>
  <c r="AR41" i="12"/>
  <c r="AK45" i="12"/>
  <c r="BF45" i="12"/>
  <c r="BG45" i="12" s="1"/>
  <c r="BH45" i="12" s="1"/>
  <c r="BF44" i="12"/>
  <c r="BG44" i="12" s="1"/>
  <c r="BH44" i="12" s="1"/>
  <c r="AK44" i="12"/>
  <c r="BF42" i="12"/>
  <c r="AK42" i="12"/>
  <c r="AK43" i="12"/>
  <c r="BF43" i="12"/>
  <c r="BG43" i="12" s="1"/>
  <c r="BH43" i="12" s="1"/>
  <c r="AK41" i="12"/>
  <c r="BF41" i="12"/>
  <c r="BG41" i="12" s="1"/>
  <c r="BH41" i="12" s="1"/>
  <c r="AC30" i="12"/>
  <c r="AD30" i="12" s="1"/>
  <c r="BG50" i="12"/>
  <c r="BH50" i="12" s="1"/>
  <c r="BF55" i="12"/>
  <c r="I32" i="18"/>
  <c r="AV56" i="12"/>
  <c r="AW55" i="12"/>
  <c r="AX55" i="12" s="1"/>
  <c r="AK46" i="12"/>
  <c r="BF46" i="12"/>
  <c r="BG46" i="12" s="1"/>
  <c r="BH46" i="12" s="1"/>
  <c r="AK47" i="12"/>
  <c r="BF47" i="12"/>
  <c r="BG47" i="12" s="1"/>
  <c r="BH47" i="12" s="1"/>
  <c r="BF40" i="12"/>
  <c r="AI48" i="12"/>
  <c r="AK40" i="12"/>
  <c r="AV41" i="13"/>
  <c r="I37" i="18" s="1"/>
  <c r="AX38" i="13"/>
  <c r="AJ38" i="13"/>
  <c r="AK38" i="13" s="1"/>
  <c r="AI66" i="14"/>
  <c r="AK66" i="14" s="1"/>
  <c r="E90" i="18"/>
  <c r="B56" i="20"/>
  <c r="B44" i="20"/>
  <c r="AJ39" i="15"/>
  <c r="AI21" i="15"/>
  <c r="BF21" i="15" s="1"/>
  <c r="AJ21" i="15"/>
  <c r="AK23" i="15"/>
  <c r="AJ17" i="15"/>
  <c r="AK17" i="15" s="1"/>
  <c r="AK22" i="15"/>
  <c r="BG22" i="15" s="1"/>
  <c r="BH22" i="15" s="1"/>
  <c r="I58" i="18"/>
  <c r="AV44" i="15"/>
  <c r="I59" i="18" s="1"/>
  <c r="AK20" i="15"/>
  <c r="BG20" i="15" s="1"/>
  <c r="BH20" i="15" s="1"/>
  <c r="AP17" i="15"/>
  <c r="BF17" i="15" s="1"/>
  <c r="AQ17" i="15"/>
  <c r="BG23" i="15"/>
  <c r="BH23" i="15" s="1"/>
  <c r="AJ19" i="15"/>
  <c r="AK19" i="15" s="1"/>
  <c r="AO19" i="15"/>
  <c r="AQ70" i="14"/>
  <c r="AR70" i="14" s="1"/>
  <c r="AQ68" i="14"/>
  <c r="AR68" i="14" s="1"/>
  <c r="AQ65" i="14"/>
  <c r="AR65" i="14" s="1"/>
  <c r="AJ65" i="14"/>
  <c r="AK65" i="14" s="1"/>
  <c r="BG65" i="14" s="1"/>
  <c r="BH65" i="14" s="1"/>
  <c r="AJ64" i="14"/>
  <c r="AK64" i="14" s="1"/>
  <c r="AJ52" i="14"/>
  <c r="AK52" i="14" s="1"/>
  <c r="AQ17" i="14"/>
  <c r="AP17" i="14"/>
  <c r="AJ17" i="14"/>
  <c r="AI17" i="14"/>
  <c r="AQ18" i="14"/>
  <c r="AP18" i="14"/>
  <c r="AI18" i="14"/>
  <c r="AJ18" i="14"/>
  <c r="AB98" i="14"/>
  <c r="AE98" i="14" s="1"/>
  <c r="AC39" i="13"/>
  <c r="AD39" i="13" s="1"/>
  <c r="AC73" i="13"/>
  <c r="AF73" i="13" s="1"/>
  <c r="AG73" i="13" s="1"/>
  <c r="AC71" i="13"/>
  <c r="AF71" i="13" s="1"/>
  <c r="AG71" i="13" s="1"/>
  <c r="AB78" i="13"/>
  <c r="AE78" i="13" s="1"/>
  <c r="AC51" i="13"/>
  <c r="AD51" i="13" s="1"/>
  <c r="AJ48" i="13"/>
  <c r="AK48" i="13" s="1"/>
  <c r="AW34" i="13"/>
  <c r="AX34" i="13" s="1"/>
  <c r="AW32" i="13"/>
  <c r="AX32" i="13" s="1"/>
  <c r="AW30" i="13"/>
  <c r="AX30" i="13" s="1"/>
  <c r="AW29" i="13"/>
  <c r="AX29" i="13" s="1"/>
  <c r="AQ17" i="13"/>
  <c r="AR17" i="13" s="1"/>
  <c r="AC17" i="13"/>
  <c r="AW28" i="12"/>
  <c r="AX28" i="12" s="1"/>
  <c r="AW26" i="12"/>
  <c r="AX26" i="12" s="1"/>
  <c r="AW25" i="12"/>
  <c r="AX25" i="12" s="1"/>
  <c r="AC22" i="12"/>
  <c r="AD22" i="12" s="1"/>
  <c r="AC20" i="12"/>
  <c r="AD20" i="12" s="1"/>
  <c r="AC18" i="12"/>
  <c r="AD18" i="12" s="1"/>
  <c r="AP24" i="12"/>
  <c r="H28" i="18" s="1"/>
  <c r="BE30" i="12"/>
  <c r="AC54" i="11"/>
  <c r="AF54" i="11" s="1"/>
  <c r="AG54" i="11" s="1"/>
  <c r="H24" i="18"/>
  <c r="AP42" i="11"/>
  <c r="H25" i="18" s="1"/>
  <c r="AC25" i="11"/>
  <c r="AD25" i="11" s="1"/>
  <c r="AQ23" i="11"/>
  <c r="AR23" i="11" s="1"/>
  <c r="AC26" i="11"/>
  <c r="AD26" i="11" s="1"/>
  <c r="AC23" i="11"/>
  <c r="AC22" i="11"/>
  <c r="AC21" i="11"/>
  <c r="AD21" i="11" s="1"/>
  <c r="AC20" i="11"/>
  <c r="AD20" i="11" s="1"/>
  <c r="AQ19" i="11"/>
  <c r="AR19" i="11" s="1"/>
  <c r="AQ18" i="11"/>
  <c r="AR18" i="11" s="1"/>
  <c r="BC300" i="14"/>
  <c r="H46" i="18"/>
  <c r="BE64" i="14"/>
  <c r="BC67" i="14"/>
  <c r="J49" i="18" s="1"/>
  <c r="BC63" i="14"/>
  <c r="J48" i="18" s="1"/>
  <c r="BE46" i="14"/>
  <c r="BC54" i="14"/>
  <c r="AF55" i="15"/>
  <c r="AI39" i="15"/>
  <c r="AI46" i="14"/>
  <c r="AJ46" i="14"/>
  <c r="AF94" i="14"/>
  <c r="AG94" i="14" s="1"/>
  <c r="AF104" i="14"/>
  <c r="AF98" i="14"/>
  <c r="AG98" i="14" s="1"/>
  <c r="AF96" i="14"/>
  <c r="AG96" i="14" s="1"/>
  <c r="AF76" i="13"/>
  <c r="AG76" i="13" s="1"/>
  <c r="AF74" i="13"/>
  <c r="AG74" i="13" s="1"/>
  <c r="AF78" i="13"/>
  <c r="AG78" i="13" s="1"/>
  <c r="BE21" i="12"/>
  <c r="BE17" i="12"/>
  <c r="AF70" i="12"/>
  <c r="AG70" i="12" s="1"/>
  <c r="AF72" i="12"/>
  <c r="AG72" i="12" s="1"/>
  <c r="AF59" i="11"/>
  <c r="AG59" i="11" s="1"/>
  <c r="AF61" i="11"/>
  <c r="AG61" i="11" s="1"/>
  <c r="AF57" i="11"/>
  <c r="AG57" i="11" s="1"/>
  <c r="BE20" i="12"/>
  <c r="BE29" i="12"/>
  <c r="AR32" i="11"/>
  <c r="AV28" i="11"/>
  <c r="AC17" i="11"/>
  <c r="AD17" i="11" s="1"/>
  <c r="AQ17" i="11"/>
  <c r="AR17" i="11" s="1"/>
  <c r="BE23" i="11"/>
  <c r="AR39" i="15"/>
  <c r="AR66" i="14"/>
  <c r="AJ53" i="14"/>
  <c r="AI53" i="14"/>
  <c r="AR46" i="14"/>
  <c r="AR50" i="13"/>
  <c r="AR47" i="13"/>
  <c r="BE40" i="13"/>
  <c r="BE38" i="13"/>
  <c r="AR31" i="13"/>
  <c r="BE39" i="13"/>
  <c r="BE37" i="13"/>
  <c r="AV24" i="12"/>
  <c r="AP35" i="11"/>
  <c r="H22" i="18" s="1"/>
  <c r="BC35" i="11"/>
  <c r="J22" i="18" s="1"/>
  <c r="AR33" i="11"/>
  <c r="AV35" i="11"/>
  <c r="I22" i="18" s="1"/>
  <c r="BE19" i="11"/>
  <c r="AR34" i="11"/>
  <c r="BE18" i="11"/>
  <c r="BC248" i="15"/>
  <c r="AB56" i="15"/>
  <c r="AD55" i="15"/>
  <c r="AB39" i="15"/>
  <c r="AC39" i="15"/>
  <c r="AB33" i="15"/>
  <c r="AC33" i="15"/>
  <c r="BC40" i="15"/>
  <c r="BC297" i="14"/>
  <c r="AB95" i="14"/>
  <c r="AE95" i="14" s="1"/>
  <c r="AC95" i="14"/>
  <c r="AB105" i="14"/>
  <c r="AD104" i="14"/>
  <c r="AB92" i="14"/>
  <c r="AE92" i="14" s="1"/>
  <c r="AC92" i="14"/>
  <c r="AJ69" i="14"/>
  <c r="AI69" i="14"/>
  <c r="AI74" i="14"/>
  <c r="AI75" i="14" s="1"/>
  <c r="G51" i="18" s="1"/>
  <c r="AJ74" i="14"/>
  <c r="AB70" i="14"/>
  <c r="AC70" i="14"/>
  <c r="AB68" i="14"/>
  <c r="AC68" i="14"/>
  <c r="AB64" i="14"/>
  <c r="AC64" i="14"/>
  <c r="AC62" i="14"/>
  <c r="AB62" i="14"/>
  <c r="AC61" i="14"/>
  <c r="AB61" i="14"/>
  <c r="AI62" i="14"/>
  <c r="AJ62" i="14"/>
  <c r="AQ61" i="14"/>
  <c r="AP61" i="14"/>
  <c r="AC55" i="14"/>
  <c r="AB55" i="14"/>
  <c r="AQ55" i="14"/>
  <c r="AP55" i="14"/>
  <c r="AB53" i="14"/>
  <c r="AC53" i="14"/>
  <c r="AR53" i="14"/>
  <c r="AR45" i="14"/>
  <c r="AB97" i="14"/>
  <c r="AE97" i="14" s="1"/>
  <c r="AC97" i="14"/>
  <c r="AD96" i="14"/>
  <c r="AD94" i="14"/>
  <c r="AD93" i="14"/>
  <c r="AB91" i="14"/>
  <c r="AE91" i="14" s="1"/>
  <c r="AC91" i="14"/>
  <c r="AC69" i="14"/>
  <c r="AB69" i="14"/>
  <c r="AP74" i="14"/>
  <c r="AP75" i="14" s="1"/>
  <c r="H51" i="18" s="1"/>
  <c r="AQ74" i="14"/>
  <c r="AB74" i="14"/>
  <c r="AB75" i="14" s="1"/>
  <c r="F51" i="18" s="1"/>
  <c r="AC74" i="14"/>
  <c r="AI70" i="14"/>
  <c r="AJ70" i="14"/>
  <c r="AP69" i="14"/>
  <c r="AP71" i="14" s="1"/>
  <c r="H50" i="18" s="1"/>
  <c r="AQ69" i="14"/>
  <c r="AI68" i="14"/>
  <c r="AJ68" i="14"/>
  <c r="AB66" i="14"/>
  <c r="AC66" i="14"/>
  <c r="AI55" i="14"/>
  <c r="AJ55" i="14"/>
  <c r="AC52" i="14"/>
  <c r="AB52" i="14"/>
  <c r="AC45" i="14"/>
  <c r="AB45" i="14"/>
  <c r="AI61" i="14"/>
  <c r="AJ61" i="14"/>
  <c r="AP52" i="14"/>
  <c r="AP54" i="14" s="1"/>
  <c r="H47" i="18" s="1"/>
  <c r="AQ52" i="14"/>
  <c r="AB46" i="14"/>
  <c r="AC46" i="14"/>
  <c r="AI45" i="14"/>
  <c r="AJ45" i="14"/>
  <c r="BC271" i="13"/>
  <c r="AB77" i="13"/>
  <c r="AE77" i="13" s="1"/>
  <c r="AC77" i="13"/>
  <c r="AD76" i="13"/>
  <c r="AC49" i="13"/>
  <c r="AB49" i="13"/>
  <c r="AQ40" i="13"/>
  <c r="AP40" i="13"/>
  <c r="AC40" i="13"/>
  <c r="AB40" i="13"/>
  <c r="AJ35" i="13"/>
  <c r="AI35" i="13"/>
  <c r="AJ34" i="13"/>
  <c r="AI34" i="13"/>
  <c r="AC32" i="13"/>
  <c r="AB32" i="13"/>
  <c r="AJ30" i="13"/>
  <c r="AI30" i="13"/>
  <c r="AC29" i="13"/>
  <c r="AB29" i="13"/>
  <c r="AQ27" i="13"/>
  <c r="AP27" i="13"/>
  <c r="AC27" i="13"/>
  <c r="AB27" i="13"/>
  <c r="AQ26" i="13"/>
  <c r="AP26" i="13"/>
  <c r="AC26" i="13"/>
  <c r="AB26" i="13"/>
  <c r="AQ25" i="13"/>
  <c r="AP25" i="13"/>
  <c r="AC25" i="13"/>
  <c r="AB25" i="13"/>
  <c r="AQ24" i="13"/>
  <c r="AP24" i="13"/>
  <c r="AC24" i="13"/>
  <c r="AB24" i="13"/>
  <c r="AQ23" i="13"/>
  <c r="AP23" i="13"/>
  <c r="AC23" i="13"/>
  <c r="AB23" i="13"/>
  <c r="AQ22" i="13"/>
  <c r="AP22" i="13"/>
  <c r="AC22" i="13"/>
  <c r="AB22" i="13"/>
  <c r="AQ21" i="13"/>
  <c r="AP21" i="13"/>
  <c r="AC21" i="13"/>
  <c r="AB21" i="13"/>
  <c r="AQ20" i="13"/>
  <c r="AP20" i="13"/>
  <c r="AC20" i="13"/>
  <c r="AB20" i="13"/>
  <c r="AQ19" i="13"/>
  <c r="AP19" i="13"/>
  <c r="AB50" i="13"/>
  <c r="AC50" i="13"/>
  <c r="AP48" i="13"/>
  <c r="AQ48" i="13"/>
  <c r="AB47" i="13"/>
  <c r="AC47" i="13"/>
  <c r="AI36" i="13"/>
  <c r="AJ36" i="13"/>
  <c r="BC35" i="13"/>
  <c r="BC41" i="13" s="1"/>
  <c r="J37" i="18" s="1"/>
  <c r="BD35" i="13"/>
  <c r="AB33" i="13"/>
  <c r="AC33" i="13"/>
  <c r="AQ32" i="13"/>
  <c r="AP32" i="13"/>
  <c r="AI31" i="13"/>
  <c r="AJ31" i="13"/>
  <c r="BC20" i="13"/>
  <c r="BD20" i="13"/>
  <c r="AI20" i="13"/>
  <c r="AJ20" i="13"/>
  <c r="BC19" i="13"/>
  <c r="BD19" i="13"/>
  <c r="AI19" i="13"/>
  <c r="AJ19" i="13"/>
  <c r="AD18" i="13"/>
  <c r="AB28" i="13"/>
  <c r="F36" i="18" s="1"/>
  <c r="AD17" i="13"/>
  <c r="BC52" i="13"/>
  <c r="J38" i="18" s="1"/>
  <c r="BF38" i="13"/>
  <c r="AB75" i="13"/>
  <c r="AE75" i="13" s="1"/>
  <c r="AC75" i="13"/>
  <c r="AD74" i="13"/>
  <c r="AC57" i="13"/>
  <c r="AC58" i="13" s="1"/>
  <c r="AB57" i="13"/>
  <c r="F40" i="18" s="1"/>
  <c r="BC58" i="13"/>
  <c r="J41" i="18" s="1"/>
  <c r="BE57" i="13"/>
  <c r="BE58" i="13" s="1"/>
  <c r="AP58" i="13"/>
  <c r="H41" i="18" s="1"/>
  <c r="AR57" i="13"/>
  <c r="AR58" i="13" s="1"/>
  <c r="AC48" i="13"/>
  <c r="AB48" i="13"/>
  <c r="AW40" i="13"/>
  <c r="AX40" i="13" s="1"/>
  <c r="AJ40" i="13"/>
  <c r="AI40" i="13"/>
  <c r="AQ35" i="13"/>
  <c r="AP35" i="13"/>
  <c r="AC35" i="13"/>
  <c r="AB35" i="13"/>
  <c r="AC34" i="13"/>
  <c r="AB34" i="13"/>
  <c r="AJ32" i="13"/>
  <c r="AI32" i="13"/>
  <c r="AC30" i="13"/>
  <c r="AB30" i="13"/>
  <c r="AJ29" i="13"/>
  <c r="AI29" i="13"/>
  <c r="AQ18" i="13"/>
  <c r="AP18" i="13"/>
  <c r="AI58" i="13"/>
  <c r="G41" i="18" s="1"/>
  <c r="AK57" i="13"/>
  <c r="AK58" i="13" s="1"/>
  <c r="AP51" i="13"/>
  <c r="AQ51" i="13"/>
  <c r="AI50" i="13"/>
  <c r="AJ50" i="13"/>
  <c r="AI49" i="13"/>
  <c r="AJ49" i="13"/>
  <c r="AB36" i="13"/>
  <c r="AC36" i="13"/>
  <c r="AQ34" i="13"/>
  <c r="AP34" i="13"/>
  <c r="AI33" i="13"/>
  <c r="AJ33" i="13"/>
  <c r="AB31" i="13"/>
  <c r="AC31" i="13"/>
  <c r="AQ30" i="13"/>
  <c r="AP30" i="13"/>
  <c r="AP29" i="13"/>
  <c r="AQ29" i="13"/>
  <c r="BC27" i="13"/>
  <c r="BD27" i="13"/>
  <c r="AI27" i="13"/>
  <c r="AJ27" i="13"/>
  <c r="BC26" i="13"/>
  <c r="BD26" i="13"/>
  <c r="AI26" i="13"/>
  <c r="AJ26" i="13"/>
  <c r="BC25" i="13"/>
  <c r="BD25" i="13"/>
  <c r="AI25" i="13"/>
  <c r="AJ25" i="13"/>
  <c r="BC24" i="13"/>
  <c r="BD24" i="13"/>
  <c r="AI24" i="13"/>
  <c r="AJ24" i="13"/>
  <c r="BC23" i="13"/>
  <c r="BD23" i="13"/>
  <c r="AI23" i="13"/>
  <c r="AJ23" i="13"/>
  <c r="BC22" i="13"/>
  <c r="BD22" i="13"/>
  <c r="AI22" i="13"/>
  <c r="AJ22" i="13"/>
  <c r="BC21" i="13"/>
  <c r="BD21" i="13"/>
  <c r="AI21" i="13"/>
  <c r="AJ21" i="13"/>
  <c r="AD19" i="13"/>
  <c r="BC18" i="13"/>
  <c r="BD18" i="13"/>
  <c r="AI18" i="13"/>
  <c r="AJ18" i="13"/>
  <c r="AI17" i="13"/>
  <c r="AJ17" i="13"/>
  <c r="BE17" i="13"/>
  <c r="AR49" i="13"/>
  <c r="AK47" i="13"/>
  <c r="BF39" i="13"/>
  <c r="BF37" i="13"/>
  <c r="AR36" i="13"/>
  <c r="AR33" i="13"/>
  <c r="AW28" i="13"/>
  <c r="BC266" i="12"/>
  <c r="AB73" i="12"/>
  <c r="AE73" i="12" s="1"/>
  <c r="AC73" i="12"/>
  <c r="AD72" i="12"/>
  <c r="AJ28" i="12"/>
  <c r="AI28" i="12"/>
  <c r="AC26" i="12"/>
  <c r="AB26" i="12"/>
  <c r="AJ25" i="12"/>
  <c r="AI25" i="12"/>
  <c r="AJ23" i="12"/>
  <c r="AI23" i="12"/>
  <c r="AJ22" i="12"/>
  <c r="AI22" i="12"/>
  <c r="AJ21" i="12"/>
  <c r="AI21" i="12"/>
  <c r="AJ20" i="12"/>
  <c r="AI20" i="12"/>
  <c r="AJ19" i="12"/>
  <c r="AI19" i="12"/>
  <c r="AJ18" i="12"/>
  <c r="AI18" i="12"/>
  <c r="AJ17" i="12"/>
  <c r="AI17" i="12"/>
  <c r="AB27" i="12"/>
  <c r="AC27" i="12"/>
  <c r="AQ26" i="12"/>
  <c r="AP26" i="12"/>
  <c r="AP25" i="12"/>
  <c r="AQ25" i="12"/>
  <c r="BF30" i="12"/>
  <c r="BE22" i="12"/>
  <c r="BE18" i="12"/>
  <c r="AC24" i="12"/>
  <c r="AD24" i="12" s="1"/>
  <c r="BF29" i="12"/>
  <c r="AR27" i="12"/>
  <c r="BE23" i="12"/>
  <c r="BE19" i="12"/>
  <c r="AB71" i="12"/>
  <c r="AE71" i="12" s="1"/>
  <c r="AE74" i="12" s="1"/>
  <c r="AC71" i="12"/>
  <c r="AD70" i="12"/>
  <c r="AC28" i="12"/>
  <c r="AB28" i="12"/>
  <c r="AJ26" i="12"/>
  <c r="AI26" i="12"/>
  <c r="AC25" i="12"/>
  <c r="AB25" i="12"/>
  <c r="AJ16" i="12"/>
  <c r="AI16" i="12"/>
  <c r="AQ28" i="12"/>
  <c r="AP28" i="12"/>
  <c r="AI27" i="12"/>
  <c r="AJ27" i="12"/>
  <c r="BC31" i="12"/>
  <c r="J29" i="18" s="1"/>
  <c r="BC24" i="12"/>
  <c r="J28" i="18" s="1"/>
  <c r="BE16" i="12"/>
  <c r="AV32" i="12"/>
  <c r="AV34" i="12" s="1"/>
  <c r="BC263" i="11"/>
  <c r="AZ267" i="11"/>
  <c r="AX267" i="11"/>
  <c r="AV267" i="11"/>
  <c r="AY267" i="11"/>
  <c r="AW267" i="11"/>
  <c r="AB60" i="11"/>
  <c r="AE60" i="11" s="1"/>
  <c r="AC60" i="11"/>
  <c r="AD59" i="11"/>
  <c r="AB56" i="11"/>
  <c r="AE56" i="11" s="1"/>
  <c r="AC56" i="11"/>
  <c r="AB41" i="11"/>
  <c r="AC41" i="11"/>
  <c r="AC34" i="11"/>
  <c r="AB34" i="11"/>
  <c r="AC32" i="11"/>
  <c r="AB32" i="11"/>
  <c r="AC30" i="11"/>
  <c r="AB30" i="11"/>
  <c r="AC29" i="11"/>
  <c r="AB29" i="11"/>
  <c r="AQ25" i="11"/>
  <c r="AP25" i="11"/>
  <c r="AQ22" i="11"/>
  <c r="AP22" i="11"/>
  <c r="AQ20" i="11"/>
  <c r="AP20" i="11"/>
  <c r="AR41" i="11"/>
  <c r="AB33" i="11"/>
  <c r="AC33" i="11"/>
  <c r="AB31" i="11"/>
  <c r="AC31" i="11"/>
  <c r="AW30" i="11"/>
  <c r="AX30" i="11" s="1"/>
  <c r="BE29" i="11"/>
  <c r="BC25" i="11"/>
  <c r="BD25" i="11"/>
  <c r="AI25" i="11"/>
  <c r="AJ25" i="11"/>
  <c r="AD24" i="11"/>
  <c r="AD23" i="11"/>
  <c r="BC22" i="11"/>
  <c r="BD22" i="11"/>
  <c r="AI22" i="11"/>
  <c r="AJ22" i="11"/>
  <c r="BC20" i="11"/>
  <c r="BD20" i="11"/>
  <c r="AI20" i="11"/>
  <c r="AJ20" i="11"/>
  <c r="AI19" i="11"/>
  <c r="BF19" i="11" s="1"/>
  <c r="AJ19" i="11"/>
  <c r="AI18" i="11"/>
  <c r="BF18" i="11" s="1"/>
  <c r="AJ18" i="11"/>
  <c r="AI17" i="11"/>
  <c r="BF17" i="11" s="1"/>
  <c r="AJ17" i="11"/>
  <c r="AR29" i="11"/>
  <c r="AD61" i="11"/>
  <c r="AB58" i="11"/>
  <c r="AE58" i="11" s="1"/>
  <c r="AC58" i="11"/>
  <c r="AD57" i="11"/>
  <c r="AI41" i="11"/>
  <c r="AJ41" i="11"/>
  <c r="AJ34" i="11"/>
  <c r="AI34" i="11"/>
  <c r="AJ32" i="11"/>
  <c r="AI32" i="11"/>
  <c r="AJ30" i="11"/>
  <c r="AI30" i="11"/>
  <c r="AJ29" i="11"/>
  <c r="AI29" i="11"/>
  <c r="AQ27" i="11"/>
  <c r="AP27" i="11"/>
  <c r="AC27" i="11"/>
  <c r="AB27" i="11"/>
  <c r="AB28" i="11" s="1"/>
  <c r="F21" i="18" s="1"/>
  <c r="AQ26" i="11"/>
  <c r="AP26" i="11"/>
  <c r="AQ24" i="11"/>
  <c r="AP24" i="11"/>
  <c r="AQ21" i="11"/>
  <c r="AP21" i="11"/>
  <c r="AW34" i="11"/>
  <c r="AX34" i="11" s="1"/>
  <c r="AI33" i="11"/>
  <c r="AJ33" i="11"/>
  <c r="AW32" i="11"/>
  <c r="AX32" i="11" s="1"/>
  <c r="AI31" i="11"/>
  <c r="AJ31" i="11"/>
  <c r="BC27" i="11"/>
  <c r="BD27" i="11"/>
  <c r="AI27" i="11"/>
  <c r="AJ27" i="11"/>
  <c r="BC26" i="11"/>
  <c r="BD26" i="11"/>
  <c r="AI26" i="11"/>
  <c r="AJ26" i="11"/>
  <c r="BC24" i="11"/>
  <c r="BD24" i="11"/>
  <c r="AI24" i="11"/>
  <c r="AJ24" i="11"/>
  <c r="AI23" i="11"/>
  <c r="AJ23" i="11"/>
  <c r="AD22" i="11"/>
  <c r="BC21" i="11"/>
  <c r="BD21" i="11"/>
  <c r="AI21" i="11"/>
  <c r="AJ21" i="11"/>
  <c r="AD19" i="11"/>
  <c r="AD18" i="11"/>
  <c r="AR30" i="11"/>
  <c r="BE17" i="11"/>
  <c r="AR31" i="11"/>
  <c r="AR18" i="15" l="1"/>
  <c r="BF18" i="15"/>
  <c r="BG18" i="15" s="1"/>
  <c r="BH18" i="15" s="1"/>
  <c r="BF20" i="11"/>
  <c r="AR64" i="14"/>
  <c r="AK39" i="15"/>
  <c r="BF58" i="14"/>
  <c r="AQ24" i="12"/>
  <c r="AR24" i="12" s="1"/>
  <c r="AD54" i="11"/>
  <c r="AK60" i="14"/>
  <c r="AR57" i="14"/>
  <c r="AK58" i="14"/>
  <c r="AK59" i="14"/>
  <c r="BG60" i="14"/>
  <c r="BH60" i="14" s="1"/>
  <c r="BG58" i="14"/>
  <c r="BH58" i="14" s="1"/>
  <c r="BG59" i="14"/>
  <c r="BH59" i="14" s="1"/>
  <c r="BF56" i="14"/>
  <c r="BG56" i="14" s="1"/>
  <c r="BH56" i="14" s="1"/>
  <c r="BF57" i="14"/>
  <c r="BG57" i="14" s="1"/>
  <c r="BH57" i="14" s="1"/>
  <c r="AP28" i="13"/>
  <c r="H36" i="18" s="1"/>
  <c r="AI63" i="14"/>
  <c r="G48" i="18" s="1"/>
  <c r="BG40" i="12"/>
  <c r="BH40" i="12" s="1"/>
  <c r="BF48" i="12"/>
  <c r="AW56" i="12"/>
  <c r="AX56" i="12" s="1"/>
  <c r="AV58" i="12"/>
  <c r="AV60" i="12" s="1"/>
  <c r="I34" i="18" s="1"/>
  <c r="K32" i="18"/>
  <c r="BG55" i="12"/>
  <c r="M32" i="18" s="1"/>
  <c r="BG42" i="12"/>
  <c r="BH42" i="12" s="1"/>
  <c r="H31" i="18"/>
  <c r="AQ48" i="12"/>
  <c r="AR48" i="12" s="1"/>
  <c r="AP56" i="12"/>
  <c r="G31" i="18"/>
  <c r="AJ48" i="12"/>
  <c r="AK48" i="12" s="1"/>
  <c r="AI56" i="12"/>
  <c r="AV42" i="13"/>
  <c r="AV54" i="13" s="1"/>
  <c r="AV60" i="13" s="1"/>
  <c r="I42" i="18" s="1"/>
  <c r="AD71" i="13"/>
  <c r="AI67" i="14"/>
  <c r="G49" i="18" s="1"/>
  <c r="AF105" i="14"/>
  <c r="AG105" i="14" s="1"/>
  <c r="AG104" i="14"/>
  <c r="AF56" i="15"/>
  <c r="AG55" i="15"/>
  <c r="AD73" i="13"/>
  <c r="AI24" i="15"/>
  <c r="AI26" i="15" s="1"/>
  <c r="G56" i="18" s="1"/>
  <c r="AK21" i="15"/>
  <c r="AQ19" i="15"/>
  <c r="AP19" i="15"/>
  <c r="AR17" i="15"/>
  <c r="BG17" i="15" s="1"/>
  <c r="BH17" i="15" s="1"/>
  <c r="BG21" i="15"/>
  <c r="BH21" i="15" s="1"/>
  <c r="AI71" i="14"/>
  <c r="G50" i="18" s="1"/>
  <c r="BC76" i="14"/>
  <c r="BC78" i="14" s="1"/>
  <c r="BC80" i="14" s="1"/>
  <c r="J53" i="18" s="1"/>
  <c r="AR18" i="14"/>
  <c r="AK17" i="14"/>
  <c r="BF17" i="14"/>
  <c r="AI28" i="14"/>
  <c r="AP28" i="14"/>
  <c r="AR17" i="14"/>
  <c r="AK18" i="14"/>
  <c r="BF18" i="14"/>
  <c r="BG18" i="14" s="1"/>
  <c r="BH18" i="14" s="1"/>
  <c r="AD98" i="14"/>
  <c r="BF19" i="13"/>
  <c r="AD78" i="13"/>
  <c r="AW41" i="13"/>
  <c r="AX41" i="13" s="1"/>
  <c r="AW42" i="13" s="1"/>
  <c r="AX42" i="13" s="1"/>
  <c r="AW31" i="12"/>
  <c r="AX31" i="12" s="1"/>
  <c r="AW24" i="12"/>
  <c r="AX24" i="12" s="1"/>
  <c r="I28" i="18"/>
  <c r="I30" i="18"/>
  <c r="BF22" i="11"/>
  <c r="G24" i="18"/>
  <c r="AI42" i="11"/>
  <c r="G25" i="18" s="1"/>
  <c r="F24" i="18"/>
  <c r="AB42" i="11"/>
  <c r="F25" i="18" s="1"/>
  <c r="BF25" i="11"/>
  <c r="AW28" i="11"/>
  <c r="I21" i="18"/>
  <c r="BC42" i="15"/>
  <c r="J57" i="18"/>
  <c r="F46" i="18"/>
  <c r="AB67" i="14"/>
  <c r="F49" i="18" s="1"/>
  <c r="G46" i="18"/>
  <c r="AB54" i="14"/>
  <c r="F47" i="18" s="1"/>
  <c r="J47" i="18"/>
  <c r="AB71" i="14"/>
  <c r="F50" i="18" s="1"/>
  <c r="AP63" i="14"/>
  <c r="H48" i="18" s="1"/>
  <c r="AB63" i="14"/>
  <c r="F48" i="18" s="1"/>
  <c r="AI54" i="14"/>
  <c r="G47" i="18" s="1"/>
  <c r="AE99" i="14"/>
  <c r="AE107" i="14" s="1"/>
  <c r="AK46" i="14"/>
  <c r="AF91" i="14"/>
  <c r="AG91" i="14" s="1"/>
  <c r="AF97" i="14"/>
  <c r="AG97" i="14" s="1"/>
  <c r="AF95" i="14"/>
  <c r="AG95" i="14" s="1"/>
  <c r="AF92" i="14"/>
  <c r="AG92" i="14" s="1"/>
  <c r="BC28" i="13"/>
  <c r="BD28" i="13" s="1"/>
  <c r="AE79" i="13"/>
  <c r="AE81" i="13" s="1"/>
  <c r="AF75" i="13"/>
  <c r="AG75" i="13" s="1"/>
  <c r="AF77" i="13"/>
  <c r="AG77" i="13" s="1"/>
  <c r="AB74" i="12"/>
  <c r="AE76" i="12"/>
  <c r="AF71" i="12"/>
  <c r="AG71" i="12" s="1"/>
  <c r="AF73" i="12"/>
  <c r="AG73" i="12" s="1"/>
  <c r="AF58" i="11"/>
  <c r="AG58" i="11" s="1"/>
  <c r="AF56" i="11"/>
  <c r="AG56" i="11" s="1"/>
  <c r="AF60" i="11"/>
  <c r="AG60" i="11" s="1"/>
  <c r="AE62" i="11"/>
  <c r="AE64" i="11" s="1"/>
  <c r="BC28" i="11"/>
  <c r="AR32" i="13"/>
  <c r="AR19" i="13"/>
  <c r="AR20" i="13"/>
  <c r="AR21" i="13"/>
  <c r="AR22" i="13"/>
  <c r="AR23" i="13"/>
  <c r="AR24" i="13"/>
  <c r="AR25" i="13"/>
  <c r="AR26" i="13"/>
  <c r="AR27" i="13"/>
  <c r="AK30" i="13"/>
  <c r="AK69" i="14"/>
  <c r="AK53" i="14"/>
  <c r="AK68" i="14"/>
  <c r="AR69" i="14"/>
  <c r="AK70" i="14"/>
  <c r="AR55" i="14"/>
  <c r="AR61" i="14"/>
  <c r="AK34" i="13"/>
  <c r="AK35" i="13"/>
  <c r="AR40" i="13"/>
  <c r="AR30" i="13"/>
  <c r="AR34" i="13"/>
  <c r="AR18" i="13"/>
  <c r="AK32" i="13"/>
  <c r="AR35" i="13"/>
  <c r="AK40" i="13"/>
  <c r="AR28" i="12"/>
  <c r="AR21" i="11"/>
  <c r="AR24" i="11"/>
  <c r="AR26" i="11"/>
  <c r="AR27" i="11"/>
  <c r="AK18" i="11"/>
  <c r="AI35" i="11"/>
  <c r="G22" i="18" s="1"/>
  <c r="AB35" i="11"/>
  <c r="F22" i="18" s="1"/>
  <c r="AW35" i="11"/>
  <c r="AX35" i="11" s="1"/>
  <c r="BD35" i="11"/>
  <c r="BE35" i="11" s="1"/>
  <c r="AQ35" i="11"/>
  <c r="AR35" i="11" s="1"/>
  <c r="AK30" i="11"/>
  <c r="AK32" i="11"/>
  <c r="AK34" i="11"/>
  <c r="AK22" i="11"/>
  <c r="BE22" i="11"/>
  <c r="AK19" i="11"/>
  <c r="BG19" i="11" s="1"/>
  <c r="BH19" i="11" s="1"/>
  <c r="AK20" i="11"/>
  <c r="BE20" i="11"/>
  <c r="AK25" i="11"/>
  <c r="BE25" i="11"/>
  <c r="BD40" i="15"/>
  <c r="BE40" i="15" s="1"/>
  <c r="AP40" i="15"/>
  <c r="AI40" i="15"/>
  <c r="AD33" i="15"/>
  <c r="BF33" i="15"/>
  <c r="BF39" i="15"/>
  <c r="AD39" i="15"/>
  <c r="AC56" i="15"/>
  <c r="AD56" i="15" s="1"/>
  <c r="AB40" i="15"/>
  <c r="BF45" i="14"/>
  <c r="AD45" i="14"/>
  <c r="BF52" i="14"/>
  <c r="AD52" i="14"/>
  <c r="AD66" i="14"/>
  <c r="BF66" i="14"/>
  <c r="AD74" i="14"/>
  <c r="BF74" i="14"/>
  <c r="BF75" i="14" s="1"/>
  <c r="AR74" i="14"/>
  <c r="BF53" i="14"/>
  <c r="AD53" i="14"/>
  <c r="AK62" i="14"/>
  <c r="AD64" i="14"/>
  <c r="BF64" i="14"/>
  <c r="BF68" i="14"/>
  <c r="AD68" i="14"/>
  <c r="BF70" i="14"/>
  <c r="AD70" i="14"/>
  <c r="AK74" i="14"/>
  <c r="AC105" i="14"/>
  <c r="AD105" i="14" s="1"/>
  <c r="AD95" i="14"/>
  <c r="AK45" i="14"/>
  <c r="BF46" i="14"/>
  <c r="AD46" i="14"/>
  <c r="AR52" i="14"/>
  <c r="AK61" i="14"/>
  <c r="AK55" i="14"/>
  <c r="BF69" i="14"/>
  <c r="AD69" i="14"/>
  <c r="AB99" i="14"/>
  <c r="AD91" i="14"/>
  <c r="AD97" i="14"/>
  <c r="BF55" i="14"/>
  <c r="AD55" i="14"/>
  <c r="BF61" i="14"/>
  <c r="AD61" i="14"/>
  <c r="BF62" i="14"/>
  <c r="AD62" i="14"/>
  <c r="AD92" i="14"/>
  <c r="BG37" i="13"/>
  <c r="BH37" i="13" s="1"/>
  <c r="AI28" i="13"/>
  <c r="G36" i="18" s="1"/>
  <c r="AK17" i="13"/>
  <c r="AK18" i="13"/>
  <c r="BE18" i="13"/>
  <c r="AK21" i="13"/>
  <c r="BE21" i="13"/>
  <c r="AK22" i="13"/>
  <c r="BE22" i="13"/>
  <c r="AK23" i="13"/>
  <c r="BE23" i="13"/>
  <c r="AK24" i="13"/>
  <c r="BE24" i="13"/>
  <c r="AK25" i="13"/>
  <c r="BE25" i="13"/>
  <c r="AK26" i="13"/>
  <c r="BE26" i="13"/>
  <c r="AK27" i="13"/>
  <c r="BE27" i="13"/>
  <c r="AR29" i="13"/>
  <c r="AP41" i="13"/>
  <c r="BF31" i="13"/>
  <c r="AD31" i="13"/>
  <c r="AK33" i="13"/>
  <c r="BF36" i="13"/>
  <c r="AD36" i="13"/>
  <c r="AK49" i="13"/>
  <c r="AI52" i="13"/>
  <c r="G38" i="18" s="1"/>
  <c r="AK50" i="13"/>
  <c r="AR51" i="13"/>
  <c r="BF51" i="13"/>
  <c r="BF57" i="13"/>
  <c r="K40" i="18" s="1"/>
  <c r="AB58" i="13"/>
  <c r="F41" i="18" s="1"/>
  <c r="AD57" i="13"/>
  <c r="AD58" i="13" s="1"/>
  <c r="AD75" i="13"/>
  <c r="BG38" i="13"/>
  <c r="BH38" i="13" s="1"/>
  <c r="BF18" i="13"/>
  <c r="AK19" i="13"/>
  <c r="BE19" i="13"/>
  <c r="AK20" i="13"/>
  <c r="BE20" i="13"/>
  <c r="AK31" i="13"/>
  <c r="BF33" i="13"/>
  <c r="AD33" i="13"/>
  <c r="BE35" i="13"/>
  <c r="AK36" i="13"/>
  <c r="AP52" i="13"/>
  <c r="H38" i="18" s="1"/>
  <c r="BF47" i="13"/>
  <c r="AD47" i="13"/>
  <c r="AR48" i="13"/>
  <c r="BF50" i="13"/>
  <c r="AD50" i="13"/>
  <c r="AB79" i="13"/>
  <c r="BD41" i="13"/>
  <c r="BE41" i="13" s="1"/>
  <c r="BG39" i="13"/>
  <c r="BH39" i="13" s="1"/>
  <c r="AI41" i="13"/>
  <c r="G37" i="18" s="1"/>
  <c r="AK29" i="13"/>
  <c r="BF30" i="13"/>
  <c r="AD30" i="13"/>
  <c r="BF34" i="13"/>
  <c r="AD34" i="13"/>
  <c r="BF35" i="13"/>
  <c r="AD35" i="13"/>
  <c r="AB52" i="13"/>
  <c r="F38" i="18" s="1"/>
  <c r="BF48" i="13"/>
  <c r="AD48" i="13"/>
  <c r="BD52" i="13"/>
  <c r="BE52" i="13" s="1"/>
  <c r="BF17" i="13"/>
  <c r="BF20" i="13"/>
  <c r="AD20" i="13"/>
  <c r="BF21" i="13"/>
  <c r="AD21" i="13"/>
  <c r="BF22" i="13"/>
  <c r="AD22" i="13"/>
  <c r="BF23" i="13"/>
  <c r="AD23" i="13"/>
  <c r="BF24" i="13"/>
  <c r="AD24" i="13"/>
  <c r="BF25" i="13"/>
  <c r="AD25" i="13"/>
  <c r="BF26" i="13"/>
  <c r="AD26" i="13"/>
  <c r="BF27" i="13"/>
  <c r="AD27" i="13"/>
  <c r="BF29" i="13"/>
  <c r="AB41" i="13"/>
  <c r="AD29" i="13"/>
  <c r="BF32" i="13"/>
  <c r="AD32" i="13"/>
  <c r="BF40" i="13"/>
  <c r="AD40" i="13"/>
  <c r="BF49" i="13"/>
  <c r="AD49" i="13"/>
  <c r="AD77" i="13"/>
  <c r="BD31" i="12"/>
  <c r="BE31" i="12" s="1"/>
  <c r="AK27" i="12"/>
  <c r="AI24" i="12"/>
  <c r="G28" i="18" s="1"/>
  <c r="AK16" i="12"/>
  <c r="BF16" i="12"/>
  <c r="BF25" i="12"/>
  <c r="AB31" i="12"/>
  <c r="F29" i="18" s="1"/>
  <c r="AD25" i="12"/>
  <c r="AK26" i="12"/>
  <c r="BF28" i="12"/>
  <c r="AD28" i="12"/>
  <c r="BG29" i="12"/>
  <c r="BH29" i="12" s="1"/>
  <c r="BG30" i="12"/>
  <c r="BH30" i="12" s="1"/>
  <c r="AR26" i="12"/>
  <c r="AK17" i="12"/>
  <c r="BF17" i="12"/>
  <c r="AK18" i="12"/>
  <c r="BF18" i="12"/>
  <c r="AK19" i="12"/>
  <c r="BF19" i="12"/>
  <c r="AK20" i="12"/>
  <c r="BF20" i="12"/>
  <c r="AK21" i="12"/>
  <c r="BF21" i="12"/>
  <c r="AK22" i="12"/>
  <c r="BF22" i="12"/>
  <c r="AK23" i="12"/>
  <c r="BF23" i="12"/>
  <c r="AI31" i="12"/>
  <c r="G29" i="18" s="1"/>
  <c r="AK25" i="12"/>
  <c r="BF26" i="12"/>
  <c r="AD26" i="12"/>
  <c r="AK28" i="12"/>
  <c r="BD24" i="12"/>
  <c r="BE24" i="12" s="1"/>
  <c r="BC32" i="12"/>
  <c r="BC34" i="12" s="1"/>
  <c r="AD71" i="12"/>
  <c r="AR25" i="12"/>
  <c r="AP31" i="12"/>
  <c r="H29" i="18" s="1"/>
  <c r="BF27" i="12"/>
  <c r="AD27" i="12"/>
  <c r="AD73" i="12"/>
  <c r="AK41" i="11"/>
  <c r="BG18" i="11"/>
  <c r="BH18" i="11" s="1"/>
  <c r="AK21" i="11"/>
  <c r="BE21" i="11"/>
  <c r="AK23" i="11"/>
  <c r="AK24" i="11"/>
  <c r="BE24" i="11"/>
  <c r="AK26" i="11"/>
  <c r="BE26" i="11"/>
  <c r="AK27" i="11"/>
  <c r="BE27" i="11"/>
  <c r="AK31" i="11"/>
  <c r="AK33" i="11"/>
  <c r="AD58" i="11"/>
  <c r="AV36" i="11"/>
  <c r="AR20" i="11"/>
  <c r="AR22" i="11"/>
  <c r="AR25" i="11"/>
  <c r="BF29" i="11"/>
  <c r="AD29" i="11"/>
  <c r="BF30" i="11"/>
  <c r="AD30" i="11"/>
  <c r="BF32" i="11"/>
  <c r="AD32" i="11"/>
  <c r="BF34" i="11"/>
  <c r="AD34" i="11"/>
  <c r="BF27" i="11"/>
  <c r="AD27" i="11"/>
  <c r="AC28" i="11" s="1"/>
  <c r="AK29" i="11"/>
  <c r="AI28" i="11"/>
  <c r="G21" i="18" s="1"/>
  <c r="AK17" i="11"/>
  <c r="BG17" i="11" s="1"/>
  <c r="BH17" i="11" s="1"/>
  <c r="AP28" i="11"/>
  <c r="H21" i="18" s="1"/>
  <c r="BF21" i="11"/>
  <c r="BF23" i="11"/>
  <c r="BF24" i="11"/>
  <c r="BF26" i="11"/>
  <c r="BF31" i="11"/>
  <c r="AD31" i="11"/>
  <c r="BF33" i="11"/>
  <c r="AD33" i="11"/>
  <c r="AD41" i="11"/>
  <c r="BF41" i="11"/>
  <c r="AB62" i="11"/>
  <c r="AD56" i="11"/>
  <c r="AD60" i="11"/>
  <c r="G55" i="18" l="1"/>
  <c r="I39" i="18"/>
  <c r="J52" i="18"/>
  <c r="BG22" i="11"/>
  <c r="BH22" i="11" s="1"/>
  <c r="E86" i="18"/>
  <c r="B52" i="20"/>
  <c r="N32" i="18"/>
  <c r="E87" i="18"/>
  <c r="B53" i="20"/>
  <c r="AW32" i="12"/>
  <c r="AX32" i="12" s="1"/>
  <c r="AP58" i="12"/>
  <c r="AQ56" i="12"/>
  <c r="AR56" i="12" s="1"/>
  <c r="BH55" i="12"/>
  <c r="K31" i="18"/>
  <c r="C83" i="20"/>
  <c r="BF56" i="12"/>
  <c r="BG48" i="12"/>
  <c r="M31" i="18" s="1"/>
  <c r="AJ56" i="12"/>
  <c r="AK56" i="12" s="1"/>
  <c r="AI58" i="12"/>
  <c r="I33" i="18"/>
  <c r="AW58" i="12"/>
  <c r="AX58" i="12" s="1"/>
  <c r="AF74" i="12"/>
  <c r="AG74" i="12" s="1"/>
  <c r="AF99" i="14"/>
  <c r="AG99" i="14" s="1"/>
  <c r="AF107" i="14" s="1"/>
  <c r="AF58" i="15"/>
  <c r="AG56" i="15"/>
  <c r="AJ24" i="15"/>
  <c r="AK24" i="15" s="1"/>
  <c r="B55" i="20"/>
  <c r="E88" i="18"/>
  <c r="B54" i="20"/>
  <c r="AJ26" i="15"/>
  <c r="AK26" i="15" s="1"/>
  <c r="BF19" i="15"/>
  <c r="AR19" i="15"/>
  <c r="AP24" i="15"/>
  <c r="BD76" i="14"/>
  <c r="BE76" i="14" s="1"/>
  <c r="G44" i="18"/>
  <c r="AI40" i="14"/>
  <c r="AJ40" i="14" s="1"/>
  <c r="AK40" i="14" s="1"/>
  <c r="AJ28" i="14"/>
  <c r="H44" i="18"/>
  <c r="AQ28" i="14"/>
  <c r="AP40" i="14"/>
  <c r="AQ40" i="14" s="1"/>
  <c r="AR40" i="14" s="1"/>
  <c r="BF28" i="14"/>
  <c r="BG17" i="14"/>
  <c r="BH17" i="14" s="1"/>
  <c r="BG19" i="13"/>
  <c r="BH19" i="13" s="1"/>
  <c r="AQ28" i="13"/>
  <c r="AC28" i="13"/>
  <c r="AF79" i="13"/>
  <c r="BC42" i="13"/>
  <c r="BC54" i="13" s="1"/>
  <c r="J39" i="18" s="1"/>
  <c r="J36" i="18"/>
  <c r="AB42" i="13"/>
  <c r="AB54" i="13" s="1"/>
  <c r="F37" i="18"/>
  <c r="AP42" i="13"/>
  <c r="AP54" i="13" s="1"/>
  <c r="H37" i="18"/>
  <c r="BC60" i="12"/>
  <c r="J34" i="18" s="1"/>
  <c r="J30" i="18"/>
  <c r="BG20" i="11"/>
  <c r="BH20" i="11" s="1"/>
  <c r="BG25" i="11"/>
  <c r="BH25" i="11" s="1"/>
  <c r="BF42" i="11"/>
  <c r="K25" i="18" s="1"/>
  <c r="K24" i="18"/>
  <c r="AV38" i="11"/>
  <c r="AV44" i="11" s="1"/>
  <c r="I26" i="18" s="1"/>
  <c r="I23" i="18"/>
  <c r="BD28" i="11"/>
  <c r="J21" i="18"/>
  <c r="E89" i="18"/>
  <c r="AP42" i="15"/>
  <c r="H57" i="18"/>
  <c r="AB42" i="15"/>
  <c r="F57" i="18"/>
  <c r="AI42" i="15"/>
  <c r="G57" i="18"/>
  <c r="J58" i="18"/>
  <c r="BC44" i="15"/>
  <c r="J59" i="18" s="1"/>
  <c r="K51" i="18"/>
  <c r="AP76" i="14"/>
  <c r="AB76" i="14"/>
  <c r="AB78" i="14" s="1"/>
  <c r="K46" i="18"/>
  <c r="AI76" i="14"/>
  <c r="BF54" i="14"/>
  <c r="BF71" i="14"/>
  <c r="BF67" i="14"/>
  <c r="BF63" i="14"/>
  <c r="AF62" i="11"/>
  <c r="AC74" i="12"/>
  <c r="AD74" i="12" s="1"/>
  <c r="BF35" i="11"/>
  <c r="K22" i="18" s="1"/>
  <c r="AC35" i="11"/>
  <c r="AD35" i="11" s="1"/>
  <c r="AJ35" i="11"/>
  <c r="AK35" i="11" s="1"/>
  <c r="BF40" i="15"/>
  <c r="C84" i="20" s="1"/>
  <c r="C102" i="20" s="1"/>
  <c r="AC40" i="15"/>
  <c r="AD40" i="15" s="1"/>
  <c r="BG39" i="15"/>
  <c r="BH39" i="15" s="1"/>
  <c r="AJ40" i="15"/>
  <c r="AK40" i="15" s="1"/>
  <c r="BG33" i="15"/>
  <c r="BH33" i="15" s="1"/>
  <c r="AQ40" i="15"/>
  <c r="AR40" i="15" s="1"/>
  <c r="AC99" i="14"/>
  <c r="AD99" i="14" s="1"/>
  <c r="BG70" i="14"/>
  <c r="BH70" i="14" s="1"/>
  <c r="BG68" i="14"/>
  <c r="BH68" i="14" s="1"/>
  <c r="BG53" i="14"/>
  <c r="BH53" i="14" s="1"/>
  <c r="BG74" i="14"/>
  <c r="BH74" i="14" s="1"/>
  <c r="BG75" i="14" s="1"/>
  <c r="M51" i="18" s="1"/>
  <c r="BG66" i="14"/>
  <c r="BH66" i="14" s="1"/>
  <c r="BG62" i="14"/>
  <c r="BH62" i="14" s="1"/>
  <c r="BG61" i="14"/>
  <c r="BH61" i="14" s="1"/>
  <c r="BG55" i="14"/>
  <c r="BH55" i="14" s="1"/>
  <c r="BG69" i="14"/>
  <c r="BH69" i="14" s="1"/>
  <c r="BG46" i="14"/>
  <c r="BH46" i="14" s="1"/>
  <c r="BG64" i="14"/>
  <c r="BH64" i="14" s="1"/>
  <c r="BG52" i="14"/>
  <c r="BH52" i="14" s="1"/>
  <c r="BG45" i="14"/>
  <c r="BF41" i="13"/>
  <c r="K37" i="18" s="1"/>
  <c r="BG29" i="13"/>
  <c r="BH29" i="13" s="1"/>
  <c r="BG27" i="13"/>
  <c r="BH27" i="13" s="1"/>
  <c r="BG26" i="13"/>
  <c r="BH26" i="13" s="1"/>
  <c r="BG25" i="13"/>
  <c r="BH25" i="13" s="1"/>
  <c r="BG24" i="13"/>
  <c r="BH24" i="13" s="1"/>
  <c r="BG23" i="13"/>
  <c r="BH23" i="13" s="1"/>
  <c r="BG22" i="13"/>
  <c r="BH22" i="13" s="1"/>
  <c r="BG21" i="13"/>
  <c r="BH21" i="13" s="1"/>
  <c r="BG20" i="13"/>
  <c r="BH20" i="13" s="1"/>
  <c r="AC52" i="13"/>
  <c r="AD52" i="13" s="1"/>
  <c r="BG35" i="13"/>
  <c r="BH35" i="13" s="1"/>
  <c r="BG34" i="13"/>
  <c r="BH34" i="13" s="1"/>
  <c r="BG30" i="13"/>
  <c r="BH30" i="13" s="1"/>
  <c r="AJ41" i="13"/>
  <c r="AK41" i="13" s="1"/>
  <c r="AC79" i="13"/>
  <c r="AD79" i="13" s="1"/>
  <c r="AC81" i="13" s="1"/>
  <c r="AD81" i="13" s="1"/>
  <c r="BG47" i="13"/>
  <c r="BH47" i="13" s="1"/>
  <c r="AQ52" i="13"/>
  <c r="AR52" i="13" s="1"/>
  <c r="BG33" i="13"/>
  <c r="BH33" i="13" s="1"/>
  <c r="BG18" i="13"/>
  <c r="BH18" i="13" s="1"/>
  <c r="AJ52" i="13"/>
  <c r="AK52" i="13" s="1"/>
  <c r="BG31" i="13"/>
  <c r="BH31" i="13" s="1"/>
  <c r="AI42" i="13"/>
  <c r="AI54" i="13" s="1"/>
  <c r="AJ28" i="13"/>
  <c r="BG49" i="13"/>
  <c r="BH49" i="13" s="1"/>
  <c r="BG40" i="13"/>
  <c r="BH40" i="13" s="1"/>
  <c r="BG32" i="13"/>
  <c r="BH32" i="13" s="1"/>
  <c r="AC41" i="13"/>
  <c r="AD41" i="13" s="1"/>
  <c r="AC42" i="13" s="1"/>
  <c r="AD42" i="13" s="1"/>
  <c r="BF28" i="13"/>
  <c r="K36" i="18" s="1"/>
  <c r="BG17" i="13"/>
  <c r="BH17" i="13" s="1"/>
  <c r="BG48" i="13"/>
  <c r="BH48" i="13" s="1"/>
  <c r="BF52" i="13"/>
  <c r="K38" i="18" s="1"/>
  <c r="BG50" i="13"/>
  <c r="BH50" i="13" s="1"/>
  <c r="BF58" i="13"/>
  <c r="BG57" i="13"/>
  <c r="BG51" i="13"/>
  <c r="BH51" i="13" s="1"/>
  <c r="BG36" i="13"/>
  <c r="BH36" i="13" s="1"/>
  <c r="AQ41" i="13"/>
  <c r="AR41" i="13" s="1"/>
  <c r="AQ31" i="12"/>
  <c r="AR31" i="12" s="1"/>
  <c r="AP32" i="12"/>
  <c r="AP34" i="12" s="1"/>
  <c r="BG26" i="12"/>
  <c r="BH26" i="12" s="1"/>
  <c r="AJ31" i="12"/>
  <c r="AK31" i="12" s="1"/>
  <c r="AC31" i="12"/>
  <c r="AD31" i="12" s="1"/>
  <c r="AB32" i="12"/>
  <c r="AB34" i="12" s="1"/>
  <c r="BF24" i="12"/>
  <c r="BG16" i="12"/>
  <c r="BH16" i="12" s="1"/>
  <c r="AI32" i="12"/>
  <c r="AI34" i="12" s="1"/>
  <c r="AJ24" i="12"/>
  <c r="AK24" i="12" s="1"/>
  <c r="BG27" i="12"/>
  <c r="BH27" i="12" s="1"/>
  <c r="BD32" i="12"/>
  <c r="BE32" i="12" s="1"/>
  <c r="BG23" i="12"/>
  <c r="BH23" i="12" s="1"/>
  <c r="BG22" i="12"/>
  <c r="BH22" i="12" s="1"/>
  <c r="BG21" i="12"/>
  <c r="BH21" i="12" s="1"/>
  <c r="BG20" i="12"/>
  <c r="BH20" i="12" s="1"/>
  <c r="BG19" i="12"/>
  <c r="BH19" i="12" s="1"/>
  <c r="BG18" i="12"/>
  <c r="BH18" i="12" s="1"/>
  <c r="BG17" i="12"/>
  <c r="BH17" i="12" s="1"/>
  <c r="BG28" i="12"/>
  <c r="BH28" i="12" s="1"/>
  <c r="BF31" i="12"/>
  <c r="K29" i="18" s="1"/>
  <c r="BG25" i="12"/>
  <c r="BH25" i="12" s="1"/>
  <c r="BG24" i="11"/>
  <c r="BH24" i="11" s="1"/>
  <c r="BG21" i="11"/>
  <c r="BH21" i="11" s="1"/>
  <c r="BG27" i="11"/>
  <c r="BH27" i="11" s="1"/>
  <c r="BG34" i="11"/>
  <c r="BH34" i="11" s="1"/>
  <c r="BG32" i="11"/>
  <c r="BH32" i="11" s="1"/>
  <c r="BG30" i="11"/>
  <c r="BH30" i="11" s="1"/>
  <c r="BC36" i="11"/>
  <c r="AC62" i="11"/>
  <c r="AD62" i="11" s="1"/>
  <c r="AC64" i="11" s="1"/>
  <c r="AD64" i="11" s="1"/>
  <c r="BG41" i="11"/>
  <c r="BG33" i="11"/>
  <c r="BH33" i="11" s="1"/>
  <c r="BG31" i="11"/>
  <c r="BH31" i="11" s="1"/>
  <c r="BG26" i="11"/>
  <c r="BH26" i="11" s="1"/>
  <c r="BG23" i="11"/>
  <c r="BH23" i="11" s="1"/>
  <c r="AP36" i="11"/>
  <c r="AQ28" i="11"/>
  <c r="AI36" i="11"/>
  <c r="AJ28" i="11"/>
  <c r="BF28" i="11"/>
  <c r="K21" i="18" s="1"/>
  <c r="BG29" i="11"/>
  <c r="BH29" i="11" s="1"/>
  <c r="AW36" i="11"/>
  <c r="AX36" i="11" s="1"/>
  <c r="AB36" i="11"/>
  <c r="BC60" i="13" l="1"/>
  <c r="J42" i="18" s="1"/>
  <c r="BH48" i="12"/>
  <c r="G33" i="18"/>
  <c r="AJ58" i="12"/>
  <c r="AK58" i="12" s="1"/>
  <c r="N31" i="18"/>
  <c r="BG56" i="12"/>
  <c r="H33" i="18"/>
  <c r="AQ58" i="12"/>
  <c r="AR58" i="12" s="1"/>
  <c r="C101" i="20"/>
  <c r="BF58" i="12"/>
  <c r="AF76" i="12"/>
  <c r="AG76" i="12" s="1"/>
  <c r="K28" i="18"/>
  <c r="C80" i="20"/>
  <c r="K41" i="18"/>
  <c r="AI78" i="14"/>
  <c r="G52" i="18" s="1"/>
  <c r="AG107" i="14"/>
  <c r="F89" i="18"/>
  <c r="H89" i="18" s="1"/>
  <c r="F90" i="18"/>
  <c r="H90" i="18" s="1"/>
  <c r="AG58" i="15"/>
  <c r="AF81" i="13"/>
  <c r="AG79" i="13"/>
  <c r="AP26" i="15"/>
  <c r="H55" i="18"/>
  <c r="AQ24" i="15"/>
  <c r="AR24" i="15" s="1"/>
  <c r="BG19" i="15"/>
  <c r="BH19" i="15" s="1"/>
  <c r="BF24" i="15"/>
  <c r="BH75" i="14"/>
  <c r="AJ76" i="14"/>
  <c r="AK76" i="14" s="1"/>
  <c r="AP78" i="14"/>
  <c r="AP80" i="14" s="1"/>
  <c r="H53" i="18" s="1"/>
  <c r="K44" i="18"/>
  <c r="BG28" i="14"/>
  <c r="M44" i="18" s="1"/>
  <c r="BF40" i="14"/>
  <c r="AC76" i="14"/>
  <c r="AD76" i="14" s="1"/>
  <c r="BF76" i="14"/>
  <c r="BH57" i="13"/>
  <c r="M40" i="18"/>
  <c r="N40" i="18" s="1"/>
  <c r="BD42" i="13"/>
  <c r="BE42" i="13" s="1"/>
  <c r="BD54" i="13" s="1"/>
  <c r="BE54" i="13" s="1"/>
  <c r="AQ42" i="13"/>
  <c r="AR42" i="13" s="1"/>
  <c r="AI60" i="13"/>
  <c r="G42" i="18" s="1"/>
  <c r="G39" i="18"/>
  <c r="AP60" i="13"/>
  <c r="H42" i="18" s="1"/>
  <c r="H39" i="18"/>
  <c r="AB60" i="13"/>
  <c r="F42" i="18" s="1"/>
  <c r="F39" i="18"/>
  <c r="AB60" i="12"/>
  <c r="F34" i="18" s="1"/>
  <c r="F30" i="18"/>
  <c r="AP60" i="12"/>
  <c r="H34" i="18" s="1"/>
  <c r="H30" i="18"/>
  <c r="G30" i="18"/>
  <c r="AI60" i="12"/>
  <c r="G34" i="18" s="1"/>
  <c r="BH41" i="11"/>
  <c r="M24" i="18"/>
  <c r="N24" i="18" s="1"/>
  <c r="BG42" i="11"/>
  <c r="M25" i="18" s="1"/>
  <c r="N25" i="18" s="1"/>
  <c r="BC38" i="11"/>
  <c r="BC44" i="11" s="1"/>
  <c r="J26" i="18" s="1"/>
  <c r="J23" i="18"/>
  <c r="AI38" i="11"/>
  <c r="AI44" i="11" s="1"/>
  <c r="G26" i="18" s="1"/>
  <c r="G23" i="18"/>
  <c r="H23" i="18"/>
  <c r="AP38" i="11"/>
  <c r="AP44" i="11" s="1"/>
  <c r="H26" i="18" s="1"/>
  <c r="F23" i="18"/>
  <c r="AB38" i="11"/>
  <c r="AB44" i="11" s="1"/>
  <c r="F26" i="18" s="1"/>
  <c r="K57" i="18"/>
  <c r="BG40" i="15"/>
  <c r="BH40" i="15" s="1"/>
  <c r="BF42" i="15"/>
  <c r="H58" i="18"/>
  <c r="G58" i="18"/>
  <c r="AI44" i="15"/>
  <c r="G59" i="18" s="1"/>
  <c r="AB44" i="15"/>
  <c r="F59" i="18" s="1"/>
  <c r="F58" i="18"/>
  <c r="N51" i="18"/>
  <c r="BG71" i="14"/>
  <c r="M50" i="18" s="1"/>
  <c r="K50" i="18"/>
  <c r="F52" i="18"/>
  <c r="AB80" i="14"/>
  <c r="F53" i="18" s="1"/>
  <c r="K48" i="18"/>
  <c r="BG63" i="14"/>
  <c r="M48" i="18" s="1"/>
  <c r="K49" i="18"/>
  <c r="BG67" i="14"/>
  <c r="K47" i="18"/>
  <c r="BG54" i="14"/>
  <c r="M47" i="18" s="1"/>
  <c r="AQ76" i="14"/>
  <c r="AR76" i="14" s="1"/>
  <c r="BH45" i="14"/>
  <c r="M46" i="18"/>
  <c r="N46" i="18" s="1"/>
  <c r="AG62" i="11"/>
  <c r="AF64" i="11"/>
  <c r="F86" i="18" s="1"/>
  <c r="H86" i="18" s="1"/>
  <c r="BG35" i="11"/>
  <c r="BD42" i="15"/>
  <c r="BE42" i="15" s="1"/>
  <c r="AW42" i="15"/>
  <c r="AX42" i="15" s="1"/>
  <c r="AC58" i="15"/>
  <c r="AD58" i="15" s="1"/>
  <c r="AW78" i="14"/>
  <c r="AX78" i="14" s="1"/>
  <c r="AC107" i="14"/>
  <c r="AD107" i="14" s="1"/>
  <c r="BG58" i="13"/>
  <c r="BG52" i="13"/>
  <c r="AJ42" i="13"/>
  <c r="AK42" i="13" s="1"/>
  <c r="AW54" i="13"/>
  <c r="AX54" i="13" s="1"/>
  <c r="BF42" i="13"/>
  <c r="BF54" i="13" s="1"/>
  <c r="BG28" i="13"/>
  <c r="BG41" i="13"/>
  <c r="AW34" i="12"/>
  <c r="AX34" i="12" s="1"/>
  <c r="BG31" i="12"/>
  <c r="AC76" i="12"/>
  <c r="AD76" i="12" s="1"/>
  <c r="AJ32" i="12"/>
  <c r="AK32" i="12" s="1"/>
  <c r="AC32" i="12"/>
  <c r="AD32" i="12" s="1"/>
  <c r="BD34" i="12"/>
  <c r="BE34" i="12" s="1"/>
  <c r="BF32" i="12"/>
  <c r="BG24" i="12"/>
  <c r="AQ32" i="12"/>
  <c r="AR32" i="12" s="1"/>
  <c r="AC36" i="11"/>
  <c r="AD36" i="11" s="1"/>
  <c r="BF36" i="11"/>
  <c r="K23" i="18" s="1"/>
  <c r="BG28" i="11"/>
  <c r="BD36" i="11"/>
  <c r="BE36" i="11" s="1"/>
  <c r="AJ36" i="11"/>
  <c r="AK36" i="11" s="1"/>
  <c r="AQ36" i="11"/>
  <c r="AR36" i="11" s="1"/>
  <c r="AI80" i="14" l="1"/>
  <c r="G53" i="18" s="1"/>
  <c r="BH42" i="11"/>
  <c r="F87" i="18"/>
  <c r="H87" i="18" s="1"/>
  <c r="K33" i="18"/>
  <c r="BH56" i="12"/>
  <c r="BG58" i="12"/>
  <c r="M33" i="18" s="1"/>
  <c r="H52" i="18"/>
  <c r="F88" i="18"/>
  <c r="H88" i="18" s="1"/>
  <c r="AG81" i="13"/>
  <c r="C81" i="20"/>
  <c r="K55" i="18"/>
  <c r="BG24" i="15"/>
  <c r="BF26" i="15"/>
  <c r="BF44" i="15" s="1"/>
  <c r="B67" i="20" s="1"/>
  <c r="H56" i="18"/>
  <c r="AQ26" i="15"/>
  <c r="AR26" i="15" s="1"/>
  <c r="AP44" i="15"/>
  <c r="H59" i="18" s="1"/>
  <c r="BH54" i="14"/>
  <c r="BF78" i="14"/>
  <c r="K52" i="18" s="1"/>
  <c r="BH28" i="14"/>
  <c r="BG40" i="14" s="1"/>
  <c r="BH40" i="14" s="1"/>
  <c r="N44" i="18"/>
  <c r="BH58" i="13"/>
  <c r="M41" i="18"/>
  <c r="N41" i="18" s="1"/>
  <c r="BH52" i="13"/>
  <c r="M38" i="18"/>
  <c r="N38" i="18" s="1"/>
  <c r="BH41" i="13"/>
  <c r="M37" i="18"/>
  <c r="N37" i="18" s="1"/>
  <c r="BH28" i="13"/>
  <c r="BG42" i="13" s="1"/>
  <c r="BH42" i="13" s="1"/>
  <c r="BG54" i="13" s="1"/>
  <c r="M36" i="18"/>
  <c r="N36" i="18" s="1"/>
  <c r="BF60" i="13"/>
  <c r="K39" i="18"/>
  <c r="BH31" i="12"/>
  <c r="M29" i="18"/>
  <c r="N29" i="18" s="1"/>
  <c r="BH24" i="12"/>
  <c r="BG32" i="12" s="1"/>
  <c r="M28" i="18"/>
  <c r="N28" i="18" s="1"/>
  <c r="BF34" i="12"/>
  <c r="C96" i="20"/>
  <c r="BH35" i="11"/>
  <c r="M22" i="18"/>
  <c r="N22" i="18" s="1"/>
  <c r="AG64" i="11"/>
  <c r="BH28" i="11"/>
  <c r="M21" i="18"/>
  <c r="N21" i="18" s="1"/>
  <c r="BH71" i="14"/>
  <c r="BG42" i="15"/>
  <c r="M58" i="18" s="1"/>
  <c r="M57" i="18"/>
  <c r="N57" i="18" s="1"/>
  <c r="K58" i="18"/>
  <c r="N50" i="18"/>
  <c r="N47" i="18"/>
  <c r="N48" i="18"/>
  <c r="M49" i="18"/>
  <c r="N49" i="18" s="1"/>
  <c r="BH67" i="14"/>
  <c r="BH63" i="14"/>
  <c r="BF38" i="11"/>
  <c r="BF44" i="11" s="1"/>
  <c r="BD44" i="15"/>
  <c r="BE44" i="15" s="1"/>
  <c r="AJ42" i="15"/>
  <c r="AK42" i="15" s="1"/>
  <c r="AW44" i="15"/>
  <c r="AX44" i="15" s="1"/>
  <c r="AQ42" i="15"/>
  <c r="AR42" i="15" s="1"/>
  <c r="AC42" i="15"/>
  <c r="AD42" i="15" s="1"/>
  <c r="AC78" i="14"/>
  <c r="AD78" i="14" s="1"/>
  <c r="AQ78" i="14"/>
  <c r="AR78" i="14" s="1"/>
  <c r="AW80" i="14"/>
  <c r="AX80" i="14" s="1"/>
  <c r="AJ78" i="14"/>
  <c r="AK78" i="14" s="1"/>
  <c r="BD78" i="14"/>
  <c r="BE78" i="14" s="1"/>
  <c r="AJ54" i="13"/>
  <c r="AK54" i="13" s="1"/>
  <c r="AC54" i="13"/>
  <c r="AD54" i="13" s="1"/>
  <c r="BD60" i="13"/>
  <c r="BE60" i="13" s="1"/>
  <c r="AW60" i="13"/>
  <c r="AX60" i="13" s="1"/>
  <c r="AQ54" i="13"/>
  <c r="AR54" i="13" s="1"/>
  <c r="AQ34" i="12"/>
  <c r="AR34" i="12" s="1"/>
  <c r="BD60" i="12"/>
  <c r="BE60" i="12" s="1"/>
  <c r="AJ34" i="12"/>
  <c r="AK34" i="12" s="1"/>
  <c r="AC34" i="12"/>
  <c r="AD34" i="12" s="1"/>
  <c r="AW60" i="12"/>
  <c r="AX60" i="12" s="1"/>
  <c r="AC38" i="11"/>
  <c r="AD38" i="11" s="1"/>
  <c r="BH42" i="15" l="1"/>
  <c r="BG36" i="11"/>
  <c r="M23" i="18" s="1"/>
  <c r="N23" i="18" s="1"/>
  <c r="B23" i="20"/>
  <c r="N33" i="18"/>
  <c r="BH58" i="12"/>
  <c r="BH32" i="12"/>
  <c r="BG34" i="12"/>
  <c r="C97" i="20"/>
  <c r="BH24" i="15"/>
  <c r="M55" i="18"/>
  <c r="N55" i="18" s="1"/>
  <c r="BG26" i="15"/>
  <c r="M56" i="18" s="1"/>
  <c r="K56" i="18"/>
  <c r="BG76" i="14"/>
  <c r="BH76" i="14" s="1"/>
  <c r="BG78" i="14" s="1"/>
  <c r="BG80" i="14" s="1"/>
  <c r="M53" i="18" s="1"/>
  <c r="BF80" i="14"/>
  <c r="K53" i="18" s="1"/>
  <c r="B9" i="20" s="1"/>
  <c r="K42" i="18"/>
  <c r="K30" i="18"/>
  <c r="BF60" i="12"/>
  <c r="K26" i="18"/>
  <c r="N58" i="18"/>
  <c r="K59" i="18"/>
  <c r="B10" i="20" s="1"/>
  <c r="BH36" i="11"/>
  <c r="AQ44" i="15"/>
  <c r="AR44" i="15" s="1"/>
  <c r="AC44" i="15"/>
  <c r="AD44" i="15" s="1"/>
  <c r="AJ44" i="15"/>
  <c r="AK44" i="15" s="1"/>
  <c r="BD80" i="14"/>
  <c r="BE80" i="14" s="1"/>
  <c r="AJ80" i="14"/>
  <c r="AK80" i="14" s="1"/>
  <c r="AQ80" i="14"/>
  <c r="AR80" i="14" s="1"/>
  <c r="AC80" i="14"/>
  <c r="AD80" i="14" s="1"/>
  <c r="M39" i="18"/>
  <c r="N39" i="18" s="1"/>
  <c r="AJ60" i="13"/>
  <c r="AK60" i="13" s="1"/>
  <c r="AQ60" i="13"/>
  <c r="AR60" i="13" s="1"/>
  <c r="AC60" i="13"/>
  <c r="AD60" i="13" s="1"/>
  <c r="AC60" i="12"/>
  <c r="AD60" i="12" s="1"/>
  <c r="AJ60" i="12"/>
  <c r="AK60" i="12" s="1"/>
  <c r="AQ60" i="12"/>
  <c r="AR60" i="12" s="1"/>
  <c r="AC44" i="11"/>
  <c r="AD44" i="11" s="1"/>
  <c r="BH26" i="15" l="1"/>
  <c r="BG44" i="15" s="1"/>
  <c r="M59" i="18" s="1"/>
  <c r="BG38" i="11"/>
  <c r="BH38" i="11" s="1"/>
  <c r="BG44" i="11" s="1"/>
  <c r="N56" i="18"/>
  <c r="BH78" i="14"/>
  <c r="N53" i="18"/>
  <c r="M52" i="18"/>
  <c r="N52" i="18" s="1"/>
  <c r="BH54" i="13"/>
  <c r="BG60" i="13" s="1"/>
  <c r="M42" i="18" s="1"/>
  <c r="N42" i="18" s="1"/>
  <c r="B8" i="20"/>
  <c r="BH34" i="12"/>
  <c r="BG60" i="12" s="1"/>
  <c r="M30" i="18"/>
  <c r="N30" i="18" s="1"/>
  <c r="K34" i="18"/>
  <c r="B6" i="20"/>
  <c r="N59" i="18"/>
  <c r="BH44" i="15"/>
  <c r="BH80" i="14"/>
  <c r="BH60" i="13" l="1"/>
  <c r="M34" i="18"/>
  <c r="N34" i="18" s="1"/>
  <c r="BH60" i="12"/>
  <c r="B7" i="20"/>
  <c r="M26" i="18"/>
  <c r="N26" i="18" s="1"/>
  <c r="BH44" i="11"/>
  <c r="Y62" i="4"/>
  <c r="Y61" i="4"/>
  <c r="Y60" i="4"/>
  <c r="Y59" i="4"/>
  <c r="Y58" i="4"/>
  <c r="Y57" i="4"/>
  <c r="Y55" i="4"/>
  <c r="X62" i="4"/>
  <c r="X61" i="4"/>
  <c r="X60" i="4"/>
  <c r="X59" i="4"/>
  <c r="X58" i="4"/>
  <c r="X57" i="4"/>
  <c r="X55" i="4"/>
  <c r="D62" i="4"/>
  <c r="D61" i="4"/>
  <c r="D60" i="4"/>
  <c r="D59" i="4"/>
  <c r="D58" i="4"/>
  <c r="D57" i="4"/>
  <c r="D55" i="4"/>
  <c r="AG66" i="4"/>
  <c r="R62" i="4"/>
  <c r="W62" i="4" s="1"/>
  <c r="Q62" i="4"/>
  <c r="Z62" i="4" s="1"/>
  <c r="R61" i="4"/>
  <c r="U61" i="4" s="1"/>
  <c r="Q61" i="4"/>
  <c r="Z61" i="4" s="1"/>
  <c r="R60" i="4"/>
  <c r="S60" i="4" s="1"/>
  <c r="Q60" i="4"/>
  <c r="Z60" i="4" s="1"/>
  <c r="R59" i="4"/>
  <c r="U59" i="4" s="1"/>
  <c r="Q59" i="4"/>
  <c r="Z59" i="4" s="1"/>
  <c r="R58" i="4"/>
  <c r="S58" i="4" s="1"/>
  <c r="Q58" i="4"/>
  <c r="Z58" i="4" s="1"/>
  <c r="R57" i="4"/>
  <c r="U57" i="4" s="1"/>
  <c r="Q57" i="4"/>
  <c r="Z57" i="4" s="1"/>
  <c r="R55" i="4"/>
  <c r="T55" i="4" s="1"/>
  <c r="Q55" i="4"/>
  <c r="Z55" i="4" s="1"/>
  <c r="S57" i="4" l="1"/>
  <c r="W57" i="4"/>
  <c r="W58" i="4"/>
  <c r="W60" i="4"/>
  <c r="W55" i="4"/>
  <c r="W59" i="4"/>
  <c r="W61" i="4"/>
  <c r="U58" i="4"/>
  <c r="U60" i="4"/>
  <c r="U55" i="4"/>
  <c r="S55" i="4"/>
  <c r="T59" i="4"/>
  <c r="T61" i="4"/>
  <c r="S62" i="4"/>
  <c r="U62" i="4"/>
  <c r="T57" i="4"/>
  <c r="T58" i="4"/>
  <c r="S59" i="4"/>
  <c r="T60" i="4"/>
  <c r="S61" i="4"/>
  <c r="T62" i="4"/>
  <c r="AX255" i="4"/>
  <c r="AV247" i="4"/>
  <c r="AZ255" i="4"/>
  <c r="AY255" i="4"/>
  <c r="AW255" i="4"/>
  <c r="AV255" i="4"/>
  <c r="BX238" i="4" l="1"/>
  <c r="BN232" i="4"/>
  <c r="CQ232" i="4" s="1"/>
  <c r="CP232" i="4" s="1"/>
  <c r="BF232" i="4"/>
  <c r="BN231" i="4"/>
  <c r="CQ231" i="4" s="1"/>
  <c r="BM231" i="4"/>
  <c r="CO231" i="4" s="1"/>
  <c r="BF231" i="4"/>
  <c r="BN230" i="4"/>
  <c r="CQ230" i="4" s="1"/>
  <c r="BM230" i="4"/>
  <c r="CO230" i="4" s="1"/>
  <c r="BG230" i="4"/>
  <c r="BF230" i="4"/>
  <c r="BN229" i="4"/>
  <c r="CQ229" i="4" s="1"/>
  <c r="CP229" i="4" s="1"/>
  <c r="BF229" i="4"/>
  <c r="BK227" i="4"/>
  <c r="BF227" i="4" s="1"/>
  <c r="BM227" i="4"/>
  <c r="CO227" i="4" s="1"/>
  <c r="BN227" i="4"/>
  <c r="CQ227" i="4" s="1"/>
  <c r="BN226" i="4"/>
  <c r="CQ226" i="4" s="1"/>
  <c r="BM226" i="4"/>
  <c r="CO226" i="4" s="1"/>
  <c r="CP226" i="4" s="1"/>
  <c r="BK226" i="4"/>
  <c r="BF226" i="4" s="1"/>
  <c r="BN225" i="4"/>
  <c r="CQ225" i="4" s="1"/>
  <c r="BM225" i="4"/>
  <c r="CO225" i="4" s="1"/>
  <c r="BK225" i="4"/>
  <c r="BF225" i="4" s="1"/>
  <c r="BN224" i="4"/>
  <c r="CQ224" i="4" s="1"/>
  <c r="BM224" i="4"/>
  <c r="CO224" i="4" s="1"/>
  <c r="CP224" i="4" s="1"/>
  <c r="BK224" i="4"/>
  <c r="BG224" i="4"/>
  <c r="BF224" i="4"/>
  <c r="BN223" i="4"/>
  <c r="CQ223" i="4" s="1"/>
  <c r="BM223" i="4"/>
  <c r="CO223" i="4" s="1"/>
  <c r="BK223" i="4"/>
  <c r="BF223" i="4" s="1"/>
  <c r="BK222" i="4"/>
  <c r="BF222" i="4" s="1"/>
  <c r="CP231" i="4" l="1"/>
  <c r="CP223" i="4"/>
  <c r="CP225" i="4"/>
  <c r="CP227" i="4"/>
  <c r="CP230" i="4"/>
  <c r="AZ256" i="4"/>
  <c r="AY256" i="4"/>
  <c r="AX256" i="4"/>
  <c r="AW256" i="4"/>
  <c r="AV256" i="4"/>
  <c r="BK245" i="4" s="1"/>
  <c r="BB256" i="4" l="1"/>
  <c r="BA256" i="4"/>
  <c r="BA295" i="4"/>
  <c r="BA294" i="4"/>
  <c r="BA293" i="4"/>
  <c r="S310" i="4"/>
  <c r="T310" i="4"/>
  <c r="U310" i="4"/>
  <c r="V310" i="4"/>
  <c r="W310" i="4"/>
  <c r="X310" i="4"/>
  <c r="Y310" i="4"/>
  <c r="Z310" i="4"/>
  <c r="AA310" i="4"/>
  <c r="AB310" i="4"/>
  <c r="AC310" i="4"/>
  <c r="AD310" i="4"/>
  <c r="AE310" i="4"/>
  <c r="AG310" i="4"/>
  <c r="S311" i="4"/>
  <c r="T311" i="4"/>
  <c r="U311" i="4"/>
  <c r="V311" i="4"/>
  <c r="W311" i="4"/>
  <c r="X311" i="4"/>
  <c r="Y311" i="4"/>
  <c r="Z311" i="4"/>
  <c r="AA311" i="4"/>
  <c r="AB311" i="4"/>
  <c r="AC311" i="4"/>
  <c r="AD311" i="4"/>
  <c r="AE311" i="4"/>
  <c r="AG311" i="4"/>
  <c r="S312" i="4"/>
  <c r="T312" i="4"/>
  <c r="U312" i="4"/>
  <c r="V312" i="4"/>
  <c r="W312" i="4"/>
  <c r="X312" i="4"/>
  <c r="Y312" i="4"/>
  <c r="Z312" i="4"/>
  <c r="AA312" i="4"/>
  <c r="AB312" i="4"/>
  <c r="AC312" i="4"/>
  <c r="AD312" i="4"/>
  <c r="AE312" i="4"/>
  <c r="AG312" i="4"/>
  <c r="S313" i="4"/>
  <c r="T313" i="4"/>
  <c r="U313" i="4"/>
  <c r="V313" i="4"/>
  <c r="W313" i="4"/>
  <c r="X313" i="4"/>
  <c r="Y313" i="4"/>
  <c r="Z313" i="4"/>
  <c r="AA313" i="4"/>
  <c r="AB313" i="4"/>
  <c r="AC313" i="4"/>
  <c r="AD313" i="4"/>
  <c r="AE313" i="4"/>
  <c r="AG313" i="4"/>
  <c r="S314" i="4"/>
  <c r="T314" i="4"/>
  <c r="U314" i="4"/>
  <c r="V314" i="4"/>
  <c r="W314" i="4"/>
  <c r="X314" i="4"/>
  <c r="Y314" i="4"/>
  <c r="Z314" i="4"/>
  <c r="AA314" i="4"/>
  <c r="AB314" i="4"/>
  <c r="AC314" i="4"/>
  <c r="AD314" i="4"/>
  <c r="AE314" i="4"/>
  <c r="AG314" i="4"/>
  <c r="S315" i="4"/>
  <c r="T315" i="4"/>
  <c r="U315" i="4"/>
  <c r="V315" i="4"/>
  <c r="W315" i="4"/>
  <c r="X315" i="4"/>
  <c r="Y315" i="4"/>
  <c r="Z315" i="4"/>
  <c r="AA315" i="4"/>
  <c r="AB315" i="4"/>
  <c r="AC315" i="4"/>
  <c r="AD315" i="4"/>
  <c r="AE315" i="4"/>
  <c r="AG315" i="4"/>
  <c r="S316" i="4"/>
  <c r="T316" i="4"/>
  <c r="U316" i="4"/>
  <c r="V316" i="4"/>
  <c r="W316" i="4"/>
  <c r="X316" i="4"/>
  <c r="Y316" i="4"/>
  <c r="Z316" i="4"/>
  <c r="AA316" i="4"/>
  <c r="AB316" i="4"/>
  <c r="AC316" i="4"/>
  <c r="AD316" i="4"/>
  <c r="AE316" i="4"/>
  <c r="AG316" i="4"/>
  <c r="S317" i="4"/>
  <c r="T317" i="4"/>
  <c r="U317" i="4"/>
  <c r="V317" i="4"/>
  <c r="W317" i="4"/>
  <c r="X317" i="4"/>
  <c r="Y317" i="4"/>
  <c r="Z317" i="4"/>
  <c r="AA317" i="4"/>
  <c r="AB317" i="4"/>
  <c r="AC317" i="4"/>
  <c r="AD317" i="4"/>
  <c r="AE317" i="4"/>
  <c r="AG317" i="4"/>
  <c r="S318" i="4"/>
  <c r="T318" i="4"/>
  <c r="U318" i="4"/>
  <c r="V318" i="4"/>
  <c r="W318" i="4"/>
  <c r="X318" i="4"/>
  <c r="Y318" i="4"/>
  <c r="Z318" i="4"/>
  <c r="AA318" i="4"/>
  <c r="AB318" i="4"/>
  <c r="AC318" i="4"/>
  <c r="AD318" i="4"/>
  <c r="AE318" i="4"/>
  <c r="AG318" i="4"/>
  <c r="S319" i="4"/>
  <c r="T319" i="4"/>
  <c r="U319" i="4"/>
  <c r="V319" i="4"/>
  <c r="W319" i="4"/>
  <c r="X319" i="4"/>
  <c r="Y319" i="4"/>
  <c r="Z319" i="4"/>
  <c r="AA319" i="4"/>
  <c r="AB319" i="4"/>
  <c r="AC319" i="4"/>
  <c r="AD319" i="4"/>
  <c r="AE319" i="4"/>
  <c r="AG319" i="4"/>
  <c r="S288" i="4"/>
  <c r="T288" i="4"/>
  <c r="U288" i="4"/>
  <c r="V288" i="4"/>
  <c r="W288" i="4"/>
  <c r="X288" i="4"/>
  <c r="Y288" i="4"/>
  <c r="Z288" i="4"/>
  <c r="AA288" i="4"/>
  <c r="AB288" i="4"/>
  <c r="AC288" i="4"/>
  <c r="AD288" i="4"/>
  <c r="AE288" i="4"/>
  <c r="AG288" i="4"/>
  <c r="S289" i="4"/>
  <c r="T289" i="4"/>
  <c r="U289" i="4"/>
  <c r="V289" i="4"/>
  <c r="W289" i="4"/>
  <c r="X289" i="4"/>
  <c r="Y289" i="4"/>
  <c r="Z289" i="4"/>
  <c r="AA289" i="4"/>
  <c r="AB289" i="4"/>
  <c r="AC289" i="4"/>
  <c r="AD289" i="4"/>
  <c r="AE289" i="4"/>
  <c r="AG289" i="4"/>
  <c r="S290" i="4"/>
  <c r="T290" i="4"/>
  <c r="U290" i="4"/>
  <c r="V290" i="4"/>
  <c r="W290" i="4"/>
  <c r="X290" i="4"/>
  <c r="Y290" i="4"/>
  <c r="Z290" i="4"/>
  <c r="AA290" i="4"/>
  <c r="AB290" i="4"/>
  <c r="AC290" i="4"/>
  <c r="AD290" i="4"/>
  <c r="AE290" i="4"/>
  <c r="AG290" i="4"/>
  <c r="S291" i="4"/>
  <c r="T291" i="4"/>
  <c r="U291" i="4"/>
  <c r="V291" i="4"/>
  <c r="W291" i="4"/>
  <c r="X291" i="4"/>
  <c r="Y291" i="4"/>
  <c r="Z291" i="4"/>
  <c r="AA291" i="4"/>
  <c r="AB291" i="4"/>
  <c r="AC291" i="4"/>
  <c r="AD291" i="4"/>
  <c r="AE291" i="4"/>
  <c r="AG291" i="4"/>
  <c r="S292" i="4"/>
  <c r="T292" i="4"/>
  <c r="U292" i="4"/>
  <c r="V292" i="4"/>
  <c r="W292" i="4"/>
  <c r="X292" i="4"/>
  <c r="Y292" i="4"/>
  <c r="Z292" i="4"/>
  <c r="AA292" i="4"/>
  <c r="AB292" i="4"/>
  <c r="AC292" i="4"/>
  <c r="AD292" i="4"/>
  <c r="AE292" i="4"/>
  <c r="AG292" i="4"/>
  <c r="S293" i="4"/>
  <c r="T293" i="4"/>
  <c r="U293" i="4"/>
  <c r="V293" i="4"/>
  <c r="W293" i="4"/>
  <c r="X293" i="4"/>
  <c r="AA293" i="4"/>
  <c r="AB293" i="4"/>
  <c r="AC293" i="4"/>
  <c r="AD293" i="4"/>
  <c r="AE293" i="4"/>
  <c r="AF293" i="4"/>
  <c r="AG293" i="4"/>
  <c r="S294" i="4"/>
  <c r="T294" i="4"/>
  <c r="U294" i="4"/>
  <c r="V294" i="4"/>
  <c r="W294" i="4"/>
  <c r="X294" i="4"/>
  <c r="AA294" i="4"/>
  <c r="AB294" i="4"/>
  <c r="AC294" i="4"/>
  <c r="AD294" i="4"/>
  <c r="AE294" i="4"/>
  <c r="AF294" i="4"/>
  <c r="AG294" i="4"/>
  <c r="S295" i="4"/>
  <c r="T295" i="4"/>
  <c r="U295" i="4"/>
  <c r="V295" i="4"/>
  <c r="W295" i="4"/>
  <c r="X295" i="4"/>
  <c r="AA295" i="4"/>
  <c r="AB295" i="4"/>
  <c r="AC295" i="4"/>
  <c r="AD295" i="4"/>
  <c r="AE295" i="4"/>
  <c r="AF295" i="4"/>
  <c r="AG295" i="4"/>
  <c r="S296" i="4"/>
  <c r="T296" i="4"/>
  <c r="U296" i="4"/>
  <c r="V296" i="4"/>
  <c r="W296" i="4"/>
  <c r="X296" i="4"/>
  <c r="Y296" i="4"/>
  <c r="Z296" i="4"/>
  <c r="AA296" i="4"/>
  <c r="AB296" i="4"/>
  <c r="AC296" i="4"/>
  <c r="AD296" i="4"/>
  <c r="AE296" i="4"/>
  <c r="AG296" i="4"/>
  <c r="S297" i="4"/>
  <c r="T297" i="4"/>
  <c r="U297" i="4"/>
  <c r="V297" i="4"/>
  <c r="W297" i="4"/>
  <c r="X297" i="4"/>
  <c r="Y297" i="4"/>
  <c r="Z297" i="4"/>
  <c r="AA297" i="4"/>
  <c r="AB297" i="4"/>
  <c r="AC297" i="4"/>
  <c r="AD297" i="4"/>
  <c r="AE297" i="4"/>
  <c r="AG297" i="4"/>
  <c r="S298" i="4"/>
  <c r="T298" i="4"/>
  <c r="U298" i="4"/>
  <c r="V298" i="4"/>
  <c r="W298" i="4"/>
  <c r="X298" i="4"/>
  <c r="Y298" i="4"/>
  <c r="Z298" i="4"/>
  <c r="AA298" i="4"/>
  <c r="AB298" i="4"/>
  <c r="AC298" i="4"/>
  <c r="AD298" i="4"/>
  <c r="AE298" i="4"/>
  <c r="AG298" i="4"/>
  <c r="S299" i="4"/>
  <c r="T299" i="4"/>
  <c r="U299" i="4"/>
  <c r="V299" i="4"/>
  <c r="W299" i="4"/>
  <c r="X299" i="4"/>
  <c r="Y299" i="4"/>
  <c r="Z299" i="4"/>
  <c r="AA299" i="4"/>
  <c r="AB299" i="4"/>
  <c r="AC299" i="4"/>
  <c r="AD299" i="4"/>
  <c r="AE299" i="4"/>
  <c r="AG299" i="4"/>
  <c r="S300" i="4"/>
  <c r="T300" i="4"/>
  <c r="U300" i="4"/>
  <c r="V300" i="4"/>
  <c r="W300" i="4"/>
  <c r="X300" i="4"/>
  <c r="Y300" i="4"/>
  <c r="Z300" i="4"/>
  <c r="AA300" i="4"/>
  <c r="AB300" i="4"/>
  <c r="AC300" i="4"/>
  <c r="AD300" i="4"/>
  <c r="AE300" i="4"/>
  <c r="AG300" i="4"/>
  <c r="S301" i="4"/>
  <c r="T301" i="4"/>
  <c r="U301" i="4"/>
  <c r="V301" i="4"/>
  <c r="W301" i="4"/>
  <c r="X301" i="4"/>
  <c r="Y301" i="4"/>
  <c r="Z301" i="4"/>
  <c r="AA301" i="4"/>
  <c r="AB301" i="4"/>
  <c r="AC301" i="4"/>
  <c r="AD301" i="4"/>
  <c r="AE301" i="4"/>
  <c r="AG301" i="4"/>
  <c r="S302" i="4"/>
  <c r="T302" i="4"/>
  <c r="U302" i="4"/>
  <c r="V302" i="4"/>
  <c r="W302" i="4"/>
  <c r="X302" i="4"/>
  <c r="Y302" i="4"/>
  <c r="Z302" i="4"/>
  <c r="AA302" i="4"/>
  <c r="AB302" i="4"/>
  <c r="AC302" i="4"/>
  <c r="AD302" i="4"/>
  <c r="AE302" i="4"/>
  <c r="AG302" i="4"/>
  <c r="S303" i="4"/>
  <c r="T303" i="4"/>
  <c r="U303" i="4"/>
  <c r="V303" i="4"/>
  <c r="W303" i="4"/>
  <c r="X303" i="4"/>
  <c r="Y303" i="4"/>
  <c r="Z303" i="4"/>
  <c r="AA303" i="4"/>
  <c r="AB303" i="4"/>
  <c r="AC303" i="4"/>
  <c r="AD303" i="4"/>
  <c r="AE303" i="4"/>
  <c r="AG303" i="4"/>
  <c r="S304" i="4"/>
  <c r="T304" i="4"/>
  <c r="U304" i="4"/>
  <c r="V304" i="4"/>
  <c r="W304" i="4"/>
  <c r="X304" i="4"/>
  <c r="Y304" i="4"/>
  <c r="Z304" i="4"/>
  <c r="AA304" i="4"/>
  <c r="AB304" i="4"/>
  <c r="AC304" i="4"/>
  <c r="AD304" i="4"/>
  <c r="AE304" i="4"/>
  <c r="AG304" i="4"/>
  <c r="S305" i="4"/>
  <c r="T305" i="4"/>
  <c r="U305" i="4"/>
  <c r="V305" i="4"/>
  <c r="W305" i="4"/>
  <c r="X305" i="4"/>
  <c r="Y305" i="4"/>
  <c r="Z305" i="4"/>
  <c r="AA305" i="4"/>
  <c r="AB305" i="4"/>
  <c r="AC305" i="4"/>
  <c r="AD305" i="4"/>
  <c r="AE305" i="4"/>
  <c r="AG305" i="4"/>
  <c r="S306" i="4"/>
  <c r="T306" i="4"/>
  <c r="U306" i="4"/>
  <c r="V306" i="4"/>
  <c r="W306" i="4"/>
  <c r="X306" i="4"/>
  <c r="Y306" i="4"/>
  <c r="Z306" i="4"/>
  <c r="AA306" i="4"/>
  <c r="AB306" i="4"/>
  <c r="AC306" i="4"/>
  <c r="AD306" i="4"/>
  <c r="AE306" i="4"/>
  <c r="AG306" i="4"/>
  <c r="S307" i="4"/>
  <c r="T307" i="4"/>
  <c r="U307" i="4"/>
  <c r="V307" i="4"/>
  <c r="W307" i="4"/>
  <c r="X307" i="4"/>
  <c r="Y307" i="4"/>
  <c r="Z307" i="4"/>
  <c r="AA307" i="4"/>
  <c r="AB307" i="4"/>
  <c r="AC307" i="4"/>
  <c r="AD307" i="4"/>
  <c r="AE307" i="4"/>
  <c r="AG307" i="4"/>
  <c r="S308" i="4"/>
  <c r="T308" i="4"/>
  <c r="U308" i="4"/>
  <c r="V308" i="4"/>
  <c r="W308" i="4"/>
  <c r="X308" i="4"/>
  <c r="Y308" i="4"/>
  <c r="Z308" i="4"/>
  <c r="AA308" i="4"/>
  <c r="AB308" i="4"/>
  <c r="AC308" i="4"/>
  <c r="AD308" i="4"/>
  <c r="AE308" i="4"/>
  <c r="AG308" i="4"/>
  <c r="S309" i="4"/>
  <c r="T309" i="4"/>
  <c r="U309" i="4"/>
  <c r="V309" i="4"/>
  <c r="W309" i="4"/>
  <c r="X309" i="4"/>
  <c r="Y309" i="4"/>
  <c r="Z309" i="4"/>
  <c r="AA309" i="4"/>
  <c r="AB309" i="4"/>
  <c r="AC309" i="4"/>
  <c r="AD309" i="4"/>
  <c r="AE309" i="4"/>
  <c r="AG309" i="4"/>
  <c r="T287" i="4"/>
  <c r="U287" i="4"/>
  <c r="V287" i="4"/>
  <c r="W287" i="4"/>
  <c r="X287" i="4"/>
  <c r="Y287" i="4"/>
  <c r="Z287" i="4"/>
  <c r="AA287" i="4"/>
  <c r="AB287" i="4"/>
  <c r="AC287" i="4"/>
  <c r="AD287" i="4"/>
  <c r="AE287" i="4"/>
  <c r="AG287" i="4"/>
  <c r="S287" i="4"/>
  <c r="BC322" i="4"/>
  <c r="BB322" i="4"/>
  <c r="BA322" i="4"/>
  <c r="AZ322" i="4"/>
  <c r="AY322" i="4"/>
  <c r="AW322" i="4"/>
  <c r="AV322" i="4"/>
  <c r="AU322" i="4"/>
  <c r="AT322" i="4"/>
  <c r="AS322" i="4"/>
  <c r="AQ322" i="4"/>
  <c r="AP322" i="4"/>
  <c r="BC321" i="4"/>
  <c r="BB321" i="4"/>
  <c r="BA321" i="4"/>
  <c r="AZ321" i="4"/>
  <c r="AY321" i="4"/>
  <c r="AW321" i="4"/>
  <c r="AV321" i="4"/>
  <c r="AU321" i="4"/>
  <c r="AT321" i="4"/>
  <c r="AS321" i="4"/>
  <c r="AQ321" i="4"/>
  <c r="AP321" i="4"/>
  <c r="BC320" i="4"/>
  <c r="BB320" i="4"/>
  <c r="BA320" i="4"/>
  <c r="AZ320" i="4"/>
  <c r="AY320" i="4"/>
  <c r="AW320" i="4"/>
  <c r="AV320" i="4"/>
  <c r="AU320" i="4"/>
  <c r="AT320" i="4"/>
  <c r="AS320" i="4"/>
  <c r="AQ320" i="4"/>
  <c r="AP320" i="4"/>
  <c r="BC319" i="4"/>
  <c r="BB319" i="4"/>
  <c r="BA319" i="4"/>
  <c r="AZ319" i="4"/>
  <c r="AY319" i="4"/>
  <c r="AW319" i="4"/>
  <c r="AV319" i="4"/>
  <c r="AU319" i="4"/>
  <c r="AT319" i="4"/>
  <c r="AS319" i="4"/>
  <c r="AQ319" i="4"/>
  <c r="AP319" i="4"/>
  <c r="BC318" i="4"/>
  <c r="BB318" i="4"/>
  <c r="BA318" i="4"/>
  <c r="AZ318" i="4"/>
  <c r="AY318" i="4"/>
  <c r="AW318" i="4"/>
  <c r="AV318" i="4"/>
  <c r="AU318" i="4"/>
  <c r="AT318" i="4"/>
  <c r="AS318" i="4"/>
  <c r="AQ318" i="4"/>
  <c r="AP318" i="4"/>
  <c r="BC317" i="4"/>
  <c r="BB317" i="4"/>
  <c r="BA317" i="4"/>
  <c r="AZ317" i="4"/>
  <c r="AY317" i="4"/>
  <c r="AW317" i="4"/>
  <c r="AV317" i="4"/>
  <c r="AU317" i="4"/>
  <c r="AT317" i="4"/>
  <c r="AS317" i="4"/>
  <c r="AQ317" i="4"/>
  <c r="AP317" i="4"/>
  <c r="BD295" i="4"/>
  <c r="BD294" i="4"/>
  <c r="BD293" i="4"/>
  <c r="BC293" i="4"/>
  <c r="BC316" i="4"/>
  <c r="BB316" i="4"/>
  <c r="BA316" i="4"/>
  <c r="AZ316" i="4"/>
  <c r="AY316" i="4"/>
  <c r="AW316" i="4"/>
  <c r="AV316" i="4"/>
  <c r="AU316" i="4"/>
  <c r="AT316" i="4"/>
  <c r="AS316" i="4"/>
  <c r="AQ316" i="4"/>
  <c r="AP316" i="4"/>
  <c r="BC315" i="4"/>
  <c r="BB315" i="4"/>
  <c r="BA315" i="4"/>
  <c r="AZ315" i="4"/>
  <c r="AY315" i="4"/>
  <c r="AW315" i="4"/>
  <c r="AV315" i="4"/>
  <c r="AU315" i="4"/>
  <c r="AT315" i="4"/>
  <c r="AS315" i="4"/>
  <c r="AQ315" i="4"/>
  <c r="AP315" i="4"/>
  <c r="BC314" i="4"/>
  <c r="BB314" i="4"/>
  <c r="BA314" i="4"/>
  <c r="AZ314" i="4"/>
  <c r="AY314" i="4"/>
  <c r="AW314" i="4"/>
  <c r="AV314" i="4"/>
  <c r="AU314" i="4"/>
  <c r="AT314" i="4"/>
  <c r="AS314" i="4"/>
  <c r="AQ314" i="4"/>
  <c r="AP314" i="4"/>
  <c r="BC313" i="4"/>
  <c r="BB313" i="4"/>
  <c r="BA313" i="4"/>
  <c r="AZ313" i="4"/>
  <c r="AY313" i="4"/>
  <c r="AW313" i="4"/>
  <c r="AV313" i="4"/>
  <c r="AU313" i="4"/>
  <c r="AT313" i="4"/>
  <c r="AS313" i="4"/>
  <c r="AQ313" i="4"/>
  <c r="AP313" i="4"/>
  <c r="BC312" i="4"/>
  <c r="BB312" i="4"/>
  <c r="BA312" i="4"/>
  <c r="AZ312" i="4"/>
  <c r="AY312" i="4"/>
  <c r="AW312" i="4"/>
  <c r="AV312" i="4"/>
  <c r="AU312" i="4"/>
  <c r="AT312" i="4"/>
  <c r="AS312" i="4"/>
  <c r="AQ312" i="4"/>
  <c r="AP312" i="4"/>
  <c r="BC311" i="4"/>
  <c r="BB311" i="4"/>
  <c r="BA311" i="4"/>
  <c r="AZ311" i="4"/>
  <c r="AY311" i="4"/>
  <c r="AW311" i="4"/>
  <c r="AV311" i="4"/>
  <c r="AU311" i="4"/>
  <c r="AT311" i="4"/>
  <c r="AS311" i="4"/>
  <c r="AQ311" i="4"/>
  <c r="AP311" i="4"/>
  <c r="BC310" i="4"/>
  <c r="BB310" i="4"/>
  <c r="BA310" i="4"/>
  <c r="AZ310" i="4"/>
  <c r="AY310" i="4"/>
  <c r="AW310" i="4"/>
  <c r="AV310" i="4"/>
  <c r="AU310" i="4"/>
  <c r="AT310" i="4"/>
  <c r="AS310" i="4"/>
  <c r="AQ310" i="4"/>
  <c r="AP310" i="4"/>
  <c r="BC309" i="4"/>
  <c r="BB309" i="4"/>
  <c r="BA309" i="4"/>
  <c r="AZ309" i="4"/>
  <c r="AY309" i="4"/>
  <c r="AW309" i="4"/>
  <c r="AV309" i="4"/>
  <c r="AU309" i="4"/>
  <c r="AT309" i="4"/>
  <c r="AS309" i="4"/>
  <c r="AQ309" i="4"/>
  <c r="AP309" i="4"/>
  <c r="BC308" i="4"/>
  <c r="BB308" i="4"/>
  <c r="BA308" i="4"/>
  <c r="AZ308" i="4"/>
  <c r="AY308" i="4"/>
  <c r="AW308" i="4"/>
  <c r="AV308" i="4"/>
  <c r="AU308" i="4"/>
  <c r="AT308" i="4"/>
  <c r="AS308" i="4"/>
  <c r="AQ308" i="4"/>
  <c r="AP308" i="4"/>
  <c r="BC307" i="4"/>
  <c r="BB307" i="4"/>
  <c r="BA307" i="4"/>
  <c r="AZ307" i="4"/>
  <c r="AY307" i="4"/>
  <c r="AW307" i="4"/>
  <c r="AV307" i="4"/>
  <c r="AU307" i="4"/>
  <c r="AT307" i="4"/>
  <c r="AS307" i="4"/>
  <c r="AQ307" i="4"/>
  <c r="AP307" i="4"/>
  <c r="BC306" i="4"/>
  <c r="BB306" i="4"/>
  <c r="BA306" i="4"/>
  <c r="AZ306" i="4"/>
  <c r="AY306" i="4"/>
  <c r="AW306" i="4"/>
  <c r="AV306" i="4"/>
  <c r="AU306" i="4"/>
  <c r="AT306" i="4"/>
  <c r="AS306" i="4"/>
  <c r="AQ306" i="4"/>
  <c r="AP306" i="4"/>
  <c r="BC305" i="4"/>
  <c r="BB305" i="4"/>
  <c r="BA305" i="4"/>
  <c r="AZ305" i="4"/>
  <c r="AY305" i="4"/>
  <c r="AW305" i="4"/>
  <c r="AV305" i="4"/>
  <c r="AU305" i="4"/>
  <c r="AT305" i="4"/>
  <c r="AS305" i="4"/>
  <c r="AQ305" i="4"/>
  <c r="AP305" i="4"/>
  <c r="BC304" i="4"/>
  <c r="BB304" i="4"/>
  <c r="BA304" i="4"/>
  <c r="AZ304" i="4"/>
  <c r="AY304" i="4"/>
  <c r="AW304" i="4"/>
  <c r="AV304" i="4"/>
  <c r="AU304" i="4"/>
  <c r="AT304" i="4"/>
  <c r="AS304" i="4"/>
  <c r="AQ304" i="4"/>
  <c r="AP304" i="4"/>
  <c r="BC303" i="4"/>
  <c r="BB303" i="4"/>
  <c r="BA303" i="4"/>
  <c r="AZ303" i="4"/>
  <c r="AY303" i="4"/>
  <c r="AW303" i="4"/>
  <c r="AV303" i="4"/>
  <c r="AU303" i="4"/>
  <c r="AT303" i="4"/>
  <c r="AS303" i="4"/>
  <c r="AQ303" i="4"/>
  <c r="AP303" i="4"/>
  <c r="BC302" i="4"/>
  <c r="BB302" i="4"/>
  <c r="BA302" i="4"/>
  <c r="AZ302" i="4"/>
  <c r="AY302" i="4"/>
  <c r="AW302" i="4"/>
  <c r="AV302" i="4"/>
  <c r="AU302" i="4"/>
  <c r="AT302" i="4"/>
  <c r="AS302" i="4"/>
  <c r="AQ302" i="4"/>
  <c r="AP302" i="4"/>
  <c r="BC301" i="4"/>
  <c r="BB301" i="4"/>
  <c r="BA301" i="4"/>
  <c r="AZ301" i="4"/>
  <c r="AY301" i="4"/>
  <c r="AW301" i="4"/>
  <c r="AV301" i="4"/>
  <c r="AU301" i="4"/>
  <c r="AT301" i="4"/>
  <c r="AS301" i="4"/>
  <c r="AQ301" i="4"/>
  <c r="AP301" i="4"/>
  <c r="BC300" i="4"/>
  <c r="BB300" i="4"/>
  <c r="BA300" i="4"/>
  <c r="AZ300" i="4"/>
  <c r="AY300" i="4"/>
  <c r="AW300" i="4"/>
  <c r="AV300" i="4"/>
  <c r="AU300" i="4"/>
  <c r="AT300" i="4"/>
  <c r="AS300" i="4"/>
  <c r="AQ300" i="4"/>
  <c r="AP300" i="4"/>
  <c r="BC299" i="4"/>
  <c r="BB299" i="4"/>
  <c r="BA299" i="4"/>
  <c r="AZ299" i="4"/>
  <c r="AY299" i="4"/>
  <c r="AW299" i="4"/>
  <c r="AV299" i="4"/>
  <c r="AU299" i="4"/>
  <c r="AT299" i="4"/>
  <c r="AS299" i="4"/>
  <c r="AQ299" i="4"/>
  <c r="AP299" i="4"/>
  <c r="BC298" i="4"/>
  <c r="BB298" i="4"/>
  <c r="BA298" i="4"/>
  <c r="AZ298" i="4"/>
  <c r="AY298" i="4"/>
  <c r="AW298" i="4"/>
  <c r="AV298" i="4"/>
  <c r="AU298" i="4"/>
  <c r="AT298" i="4"/>
  <c r="AS298" i="4"/>
  <c r="AQ298" i="4"/>
  <c r="AP298" i="4"/>
  <c r="BC297" i="4"/>
  <c r="BB297" i="4"/>
  <c r="BA297" i="4"/>
  <c r="AZ297" i="4"/>
  <c r="AY297" i="4"/>
  <c r="AW297" i="4"/>
  <c r="AV297" i="4"/>
  <c r="AU297" i="4"/>
  <c r="AT297" i="4"/>
  <c r="AS297" i="4"/>
  <c r="AQ297" i="4"/>
  <c r="AP297" i="4"/>
  <c r="BC296" i="4"/>
  <c r="BB296" i="4"/>
  <c r="BA296" i="4"/>
  <c r="AZ296" i="4"/>
  <c r="AY296" i="4"/>
  <c r="AW296" i="4"/>
  <c r="AV296" i="4"/>
  <c r="AU296" i="4"/>
  <c r="AT296" i="4"/>
  <c r="AS296" i="4"/>
  <c r="AQ296" i="4"/>
  <c r="AP296" i="4"/>
  <c r="BC295" i="4"/>
  <c r="BB295" i="4"/>
  <c r="AZ295" i="4"/>
  <c r="AV295" i="4"/>
  <c r="AU295" i="4"/>
  <c r="AT295" i="4"/>
  <c r="AS295" i="4"/>
  <c r="AQ295" i="4"/>
  <c r="AP295" i="4"/>
  <c r="BC294" i="4"/>
  <c r="BB294" i="4"/>
  <c r="AZ294" i="4"/>
  <c r="AV294" i="4"/>
  <c r="AU294" i="4"/>
  <c r="AT294" i="4"/>
  <c r="AS294" i="4"/>
  <c r="AQ294" i="4"/>
  <c r="AP294" i="4"/>
  <c r="BB293" i="4"/>
  <c r="AZ293" i="4"/>
  <c r="AV293" i="4"/>
  <c r="AU293" i="4"/>
  <c r="AT293" i="4"/>
  <c r="AS293" i="4"/>
  <c r="AQ293" i="4"/>
  <c r="AP293" i="4"/>
  <c r="BC292" i="4"/>
  <c r="BB292" i="4"/>
  <c r="BA292" i="4"/>
  <c r="AZ292" i="4"/>
  <c r="AY292" i="4"/>
  <c r="AW292" i="4"/>
  <c r="AV292" i="4"/>
  <c r="AU292" i="4"/>
  <c r="AT292" i="4"/>
  <c r="AS292" i="4"/>
  <c r="AQ292" i="4"/>
  <c r="AP292" i="4"/>
  <c r="BC291" i="4"/>
  <c r="BB291" i="4"/>
  <c r="BA291" i="4"/>
  <c r="AZ291" i="4"/>
  <c r="AY291" i="4"/>
  <c r="AW291" i="4"/>
  <c r="AV291" i="4"/>
  <c r="AU291" i="4"/>
  <c r="AT291" i="4"/>
  <c r="AS291" i="4"/>
  <c r="AQ291" i="4"/>
  <c r="AP291" i="4"/>
  <c r="BC290" i="4"/>
  <c r="BB290" i="4"/>
  <c r="BA290" i="4"/>
  <c r="AZ290" i="4"/>
  <c r="AY290" i="4"/>
  <c r="AW290" i="4"/>
  <c r="AV290" i="4"/>
  <c r="AU290" i="4"/>
  <c r="AT290" i="4"/>
  <c r="AS290" i="4"/>
  <c r="AQ290" i="4"/>
  <c r="AP290" i="4"/>
  <c r="BC289" i="4"/>
  <c r="BB289" i="4"/>
  <c r="BA289" i="4"/>
  <c r="AZ289" i="4"/>
  <c r="AY289" i="4"/>
  <c r="AW289" i="4"/>
  <c r="AV289" i="4"/>
  <c r="AU289" i="4"/>
  <c r="AT289" i="4"/>
  <c r="AS289" i="4"/>
  <c r="AQ289" i="4"/>
  <c r="AP289" i="4"/>
  <c r="BC288" i="4"/>
  <c r="BB288" i="4"/>
  <c r="BA288" i="4"/>
  <c r="AZ288" i="4"/>
  <c r="AY288" i="4"/>
  <c r="AW288" i="4"/>
  <c r="AV288" i="4"/>
  <c r="AU288" i="4"/>
  <c r="AT288" i="4"/>
  <c r="AS288" i="4"/>
  <c r="AQ288" i="4"/>
  <c r="AP288" i="4"/>
  <c r="BC287" i="4"/>
  <c r="BB287" i="4"/>
  <c r="BA287" i="4"/>
  <c r="AZ287" i="4"/>
  <c r="AY287" i="4"/>
  <c r="AW287" i="4"/>
  <c r="AV287" i="4"/>
  <c r="AU287" i="4"/>
  <c r="AT287" i="4"/>
  <c r="AS287" i="4"/>
  <c r="AQ287" i="4"/>
  <c r="AP287" i="4"/>
  <c r="BC256" i="4" l="1"/>
  <c r="BD326" i="4"/>
  <c r="BK326" i="4" s="1"/>
  <c r="BN326" i="4" l="1"/>
  <c r="CQ326" i="4" s="1"/>
  <c r="BM326" i="4"/>
  <c r="CO326" i="4" s="1"/>
  <c r="AV267" i="4"/>
  <c r="AW267" i="4" s="1"/>
  <c r="AX267" i="4" s="1"/>
  <c r="AY267" i="4" s="1"/>
  <c r="AZ267" i="4" s="1"/>
  <c r="AZ258" i="4"/>
  <c r="AZ259" i="4"/>
  <c r="AZ260" i="4"/>
  <c r="AZ261" i="4"/>
  <c r="AZ262" i="4"/>
  <c r="AZ263" i="4"/>
  <c r="AZ264" i="4"/>
  <c r="AY258" i="4"/>
  <c r="AY259" i="4"/>
  <c r="AY260" i="4"/>
  <c r="AY261" i="4"/>
  <c r="AY262" i="4"/>
  <c r="AY263" i="4"/>
  <c r="AY264" i="4"/>
  <c r="AX258" i="4"/>
  <c r="AX259" i="4"/>
  <c r="AX260" i="4"/>
  <c r="AX261" i="4"/>
  <c r="AX262" i="4"/>
  <c r="AX263" i="4"/>
  <c r="AX264" i="4"/>
  <c r="AW258" i="4"/>
  <c r="AW259" i="4"/>
  <c r="AW260" i="4"/>
  <c r="AW261" i="4"/>
  <c r="AW262" i="4"/>
  <c r="AW263" i="4"/>
  <c r="AW264" i="4"/>
  <c r="AV258" i="4"/>
  <c r="AV259" i="4"/>
  <c r="BK248" i="4" s="1"/>
  <c r="AV260" i="4"/>
  <c r="BK249" i="4" s="1"/>
  <c r="AV261" i="4"/>
  <c r="BK250" i="4" s="1"/>
  <c r="AV262" i="4"/>
  <c r="BK251" i="4" s="1"/>
  <c r="AV263" i="4"/>
  <c r="BK252" i="4" s="1"/>
  <c r="AV264" i="4"/>
  <c r="BK253" i="4" s="1"/>
  <c r="AZ257" i="4"/>
  <c r="AY257" i="4"/>
  <c r="AX257" i="4"/>
  <c r="AW257" i="4"/>
  <c r="AV257" i="4"/>
  <c r="CP326" i="4" l="1"/>
  <c r="BK246" i="4"/>
  <c r="BK247" i="4"/>
  <c r="BA264" i="4"/>
  <c r="BA262" i="4"/>
  <c r="BA260" i="4"/>
  <c r="BA258" i="4"/>
  <c r="BG255" i="4"/>
  <c r="BK243" i="4"/>
  <c r="BG254" i="4"/>
  <c r="BK242" i="4"/>
  <c r="BG256" i="4"/>
  <c r="BK244" i="4"/>
  <c r="AZ266" i="4"/>
  <c r="BB263" i="4"/>
  <c r="BB261" i="4"/>
  <c r="BB259" i="4"/>
  <c r="AY266" i="4"/>
  <c r="BB257" i="4"/>
  <c r="AX266" i="4"/>
  <c r="AX265" i="4"/>
  <c r="AY265" i="4"/>
  <c r="BA257" i="4"/>
  <c r="BC257" i="4" s="1"/>
  <c r="BA259" i="4"/>
  <c r="BA261" i="4"/>
  <c r="BA263" i="4"/>
  <c r="BB258" i="4"/>
  <c r="BB260" i="4"/>
  <c r="BB262" i="4"/>
  <c r="BB264" i="4"/>
  <c r="AZ265" i="4"/>
  <c r="BG234" i="4"/>
  <c r="BC262" i="4" l="1"/>
  <c r="BC264" i="4"/>
  <c r="BC260" i="4"/>
  <c r="BC263" i="4"/>
  <c r="BC259" i="4"/>
  <c r="BG253" i="4"/>
  <c r="BK241" i="4"/>
  <c r="AV265" i="4"/>
  <c r="BK240" i="4"/>
  <c r="BC258" i="4"/>
  <c r="AZ268" i="4"/>
  <c r="BC261" i="4"/>
  <c r="AY268" i="4"/>
  <c r="AX268" i="4"/>
  <c r="AW265" i="4"/>
  <c r="BB255" i="4"/>
  <c r="BA255" i="4"/>
  <c r="BG240" i="4"/>
  <c r="AV266" i="4"/>
  <c r="AW266" i="4"/>
  <c r="AV268" i="4" l="1"/>
  <c r="BC255" i="4"/>
  <c r="AW268" i="4"/>
  <c r="BN325" i="4"/>
  <c r="CQ325" i="4" s="1"/>
  <c r="BN324" i="4"/>
  <c r="CQ324" i="4" s="1"/>
  <c r="BM325" i="4"/>
  <c r="CO325" i="4" s="1"/>
  <c r="CP325" i="4" s="1"/>
  <c r="BM324" i="4"/>
  <c r="CO324" i="4" s="1"/>
  <c r="CP324" i="4" s="1"/>
  <c r="BK325" i="4"/>
  <c r="BK324" i="4"/>
  <c r="BS323" i="4"/>
  <c r="BR323" i="4"/>
  <c r="BP323" i="4"/>
  <c r="BS322" i="4"/>
  <c r="BR322" i="4"/>
  <c r="BP322" i="4"/>
  <c r="BK323" i="4"/>
  <c r="BK322" i="4"/>
  <c r="BN323" i="4"/>
  <c r="CQ323" i="4" s="1"/>
  <c r="BM323" i="4"/>
  <c r="CO323" i="4" s="1"/>
  <c r="CP323" i="4" s="1"/>
  <c r="BN322" i="4"/>
  <c r="CQ322" i="4" s="1"/>
  <c r="BM322" i="4"/>
  <c r="CO322" i="4" s="1"/>
  <c r="CP322" i="4" s="1"/>
  <c r="BQ280" i="4" l="1"/>
  <c r="BQ281" i="4"/>
  <c r="BK279" i="4"/>
  <c r="BK221" i="4" l="1"/>
  <c r="BF228" i="4"/>
  <c r="BN236" i="4" l="1"/>
  <c r="CQ236" i="4" s="1"/>
  <c r="CP236" i="4" s="1"/>
  <c r="BF236" i="4"/>
  <c r="BN237" i="4"/>
  <c r="CQ237" i="4" s="1"/>
  <c r="CP237" i="4" s="1"/>
  <c r="BF237" i="4"/>
  <c r="BN235" i="4"/>
  <c r="CQ235" i="4" s="1"/>
  <c r="CP235" i="4" s="1"/>
  <c r="BN234" i="4"/>
  <c r="CQ234" i="4" s="1"/>
  <c r="CP234" i="4" s="1"/>
  <c r="BF235" i="4"/>
  <c r="BF234" i="4"/>
  <c r="BF233" i="4"/>
  <c r="BN233" i="4"/>
  <c r="CQ233" i="4" s="1"/>
  <c r="CP233" i="4" s="1"/>
  <c r="BP328" i="4" l="1"/>
  <c r="BP327" i="4"/>
  <c r="BY328" i="4"/>
  <c r="BX328" i="4"/>
  <c r="BS328" i="4"/>
  <c r="BR328" i="4"/>
  <c r="BN328" i="4"/>
  <c r="CQ328" i="4" s="1"/>
  <c r="BM328" i="4"/>
  <c r="CO328" i="4" s="1"/>
  <c r="BK328" i="4"/>
  <c r="BY327" i="4"/>
  <c r="BX327" i="4"/>
  <c r="BS327" i="4"/>
  <c r="BR327" i="4"/>
  <c r="BN327" i="4"/>
  <c r="CQ327" i="4" s="1"/>
  <c r="BM327" i="4"/>
  <c r="CO327" i="4" s="1"/>
  <c r="CP327" i="4" s="1"/>
  <c r="BK327" i="4"/>
  <c r="CP328" i="4" l="1"/>
  <c r="BK339" i="4"/>
  <c r="BK338" i="4"/>
  <c r="BK337" i="4"/>
  <c r="BG199" i="4" l="1"/>
  <c r="BK199" i="4" s="1"/>
  <c r="BF199" i="4"/>
  <c r="BD199" i="4"/>
  <c r="BE199" i="4"/>
  <c r="BD198" i="4" l="1"/>
  <c r="BF198" i="4"/>
  <c r="BG198" i="4"/>
  <c r="BK198" i="4" s="1"/>
  <c r="BE198" i="4"/>
  <c r="BQ115" i="4" l="1"/>
  <c r="AM22" i="4" l="1"/>
  <c r="AF22" i="4"/>
  <c r="Y22" i="4"/>
  <c r="X22" i="4"/>
  <c r="R22" i="4"/>
  <c r="U22" i="4" s="1"/>
  <c r="Q22" i="4"/>
  <c r="BB22" i="4" s="1"/>
  <c r="D22" i="4"/>
  <c r="AA22" i="4" l="1"/>
  <c r="AB22" i="4" s="1"/>
  <c r="AG22" i="4"/>
  <c r="AV22" i="4"/>
  <c r="AW22" i="4" s="1"/>
  <c r="AX22" i="4" s="1"/>
  <c r="BD22" i="4"/>
  <c r="BC22" i="4"/>
  <c r="T22" i="4"/>
  <c r="W22" i="4"/>
  <c r="S22" i="4"/>
  <c r="Z22" i="4"/>
  <c r="AN22" i="4"/>
  <c r="AT31" i="4"/>
  <c r="AS31" i="4"/>
  <c r="R31" i="4"/>
  <c r="W31" i="4" s="1"/>
  <c r="AO31" i="4" s="1"/>
  <c r="Q31" i="4"/>
  <c r="D31" i="4"/>
  <c r="AT30" i="4"/>
  <c r="R30" i="4"/>
  <c r="U30" i="4" s="1"/>
  <c r="Q30" i="4"/>
  <c r="BB30" i="4" s="1"/>
  <c r="BC30" i="4" s="1"/>
  <c r="BE30" i="4" s="1"/>
  <c r="D30" i="4"/>
  <c r="AC22" i="4" l="1"/>
  <c r="AD22" i="4" s="1"/>
  <c r="AV31" i="4"/>
  <c r="BE22" i="4"/>
  <c r="S31" i="4"/>
  <c r="U31" i="4"/>
  <c r="AP31" i="4"/>
  <c r="AQ31" i="4"/>
  <c r="T30" i="4"/>
  <c r="W30" i="4"/>
  <c r="AO30" i="4" s="1"/>
  <c r="AA31" i="4"/>
  <c r="AH31" i="4"/>
  <c r="AU31" i="4"/>
  <c r="BB31" i="4"/>
  <c r="BC31" i="4" s="1"/>
  <c r="BE31" i="4" s="1"/>
  <c r="S30" i="4"/>
  <c r="AA30" i="4"/>
  <c r="AH30" i="4"/>
  <c r="AU30" i="4"/>
  <c r="T31" i="4"/>
  <c r="AW31" i="4" l="1"/>
  <c r="AX31" i="4" s="1"/>
  <c r="AR31" i="4"/>
  <c r="AQ30" i="4"/>
  <c r="AP30" i="4"/>
  <c r="AJ30" i="4"/>
  <c r="AI30" i="4"/>
  <c r="AB31" i="4"/>
  <c r="AC31" i="4"/>
  <c r="AC30" i="4"/>
  <c r="AB30" i="4"/>
  <c r="AI31" i="4"/>
  <c r="AJ31" i="4"/>
  <c r="BK191" i="4"/>
  <c r="AT34" i="4"/>
  <c r="AT33" i="4"/>
  <c r="AT32" i="4"/>
  <c r="Y41" i="4"/>
  <c r="X41" i="4"/>
  <c r="AK31" i="4" l="1"/>
  <c r="AD30" i="4"/>
  <c r="AK30" i="4"/>
  <c r="AR30" i="4"/>
  <c r="BF31" i="4"/>
  <c r="AD31" i="4"/>
  <c r="BK143" i="4"/>
  <c r="BK163" i="4"/>
  <c r="BK162" i="4"/>
  <c r="BK161" i="4"/>
  <c r="BK160" i="4"/>
  <c r="AS30" i="4" s="1"/>
  <c r="AV30" i="4" s="1"/>
  <c r="AW30" i="4" s="1"/>
  <c r="AX30" i="4" s="1"/>
  <c r="CI143" i="4"/>
  <c r="CC143" i="4"/>
  <c r="BW143" i="4"/>
  <c r="BQ143" i="4"/>
  <c r="CI142" i="4"/>
  <c r="CC142" i="4"/>
  <c r="BW142" i="4"/>
  <c r="BQ142" i="4"/>
  <c r="BF30" i="4" l="1"/>
  <c r="BG30" i="4" s="1"/>
  <c r="BH30" i="4" s="1"/>
  <c r="BG31" i="4"/>
  <c r="BH31" i="4" s="1"/>
  <c r="BK219" i="4"/>
  <c r="BX239" i="4" l="1"/>
  <c r="D41" i="4" l="1"/>
  <c r="D34" i="4"/>
  <c r="D33" i="4"/>
  <c r="D32" i="4"/>
  <c r="D29" i="4"/>
  <c r="D27" i="4"/>
  <c r="D26" i="4"/>
  <c r="D25" i="4"/>
  <c r="D24" i="4"/>
  <c r="D23" i="4"/>
  <c r="D21" i="4"/>
  <c r="D20" i="4"/>
  <c r="D19" i="4"/>
  <c r="D18" i="4"/>
  <c r="D17" i="4"/>
  <c r="AF27" i="4"/>
  <c r="AF26" i="4"/>
  <c r="AF25" i="4"/>
  <c r="AF24" i="4"/>
  <c r="AF23" i="4"/>
  <c r="AF21" i="4"/>
  <c r="AF20" i="4"/>
  <c r="AF19" i="4"/>
  <c r="AF18" i="4"/>
  <c r="AF17" i="4"/>
  <c r="AM25" i="4"/>
  <c r="AM24" i="4"/>
  <c r="AM23" i="4"/>
  <c r="AM21" i="4"/>
  <c r="AM20" i="4"/>
  <c r="AM19" i="4"/>
  <c r="AM18" i="4"/>
  <c r="AM17" i="4"/>
  <c r="AM27" i="4"/>
  <c r="AM26" i="4"/>
  <c r="AS34" i="4"/>
  <c r="AS33" i="4"/>
  <c r="AS32" i="4"/>
  <c r="AT29" i="4"/>
  <c r="AS29" i="4"/>
  <c r="AM29" i="4"/>
  <c r="Y27" i="4"/>
  <c r="X27" i="4"/>
  <c r="Y26" i="4"/>
  <c r="X26" i="4"/>
  <c r="Y25" i="4"/>
  <c r="X25" i="4"/>
  <c r="Y24" i="4"/>
  <c r="X24" i="4"/>
  <c r="Y23" i="4"/>
  <c r="X23" i="4"/>
  <c r="Y21" i="4"/>
  <c r="X21" i="4"/>
  <c r="Y20" i="4"/>
  <c r="X20" i="4"/>
  <c r="Y19" i="4"/>
  <c r="X19" i="4"/>
  <c r="Y18" i="4"/>
  <c r="X18" i="4"/>
  <c r="Y17" i="4"/>
  <c r="X17" i="4"/>
  <c r="AW42" i="4" l="1"/>
  <c r="AV42" i="4"/>
  <c r="I18" i="18" s="1"/>
  <c r="BD42" i="4"/>
  <c r="AX41" i="4"/>
  <c r="AX42" i="4" s="1"/>
  <c r="R41" i="4"/>
  <c r="Q41" i="4"/>
  <c r="BP316" i="4"/>
  <c r="BP315" i="4"/>
  <c r="BP314" i="4"/>
  <c r="BP313" i="4"/>
  <c r="BP312" i="4"/>
  <c r="BP311" i="4"/>
  <c r="BP310" i="4"/>
  <c r="BP309" i="4"/>
  <c r="BP308" i="4"/>
  <c r="BP307" i="4"/>
  <c r="BP306" i="4"/>
  <c r="BP305" i="4"/>
  <c r="BP304" i="4"/>
  <c r="BP303" i="4"/>
  <c r="BP302" i="4"/>
  <c r="BP301" i="4"/>
  <c r="BP300" i="4"/>
  <c r="BP299" i="4"/>
  <c r="BP298" i="4"/>
  <c r="BP297" i="4"/>
  <c r="BP296" i="4"/>
  <c r="BP295" i="4"/>
  <c r="BP294" i="4"/>
  <c r="BP293" i="4"/>
  <c r="BP292" i="4"/>
  <c r="BP291" i="4"/>
  <c r="BP290" i="4"/>
  <c r="BP289" i="4"/>
  <c r="BP288" i="4"/>
  <c r="BP287" i="4"/>
  <c r="BK316" i="4"/>
  <c r="BK315" i="4"/>
  <c r="BK314" i="4"/>
  <c r="BK313" i="4"/>
  <c r="BK312" i="4"/>
  <c r="BK311" i="4"/>
  <c r="BK310" i="4"/>
  <c r="BK309" i="4"/>
  <c r="BK308" i="4"/>
  <c r="BK307" i="4"/>
  <c r="BK306" i="4"/>
  <c r="BK305" i="4"/>
  <c r="BK304" i="4"/>
  <c r="BK303" i="4"/>
  <c r="BK302" i="4"/>
  <c r="BK301" i="4"/>
  <c r="BK300" i="4"/>
  <c r="BK299" i="4"/>
  <c r="BK298" i="4"/>
  <c r="BK297" i="4"/>
  <c r="BK296" i="4"/>
  <c r="BK295" i="4"/>
  <c r="BK294" i="4"/>
  <c r="BK293" i="4"/>
  <c r="BK292" i="4"/>
  <c r="BK291" i="4"/>
  <c r="BK290" i="4"/>
  <c r="BK289" i="4"/>
  <c r="BK288" i="4"/>
  <c r="BK287" i="4"/>
  <c r="BK278" i="4"/>
  <c r="BX221" i="4"/>
  <c r="R34" i="4"/>
  <c r="Q34" i="4"/>
  <c r="AU34" i="4" s="1"/>
  <c r="R33" i="4"/>
  <c r="Q33" i="4"/>
  <c r="AU33" i="4" s="1"/>
  <c r="R32" i="4"/>
  <c r="Q32" i="4"/>
  <c r="AU32" i="4" s="1"/>
  <c r="R29" i="4"/>
  <c r="Q29" i="4"/>
  <c r="AU29" i="4" s="1"/>
  <c r="R27" i="4"/>
  <c r="Q27" i="4"/>
  <c r="R26" i="4"/>
  <c r="Q26" i="4"/>
  <c r="R25" i="4"/>
  <c r="Q25" i="4"/>
  <c r="R24" i="4"/>
  <c r="Q24" i="4"/>
  <c r="R23" i="4"/>
  <c r="Q23" i="4"/>
  <c r="R21" i="4"/>
  <c r="Q21" i="4"/>
  <c r="R20" i="4"/>
  <c r="Q20" i="4"/>
  <c r="R19" i="4"/>
  <c r="Q19" i="4"/>
  <c r="R18" i="4"/>
  <c r="Q18" i="4"/>
  <c r="R17" i="4"/>
  <c r="Q17" i="4"/>
  <c r="BH43" i="4"/>
  <c r="BH40" i="4"/>
  <c r="BH39" i="4"/>
  <c r="DJ342" i="4"/>
  <c r="DJ341" i="4"/>
  <c r="CZ341" i="4" s="1"/>
  <c r="DJ332" i="4"/>
  <c r="DJ330" i="4"/>
  <c r="DI321" i="4"/>
  <c r="DI319" i="4"/>
  <c r="DK319" i="4" s="1"/>
  <c r="CZ319" i="4" s="1"/>
  <c r="DD316" i="4"/>
  <c r="DF316" i="4" s="1"/>
  <c r="DH316" i="4" s="1"/>
  <c r="DA316" i="4"/>
  <c r="CZ316" i="4"/>
  <c r="DD315" i="4"/>
  <c r="DF315" i="4" s="1"/>
  <c r="DH315" i="4" s="1"/>
  <c r="DA315" i="4"/>
  <c r="CZ315" i="4"/>
  <c r="DD314" i="4"/>
  <c r="DF314" i="4" s="1"/>
  <c r="DH314" i="4" s="1"/>
  <c r="DA314" i="4"/>
  <c r="CZ314" i="4"/>
  <c r="DD313" i="4"/>
  <c r="DF313" i="4" s="1"/>
  <c r="DH313" i="4" s="1"/>
  <c r="DA313" i="4"/>
  <c r="CZ313" i="4"/>
  <c r="DD312" i="4"/>
  <c r="DF312" i="4" s="1"/>
  <c r="DH312" i="4" s="1"/>
  <c r="DA312" i="4"/>
  <c r="CZ312" i="4"/>
  <c r="DD311" i="4"/>
  <c r="DF311" i="4" s="1"/>
  <c r="DH311" i="4" s="1"/>
  <c r="DA311" i="4"/>
  <c r="CZ311" i="4"/>
  <c r="DD310" i="4"/>
  <c r="DF310" i="4" s="1"/>
  <c r="DH310" i="4" s="1"/>
  <c r="DA310" i="4"/>
  <c r="CZ310" i="4"/>
  <c r="DD309" i="4"/>
  <c r="DF309" i="4" s="1"/>
  <c r="DH309" i="4" s="1"/>
  <c r="DA309" i="4"/>
  <c r="CZ309" i="4"/>
  <c r="DD308" i="4"/>
  <c r="DF308" i="4" s="1"/>
  <c r="DH308" i="4" s="1"/>
  <c r="DA308" i="4"/>
  <c r="CZ308" i="4"/>
  <c r="DD307" i="4"/>
  <c r="DF307" i="4" s="1"/>
  <c r="DH307" i="4" s="1"/>
  <c r="DA307" i="4"/>
  <c r="CZ307" i="4"/>
  <c r="DC282" i="4" s="1"/>
  <c r="DD306" i="4"/>
  <c r="DF306" i="4" s="1"/>
  <c r="DH306" i="4" s="1"/>
  <c r="DA306" i="4"/>
  <c r="CZ306" i="4"/>
  <c r="DD305" i="4"/>
  <c r="DF305" i="4" s="1"/>
  <c r="DH305" i="4" s="1"/>
  <c r="DA305" i="4"/>
  <c r="CZ305" i="4"/>
  <c r="DD304" i="4"/>
  <c r="DF304" i="4" s="1"/>
  <c r="DH304" i="4" s="1"/>
  <c r="DA304" i="4"/>
  <c r="CZ304" i="4"/>
  <c r="DD303" i="4"/>
  <c r="DF303" i="4" s="1"/>
  <c r="DH303" i="4" s="1"/>
  <c r="DA303" i="4"/>
  <c r="CZ303" i="4"/>
  <c r="DD302" i="4"/>
  <c r="DF302" i="4" s="1"/>
  <c r="DH302" i="4" s="1"/>
  <c r="DA302" i="4"/>
  <c r="CZ302" i="4"/>
  <c r="DD301" i="4"/>
  <c r="DF301" i="4" s="1"/>
  <c r="DH301" i="4" s="1"/>
  <c r="DA301" i="4"/>
  <c r="CZ301" i="4"/>
  <c r="DD300" i="4"/>
  <c r="DF300" i="4" s="1"/>
  <c r="DH300" i="4" s="1"/>
  <c r="DA300" i="4"/>
  <c r="CZ300" i="4"/>
  <c r="DD299" i="4"/>
  <c r="DF299" i="4" s="1"/>
  <c r="DH299" i="4" s="1"/>
  <c r="DA299" i="4"/>
  <c r="CZ299" i="4"/>
  <c r="DD298" i="4"/>
  <c r="DF298" i="4" s="1"/>
  <c r="DH298" i="4" s="1"/>
  <c r="DA298" i="4"/>
  <c r="CZ298" i="4"/>
  <c r="DD297" i="4"/>
  <c r="DF297" i="4" s="1"/>
  <c r="DH297" i="4" s="1"/>
  <c r="DA297" i="4"/>
  <c r="CZ297" i="4"/>
  <c r="DD296" i="4"/>
  <c r="DF296" i="4" s="1"/>
  <c r="DH296" i="4" s="1"/>
  <c r="DA296" i="4"/>
  <c r="CZ296" i="4"/>
  <c r="DD295" i="4"/>
  <c r="DF295" i="4" s="1"/>
  <c r="DH295" i="4" s="1"/>
  <c r="DA295" i="4"/>
  <c r="CZ295" i="4"/>
  <c r="DD294" i="4"/>
  <c r="DF294" i="4" s="1"/>
  <c r="DH294" i="4" s="1"/>
  <c r="DA294" i="4"/>
  <c r="CZ294" i="4"/>
  <c r="DD293" i="4"/>
  <c r="DF293" i="4" s="1"/>
  <c r="DH293" i="4" s="1"/>
  <c r="DA293" i="4"/>
  <c r="CZ293" i="4"/>
  <c r="DD292" i="4"/>
  <c r="DF292" i="4" s="1"/>
  <c r="DH292" i="4" s="1"/>
  <c r="DA292" i="4"/>
  <c r="CZ292" i="4"/>
  <c r="DD291" i="4"/>
  <c r="DF291" i="4" s="1"/>
  <c r="DH291" i="4" s="1"/>
  <c r="DA291" i="4"/>
  <c r="CZ291" i="4"/>
  <c r="DD290" i="4"/>
  <c r="DF290" i="4" s="1"/>
  <c r="DH290" i="4" s="1"/>
  <c r="DA290" i="4"/>
  <c r="CZ290" i="4"/>
  <c r="DD289" i="4"/>
  <c r="DF289" i="4" s="1"/>
  <c r="DH289" i="4" s="1"/>
  <c r="DA289" i="4"/>
  <c r="CZ289" i="4"/>
  <c r="DD288" i="4"/>
  <c r="DF288" i="4" s="1"/>
  <c r="DH288" i="4" s="1"/>
  <c r="DA288" i="4"/>
  <c r="CZ288" i="4"/>
  <c r="DD287" i="4"/>
  <c r="DF287" i="4" s="1"/>
  <c r="DH287" i="4" s="1"/>
  <c r="DA287" i="4"/>
  <c r="CZ287" i="4"/>
  <c r="DC281" i="4"/>
  <c r="DA281" i="4"/>
  <c r="DC278" i="4"/>
  <c r="DA278" i="4"/>
  <c r="DC277" i="4"/>
  <c r="DA277" i="4"/>
  <c r="DC276" i="4"/>
  <c r="DA276" i="4"/>
  <c r="DC275" i="4"/>
  <c r="DA275" i="4"/>
  <c r="DC274" i="4"/>
  <c r="DA274" i="4"/>
  <c r="DC273" i="4"/>
  <c r="DA273" i="4"/>
  <c r="DC265" i="4"/>
  <c r="DA265" i="4"/>
  <c r="DK321" i="4" l="1"/>
  <c r="BB41" i="4"/>
  <c r="BC41" i="4" s="1"/>
  <c r="J17" i="18" s="1"/>
  <c r="Z41" i="4"/>
  <c r="AH33" i="4"/>
  <c r="AI33" i="4" s="1"/>
  <c r="BB33" i="4"/>
  <c r="AA33" i="4"/>
  <c r="AB33" i="4" s="1"/>
  <c r="AV33" i="4"/>
  <c r="AN17" i="4"/>
  <c r="AA17" i="4"/>
  <c r="AB17" i="4" s="1"/>
  <c r="BB17" i="4"/>
  <c r="BC17" i="4" s="1"/>
  <c r="AV17" i="4"/>
  <c r="AG17" i="4"/>
  <c r="Z17" i="4"/>
  <c r="BB18" i="4"/>
  <c r="BC18" i="4" s="1"/>
  <c r="AV18" i="4"/>
  <c r="Z18" i="4"/>
  <c r="AN18" i="4"/>
  <c r="AG18" i="4"/>
  <c r="AA18" i="4"/>
  <c r="AB18" i="4" s="1"/>
  <c r="BB19" i="4"/>
  <c r="BC19" i="4" s="1"/>
  <c r="AV19" i="4"/>
  <c r="AG19" i="4"/>
  <c r="AN19" i="4"/>
  <c r="Z19" i="4"/>
  <c r="AA19" i="4"/>
  <c r="AB19" i="4" s="1"/>
  <c r="BB20" i="4"/>
  <c r="BC20" i="4" s="1"/>
  <c r="AV20" i="4"/>
  <c r="AG20" i="4"/>
  <c r="AN20" i="4"/>
  <c r="Z20" i="4"/>
  <c r="AA20" i="4"/>
  <c r="AB20" i="4" s="1"/>
  <c r="BB21" i="4"/>
  <c r="BC21" i="4" s="1"/>
  <c r="AV21" i="4"/>
  <c r="AG21" i="4"/>
  <c r="AN21" i="4"/>
  <c r="Z21" i="4"/>
  <c r="AA21" i="4"/>
  <c r="AB21" i="4" s="1"/>
  <c r="BB23" i="4"/>
  <c r="BC23" i="4" s="1"/>
  <c r="AV23" i="4"/>
  <c r="AG23" i="4"/>
  <c r="AN23" i="4"/>
  <c r="Z23" i="4"/>
  <c r="AA23" i="4"/>
  <c r="AB23" i="4" s="1"/>
  <c r="BB24" i="4"/>
  <c r="BC24" i="4" s="1"/>
  <c r="AV24" i="4"/>
  <c r="AG24" i="4"/>
  <c r="AN24" i="4"/>
  <c r="Z24" i="4"/>
  <c r="AA24" i="4"/>
  <c r="AB24" i="4" s="1"/>
  <c r="BB25" i="4"/>
  <c r="BC25" i="4" s="1"/>
  <c r="AV25" i="4"/>
  <c r="AG25" i="4"/>
  <c r="AN25" i="4"/>
  <c r="Z25" i="4"/>
  <c r="AA25" i="4"/>
  <c r="AB25" i="4" s="1"/>
  <c r="BB26" i="4"/>
  <c r="BC26" i="4" s="1"/>
  <c r="AV26" i="4"/>
  <c r="AN26" i="4"/>
  <c r="AG26" i="4"/>
  <c r="Z26" i="4"/>
  <c r="AA26" i="4"/>
  <c r="AB26" i="4" s="1"/>
  <c r="AV27" i="4"/>
  <c r="AW27" i="4" s="1"/>
  <c r="AX27" i="4" s="1"/>
  <c r="BB27" i="4"/>
  <c r="BC27" i="4" s="1"/>
  <c r="AN27" i="4"/>
  <c r="AG27" i="4"/>
  <c r="Z27" i="4"/>
  <c r="AA27" i="4"/>
  <c r="AB27" i="4" s="1"/>
  <c r="BB29" i="4"/>
  <c r="AH29" i="4"/>
  <c r="AI29" i="4" s="1"/>
  <c r="AA29" i="4"/>
  <c r="AB29" i="4" s="1"/>
  <c r="AV29" i="4"/>
  <c r="BB32" i="4"/>
  <c r="AH32" i="4"/>
  <c r="AI32" i="4" s="1"/>
  <c r="AA32" i="4"/>
  <c r="AB32" i="4" s="1"/>
  <c r="AV32" i="4"/>
  <c r="BB34" i="4"/>
  <c r="AH34" i="4"/>
  <c r="AI34" i="4" s="1"/>
  <c r="AA34" i="4"/>
  <c r="AB34" i="4" s="1"/>
  <c r="AV34" i="4"/>
  <c r="U41" i="4"/>
  <c r="DJ293" i="4"/>
  <c r="DJ294" i="4"/>
  <c r="DJ300" i="4"/>
  <c r="S17" i="4"/>
  <c r="S18" i="4"/>
  <c r="S19" i="4"/>
  <c r="S20" i="4"/>
  <c r="S21" i="4"/>
  <c r="T23" i="4"/>
  <c r="T25" i="4"/>
  <c r="U33" i="4"/>
  <c r="T34" i="4"/>
  <c r="DJ298" i="4"/>
  <c r="U17" i="4"/>
  <c r="U18" i="4"/>
  <c r="U19" i="4"/>
  <c r="U20" i="4"/>
  <c r="U21" i="4"/>
  <c r="T24" i="4"/>
  <c r="DJ296" i="4"/>
  <c r="S41" i="4"/>
  <c r="T41" i="4"/>
  <c r="AA41" i="4"/>
  <c r="AB41" i="4" s="1"/>
  <c r="F17" i="18" s="1"/>
  <c r="AH41" i="4"/>
  <c r="AI41" i="4" s="1"/>
  <c r="G17" i="18" s="1"/>
  <c r="S33" i="4"/>
  <c r="S29" i="4"/>
  <c r="U29" i="4"/>
  <c r="S32" i="4"/>
  <c r="U32" i="4"/>
  <c r="T29" i="4"/>
  <c r="T32" i="4"/>
  <c r="U34" i="4"/>
  <c r="S34" i="4"/>
  <c r="T33" i="4"/>
  <c r="T17" i="4"/>
  <c r="T18" i="4"/>
  <c r="T19" i="4"/>
  <c r="T20" i="4"/>
  <c r="T21" i="4"/>
  <c r="U23" i="4"/>
  <c r="S23" i="4"/>
  <c r="U25" i="4"/>
  <c r="S25" i="4"/>
  <c r="U24" i="4"/>
  <c r="S24" i="4"/>
  <c r="S26" i="4"/>
  <c r="U26" i="4"/>
  <c r="S27" i="4"/>
  <c r="U27" i="4"/>
  <c r="T26" i="4"/>
  <c r="T27" i="4"/>
  <c r="DJ301" i="4"/>
  <c r="DJ302" i="4"/>
  <c r="DJ303" i="4"/>
  <c r="DJ304" i="4"/>
  <c r="DJ305" i="4"/>
  <c r="DJ306" i="4"/>
  <c r="DJ308" i="4"/>
  <c r="DJ309" i="4"/>
  <c r="DJ310" i="4"/>
  <c r="DJ311" i="4"/>
  <c r="DJ312" i="4"/>
  <c r="DJ307" i="4"/>
  <c r="DJ291" i="4"/>
  <c r="DJ295" i="4"/>
  <c r="DJ297" i="4"/>
  <c r="DJ292" i="4"/>
  <c r="DJ287" i="4"/>
  <c r="DJ288" i="4"/>
  <c r="DJ313" i="4"/>
  <c r="DJ314" i="4"/>
  <c r="DJ315" i="4"/>
  <c r="DJ289" i="4"/>
  <c r="DJ316" i="4"/>
  <c r="DJ299" i="4"/>
  <c r="DJ290" i="4"/>
  <c r="DG287" i="4"/>
  <c r="DI287" i="4" s="1"/>
  <c r="DG288" i="4"/>
  <c r="DI288" i="4" s="1"/>
  <c r="DG289" i="4"/>
  <c r="DI289" i="4" s="1"/>
  <c r="DG290" i="4"/>
  <c r="DI290" i="4" s="1"/>
  <c r="DG291" i="4"/>
  <c r="DI291" i="4" s="1"/>
  <c r="DG292" i="4"/>
  <c r="DI292" i="4" s="1"/>
  <c r="DG293" i="4"/>
  <c r="DI293" i="4" s="1"/>
  <c r="DG294" i="4"/>
  <c r="DI294" i="4" s="1"/>
  <c r="DG295" i="4"/>
  <c r="DI295" i="4" s="1"/>
  <c r="DG296" i="4"/>
  <c r="DI296" i="4" s="1"/>
  <c r="DG297" i="4"/>
  <c r="DI297" i="4" s="1"/>
  <c r="DG298" i="4"/>
  <c r="DI298" i="4" s="1"/>
  <c r="DG299" i="4"/>
  <c r="DI299" i="4" s="1"/>
  <c r="DG300" i="4"/>
  <c r="DI300" i="4" s="1"/>
  <c r="DG301" i="4"/>
  <c r="DI301" i="4" s="1"/>
  <c r="DG302" i="4"/>
  <c r="DI302" i="4" s="1"/>
  <c r="DG303" i="4"/>
  <c r="DI303" i="4" s="1"/>
  <c r="DG304" i="4"/>
  <c r="DI304" i="4" s="1"/>
  <c r="DG305" i="4"/>
  <c r="DI305" i="4" s="1"/>
  <c r="DG306" i="4"/>
  <c r="DI306" i="4" s="1"/>
  <c r="DG307" i="4"/>
  <c r="DI307" i="4" s="1"/>
  <c r="DG308" i="4"/>
  <c r="DI308" i="4" s="1"/>
  <c r="DG309" i="4"/>
  <c r="DI309" i="4" s="1"/>
  <c r="DG310" i="4"/>
  <c r="DI310" i="4" s="1"/>
  <c r="DG311" i="4"/>
  <c r="DI311" i="4" s="1"/>
  <c r="DG312" i="4"/>
  <c r="DI312" i="4" s="1"/>
  <c r="DG313" i="4"/>
  <c r="DI313" i="4" s="1"/>
  <c r="DG314" i="4"/>
  <c r="DI314" i="4" s="1"/>
  <c r="DG315" i="4"/>
  <c r="DI315" i="4" s="1"/>
  <c r="DG316" i="4"/>
  <c r="DI316" i="4" s="1"/>
  <c r="BE41" i="4" l="1"/>
  <c r="BE42" i="4" s="1"/>
  <c r="BC42" i="4"/>
  <c r="J18" i="18" s="1"/>
  <c r="W27" i="4"/>
  <c r="AC27" i="4" s="1"/>
  <c r="W34" i="4"/>
  <c r="AO34" i="4" s="1"/>
  <c r="AP34" i="4" s="1"/>
  <c r="BC34" i="4"/>
  <c r="BE34" i="4" s="1"/>
  <c r="BC32" i="4"/>
  <c r="BE32" i="4" s="1"/>
  <c r="BC29" i="4"/>
  <c r="BE29" i="4" s="1"/>
  <c r="BC33" i="4"/>
  <c r="BE33" i="4" s="1"/>
  <c r="W26" i="4"/>
  <c r="AC26" i="4" s="1"/>
  <c r="W20" i="4"/>
  <c r="AC20" i="4" s="1"/>
  <c r="W18" i="4"/>
  <c r="W24" i="4"/>
  <c r="W25" i="4"/>
  <c r="AC25" i="4" s="1"/>
  <c r="W23" i="4"/>
  <c r="AC23" i="4" s="1"/>
  <c r="W32" i="4"/>
  <c r="AO32" i="4" s="1"/>
  <c r="AP32" i="4" s="1"/>
  <c r="W29" i="4"/>
  <c r="AO29" i="4" s="1"/>
  <c r="AP29" i="4" s="1"/>
  <c r="W33" i="4"/>
  <c r="AO33" i="4" s="1"/>
  <c r="AP33" i="4" s="1"/>
  <c r="W21" i="4"/>
  <c r="AC21" i="4" s="1"/>
  <c r="W19" i="4"/>
  <c r="AC19" i="4" s="1"/>
  <c r="W17" i="4"/>
  <c r="AC17" i="4" s="1"/>
  <c r="W41" i="4"/>
  <c r="AC41" i="4" s="1"/>
  <c r="AC42" i="4" s="1"/>
  <c r="AC34" i="4"/>
  <c r="AC32" i="4"/>
  <c r="AV35" i="4"/>
  <c r="I15" i="18" s="1"/>
  <c r="AJ29" i="4"/>
  <c r="BD26" i="4"/>
  <c r="BD25" i="4"/>
  <c r="BD24" i="4"/>
  <c r="BD23" i="4"/>
  <c r="BD21" i="4"/>
  <c r="BD20" i="4"/>
  <c r="BD19" i="4"/>
  <c r="AW18" i="4"/>
  <c r="AX18" i="4" s="1"/>
  <c r="AW17" i="4"/>
  <c r="AX17" i="4" s="1"/>
  <c r="AC33" i="4"/>
  <c r="AJ33" i="4"/>
  <c r="AA59" i="4"/>
  <c r="AJ34" i="4"/>
  <c r="AJ32" i="4"/>
  <c r="AC29" i="4"/>
  <c r="BD27" i="4"/>
  <c r="AW26" i="4"/>
  <c r="AX26" i="4" s="1"/>
  <c r="AW25" i="4"/>
  <c r="AX25" i="4" s="1"/>
  <c r="AC24" i="4"/>
  <c r="AW24" i="4"/>
  <c r="AX24" i="4" s="1"/>
  <c r="AW23" i="4"/>
  <c r="AX23" i="4" s="1"/>
  <c r="AW21" i="4"/>
  <c r="AX21" i="4" s="1"/>
  <c r="AW20" i="4"/>
  <c r="AX20" i="4" s="1"/>
  <c r="AW19" i="4"/>
  <c r="AX19" i="4" s="1"/>
  <c r="AC18" i="4"/>
  <c r="BD18" i="4"/>
  <c r="BD17" i="4"/>
  <c r="AW33" i="4"/>
  <c r="AX33" i="4" s="1"/>
  <c r="AV28" i="4"/>
  <c r="I14" i="18" s="1"/>
  <c r="AJ41" i="4"/>
  <c r="AJ42" i="4" s="1"/>
  <c r="AB28" i="4"/>
  <c r="F14" i="18" s="1"/>
  <c r="AB59" i="4" l="1"/>
  <c r="AC59" i="4"/>
  <c r="AF59" i="4" s="1"/>
  <c r="AA57" i="4"/>
  <c r="AA58" i="4"/>
  <c r="AA62" i="4"/>
  <c r="AA61" i="4"/>
  <c r="AA60" i="4"/>
  <c r="AA55" i="4"/>
  <c r="AQ33" i="4"/>
  <c r="AR33" i="4" s="1"/>
  <c r="BC35" i="4"/>
  <c r="J15" i="18" s="1"/>
  <c r="AW34" i="4"/>
  <c r="AX34" i="4" s="1"/>
  <c r="AQ34" i="4"/>
  <c r="AR34" i="4" s="1"/>
  <c r="AQ32" i="4"/>
  <c r="AR32" i="4" s="1"/>
  <c r="AQ29" i="4"/>
  <c r="AR29" i="4" s="1"/>
  <c r="AW29" i="4"/>
  <c r="AX29" i="4" s="1"/>
  <c r="AW32" i="4"/>
  <c r="AX32" i="4" s="1"/>
  <c r="AO41" i="4"/>
  <c r="BE19" i="4"/>
  <c r="BE20" i="4"/>
  <c r="BE21" i="4"/>
  <c r="BE23" i="4"/>
  <c r="BE24" i="4"/>
  <c r="BE25" i="4"/>
  <c r="BE26" i="4"/>
  <c r="AD32" i="4"/>
  <c r="AD34" i="4"/>
  <c r="AD20" i="4"/>
  <c r="AD23" i="4"/>
  <c r="AD25" i="4"/>
  <c r="AD17" i="4"/>
  <c r="AI42" i="4"/>
  <c r="G18" i="18" s="1"/>
  <c r="AB42" i="4"/>
  <c r="F18" i="18" s="1"/>
  <c r="AW28" i="4"/>
  <c r="AV36" i="4"/>
  <c r="BE17" i="4"/>
  <c r="BE18" i="4"/>
  <c r="AD18" i="4"/>
  <c r="AD19" i="4"/>
  <c r="AD21" i="4"/>
  <c r="AD24" i="4"/>
  <c r="AD26" i="4"/>
  <c r="BE27" i="4"/>
  <c r="AD27" i="4"/>
  <c r="AB35" i="4"/>
  <c r="F15" i="18" s="1"/>
  <c r="AD29" i="4"/>
  <c r="AK32" i="4"/>
  <c r="AK34" i="4"/>
  <c r="AK33" i="4"/>
  <c r="AD33" i="4"/>
  <c r="AP35" i="4"/>
  <c r="H15" i="18" s="1"/>
  <c r="AI35" i="4"/>
  <c r="G15" i="18" s="1"/>
  <c r="AK29" i="4"/>
  <c r="BC28" i="4"/>
  <c r="J14" i="18" s="1"/>
  <c r="AD41" i="4"/>
  <c r="AD42" i="4" s="1"/>
  <c r="AK41" i="4"/>
  <c r="AK42" i="4" s="1"/>
  <c r="BF33" i="4"/>
  <c r="BF29" i="4"/>
  <c r="BF32" i="4"/>
  <c r="BF34" i="4"/>
  <c r="AV38" i="4" l="1"/>
  <c r="I16" i="18" s="1"/>
  <c r="AB55" i="4"/>
  <c r="AC55" i="4"/>
  <c r="AF55" i="4" s="1"/>
  <c r="AC60" i="4"/>
  <c r="AF60" i="4" s="1"/>
  <c r="AB60" i="4"/>
  <c r="AC62" i="4"/>
  <c r="AF62" i="4" s="1"/>
  <c r="AB62" i="4"/>
  <c r="AC57" i="4"/>
  <c r="AF57" i="4" s="1"/>
  <c r="AB57" i="4"/>
  <c r="AB61" i="4"/>
  <c r="AC61" i="4"/>
  <c r="AF61" i="4" s="1"/>
  <c r="AC58" i="4"/>
  <c r="AF58" i="4" s="1"/>
  <c r="AB58" i="4"/>
  <c r="AD59" i="4"/>
  <c r="AE59" i="4"/>
  <c r="AG59" i="4" s="1"/>
  <c r="AW35" i="4"/>
  <c r="AX35" i="4" s="1"/>
  <c r="AW36" i="4" s="1"/>
  <c r="AX36" i="4" s="1"/>
  <c r="AQ41" i="4"/>
  <c r="AQ42" i="4" s="1"/>
  <c r="AP41" i="4"/>
  <c r="H17" i="18" s="1"/>
  <c r="AC35" i="4"/>
  <c r="AD35" i="4" s="1"/>
  <c r="AB36" i="4"/>
  <c r="BD28" i="4"/>
  <c r="BC36" i="4"/>
  <c r="AJ35" i="4"/>
  <c r="AK35" i="4" s="1"/>
  <c r="AQ35" i="4"/>
  <c r="AR35" i="4" s="1"/>
  <c r="AC28" i="4"/>
  <c r="BD35" i="4"/>
  <c r="BE35" i="4" s="1"/>
  <c r="BG32" i="4"/>
  <c r="BG29" i="4"/>
  <c r="BG34" i="4"/>
  <c r="BH34" i="4" s="1"/>
  <c r="BG33" i="4"/>
  <c r="BH33" i="4" s="1"/>
  <c r="BC38" i="4" l="1"/>
  <c r="J16" i="18" s="1"/>
  <c r="AB38" i="4"/>
  <c r="F16" i="18" s="1"/>
  <c r="AV44" i="4"/>
  <c r="I19" i="18" s="1"/>
  <c r="I69" i="18" s="1"/>
  <c r="AD61" i="4"/>
  <c r="AE61" i="4"/>
  <c r="AG61" i="4" s="1"/>
  <c r="AE57" i="4"/>
  <c r="AG57" i="4" s="1"/>
  <c r="AD57" i="4"/>
  <c r="AE62" i="4"/>
  <c r="AG62" i="4" s="1"/>
  <c r="AD62" i="4"/>
  <c r="AE60" i="4"/>
  <c r="AG60" i="4" s="1"/>
  <c r="AD60" i="4"/>
  <c r="AE58" i="4"/>
  <c r="AG58" i="4" s="1"/>
  <c r="AD58" i="4"/>
  <c r="AD55" i="4"/>
  <c r="AB63" i="4"/>
  <c r="AE55" i="4"/>
  <c r="AG55" i="4" s="1"/>
  <c r="BF41" i="4"/>
  <c r="K17" i="18" s="1"/>
  <c r="AP42" i="4"/>
  <c r="H18" i="18" s="1"/>
  <c r="AR41" i="4"/>
  <c r="AR42" i="4" s="1"/>
  <c r="AC36" i="4"/>
  <c r="AD36" i="4" s="1"/>
  <c r="BD36" i="4"/>
  <c r="BE36" i="4" s="1"/>
  <c r="BC44" i="4" l="1"/>
  <c r="J19" i="18" s="1"/>
  <c r="J69" i="18" s="1"/>
  <c r="J78" i="18" s="1"/>
  <c r="I78" i="18"/>
  <c r="B39" i="20"/>
  <c r="AB44" i="4"/>
  <c r="F19" i="18" s="1"/>
  <c r="AC63" i="4"/>
  <c r="AD63" i="4" s="1"/>
  <c r="AE63" i="4"/>
  <c r="BG41" i="4"/>
  <c r="M17" i="18" s="1"/>
  <c r="N17" i="18" s="1"/>
  <c r="B40" i="20" l="1"/>
  <c r="AF63" i="4"/>
  <c r="AF65" i="4" s="1"/>
  <c r="F85" i="18" s="1"/>
  <c r="AE65" i="4"/>
  <c r="AC65" i="4"/>
  <c r="AD65" i="4" s="1"/>
  <c r="E85" i="18" l="1"/>
  <c r="E91" i="18" s="1"/>
  <c r="B51" i="20"/>
  <c r="AG63" i="4"/>
  <c r="CI144" i="4"/>
  <c r="CI141" i="4"/>
  <c r="CI140" i="4"/>
  <c r="CI139" i="4"/>
  <c r="CI138" i="4"/>
  <c r="CI137" i="4"/>
  <c r="CI129" i="4"/>
  <c r="CI136" i="4"/>
  <c r="CI135" i="4"/>
  <c r="CI134" i="4"/>
  <c r="CI133" i="4"/>
  <c r="CI132" i="4"/>
  <c r="CI131" i="4"/>
  <c r="CI130" i="4"/>
  <c r="CI128" i="4"/>
  <c r="CI127" i="4"/>
  <c r="CC144" i="4"/>
  <c r="CC141" i="4"/>
  <c r="CC140" i="4"/>
  <c r="CC139" i="4"/>
  <c r="CC138" i="4"/>
  <c r="CC137" i="4"/>
  <c r="CC129" i="4"/>
  <c r="CC136" i="4"/>
  <c r="CC135" i="4"/>
  <c r="CC134" i="4"/>
  <c r="CC133" i="4"/>
  <c r="CC132" i="4"/>
  <c r="CC131" i="4"/>
  <c r="CC130" i="4"/>
  <c r="CC128" i="4"/>
  <c r="CC127" i="4"/>
  <c r="BW144" i="4"/>
  <c r="BW141" i="4"/>
  <c r="BW140" i="4"/>
  <c r="BW139" i="4"/>
  <c r="BW138" i="4"/>
  <c r="BW137" i="4"/>
  <c r="BW129" i="4"/>
  <c r="BW136" i="4"/>
  <c r="BW135" i="4"/>
  <c r="BW134" i="4"/>
  <c r="BW133" i="4"/>
  <c r="BW132" i="4"/>
  <c r="BW131" i="4"/>
  <c r="BW130" i="4"/>
  <c r="BW128" i="4"/>
  <c r="BW127" i="4"/>
  <c r="BQ144" i="4"/>
  <c r="BQ141" i="4"/>
  <c r="BQ140" i="4"/>
  <c r="BQ139" i="4"/>
  <c r="BQ138" i="4"/>
  <c r="BQ137" i="4"/>
  <c r="BQ129" i="4"/>
  <c r="BQ136" i="4"/>
  <c r="BQ135" i="4"/>
  <c r="BQ134" i="4"/>
  <c r="BQ133" i="4"/>
  <c r="BQ132" i="4"/>
  <c r="BQ131" i="4"/>
  <c r="BQ130" i="4"/>
  <c r="BQ128" i="4"/>
  <c r="BQ127" i="4"/>
  <c r="CI122" i="4"/>
  <c r="CI110" i="4"/>
  <c r="CI120" i="4"/>
  <c r="CI111" i="4"/>
  <c r="CI119" i="4"/>
  <c r="CI118" i="4"/>
  <c r="CI117" i="4"/>
  <c r="CI121" i="4"/>
  <c r="CI116" i="4"/>
  <c r="CI115" i="4"/>
  <c r="CI114" i="4"/>
  <c r="CI113" i="4"/>
  <c r="CI112" i="4"/>
  <c r="CC122" i="4"/>
  <c r="CC110" i="4"/>
  <c r="CC120" i="4"/>
  <c r="CC111" i="4"/>
  <c r="CC119" i="4"/>
  <c r="CC118" i="4"/>
  <c r="CC117" i="4"/>
  <c r="CC121" i="4"/>
  <c r="CC116" i="4"/>
  <c r="CC115" i="4"/>
  <c r="CC114" i="4"/>
  <c r="CC113" i="4"/>
  <c r="CC112" i="4"/>
  <c r="BW122" i="4"/>
  <c r="BW110" i="4"/>
  <c r="BW120" i="4"/>
  <c r="BW111" i="4"/>
  <c r="AL22" i="4" s="1"/>
  <c r="AO22" i="4" s="1"/>
  <c r="BW119" i="4"/>
  <c r="BW118" i="4"/>
  <c r="BW117" i="4"/>
  <c r="BW121" i="4"/>
  <c r="BW116" i="4"/>
  <c r="BW115" i="4"/>
  <c r="BW114" i="4"/>
  <c r="BW113" i="4"/>
  <c r="BW112" i="4"/>
  <c r="BQ122" i="4"/>
  <c r="BQ110" i="4"/>
  <c r="BQ120" i="4"/>
  <c r="BQ111" i="4"/>
  <c r="AE22" i="4" s="1"/>
  <c r="AH22" i="4" s="1"/>
  <c r="BQ119" i="4"/>
  <c r="BQ118" i="4"/>
  <c r="BQ117" i="4"/>
  <c r="BQ121" i="4"/>
  <c r="BQ116" i="4"/>
  <c r="BQ114" i="4"/>
  <c r="BQ113" i="4"/>
  <c r="BQ112" i="4"/>
  <c r="CI105" i="4"/>
  <c r="CI104" i="4"/>
  <c r="CI103" i="4"/>
  <c r="CI102" i="4"/>
  <c r="CI101" i="4"/>
  <c r="CI100" i="4"/>
  <c r="CI99" i="4"/>
  <c r="CI98" i="4"/>
  <c r="CI97" i="4"/>
  <c r="CI96" i="4"/>
  <c r="CI95" i="4"/>
  <c r="CI94" i="4"/>
  <c r="CI93" i="4"/>
  <c r="CI92" i="4"/>
  <c r="CI91" i="4"/>
  <c r="CI90" i="4"/>
  <c r="CI89" i="4"/>
  <c r="CI88" i="4"/>
  <c r="CI87" i="4"/>
  <c r="CI86" i="4"/>
  <c r="CI85" i="4"/>
  <c r="CI84" i="4"/>
  <c r="CI83" i="4"/>
  <c r="CI82" i="4"/>
  <c r="CI81" i="4"/>
  <c r="CC105" i="4"/>
  <c r="CC104" i="4"/>
  <c r="CC103" i="4"/>
  <c r="CC102" i="4"/>
  <c r="CC101" i="4"/>
  <c r="CC100" i="4"/>
  <c r="CC99" i="4"/>
  <c r="CC98" i="4"/>
  <c r="CC97" i="4"/>
  <c r="CC96" i="4"/>
  <c r="CC95" i="4"/>
  <c r="CC94" i="4"/>
  <c r="CC93" i="4"/>
  <c r="CC92" i="4"/>
  <c r="CC91" i="4"/>
  <c r="CC90" i="4"/>
  <c r="CC89" i="4"/>
  <c r="CC88" i="4"/>
  <c r="CC87" i="4"/>
  <c r="CC86" i="4"/>
  <c r="CC85" i="4"/>
  <c r="CC84" i="4"/>
  <c r="CC83" i="4"/>
  <c r="CC82" i="4"/>
  <c r="CC81" i="4"/>
  <c r="BW105" i="4"/>
  <c r="BW104" i="4"/>
  <c r="BW103" i="4"/>
  <c r="BW102" i="4"/>
  <c r="BW101" i="4"/>
  <c r="BW100" i="4"/>
  <c r="BW99" i="4"/>
  <c r="BW98" i="4"/>
  <c r="BW97" i="4"/>
  <c r="BW96" i="4"/>
  <c r="BW95" i="4"/>
  <c r="BW94" i="4"/>
  <c r="BW93" i="4"/>
  <c r="BW92" i="4"/>
  <c r="BW91" i="4"/>
  <c r="BW90" i="4"/>
  <c r="BW89" i="4"/>
  <c r="BW88" i="4"/>
  <c r="BW87" i="4"/>
  <c r="BW86" i="4"/>
  <c r="BW85" i="4"/>
  <c r="BW84" i="4"/>
  <c r="BW83" i="4"/>
  <c r="BW82" i="4"/>
  <c r="BW81" i="4"/>
  <c r="BQ105" i="4"/>
  <c r="BQ104" i="4"/>
  <c r="BQ103" i="4"/>
  <c r="BQ102" i="4"/>
  <c r="BQ101" i="4"/>
  <c r="BQ100" i="4"/>
  <c r="BQ99" i="4"/>
  <c r="BQ98" i="4"/>
  <c r="BQ97" i="4"/>
  <c r="BQ96" i="4"/>
  <c r="BQ95" i="4"/>
  <c r="BQ94" i="4"/>
  <c r="BQ93" i="4"/>
  <c r="BQ92" i="4"/>
  <c r="BQ91" i="4"/>
  <c r="BQ90" i="4"/>
  <c r="BQ89" i="4"/>
  <c r="BQ88" i="4"/>
  <c r="BQ87" i="4"/>
  <c r="BQ86" i="4"/>
  <c r="BQ85" i="4"/>
  <c r="BQ84" i="4"/>
  <c r="BQ83" i="4"/>
  <c r="BQ82" i="4"/>
  <c r="BQ81" i="4"/>
  <c r="H85" i="18" l="1"/>
  <c r="F91" i="18" s="1"/>
  <c r="AG65" i="4"/>
  <c r="AI22" i="4"/>
  <c r="AJ22" i="4"/>
  <c r="AP22" i="4"/>
  <c r="AQ22" i="4"/>
  <c r="AE17" i="4"/>
  <c r="AH17" i="4" s="1"/>
  <c r="AI17" i="4" s="1"/>
  <c r="AE19" i="4"/>
  <c r="AH19" i="4" s="1"/>
  <c r="AI19" i="4" s="1"/>
  <c r="AL20" i="4"/>
  <c r="AO20" i="4" s="1"/>
  <c r="AP20" i="4" s="1"/>
  <c r="AL18" i="4"/>
  <c r="AO18" i="4" s="1"/>
  <c r="AP18" i="4" s="1"/>
  <c r="AE21" i="4"/>
  <c r="AH21" i="4" s="1"/>
  <c r="AI21" i="4" s="1"/>
  <c r="AE24" i="4"/>
  <c r="AH24" i="4" s="1"/>
  <c r="AI24" i="4" s="1"/>
  <c r="AL23" i="4"/>
  <c r="AO23" i="4" s="1"/>
  <c r="AP23" i="4" s="1"/>
  <c r="AE26" i="4"/>
  <c r="AH26" i="4" s="1"/>
  <c r="AI26" i="4" s="1"/>
  <c r="AE27" i="4"/>
  <c r="AH27" i="4" s="1"/>
  <c r="AI27" i="4" s="1"/>
  <c r="AL26" i="4"/>
  <c r="AO26" i="4" s="1"/>
  <c r="AP26" i="4" s="1"/>
  <c r="AL27" i="4"/>
  <c r="AO27" i="4" s="1"/>
  <c r="AP27" i="4" s="1"/>
  <c r="AE20" i="4"/>
  <c r="AH20" i="4" s="1"/>
  <c r="AI20" i="4" s="1"/>
  <c r="AE18" i="4"/>
  <c r="AH18" i="4" s="1"/>
  <c r="AI18" i="4" s="1"/>
  <c r="AL17" i="4"/>
  <c r="AO17" i="4" s="1"/>
  <c r="AP17" i="4" s="1"/>
  <c r="AL19" i="4"/>
  <c r="AO19" i="4" s="1"/>
  <c r="AP19" i="4" s="1"/>
  <c r="AE23" i="4"/>
  <c r="AH23" i="4" s="1"/>
  <c r="AI23" i="4" s="1"/>
  <c r="AL21" i="4"/>
  <c r="AO21" i="4" s="1"/>
  <c r="AP21" i="4" s="1"/>
  <c r="AL24" i="4"/>
  <c r="AO24" i="4" s="1"/>
  <c r="AP24" i="4" s="1"/>
  <c r="AE25" i="4"/>
  <c r="AH25" i="4" s="1"/>
  <c r="AI25" i="4" s="1"/>
  <c r="AL25" i="4"/>
  <c r="AO25" i="4" s="1"/>
  <c r="AP25" i="4" s="1"/>
  <c r="AR22" i="4" l="1"/>
  <c r="BF22" i="4"/>
  <c r="AK22" i="4"/>
  <c r="AQ25" i="4"/>
  <c r="AJ25" i="4"/>
  <c r="AQ24" i="4"/>
  <c r="AQ21" i="4"/>
  <c r="AJ23" i="4"/>
  <c r="AQ19" i="4"/>
  <c r="AQ17" i="4"/>
  <c r="AJ18" i="4"/>
  <c r="AJ20" i="4"/>
  <c r="AQ27" i="4"/>
  <c r="AQ26" i="4"/>
  <c r="AJ27" i="4"/>
  <c r="AJ26" i="4"/>
  <c r="BF26" i="4"/>
  <c r="AQ23" i="4"/>
  <c r="AJ24" i="4"/>
  <c r="AJ21" i="4"/>
  <c r="AQ18" i="4"/>
  <c r="AQ20" i="4"/>
  <c r="AJ19" i="4"/>
  <c r="AJ17" i="4"/>
  <c r="BF21" i="4"/>
  <c r="BF24" i="4"/>
  <c r="BF18" i="4"/>
  <c r="BF17" i="4"/>
  <c r="BF27" i="4"/>
  <c r="AP28" i="4"/>
  <c r="BF19" i="4"/>
  <c r="AP36" i="4" l="1"/>
  <c r="AQ36" i="4" s="1"/>
  <c r="AR36" i="4" s="1"/>
  <c r="H14" i="18"/>
  <c r="BG22" i="4"/>
  <c r="BH22" i="4" s="1"/>
  <c r="BF20" i="4"/>
  <c r="BF25" i="4"/>
  <c r="AK17" i="4"/>
  <c r="AR21" i="4"/>
  <c r="AR24" i="4"/>
  <c r="AR17" i="4"/>
  <c r="AR19" i="4"/>
  <c r="AK19" i="4"/>
  <c r="AR20" i="4"/>
  <c r="AR18" i="4"/>
  <c r="AK21" i="4"/>
  <c r="AK24" i="4"/>
  <c r="BG24" i="4" s="1"/>
  <c r="AR23" i="4"/>
  <c r="AK26" i="4"/>
  <c r="AK27" i="4"/>
  <c r="AR26" i="4"/>
  <c r="AR27" i="4"/>
  <c r="AK20" i="4"/>
  <c r="AK18" i="4"/>
  <c r="AK23" i="4"/>
  <c r="AK25" i="4"/>
  <c r="AR25" i="4"/>
  <c r="AI28" i="4"/>
  <c r="BF23" i="4"/>
  <c r="BG21" i="4" l="1"/>
  <c r="AI36" i="4"/>
  <c r="G14" i="18"/>
  <c r="AP38" i="4"/>
  <c r="H16" i="18" s="1"/>
  <c r="AQ28" i="4"/>
  <c r="BG25" i="4"/>
  <c r="BG26" i="4"/>
  <c r="BH26" i="4" s="1"/>
  <c r="BG19" i="4"/>
  <c r="BG17" i="4"/>
  <c r="BG18" i="4"/>
  <c r="BH18" i="4" s="1"/>
  <c r="BG27" i="4"/>
  <c r="BG23" i="4"/>
  <c r="BH23" i="4" s="1"/>
  <c r="BG20" i="4"/>
  <c r="AJ28" i="4"/>
  <c r="AP44" i="4" l="1"/>
  <c r="H19" i="18" s="1"/>
  <c r="H69" i="18" s="1"/>
  <c r="H78" i="18" s="1"/>
  <c r="AI38" i="4"/>
  <c r="G16" i="18" s="1"/>
  <c r="AJ36" i="4"/>
  <c r="AK36" i="4" s="1"/>
  <c r="BH32" i="4"/>
  <c r="B38" i="20" l="1"/>
  <c r="AI44" i="4"/>
  <c r="G19" i="18" s="1"/>
  <c r="G69" i="18" s="1"/>
  <c r="G78" i="18" s="1"/>
  <c r="G7" i="6"/>
  <c r="I7" i="6" s="1"/>
  <c r="J7" i="6" s="1"/>
  <c r="G8" i="6"/>
  <c r="I8" i="6" s="1"/>
  <c r="K8" i="6" s="1"/>
  <c r="G9" i="6"/>
  <c r="I9" i="6" s="1"/>
  <c r="J9" i="6" s="1"/>
  <c r="G10" i="6"/>
  <c r="I10" i="6" s="1"/>
  <c r="K10" i="6" s="1"/>
  <c r="G11" i="6"/>
  <c r="I11" i="6" s="1"/>
  <c r="G12" i="6"/>
  <c r="I12" i="6" s="1"/>
  <c r="G13" i="6"/>
  <c r="I13" i="6" s="1"/>
  <c r="G14" i="6"/>
  <c r="I14" i="6" s="1"/>
  <c r="G15" i="6"/>
  <c r="I15" i="6" s="1"/>
  <c r="J15" i="6" s="1"/>
  <c r="G16" i="6"/>
  <c r="I16" i="6" s="1"/>
  <c r="K16" i="6" s="1"/>
  <c r="G17" i="6"/>
  <c r="I17" i="6" s="1"/>
  <c r="K17" i="6" s="1"/>
  <c r="G18" i="6"/>
  <c r="I18" i="6" s="1"/>
  <c r="K18" i="6" s="1"/>
  <c r="G19" i="6"/>
  <c r="I19" i="6" s="1"/>
  <c r="G20" i="6"/>
  <c r="I20" i="6" s="1"/>
  <c r="G21" i="6"/>
  <c r="I21" i="6" s="1"/>
  <c r="G22" i="6"/>
  <c r="I22" i="6" s="1"/>
  <c r="K22" i="6" s="1"/>
  <c r="G23" i="6"/>
  <c r="I23" i="6" s="1"/>
  <c r="J23" i="6" s="1"/>
  <c r="G24" i="6"/>
  <c r="I24" i="6" s="1"/>
  <c r="K24" i="6" s="1"/>
  <c r="G25" i="6"/>
  <c r="I25" i="6" s="1"/>
  <c r="J25" i="6" s="1"/>
  <c r="G26" i="6"/>
  <c r="I26" i="6" s="1"/>
  <c r="J26" i="6" s="1"/>
  <c r="G27" i="6"/>
  <c r="I27" i="6" s="1"/>
  <c r="G28" i="6"/>
  <c r="I28" i="6" s="1"/>
  <c r="G29" i="6"/>
  <c r="I29" i="6" s="1"/>
  <c r="G30" i="6"/>
  <c r="I30" i="6" s="1"/>
  <c r="G31" i="6"/>
  <c r="I31" i="6" s="1"/>
  <c r="J31" i="6" s="1"/>
  <c r="G32" i="6"/>
  <c r="I32" i="6" s="1"/>
  <c r="J32" i="6" s="1"/>
  <c r="G33" i="6"/>
  <c r="I33" i="6" s="1"/>
  <c r="K33" i="6" s="1"/>
  <c r="G34" i="6"/>
  <c r="I34" i="6" s="1"/>
  <c r="J34" i="6" s="1"/>
  <c r="G35" i="6"/>
  <c r="I35" i="6" s="1"/>
  <c r="G6" i="6"/>
  <c r="I6" i="6" s="1"/>
  <c r="C7" i="6"/>
  <c r="D7" i="6"/>
  <c r="C8" i="6"/>
  <c r="D8" i="6"/>
  <c r="C9" i="6"/>
  <c r="D9" i="6"/>
  <c r="C10" i="6"/>
  <c r="D10" i="6"/>
  <c r="C11" i="6"/>
  <c r="D11" i="6"/>
  <c r="C12" i="6"/>
  <c r="D12" i="6"/>
  <c r="C13" i="6"/>
  <c r="D13" i="6"/>
  <c r="C14" i="6"/>
  <c r="D14" i="6"/>
  <c r="C15" i="6"/>
  <c r="D15" i="6"/>
  <c r="C16" i="6"/>
  <c r="D16" i="6"/>
  <c r="C17" i="6"/>
  <c r="D17" i="6"/>
  <c r="C18" i="6"/>
  <c r="D18" i="6"/>
  <c r="C19" i="6"/>
  <c r="D19" i="6"/>
  <c r="C20" i="6"/>
  <c r="D20" i="6"/>
  <c r="C21" i="6"/>
  <c r="D21" i="6"/>
  <c r="C22" i="6"/>
  <c r="D22" i="6"/>
  <c r="C23" i="6"/>
  <c r="D23" i="6"/>
  <c r="C24" i="6"/>
  <c r="D24" i="6"/>
  <c r="C25" i="6"/>
  <c r="D25" i="6"/>
  <c r="C26" i="6"/>
  <c r="D26" i="6"/>
  <c r="C27" i="6"/>
  <c r="D27" i="6"/>
  <c r="C28" i="6"/>
  <c r="D28" i="6"/>
  <c r="C29" i="6"/>
  <c r="D29" i="6"/>
  <c r="C30" i="6"/>
  <c r="D30" i="6"/>
  <c r="C31" i="6"/>
  <c r="D31" i="6"/>
  <c r="C32" i="6"/>
  <c r="D32" i="6"/>
  <c r="C33" i="6"/>
  <c r="D33" i="6"/>
  <c r="C34" i="6"/>
  <c r="D34" i="6"/>
  <c r="C35" i="6"/>
  <c r="D35" i="6"/>
  <c r="D6" i="6"/>
  <c r="C6" i="6"/>
  <c r="M24" i="6" l="1"/>
  <c r="M8" i="6"/>
  <c r="L26" i="6"/>
  <c r="L31" i="6"/>
  <c r="L23" i="6"/>
  <c r="L15" i="6"/>
  <c r="L7" i="6"/>
  <c r="L32" i="6"/>
  <c r="M16" i="6"/>
  <c r="B37" i="20"/>
  <c r="K30" i="6"/>
  <c r="M30" i="6" s="1"/>
  <c r="J30" i="6"/>
  <c r="K14" i="6"/>
  <c r="J14" i="6"/>
  <c r="L14" i="6" s="1"/>
  <c r="L30" i="6"/>
  <c r="L25" i="6"/>
  <c r="L9" i="6"/>
  <c r="M22" i="6"/>
  <c r="M18" i="6"/>
  <c r="M14" i="6"/>
  <c r="M10" i="6"/>
  <c r="J22" i="6"/>
  <c r="L22" i="6" s="1"/>
  <c r="L34" i="6"/>
  <c r="K29" i="6"/>
  <c r="M29" i="6" s="1"/>
  <c r="J29" i="6"/>
  <c r="L29" i="6" s="1"/>
  <c r="J13" i="6"/>
  <c r="L13" i="6" s="1"/>
  <c r="K13" i="6"/>
  <c r="J6" i="6"/>
  <c r="L6" i="6" s="1"/>
  <c r="K6" i="6"/>
  <c r="M6" i="6" s="1"/>
  <c r="J20" i="6"/>
  <c r="L20" i="6" s="1"/>
  <c r="K20" i="6"/>
  <c r="M20" i="6" s="1"/>
  <c r="K12" i="6"/>
  <c r="M12" i="6" s="1"/>
  <c r="J12" i="6"/>
  <c r="L12" i="6" s="1"/>
  <c r="J35" i="6"/>
  <c r="L35" i="6" s="1"/>
  <c r="K35" i="6"/>
  <c r="M35" i="6" s="1"/>
  <c r="J27" i="6"/>
  <c r="L27" i="6" s="1"/>
  <c r="K27" i="6"/>
  <c r="M27" i="6" s="1"/>
  <c r="J19" i="6"/>
  <c r="L19" i="6" s="1"/>
  <c r="K19" i="6"/>
  <c r="M19" i="6" s="1"/>
  <c r="M33" i="6"/>
  <c r="M17" i="6"/>
  <c r="M13" i="6"/>
  <c r="J21" i="6"/>
  <c r="L21" i="6" s="1"/>
  <c r="K21" i="6"/>
  <c r="M21" i="6" s="1"/>
  <c r="K28" i="6"/>
  <c r="M28" i="6" s="1"/>
  <c r="J28" i="6"/>
  <c r="L28" i="6" s="1"/>
  <c r="J11" i="6"/>
  <c r="L11" i="6" s="1"/>
  <c r="K11" i="6"/>
  <c r="M11" i="6" s="1"/>
  <c r="K26" i="6"/>
  <c r="M26" i="6" s="1"/>
  <c r="J18" i="6"/>
  <c r="L18" i="6" s="1"/>
  <c r="K25" i="6"/>
  <c r="M25" i="6" s="1"/>
  <c r="J17" i="6"/>
  <c r="L17" i="6" s="1"/>
  <c r="K32" i="6"/>
  <c r="M32" i="6" s="1"/>
  <c r="J24" i="6"/>
  <c r="L24" i="6" s="1"/>
  <c r="J16" i="6"/>
  <c r="L16" i="6" s="1"/>
  <c r="J8" i="6"/>
  <c r="L8" i="6" s="1"/>
  <c r="K34" i="6"/>
  <c r="M34" i="6" s="1"/>
  <c r="J10" i="6"/>
  <c r="L10" i="6" s="1"/>
  <c r="K9" i="6"/>
  <c r="M9" i="6" s="1"/>
  <c r="J33" i="6"/>
  <c r="L33" i="6" s="1"/>
  <c r="K31" i="6"/>
  <c r="M31" i="6" s="1"/>
  <c r="K23" i="6"/>
  <c r="M23" i="6" s="1"/>
  <c r="K15" i="6"/>
  <c r="M15" i="6" s="1"/>
  <c r="K7" i="6"/>
  <c r="M7" i="6" s="1"/>
  <c r="BH29" i="4" l="1"/>
  <c r="BH20" i="4" l="1"/>
  <c r="BH24" i="4"/>
  <c r="BF42" i="4"/>
  <c r="C82" i="20" s="1"/>
  <c r="BF35" i="4"/>
  <c r="BF28" i="4"/>
  <c r="K18" i="18" l="1"/>
  <c r="B22" i="20" s="1"/>
  <c r="C100" i="20"/>
  <c r="K15" i="18"/>
  <c r="B65" i="20"/>
  <c r="C98" i="20" s="1"/>
  <c r="K14" i="18"/>
  <c r="B64" i="20"/>
  <c r="C79" i="20"/>
  <c r="BH41" i="4"/>
  <c r="BG42" i="4" s="1"/>
  <c r="BH27" i="4"/>
  <c r="BH25" i="4"/>
  <c r="BH17" i="4"/>
  <c r="BH21" i="4"/>
  <c r="BH19" i="4"/>
  <c r="BG35" i="4"/>
  <c r="BF36" i="4"/>
  <c r="C95" i="20" l="1"/>
  <c r="C85" i="20"/>
  <c r="BF38" i="4"/>
  <c r="K16" i="18" s="1"/>
  <c r="BH35" i="4"/>
  <c r="M16" i="18"/>
  <c r="M15" i="18"/>
  <c r="N15" i="18" s="1"/>
  <c r="BH42" i="4"/>
  <c r="M18" i="18"/>
  <c r="N18" i="18" s="1"/>
  <c r="BG28" i="4"/>
  <c r="AW38" i="4"/>
  <c r="AX38" i="4" s="1"/>
  <c r="AJ38" i="4"/>
  <c r="AK38" i="4" s="1"/>
  <c r="D84" i="20" l="1"/>
  <c r="D82" i="20"/>
  <c r="D80" i="20"/>
  <c r="D85" i="20"/>
  <c r="D83" i="20"/>
  <c r="D79" i="20"/>
  <c r="D87" i="20"/>
  <c r="D81" i="20"/>
  <c r="BF44" i="4"/>
  <c r="BH28" i="4"/>
  <c r="BG36" i="4" s="1"/>
  <c r="M14" i="18"/>
  <c r="N14" i="18" s="1"/>
  <c r="N16" i="18"/>
  <c r="AJ44" i="4"/>
  <c r="AK44" i="4" s="1"/>
  <c r="AW44" i="4"/>
  <c r="AX44" i="4" s="1"/>
  <c r="AQ38" i="4"/>
  <c r="AR38" i="4" s="1"/>
  <c r="AC38" i="4"/>
  <c r="AD38" i="4" s="1"/>
  <c r="BD38" i="4"/>
  <c r="BE38" i="4" s="1"/>
  <c r="K19" i="18" l="1"/>
  <c r="B5" i="20" s="1"/>
  <c r="BH36" i="4"/>
  <c r="BG38" i="4"/>
  <c r="BD44" i="4"/>
  <c r="BE44" i="4" s="1"/>
  <c r="AC44" i="4"/>
  <c r="AD44" i="4" s="1"/>
  <c r="AQ44" i="4"/>
  <c r="AR44" i="4" s="1"/>
  <c r="BH38" i="4" l="1"/>
  <c r="BG44" i="4" l="1"/>
  <c r="M19" i="18" s="1"/>
  <c r="N19" i="18" s="1"/>
  <c r="BH44" i="4" l="1"/>
  <c r="N26" i="16"/>
  <c r="L31" i="16"/>
  <c r="F62" i="18" s="1"/>
  <c r="K62" i="18" s="1"/>
  <c r="L72" i="16" l="1"/>
  <c r="M31" i="16"/>
  <c r="F67" i="18" l="1"/>
  <c r="K67" i="18" s="1"/>
  <c r="B21" i="20" s="1"/>
  <c r="B66" i="20"/>
  <c r="F68" i="18"/>
  <c r="F69" i="18" s="1"/>
  <c r="N31" i="16"/>
  <c r="M62" i="18"/>
  <c r="N62" i="18" s="1"/>
  <c r="M72" i="16"/>
  <c r="B24" i="20" l="1"/>
  <c r="C99" i="20"/>
  <c r="B68" i="20"/>
  <c r="F78" i="18"/>
  <c r="B36" i="20"/>
  <c r="K68" i="18"/>
  <c r="B11" i="20" s="1"/>
  <c r="N72" i="16"/>
  <c r="M67" i="18"/>
  <c r="M68" i="18" s="1"/>
  <c r="C67" i="20" l="1"/>
  <c r="C65" i="20"/>
  <c r="C68" i="20"/>
  <c r="C64" i="20"/>
  <c r="C103" i="20"/>
  <c r="D99" i="20" s="1"/>
  <c r="C66" i="20"/>
  <c r="B27" i="20"/>
  <c r="C27" i="20" s="1"/>
  <c r="C24" i="20"/>
  <c r="C25" i="20"/>
  <c r="C26" i="20"/>
  <c r="C23" i="20"/>
  <c r="C22" i="20"/>
  <c r="B42" i="20"/>
  <c r="C21" i="20"/>
  <c r="B12" i="20"/>
  <c r="N67" i="18"/>
  <c r="N68" i="18"/>
  <c r="K69" i="18"/>
  <c r="D102" i="20" l="1"/>
  <c r="D100" i="20"/>
  <c r="D98" i="20"/>
  <c r="D96" i="20"/>
  <c r="D103" i="20"/>
  <c r="D101" i="20"/>
  <c r="D97" i="20"/>
  <c r="D95" i="20"/>
  <c r="C41" i="20"/>
  <c r="C42" i="20"/>
  <c r="C43" i="20"/>
  <c r="C44" i="20"/>
  <c r="C39" i="20"/>
  <c r="C40" i="20"/>
  <c r="C38" i="20"/>
  <c r="C37" i="20"/>
  <c r="B45" i="20"/>
  <c r="C45" i="20" s="1"/>
  <c r="C36" i="20"/>
  <c r="C11" i="20"/>
  <c r="C12" i="20"/>
  <c r="C13" i="20"/>
  <c r="C14" i="20"/>
  <c r="C5" i="20"/>
  <c r="C6" i="20"/>
  <c r="B15" i="20"/>
  <c r="C15" i="20" s="1"/>
  <c r="C7" i="20"/>
  <c r="C9" i="20"/>
  <c r="C10" i="20"/>
  <c r="C8" i="20"/>
  <c r="C86" i="20"/>
  <c r="L68" i="18"/>
  <c r="B57" i="20"/>
  <c r="K78" i="18"/>
  <c r="L30" i="18"/>
  <c r="L17" i="18"/>
  <c r="L24" i="18"/>
  <c r="L42" i="18"/>
  <c r="L39" i="18"/>
  <c r="L29" i="18"/>
  <c r="L23" i="18"/>
  <c r="L32" i="18"/>
  <c r="L16" i="18"/>
  <c r="L22" i="18"/>
  <c r="L40" i="18"/>
  <c r="L28" i="18"/>
  <c r="L41" i="18"/>
  <c r="L64" i="18"/>
  <c r="L21" i="18"/>
  <c r="L61" i="18"/>
  <c r="L55" i="18"/>
  <c r="L56" i="18"/>
  <c r="L46" i="18"/>
  <c r="L50" i="18"/>
  <c r="L47" i="18"/>
  <c r="L53" i="18"/>
  <c r="M69" i="18"/>
  <c r="N69" i="18" s="1"/>
  <c r="L26" i="18"/>
  <c r="L15" i="18"/>
  <c r="L19" i="18"/>
  <c r="L38" i="18"/>
  <c r="L34" i="18"/>
  <c r="L57" i="18"/>
  <c r="L66" i="18"/>
  <c r="L33" i="18"/>
  <c r="L63" i="18"/>
  <c r="L14" i="18"/>
  <c r="L18" i="18"/>
  <c r="L36" i="18"/>
  <c r="L58" i="18"/>
  <c r="L37" i="18"/>
  <c r="L59" i="18"/>
  <c r="L31" i="18"/>
  <c r="L25" i="18"/>
  <c r="L65" i="18"/>
  <c r="L44" i="18"/>
  <c r="L45" i="18"/>
  <c r="L51" i="18"/>
  <c r="L49" i="18"/>
  <c r="L48" i="18"/>
  <c r="L52" i="18"/>
  <c r="L62" i="18"/>
  <c r="L67" i="18"/>
  <c r="C57" i="20" l="1"/>
  <c r="C55" i="20"/>
  <c r="C53" i="20"/>
  <c r="C51" i="20"/>
  <c r="C54" i="20"/>
  <c r="C52" i="20"/>
  <c r="C56" i="20"/>
  <c r="C88" i="20"/>
  <c r="D88" i="20" s="1"/>
  <c r="D86" i="20"/>
  <c r="L69" i="18"/>
  <c r="M78" i="18"/>
  <c r="N78" i="18" s="1"/>
</calcChain>
</file>

<file path=xl/comments1.xml><?xml version="1.0" encoding="utf-8"?>
<comments xmlns="http://schemas.openxmlformats.org/spreadsheetml/2006/main">
  <authors>
    <author>80123558</author>
    <author>WERD</author>
    <author>oficina</author>
  </authors>
  <commentList>
    <comment ref="C15" authorId="0" shapeId="0">
      <text>
        <r>
          <rPr>
            <b/>
            <sz val="9"/>
            <color indexed="81"/>
            <rFont val="Tahoma"/>
            <family val="2"/>
          </rPr>
          <t>80123558:</t>
        </r>
        <r>
          <rPr>
            <sz val="9"/>
            <color indexed="81"/>
            <rFont val="Tahoma"/>
            <family val="2"/>
          </rPr>
          <t xml:space="preserve">
Despliegue la lista y seleccione la categoría de datos  asociada al consumo en su organización </t>
        </r>
      </text>
    </comment>
    <comment ref="BF15" authorId="0" shapeId="0">
      <text>
        <r>
          <rPr>
            <b/>
            <sz val="9"/>
            <color indexed="81"/>
            <rFont val="Tahoma"/>
            <family val="2"/>
          </rPr>
          <t>80123558:</t>
        </r>
        <r>
          <rPr>
            <sz val="9"/>
            <color indexed="81"/>
            <rFont val="Tahoma"/>
            <family val="2"/>
          </rPr>
          <t xml:space="preserve">
Devuelve el valor de las emisiones de GEI asociadas a la variable elegida.</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b/>
            <sz val="9"/>
            <color indexed="81"/>
            <rFont val="Tahoma"/>
            <family val="2"/>
          </rPr>
          <t>80123558:</t>
        </r>
        <r>
          <rPr>
            <sz val="9"/>
            <color indexed="81"/>
            <rFont val="Tahoma"/>
            <family val="2"/>
          </rPr>
          <t xml:space="preserve">
Indica la unidad en la que deben ser consignados los datos de consumo asociados a la variable elegida en la columna anterior</t>
        </r>
      </text>
    </comment>
    <comment ref="E16" authorId="0" shapeId="0">
      <text>
        <r>
          <rPr>
            <b/>
            <sz val="9"/>
            <color indexed="81"/>
            <rFont val="Tahoma"/>
            <family val="2"/>
          </rPr>
          <t xml:space="preserve">80123558:
</t>
        </r>
        <r>
          <rPr>
            <sz val="9"/>
            <color indexed="81"/>
            <rFont val="Tahoma"/>
            <family val="2"/>
          </rPr>
          <t>Incluya el valor del primer (o único) dato asociado a la variable correspondiente, en las unidades descritas en la columna "UNIDAD".</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E17" authorId="1" shapeId="0">
      <text>
        <r>
          <rPr>
            <b/>
            <sz val="9"/>
            <color indexed="81"/>
            <rFont val="Tahoma"/>
            <family val="2"/>
          </rPr>
          <t>WERD:</t>
        </r>
        <r>
          <rPr>
            <sz val="9"/>
            <color indexed="81"/>
            <rFont val="Tahoma"/>
            <family val="2"/>
          </rPr>
          <t xml:space="preserve">
3'988.208 = Consumo leña domestico del pais (BEN)
46'581.823 = poblacion de colombia (DANE)
EL otro dato es la informacion de poblacion del municipio (DANE)</t>
        </r>
      </text>
    </comment>
    <comment ref="E18" authorId="1" shapeId="0">
      <text>
        <r>
          <rPr>
            <b/>
            <sz val="9"/>
            <color indexed="81"/>
            <rFont val="Tahoma"/>
            <family val="2"/>
          </rPr>
          <t>WERD:</t>
        </r>
        <r>
          <rPr>
            <sz val="9"/>
            <color indexed="81"/>
            <rFont val="Tahoma"/>
            <family val="2"/>
          </rPr>
          <t xml:space="preserve">
3'988.208 = Consumo leña domestico del pais (BEN)
46'581.823 = poblacion de colombia (DANE)
EL otro dato es la informacion de poblacion del municipio (DANE)</t>
        </r>
      </text>
    </comment>
    <comment ref="E25" authorId="1" shapeId="0">
      <text>
        <r>
          <rPr>
            <b/>
            <sz val="9"/>
            <color indexed="81"/>
            <rFont val="Tahoma"/>
            <family val="2"/>
          </rPr>
          <t>WERD:</t>
        </r>
        <r>
          <rPr>
            <sz val="9"/>
            <color indexed="81"/>
            <rFont val="Tahoma"/>
            <family val="2"/>
          </rPr>
          <t xml:space="preserve">
Dato alcaldia</t>
        </r>
      </text>
    </comment>
    <comment ref="E29" authorId="1" shapeId="0">
      <text>
        <r>
          <rPr>
            <b/>
            <sz val="9"/>
            <color indexed="81"/>
            <rFont val="Tahoma"/>
            <family val="2"/>
          </rPr>
          <t>WERD:</t>
        </r>
        <r>
          <rPr>
            <sz val="9"/>
            <color indexed="81"/>
            <rFont val="Tahoma"/>
            <family val="2"/>
          </rPr>
          <t xml:space="preserve">
Informacion hogares de la alcaldia
Supuesto de 100 gr por nevera y una nevera por hogar
0,5% de perdidas anuales según IPCC 2006</t>
        </r>
      </text>
    </comment>
    <comment ref="AC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53" authorId="0" shapeId="0">
      <text>
        <r>
          <rPr>
            <b/>
            <sz val="9"/>
            <color indexed="81"/>
            <rFont val="Tahoma"/>
            <family val="2"/>
          </rPr>
          <t>80123558:</t>
        </r>
        <r>
          <rPr>
            <sz val="9"/>
            <color indexed="81"/>
            <rFont val="Tahoma"/>
            <family val="2"/>
          </rPr>
          <t xml:space="preserve">
Despliegue la lista y seleccione la categoría de datos  asociada al consumo en su organización </t>
        </r>
      </text>
    </comment>
    <comment ref="AE53" authorId="0" shapeId="0">
      <text>
        <r>
          <rPr>
            <b/>
            <sz val="9"/>
            <color indexed="81"/>
            <rFont val="Tahoma"/>
            <family val="2"/>
          </rPr>
          <t>80123558:</t>
        </r>
        <r>
          <rPr>
            <sz val="9"/>
            <color indexed="81"/>
            <rFont val="Tahoma"/>
            <family val="2"/>
          </rPr>
          <t xml:space="preserve">
Devuelve el valor de las emisiones de GEI asociadas a la variable elegida.</t>
        </r>
      </text>
    </comment>
    <comment ref="AF53"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54" authorId="0" shapeId="0">
      <text>
        <r>
          <rPr>
            <b/>
            <sz val="9"/>
            <color indexed="81"/>
            <rFont val="Tahoma"/>
            <family val="2"/>
          </rPr>
          <t>80123558:</t>
        </r>
        <r>
          <rPr>
            <sz val="9"/>
            <color indexed="81"/>
            <rFont val="Tahoma"/>
            <family val="2"/>
          </rPr>
          <t xml:space="preserve">
Indica la unidad en la que deben ser consignados los datos de consumo asociados a la variable elegida en la columna anterior</t>
        </r>
      </text>
    </comment>
    <comment ref="E54" authorId="0" shapeId="0">
      <text>
        <r>
          <rPr>
            <b/>
            <sz val="9"/>
            <color indexed="81"/>
            <rFont val="Tahoma"/>
            <family val="2"/>
          </rPr>
          <t xml:space="preserve">80123558:
</t>
        </r>
        <r>
          <rPr>
            <sz val="9"/>
            <color indexed="81"/>
            <rFont val="Tahoma"/>
            <family val="2"/>
          </rPr>
          <t>Incluya el valor del primer (o único) dato asociado a la variable correspondiente, en las unidades descritas en la columna "UNIDAD".</t>
        </r>
      </text>
    </comment>
    <comment ref="F54"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4"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4"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4"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4"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4"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4"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4"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4"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4"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4"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4" authorId="0" shapeId="0">
      <text>
        <r>
          <rPr>
            <b/>
            <sz val="9"/>
            <color indexed="81"/>
            <rFont val="Tahoma"/>
            <family val="2"/>
          </rPr>
          <t>80123558:</t>
        </r>
        <r>
          <rPr>
            <sz val="9"/>
            <color indexed="81"/>
            <rFont val="Tahoma"/>
            <family val="2"/>
          </rPr>
          <t xml:space="preserve">
Devuelve el valor total del consumo asociado a cada variable.</t>
        </r>
      </text>
    </comment>
    <comment ref="R54"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4"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54"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4"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4"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F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F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92"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7"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7"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3"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7"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54" authorId="1" shapeId="0">
      <text>
        <r>
          <rPr>
            <b/>
            <sz val="9"/>
            <color indexed="81"/>
            <rFont val="Tahoma"/>
            <family val="2"/>
          </rPr>
          <t>WERD:</t>
        </r>
        <r>
          <rPr>
            <sz val="9"/>
            <color indexed="81"/>
            <rFont val="Tahoma"/>
            <family val="2"/>
          </rPr>
          <t xml:space="preserve">
Tomados de la metodología 2006 del IPCC</t>
        </r>
      </text>
    </comment>
    <comment ref="BM265"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1"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280" authorId="1" shapeId="0">
      <text>
        <r>
          <rPr>
            <b/>
            <sz val="9"/>
            <color indexed="81"/>
            <rFont val="Tahoma"/>
            <family val="2"/>
          </rPr>
          <t>WERD:</t>
        </r>
        <r>
          <rPr>
            <sz val="9"/>
            <color indexed="81"/>
            <rFont val="Tahoma"/>
            <family val="2"/>
          </rPr>
          <t xml:space="preserve">
http://www.lrrd.org/lrrd27/10/moul27194.html</t>
        </r>
      </text>
    </comment>
    <comment ref="BO281" authorId="1"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4" authorId="1"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5" authorId="1" shapeId="0">
      <text>
        <r>
          <rPr>
            <b/>
            <sz val="9"/>
            <color indexed="81"/>
            <rFont val="Tahoma"/>
            <family val="2"/>
          </rPr>
          <t>WERD:</t>
        </r>
        <r>
          <rPr>
            <sz val="9"/>
            <color indexed="81"/>
            <rFont val="Tahoma"/>
            <family val="2"/>
          </rPr>
          <t xml:space="preserve">
Se manejan valores en la categoría de N2O de suelos</t>
        </r>
      </text>
    </comment>
    <comment ref="AN285" authorId="1" shapeId="0">
      <text>
        <r>
          <rPr>
            <b/>
            <sz val="9"/>
            <color indexed="81"/>
            <rFont val="Tahoma"/>
            <family val="2"/>
          </rPr>
          <t>WERD:</t>
        </r>
        <r>
          <rPr>
            <sz val="9"/>
            <color indexed="81"/>
            <rFont val="Tahoma"/>
            <family val="2"/>
          </rPr>
          <t xml:space="preserve">
FE=((Vs*365)*(Bo*0,67*∑(MCF/100)*Ms))
Se toman Vs y Bo de tablas de anexo 10A.2 
MCF correspondiente a los sistemas de tratamiento según cuandro 10.17 tomando rangos mayores para cada nivel de temperatura promedio
Ms se toma como igual a 1 para cada sistema
IPCC 2006. Guidelines for National Greenhouse Gas Inventories. Vol 4. Cap 10</t>
        </r>
      </text>
    </comment>
    <comment ref="S286"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6"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6"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6"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6"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6"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6"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6"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6"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6"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6"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6"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6"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6"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86"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86"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86"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86"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86"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86"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86"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86"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86"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86"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86"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86"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86"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86"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2.xml><?xml version="1.0" encoding="utf-8"?>
<comments xmlns="http://schemas.openxmlformats.org/spreadsheetml/2006/main">
  <authors>
    <author>80123558</author>
    <author>WERD</author>
    <author>oficina</author>
  </authors>
  <commentList>
    <comment ref="C15" authorId="0" shapeId="0">
      <text>
        <r>
          <rPr>
            <b/>
            <sz val="9"/>
            <color indexed="81"/>
            <rFont val="Tahoma"/>
            <family val="2"/>
          </rPr>
          <t>80123558:</t>
        </r>
        <r>
          <rPr>
            <sz val="9"/>
            <color indexed="81"/>
            <rFont val="Tahoma"/>
            <family val="2"/>
          </rPr>
          <t xml:space="preserve">
Despliegue la lista y seleccione la categoría de datos  asociada al consumo en su organización </t>
        </r>
      </text>
    </comment>
    <comment ref="BF15" authorId="0" shapeId="0">
      <text>
        <r>
          <rPr>
            <b/>
            <sz val="9"/>
            <color indexed="81"/>
            <rFont val="Tahoma"/>
            <family val="2"/>
          </rPr>
          <t>80123558:</t>
        </r>
        <r>
          <rPr>
            <sz val="9"/>
            <color indexed="81"/>
            <rFont val="Tahoma"/>
            <family val="2"/>
          </rPr>
          <t xml:space="preserve">
Devuelve el valor de las emisiones de GEI asociadas a la variable elegida.</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b/>
            <sz val="9"/>
            <color indexed="81"/>
            <rFont val="Tahoma"/>
            <family val="2"/>
          </rPr>
          <t>80123558:</t>
        </r>
        <r>
          <rPr>
            <sz val="9"/>
            <color indexed="81"/>
            <rFont val="Tahoma"/>
            <family val="2"/>
          </rPr>
          <t xml:space="preserve">
Indica la unidad en la que deben ser consignados los datos de consumo asociados a la variable elegida en la columna anterior</t>
        </r>
      </text>
    </comment>
    <comment ref="E16" authorId="0" shapeId="0">
      <text>
        <r>
          <rPr>
            <b/>
            <sz val="9"/>
            <color indexed="81"/>
            <rFont val="Tahoma"/>
            <family val="2"/>
          </rPr>
          <t xml:space="preserve">80123558:
</t>
        </r>
        <r>
          <rPr>
            <sz val="9"/>
            <color indexed="81"/>
            <rFont val="Tahoma"/>
            <family val="2"/>
          </rPr>
          <t>Incluya el valor del primer (o único) dato asociado a la variable correspondiente, en las unidades descritas en la columna "UNIDAD".</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E29" authorId="1" shapeId="0">
      <text>
        <r>
          <rPr>
            <b/>
            <sz val="9"/>
            <color indexed="81"/>
            <rFont val="Tahoma"/>
            <family val="2"/>
          </rPr>
          <t>WERD:</t>
        </r>
        <r>
          <rPr>
            <sz val="9"/>
            <color indexed="81"/>
            <rFont val="Tahoma"/>
            <family val="2"/>
          </rPr>
          <t xml:space="preserve">
Numero de instituciones y servicios
suposicion 50%  tiene refrigerantes
300 gramos en promedio
05% de fuga según IPCC</t>
        </r>
      </text>
    </comment>
    <comment ref="AC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52" authorId="0" shapeId="0">
      <text>
        <r>
          <rPr>
            <b/>
            <sz val="9"/>
            <color indexed="81"/>
            <rFont val="Tahoma"/>
            <family val="2"/>
          </rPr>
          <t>80123558:</t>
        </r>
        <r>
          <rPr>
            <sz val="9"/>
            <color indexed="81"/>
            <rFont val="Tahoma"/>
            <family val="2"/>
          </rPr>
          <t xml:space="preserve">
Despliegue la lista y seleccione la categoría de datos  asociada al consumo en su organización </t>
        </r>
      </text>
    </comment>
    <comment ref="AE52" authorId="0" shapeId="0">
      <text>
        <r>
          <rPr>
            <b/>
            <sz val="9"/>
            <color indexed="81"/>
            <rFont val="Tahoma"/>
            <family val="2"/>
          </rPr>
          <t>80123558:</t>
        </r>
        <r>
          <rPr>
            <sz val="9"/>
            <color indexed="81"/>
            <rFont val="Tahoma"/>
            <family val="2"/>
          </rPr>
          <t xml:space="preserve">
Devuelve el valor de las emisiones de GEI asociadas a la variable elegida.</t>
        </r>
      </text>
    </comment>
    <comment ref="AF52"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53" authorId="0" shapeId="0">
      <text>
        <r>
          <rPr>
            <b/>
            <sz val="9"/>
            <color indexed="81"/>
            <rFont val="Tahoma"/>
            <family val="2"/>
          </rPr>
          <t>80123558:</t>
        </r>
        <r>
          <rPr>
            <sz val="9"/>
            <color indexed="81"/>
            <rFont val="Tahoma"/>
            <family val="2"/>
          </rPr>
          <t xml:space="preserve">
Indica la unidad en la que deben ser consignados los datos de consumo asociados a la variable elegida en la columna anterior</t>
        </r>
      </text>
    </comment>
    <comment ref="E53" authorId="0" shapeId="0">
      <text>
        <r>
          <rPr>
            <b/>
            <sz val="9"/>
            <color indexed="81"/>
            <rFont val="Tahoma"/>
            <family val="2"/>
          </rPr>
          <t xml:space="preserve">80123558:
</t>
        </r>
        <r>
          <rPr>
            <sz val="9"/>
            <color indexed="81"/>
            <rFont val="Tahoma"/>
            <family val="2"/>
          </rPr>
          <t>Incluya el valor del primer (o único) dato asociado a la variable correspondiente, en las unidades descritas en la columna "UNIDAD".</t>
        </r>
      </text>
    </comment>
    <comment ref="F53"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3"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3"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3"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3"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3"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3"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3"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3"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3"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3"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3" authorId="0" shapeId="0">
      <text>
        <r>
          <rPr>
            <b/>
            <sz val="9"/>
            <color indexed="81"/>
            <rFont val="Tahoma"/>
            <family val="2"/>
          </rPr>
          <t>80123558:</t>
        </r>
        <r>
          <rPr>
            <sz val="9"/>
            <color indexed="81"/>
            <rFont val="Tahoma"/>
            <family val="2"/>
          </rPr>
          <t xml:space="preserve">
Devuelve el valor total del consumo asociado a cada variable.</t>
        </r>
      </text>
    </comment>
    <comment ref="R53"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3"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53"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3"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3"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F6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6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F6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91"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6"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6"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2"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5"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M264"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5"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279" authorId="1" shapeId="0">
      <text>
        <r>
          <rPr>
            <b/>
            <sz val="9"/>
            <color indexed="81"/>
            <rFont val="Tahoma"/>
            <family val="2"/>
          </rPr>
          <t>WERD:</t>
        </r>
        <r>
          <rPr>
            <sz val="9"/>
            <color indexed="81"/>
            <rFont val="Tahoma"/>
            <family val="2"/>
          </rPr>
          <t xml:space="preserve">
http://www.lrrd.org/lrrd27/10/moul27194.html</t>
        </r>
      </text>
    </comment>
    <comment ref="BO280" authorId="1"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3" authorId="1"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4" authorId="1" shapeId="0">
      <text>
        <r>
          <rPr>
            <b/>
            <sz val="9"/>
            <color indexed="81"/>
            <rFont val="Tahoma"/>
            <family val="2"/>
          </rPr>
          <t>WERD:</t>
        </r>
        <r>
          <rPr>
            <sz val="9"/>
            <color indexed="81"/>
            <rFont val="Tahoma"/>
            <family val="2"/>
          </rPr>
          <t xml:space="preserve">
Se manejan valores en la categoria de N2O de suelos</t>
        </r>
      </text>
    </comment>
    <comment ref="S285"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5"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5"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5"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5"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5"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5"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5"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5"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5"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5"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5"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5"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5"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3.xml><?xml version="1.0" encoding="utf-8"?>
<comments xmlns="http://schemas.openxmlformats.org/spreadsheetml/2006/main">
  <authors>
    <author>80123558</author>
    <author>WERD</author>
    <author>oficina</author>
  </authors>
  <commentList>
    <comment ref="C14" authorId="0" shapeId="0">
      <text>
        <r>
          <rPr>
            <b/>
            <sz val="9"/>
            <color indexed="81"/>
            <rFont val="Tahoma"/>
            <family val="2"/>
          </rPr>
          <t>80123558:</t>
        </r>
        <r>
          <rPr>
            <sz val="9"/>
            <color indexed="81"/>
            <rFont val="Tahoma"/>
            <family val="2"/>
          </rPr>
          <t xml:space="preserve">
Despliegue la lista y seleccione la categoría de datos  asociada al consumo en su organización </t>
        </r>
      </text>
    </comment>
    <comment ref="BF14" authorId="0" shapeId="0">
      <text>
        <r>
          <rPr>
            <b/>
            <sz val="9"/>
            <color indexed="81"/>
            <rFont val="Tahoma"/>
            <family val="2"/>
          </rPr>
          <t>80123558:</t>
        </r>
        <r>
          <rPr>
            <sz val="9"/>
            <color indexed="81"/>
            <rFont val="Tahoma"/>
            <family val="2"/>
          </rPr>
          <t xml:space="preserve">
Devuelve el valor de las emisiones de GEI asociadas a la variable elegida.</t>
        </r>
      </text>
    </comment>
    <comment ref="BG14"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5" authorId="0" shapeId="0">
      <text>
        <r>
          <rPr>
            <b/>
            <sz val="9"/>
            <color indexed="81"/>
            <rFont val="Tahoma"/>
            <family val="2"/>
          </rPr>
          <t>80123558:</t>
        </r>
        <r>
          <rPr>
            <sz val="9"/>
            <color indexed="81"/>
            <rFont val="Tahoma"/>
            <family val="2"/>
          </rPr>
          <t xml:space="preserve">
Indica la unidad en la que deben ser consignados los datos de consumo asociados a la variable elegida en la columna anterior</t>
        </r>
      </text>
    </comment>
    <comment ref="E15" authorId="0" shapeId="0">
      <text>
        <r>
          <rPr>
            <b/>
            <sz val="9"/>
            <color indexed="81"/>
            <rFont val="Tahoma"/>
            <family val="2"/>
          </rPr>
          <t xml:space="preserve">80123558:
</t>
        </r>
        <r>
          <rPr>
            <sz val="9"/>
            <color indexed="81"/>
            <rFont val="Tahoma"/>
            <family val="2"/>
          </rPr>
          <t>Incluya el valor del primer (o único) dato asociado a la variable correspondiente, en las unidades descritas en la columna "UNIDAD".</t>
        </r>
      </text>
    </comment>
    <comment ref="F15"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5"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5"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5"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5"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5"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5"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5"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5"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5"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5"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5" authorId="0" shapeId="0">
      <text>
        <r>
          <rPr>
            <b/>
            <sz val="9"/>
            <color indexed="81"/>
            <rFont val="Tahoma"/>
            <family val="2"/>
          </rPr>
          <t>80123558:</t>
        </r>
        <r>
          <rPr>
            <sz val="9"/>
            <color indexed="81"/>
            <rFont val="Tahoma"/>
            <family val="2"/>
          </rPr>
          <t xml:space="preserve">
Devuelve el valor total del consumo asociado a cada variable.</t>
        </r>
      </text>
    </comment>
    <comment ref="R15"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5"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5"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5"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5"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E25" authorId="1" shapeId="0">
      <text>
        <r>
          <rPr>
            <b/>
            <sz val="9"/>
            <color indexed="81"/>
            <rFont val="Tahoma"/>
            <family val="2"/>
          </rPr>
          <t>WERD:</t>
        </r>
        <r>
          <rPr>
            <sz val="9"/>
            <color indexed="81"/>
            <rFont val="Tahoma"/>
            <family val="2"/>
          </rPr>
          <t xml:space="preserve">
3488650 = vehiculos en Colombia RUNT
46581823 = poblacion de Colombia
El otro dato es la poblacion del municipio
700 grs en promedio por vehiculo
20% de fuga según IPCC</t>
        </r>
      </text>
    </comment>
    <comment ref="E29" authorId="1" shapeId="0">
      <text>
        <r>
          <rPr>
            <b/>
            <sz val="9"/>
            <color indexed="81"/>
            <rFont val="Tahoma"/>
            <family val="2"/>
          </rPr>
          <t>WERD:</t>
        </r>
        <r>
          <rPr>
            <sz val="9"/>
            <color indexed="81"/>
            <rFont val="Tahoma"/>
            <family val="2"/>
          </rPr>
          <t xml:space="preserve">
3488650 = vehiculos en Colombia RUNT
46581823 = poblacion de Colombia
El otro dato es la poblacion del municipio
2 cambios de aceite en promedio al año
1,5 galones por cambio en promedio</t>
        </r>
      </text>
    </comment>
    <comment ref="AC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38" authorId="0" shapeId="0">
      <text>
        <r>
          <rPr>
            <b/>
            <sz val="9"/>
            <color indexed="81"/>
            <rFont val="Tahoma"/>
            <family val="2"/>
          </rPr>
          <t>80123558:</t>
        </r>
        <r>
          <rPr>
            <sz val="9"/>
            <color indexed="81"/>
            <rFont val="Tahoma"/>
            <family val="2"/>
          </rPr>
          <t xml:space="preserve">
Despliegue la lista y seleccione la categoría de datos  asociada al consumo en su organización </t>
        </r>
      </text>
    </comment>
    <comment ref="BF38" authorId="0" shapeId="0">
      <text>
        <r>
          <rPr>
            <b/>
            <sz val="9"/>
            <color indexed="81"/>
            <rFont val="Tahoma"/>
            <family val="2"/>
          </rPr>
          <t>80123558:</t>
        </r>
        <r>
          <rPr>
            <sz val="9"/>
            <color indexed="81"/>
            <rFont val="Tahoma"/>
            <family val="2"/>
          </rPr>
          <t xml:space="preserve">
Devuelve el valor de las emisiones de GEI asociadas a la variable elegida.</t>
        </r>
      </text>
    </comment>
    <comment ref="BG38"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39" authorId="0" shapeId="0">
      <text>
        <r>
          <rPr>
            <b/>
            <sz val="9"/>
            <color indexed="81"/>
            <rFont val="Tahoma"/>
            <family val="2"/>
          </rPr>
          <t>80123558:</t>
        </r>
        <r>
          <rPr>
            <sz val="9"/>
            <color indexed="81"/>
            <rFont val="Tahoma"/>
            <family val="2"/>
          </rPr>
          <t xml:space="preserve">
Indica la unidad en la que deben ser consignados los datos de consumo asociados a la variable elegida en la columna anterior</t>
        </r>
      </text>
    </comment>
    <comment ref="E39" authorId="0" shapeId="0">
      <text>
        <r>
          <rPr>
            <b/>
            <sz val="9"/>
            <color indexed="81"/>
            <rFont val="Tahoma"/>
            <family val="2"/>
          </rPr>
          <t xml:space="preserve">80123558:
</t>
        </r>
        <r>
          <rPr>
            <sz val="9"/>
            <color indexed="81"/>
            <rFont val="Tahoma"/>
            <family val="2"/>
          </rPr>
          <t>Incluya el valor del primer (o único) dato asociado a la variable correspondiente, en las unidades descritas en la columna "UNIDAD".</t>
        </r>
      </text>
    </comment>
    <comment ref="F39"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39"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39"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39"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39"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39"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39"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39"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39"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39"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39"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39" authorId="0" shapeId="0">
      <text>
        <r>
          <rPr>
            <b/>
            <sz val="9"/>
            <color indexed="81"/>
            <rFont val="Tahoma"/>
            <family val="2"/>
          </rPr>
          <t>80123558:</t>
        </r>
        <r>
          <rPr>
            <sz val="9"/>
            <color indexed="81"/>
            <rFont val="Tahoma"/>
            <family val="2"/>
          </rPr>
          <t xml:space="preserve">
Devuelve el valor total del consumo asociado a cada variable.</t>
        </r>
      </text>
    </comment>
    <comment ref="R39"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39"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39"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39"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39"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4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4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4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4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4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4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5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5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5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5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5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5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5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5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5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5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5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5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5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5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5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5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5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5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68" authorId="0" shapeId="0">
      <text>
        <r>
          <rPr>
            <b/>
            <sz val="9"/>
            <color indexed="81"/>
            <rFont val="Tahoma"/>
            <family val="2"/>
          </rPr>
          <t>80123558:</t>
        </r>
        <r>
          <rPr>
            <sz val="9"/>
            <color indexed="81"/>
            <rFont val="Tahoma"/>
            <family val="2"/>
          </rPr>
          <t xml:space="preserve">
Despliegue la lista y seleccione la categoría de datos  asociada al consumo en su organización </t>
        </r>
      </text>
    </comment>
    <comment ref="AE68" authorId="0" shapeId="0">
      <text>
        <r>
          <rPr>
            <b/>
            <sz val="9"/>
            <color indexed="81"/>
            <rFont val="Tahoma"/>
            <family val="2"/>
          </rPr>
          <t>80123558:</t>
        </r>
        <r>
          <rPr>
            <sz val="9"/>
            <color indexed="81"/>
            <rFont val="Tahoma"/>
            <family val="2"/>
          </rPr>
          <t xml:space="preserve">
Devuelve el valor de las emisiones de GEI asociadas a la variable elegida.</t>
        </r>
      </text>
    </comment>
    <comment ref="AF68"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69" authorId="0" shapeId="0">
      <text>
        <r>
          <rPr>
            <b/>
            <sz val="9"/>
            <color indexed="81"/>
            <rFont val="Tahoma"/>
            <family val="2"/>
          </rPr>
          <t>80123558:</t>
        </r>
        <r>
          <rPr>
            <sz val="9"/>
            <color indexed="81"/>
            <rFont val="Tahoma"/>
            <family val="2"/>
          </rPr>
          <t xml:space="preserve">
Indica la unidad en la que deben ser consignados los datos de consumo asociados a la variable elegida en la columna anterior</t>
        </r>
      </text>
    </comment>
    <comment ref="E69" authorId="0" shapeId="0">
      <text>
        <r>
          <rPr>
            <b/>
            <sz val="9"/>
            <color indexed="81"/>
            <rFont val="Tahoma"/>
            <family val="2"/>
          </rPr>
          <t xml:space="preserve">80123558:
</t>
        </r>
        <r>
          <rPr>
            <sz val="9"/>
            <color indexed="81"/>
            <rFont val="Tahoma"/>
            <family val="2"/>
          </rPr>
          <t>Incluya el valor del primer (o único) dato asociado a la variable correspondiente, en las unidades descritas en la columna "UNIDAD".</t>
        </r>
      </text>
    </comment>
    <comment ref="F69"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69"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69"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69"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69"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69"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69"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69"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69"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69"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69"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69" authorId="0" shapeId="0">
      <text>
        <r>
          <rPr>
            <b/>
            <sz val="9"/>
            <color indexed="81"/>
            <rFont val="Tahoma"/>
            <family val="2"/>
          </rPr>
          <t>80123558:</t>
        </r>
        <r>
          <rPr>
            <sz val="9"/>
            <color indexed="81"/>
            <rFont val="Tahoma"/>
            <family val="2"/>
          </rPr>
          <t xml:space="preserve">
Devuelve el valor total del consumo asociado a cada variable.</t>
        </r>
      </text>
    </comment>
    <comment ref="R69"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69"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69"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69"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69"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F7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103"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8"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8"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4"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77"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78"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65" authorId="1" shapeId="0">
      <text>
        <r>
          <rPr>
            <b/>
            <sz val="9"/>
            <color indexed="81"/>
            <rFont val="Tahoma"/>
            <family val="2"/>
          </rPr>
          <t>WERD:</t>
        </r>
        <r>
          <rPr>
            <sz val="9"/>
            <color indexed="81"/>
            <rFont val="Tahoma"/>
            <family val="2"/>
          </rPr>
          <t xml:space="preserve">
Tomados de la metodología 2006 del IPCC</t>
        </r>
      </text>
    </comment>
    <comment ref="BM276"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7"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8"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9"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0"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1"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291" authorId="1" shapeId="0">
      <text>
        <r>
          <rPr>
            <b/>
            <sz val="9"/>
            <color indexed="81"/>
            <rFont val="Tahoma"/>
            <family val="2"/>
          </rPr>
          <t>WERD:</t>
        </r>
        <r>
          <rPr>
            <sz val="9"/>
            <color indexed="81"/>
            <rFont val="Tahoma"/>
            <family val="2"/>
          </rPr>
          <t xml:space="preserve">
http://www.lrrd.org/lrrd27/10/moul27194.html</t>
        </r>
      </text>
    </comment>
    <comment ref="BO292" authorId="1"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95" authorId="1"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96" authorId="1" shapeId="0">
      <text>
        <r>
          <rPr>
            <b/>
            <sz val="9"/>
            <color indexed="81"/>
            <rFont val="Tahoma"/>
            <family val="2"/>
          </rPr>
          <t>WERD:</t>
        </r>
        <r>
          <rPr>
            <sz val="9"/>
            <color indexed="81"/>
            <rFont val="Tahoma"/>
            <family val="2"/>
          </rPr>
          <t xml:space="preserve">
Se manejan valores en la categoria de N2O de suelos</t>
        </r>
      </text>
    </comment>
    <comment ref="AN296" authorId="1" shapeId="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297"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97"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97"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97"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97"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97"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97"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97"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97"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97"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97"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97"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97"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97"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97"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97"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97"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97"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97"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97"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97"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97"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97"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97"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97"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97"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97"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97"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4.xml><?xml version="1.0" encoding="utf-8"?>
<comments xmlns="http://schemas.openxmlformats.org/spreadsheetml/2006/main">
  <authors>
    <author>80123558</author>
    <author>WERD</author>
    <author>oficina</author>
  </authors>
  <commentList>
    <comment ref="C15" authorId="0" shapeId="0">
      <text>
        <r>
          <rPr>
            <b/>
            <sz val="9"/>
            <color indexed="81"/>
            <rFont val="Tahoma"/>
            <family val="2"/>
          </rPr>
          <t>80123558:</t>
        </r>
        <r>
          <rPr>
            <sz val="9"/>
            <color indexed="81"/>
            <rFont val="Tahoma"/>
            <family val="2"/>
          </rPr>
          <t xml:space="preserve">
Despliegue la lista y seleccione la categoría de datos  asociada al consumo en su organización </t>
        </r>
      </text>
    </comment>
    <comment ref="BF15" authorId="0" shapeId="0">
      <text>
        <r>
          <rPr>
            <b/>
            <sz val="9"/>
            <color indexed="81"/>
            <rFont val="Tahoma"/>
            <family val="2"/>
          </rPr>
          <t>80123558:</t>
        </r>
        <r>
          <rPr>
            <sz val="9"/>
            <color indexed="81"/>
            <rFont val="Tahoma"/>
            <family val="2"/>
          </rPr>
          <t xml:space="preserve">
Devuelve el valor de las emisiones de GEI asociadas a la variable elegida.</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b/>
            <sz val="9"/>
            <color indexed="81"/>
            <rFont val="Tahoma"/>
            <family val="2"/>
          </rPr>
          <t>80123558:</t>
        </r>
        <r>
          <rPr>
            <sz val="9"/>
            <color indexed="81"/>
            <rFont val="Tahoma"/>
            <family val="2"/>
          </rPr>
          <t xml:space="preserve">
Indica la unidad en la que deben ser consignados los datos de consumo asociados a la variable elegida en la columna anterior</t>
        </r>
      </text>
    </comment>
    <comment ref="E16" authorId="0" shapeId="0">
      <text>
        <r>
          <rPr>
            <b/>
            <sz val="9"/>
            <color indexed="81"/>
            <rFont val="Tahoma"/>
            <family val="2"/>
          </rPr>
          <t xml:space="preserve">80123558:
</t>
        </r>
        <r>
          <rPr>
            <sz val="9"/>
            <color indexed="81"/>
            <rFont val="Tahoma"/>
            <family val="2"/>
          </rPr>
          <t>Incluya el valor del primer (o único) dato asociado a la variable correspondiente, en las unidades descritas en la columna "UNIDAD".</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E17" authorId="1" shapeId="0">
      <text>
        <r>
          <rPr>
            <b/>
            <sz val="9"/>
            <color indexed="81"/>
            <rFont val="Tahoma"/>
            <family val="2"/>
          </rPr>
          <t>WERD:</t>
        </r>
        <r>
          <rPr>
            <sz val="9"/>
            <color indexed="81"/>
            <rFont val="Tahoma"/>
            <family val="2"/>
          </rPr>
          <t xml:space="preserve">
5,1% PIB de Cundinamarca vs Colombia (http://www.mincit.gov.co/loader.php?lServicio=Documentos&amp;lFuncion=verPdf&amp;id=77504&amp;name=Perfil_departamento_Cundinamarca.pdf&amp;prefijo=file)
5,01% PIB de Municipio vs Cundinamarca (http://bibliotecadigital.ccb.org.co/bitstream/handle/11520/14584/caracterizacion%20economica%20y%20empresarial%20de%2019%20municipios.pdf?sequence=1)
Valor de consumo nacional de carbon según balance energetico nacional</t>
        </r>
      </text>
    </comment>
    <comment ref="E18" authorId="1" shapeId="0">
      <text>
        <r>
          <rPr>
            <b/>
            <sz val="9"/>
            <color indexed="81"/>
            <rFont val="Tahoma"/>
            <family val="2"/>
          </rPr>
          <t>WERD:</t>
        </r>
        <r>
          <rPr>
            <sz val="9"/>
            <color indexed="81"/>
            <rFont val="Tahoma"/>
            <family val="2"/>
          </rPr>
          <t xml:space="preserve">
5,1% PIB de Cundinamarca vs Colombia (http://www.mincit.gov.co/loader.php?lServicio=Documentos&amp;lFuncion=verPdf&amp;id=77504&amp;name=Perfil_departamento_Cundinamarca.pdf&amp;prefijo=file)
3,09% PIB de Mosquera vs Cundinamarca (http://bibliotecadigital.ccb.org.co/bitstream/handle/11520/14584/caracterizacion%20economica%20y%20empresarial%20de%2019%20municipios.pdf?sequence=1)
Valor de consumo nacional de carbon según balance energetico nacional</t>
        </r>
      </text>
    </comment>
    <comment ref="C45" authorId="0" shapeId="0">
      <text>
        <r>
          <rPr>
            <b/>
            <sz val="9"/>
            <color indexed="81"/>
            <rFont val="Tahoma"/>
            <family val="2"/>
          </rPr>
          <t>80123558:</t>
        </r>
        <r>
          <rPr>
            <sz val="9"/>
            <color indexed="81"/>
            <rFont val="Tahoma"/>
            <family val="2"/>
          </rPr>
          <t xml:space="preserve">
Despliegue la lista y seleccione la categoría de datos  asociada al consumo en su organización </t>
        </r>
      </text>
    </comment>
    <comment ref="BF45" authorId="0" shapeId="0">
      <text>
        <r>
          <rPr>
            <b/>
            <sz val="9"/>
            <color indexed="81"/>
            <rFont val="Tahoma"/>
            <family val="2"/>
          </rPr>
          <t>80123558:</t>
        </r>
        <r>
          <rPr>
            <sz val="9"/>
            <color indexed="81"/>
            <rFont val="Tahoma"/>
            <family val="2"/>
          </rPr>
          <t xml:space="preserve">
Devuelve el valor de las emisiones de GEI asociadas a la variable elegida.</t>
        </r>
      </text>
    </comment>
    <comment ref="BG4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6" authorId="0" shapeId="0">
      <text>
        <r>
          <rPr>
            <b/>
            <sz val="9"/>
            <color indexed="81"/>
            <rFont val="Tahoma"/>
            <family val="2"/>
          </rPr>
          <t>80123558:</t>
        </r>
        <r>
          <rPr>
            <sz val="9"/>
            <color indexed="81"/>
            <rFont val="Tahoma"/>
            <family val="2"/>
          </rPr>
          <t xml:space="preserve">
Indica la unidad en la que deben ser consignados los datos de consumo asociados a la variable elegida en la columna anterior</t>
        </r>
      </text>
    </comment>
    <comment ref="E46" authorId="0" shapeId="0">
      <text>
        <r>
          <rPr>
            <b/>
            <sz val="9"/>
            <color indexed="81"/>
            <rFont val="Tahoma"/>
            <family val="2"/>
          </rPr>
          <t xml:space="preserve">80123558:
</t>
        </r>
        <r>
          <rPr>
            <sz val="9"/>
            <color indexed="81"/>
            <rFont val="Tahoma"/>
            <family val="2"/>
          </rPr>
          <t>Incluya el valor del primer (o único) dato asociado a la variable correspondiente, en las unidades descritas en la columna "UNIDAD".</t>
        </r>
      </text>
    </comment>
    <comment ref="F4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6" authorId="0" shapeId="0">
      <text>
        <r>
          <rPr>
            <b/>
            <sz val="9"/>
            <color indexed="81"/>
            <rFont val="Tahoma"/>
            <family val="2"/>
          </rPr>
          <t>80123558:</t>
        </r>
        <r>
          <rPr>
            <sz val="9"/>
            <color indexed="81"/>
            <rFont val="Tahoma"/>
            <family val="2"/>
          </rPr>
          <t xml:space="preserve">
Devuelve el valor total del consumo asociado a cada variable.</t>
        </r>
      </text>
    </comment>
    <comment ref="R4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4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E68" authorId="0" shapeId="0">
      <text>
        <r>
          <rPr>
            <b/>
            <sz val="9"/>
            <color indexed="81"/>
            <rFont val="Tahoma"/>
            <family val="2"/>
          </rPr>
          <t>80123558:</t>
        </r>
        <r>
          <rPr>
            <sz val="9"/>
            <color indexed="81"/>
            <rFont val="Tahoma"/>
            <family val="2"/>
          </rPr>
          <t xml:space="preserve">
Devuelve el valor de las emisiones de GEI asociadas a la variable elegida.</t>
        </r>
      </text>
    </comment>
    <comment ref="AF68"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C69" authorId="0" shapeId="0">
      <text>
        <r>
          <rPr>
            <b/>
            <sz val="9"/>
            <color indexed="81"/>
            <rFont val="Tahoma"/>
            <family val="2"/>
          </rPr>
          <t>80123558:</t>
        </r>
        <r>
          <rPr>
            <sz val="9"/>
            <color indexed="81"/>
            <rFont val="Tahoma"/>
            <family val="2"/>
          </rPr>
          <t xml:space="preserve">
Despliegue la lista y seleccione la categoría de datos  asociada al consumo en su organización </t>
        </r>
      </text>
    </comment>
    <comment ref="AE69" authorId="0" shapeId="0">
      <text>
        <r>
          <rPr>
            <b/>
            <sz val="9"/>
            <color indexed="81"/>
            <rFont val="Tahoma"/>
            <family val="2"/>
          </rPr>
          <t>80123558:</t>
        </r>
        <r>
          <rPr>
            <sz val="9"/>
            <color indexed="81"/>
            <rFont val="Tahoma"/>
            <family val="2"/>
          </rPr>
          <t xml:space="preserve">
Devuelve el valor de las emisiones de GEI asociadas a la variable elegida.</t>
        </r>
      </text>
    </comment>
    <comment ref="AF69"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70" authorId="0" shapeId="0">
      <text>
        <r>
          <rPr>
            <b/>
            <sz val="9"/>
            <color indexed="81"/>
            <rFont val="Tahoma"/>
            <family val="2"/>
          </rPr>
          <t>80123558:</t>
        </r>
        <r>
          <rPr>
            <sz val="9"/>
            <color indexed="81"/>
            <rFont val="Tahoma"/>
            <family val="2"/>
          </rPr>
          <t xml:space="preserve">
Indica la unidad en la que deben ser consignados los datos de consumo asociados a la variable elegida en la columna anterior</t>
        </r>
      </text>
    </comment>
    <comment ref="E70" authorId="0" shapeId="0">
      <text>
        <r>
          <rPr>
            <b/>
            <sz val="9"/>
            <color indexed="81"/>
            <rFont val="Tahoma"/>
            <family val="2"/>
          </rPr>
          <t xml:space="preserve">80123558:
</t>
        </r>
        <r>
          <rPr>
            <sz val="9"/>
            <color indexed="81"/>
            <rFont val="Tahoma"/>
            <family val="2"/>
          </rPr>
          <t>Incluya el valor del primer (o único) dato asociado a la variable correspondiente, en las unidades descritas en la columna "UNIDAD".</t>
        </r>
      </text>
    </comment>
    <comment ref="F70"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0"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0"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0"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0"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0"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0"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0"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0"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0"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0"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0" authorId="0" shapeId="0">
      <text>
        <r>
          <rPr>
            <b/>
            <sz val="9"/>
            <color indexed="81"/>
            <rFont val="Tahoma"/>
            <family val="2"/>
          </rPr>
          <t>80123558:</t>
        </r>
        <r>
          <rPr>
            <sz val="9"/>
            <color indexed="81"/>
            <rFont val="Tahoma"/>
            <family val="2"/>
          </rPr>
          <t xml:space="preserve">
Devuelve el valor total del consumo asociado a cada variable.</t>
        </r>
      </text>
    </comment>
    <comment ref="R70"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0"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70"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0"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0"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F79"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8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F8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108"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3"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3"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9"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2"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3"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70" authorId="1" shapeId="0">
      <text>
        <r>
          <rPr>
            <b/>
            <sz val="9"/>
            <color indexed="81"/>
            <rFont val="Tahoma"/>
            <family val="2"/>
          </rPr>
          <t>WERD:</t>
        </r>
        <r>
          <rPr>
            <sz val="9"/>
            <color indexed="81"/>
            <rFont val="Tahoma"/>
            <family val="2"/>
          </rPr>
          <t xml:space="preserve">
Tomados de la metodología 2006 del IPCC</t>
        </r>
      </text>
    </comment>
    <comment ref="BM281"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4"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5"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6"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7"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296" authorId="1" shapeId="0">
      <text>
        <r>
          <rPr>
            <b/>
            <sz val="9"/>
            <color indexed="81"/>
            <rFont val="Tahoma"/>
            <family val="2"/>
          </rPr>
          <t>WERD:</t>
        </r>
        <r>
          <rPr>
            <sz val="9"/>
            <color indexed="81"/>
            <rFont val="Tahoma"/>
            <family val="2"/>
          </rPr>
          <t xml:space="preserve">
http://www.lrrd.org/lrrd27/10/moul27194.html</t>
        </r>
      </text>
    </comment>
    <comment ref="BO297" authorId="1"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00" authorId="1"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01" authorId="1" shapeId="0">
      <text>
        <r>
          <rPr>
            <b/>
            <sz val="9"/>
            <color indexed="81"/>
            <rFont val="Tahoma"/>
            <family val="2"/>
          </rPr>
          <t>WERD:</t>
        </r>
        <r>
          <rPr>
            <sz val="9"/>
            <color indexed="81"/>
            <rFont val="Tahoma"/>
            <family val="2"/>
          </rPr>
          <t xml:space="preserve">
Se manejan valores en la categoria de N2O de suelos</t>
        </r>
      </text>
    </comment>
    <comment ref="AN301" authorId="1" shapeId="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02"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02"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02"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02"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02"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02"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02"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02"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02"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02"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02"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02"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02"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02"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02"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02"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02"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02"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02"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02"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02"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02"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02"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02"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02"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02"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02"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02"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5.xml><?xml version="1.0" encoding="utf-8"?>
<comments xmlns="http://schemas.openxmlformats.org/spreadsheetml/2006/main">
  <authors>
    <author>80123558</author>
    <author>WERD</author>
    <author>oficina</author>
  </authors>
  <commentList>
    <comment ref="C15" authorId="0" shapeId="0">
      <text>
        <r>
          <rPr>
            <b/>
            <sz val="9"/>
            <color indexed="81"/>
            <rFont val="Tahoma"/>
            <family val="2"/>
          </rPr>
          <t>80123558:</t>
        </r>
        <r>
          <rPr>
            <sz val="9"/>
            <color indexed="81"/>
            <rFont val="Tahoma"/>
            <family val="2"/>
          </rPr>
          <t xml:space="preserve">
Despliegue la lista y seleccione la categoría de datos  asociada al consumo en su organización </t>
        </r>
      </text>
    </comment>
    <comment ref="BF15" authorId="0" shapeId="0">
      <text>
        <r>
          <rPr>
            <b/>
            <sz val="9"/>
            <color indexed="81"/>
            <rFont val="Tahoma"/>
            <family val="2"/>
          </rPr>
          <t>80123558:</t>
        </r>
        <r>
          <rPr>
            <sz val="9"/>
            <color indexed="81"/>
            <rFont val="Tahoma"/>
            <family val="2"/>
          </rPr>
          <t xml:space="preserve">
Devuelve el valor de las emisiones de GEI asociadas a la variable elegida.</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b/>
            <sz val="9"/>
            <color indexed="81"/>
            <rFont val="Tahoma"/>
            <family val="2"/>
          </rPr>
          <t>80123558:</t>
        </r>
        <r>
          <rPr>
            <sz val="9"/>
            <color indexed="81"/>
            <rFont val="Tahoma"/>
            <family val="2"/>
          </rPr>
          <t xml:space="preserve">
Indica la unidad en la que deben ser consignados los datos de consumo asociados a la variable elegida en la columna anterior</t>
        </r>
      </text>
    </comment>
    <comment ref="E16" authorId="0" shapeId="0">
      <text>
        <r>
          <rPr>
            <b/>
            <sz val="9"/>
            <color indexed="81"/>
            <rFont val="Tahoma"/>
            <family val="2"/>
          </rPr>
          <t xml:space="preserve">80123558:
</t>
        </r>
        <r>
          <rPr>
            <sz val="9"/>
            <color indexed="81"/>
            <rFont val="Tahoma"/>
            <family val="2"/>
          </rPr>
          <t>Incluya el valor del primer (o único) dato asociado a la variable correspondiente, en las unidades descritas en la columna "UNIDAD".</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3" authorId="0" shapeId="0">
      <text>
        <r>
          <rPr>
            <b/>
            <sz val="9"/>
            <color indexed="81"/>
            <rFont val="Tahoma"/>
            <family val="2"/>
          </rPr>
          <t>80123558:</t>
        </r>
        <r>
          <rPr>
            <sz val="9"/>
            <color indexed="81"/>
            <rFont val="Tahoma"/>
            <family val="2"/>
          </rPr>
          <t xml:space="preserve">
Despliegue la lista y seleccione la categoría de datos  asociada al consumo en su organización </t>
        </r>
      </text>
    </comment>
    <comment ref="BF43" authorId="0" shapeId="0">
      <text>
        <r>
          <rPr>
            <b/>
            <sz val="9"/>
            <color indexed="81"/>
            <rFont val="Tahoma"/>
            <family val="2"/>
          </rPr>
          <t>80123558:</t>
        </r>
        <r>
          <rPr>
            <sz val="9"/>
            <color indexed="81"/>
            <rFont val="Tahoma"/>
            <family val="2"/>
          </rPr>
          <t xml:space="preserve">
Devuelve el valor de las emisiones de GEI asociadas a la variable elegida.</t>
        </r>
      </text>
    </comment>
    <comment ref="BG43"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shapeId="0">
      <text>
        <r>
          <rPr>
            <b/>
            <sz val="9"/>
            <color indexed="81"/>
            <rFont val="Tahoma"/>
            <family val="2"/>
          </rPr>
          <t>80123558:</t>
        </r>
        <r>
          <rPr>
            <sz val="9"/>
            <color indexed="81"/>
            <rFont val="Tahoma"/>
            <family val="2"/>
          </rPr>
          <t xml:space="preserve">
Indica la unidad en la que deben ser consignados los datos de consumo asociados a la variable elegida en la columna anterior</t>
        </r>
      </text>
    </comment>
    <comment ref="E44" authorId="0" shapeId="0">
      <text>
        <r>
          <rPr>
            <b/>
            <sz val="9"/>
            <color indexed="81"/>
            <rFont val="Tahoma"/>
            <family val="2"/>
          </rPr>
          <t xml:space="preserve">80123558:
</t>
        </r>
        <r>
          <rPr>
            <sz val="9"/>
            <color indexed="81"/>
            <rFont val="Tahoma"/>
            <family val="2"/>
          </rPr>
          <t>Incluya el valor del primer (o único) dato asociado a la variable correspondiente, en las unidades descritas en la columna "UNIDAD".</t>
        </r>
      </text>
    </comment>
    <comment ref="F44"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shapeId="0">
      <text>
        <r>
          <rPr>
            <b/>
            <sz val="9"/>
            <color indexed="81"/>
            <rFont val="Tahoma"/>
            <family val="2"/>
          </rPr>
          <t>80123558:</t>
        </r>
        <r>
          <rPr>
            <sz val="9"/>
            <color indexed="81"/>
            <rFont val="Tahoma"/>
            <family val="2"/>
          </rPr>
          <t xml:space="preserve">
Devuelve el valor total del consumo asociado a cada variable.</t>
        </r>
      </text>
    </comment>
    <comment ref="R44"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E45" authorId="1" shapeId="0">
      <text>
        <r>
          <rPr>
            <b/>
            <sz val="9"/>
            <color indexed="81"/>
            <rFont val="Tahoma"/>
            <family val="2"/>
          </rPr>
          <t xml:space="preserve">WERD:
</t>
        </r>
        <r>
          <rPr>
            <sz val="9"/>
            <color indexed="81"/>
            <rFont val="Tahoma"/>
            <family val="2"/>
          </rPr>
          <t>Dato directo alcaldia</t>
        </r>
      </text>
    </comment>
    <comment ref="E46" authorId="1" shapeId="0">
      <text>
        <r>
          <rPr>
            <b/>
            <sz val="9"/>
            <color indexed="81"/>
            <rFont val="Tahoma"/>
            <family val="2"/>
          </rPr>
          <t>WERD:</t>
        </r>
        <r>
          <rPr>
            <sz val="9"/>
            <color indexed="81"/>
            <rFont val="Tahoma"/>
            <family val="2"/>
          </rPr>
          <t xml:space="preserve">
Inventario gobernacion </t>
        </r>
      </text>
    </comment>
    <comment ref="AE46" authorId="1" shapeId="0">
      <text>
        <r>
          <rPr>
            <b/>
            <sz val="9"/>
            <color indexed="81"/>
            <rFont val="Tahoma"/>
            <family val="2"/>
          </rPr>
          <t>WERD:
Este factor esta dado en kg CH4/cabeza*unidad de tiempo</t>
        </r>
        <r>
          <rPr>
            <sz val="9"/>
            <color indexed="81"/>
            <rFont val="Tahoma"/>
            <family val="2"/>
          </rPr>
          <t xml:space="preserve">
Según el numero de datos, la unidad de tiempo puede estar dada en meses (12 datos), semestres (6 datos), trimestres (4 datos), año (1 dato)</t>
        </r>
      </text>
    </comment>
    <comment ref="E47" authorId="1" shapeId="0">
      <text>
        <r>
          <rPr>
            <b/>
            <sz val="9"/>
            <color indexed="81"/>
            <rFont val="Tahoma"/>
            <family val="2"/>
          </rPr>
          <t>WERD:</t>
        </r>
        <r>
          <rPr>
            <sz val="9"/>
            <color indexed="81"/>
            <rFont val="Tahoma"/>
            <family val="2"/>
          </rPr>
          <t xml:space="preserve">
Inventario gobernacion </t>
        </r>
      </text>
    </comment>
    <comment ref="AE47" authorId="1" shapeId="0">
      <text>
        <r>
          <rPr>
            <b/>
            <sz val="9"/>
            <color indexed="81"/>
            <rFont val="Tahoma"/>
            <family val="2"/>
          </rPr>
          <t>WERD:
Este factor esta dado en kg CH4/cabeza*unidad de tiempo</t>
        </r>
        <r>
          <rPr>
            <sz val="9"/>
            <color indexed="81"/>
            <rFont val="Tahoma"/>
            <family val="2"/>
          </rPr>
          <t xml:space="preserve">
Según el numero de datos, la unidad de tiempo puede estar dada en meses (12 datos), semestres (6 datos), trimestres (4 datos), año (1 dato)</t>
        </r>
      </text>
    </comment>
    <comment ref="E48" authorId="1" shapeId="0">
      <text>
        <r>
          <rPr>
            <b/>
            <sz val="9"/>
            <color indexed="81"/>
            <rFont val="Tahoma"/>
            <family val="2"/>
          </rPr>
          <t>WERD:</t>
        </r>
        <r>
          <rPr>
            <sz val="9"/>
            <color indexed="81"/>
            <rFont val="Tahoma"/>
            <family val="2"/>
          </rPr>
          <t xml:space="preserve">
Inventario Gobernacion</t>
        </r>
      </text>
    </comment>
    <comment ref="AE48" authorId="1" shapeId="0">
      <text>
        <r>
          <rPr>
            <b/>
            <sz val="9"/>
            <color indexed="81"/>
            <rFont val="Tahoma"/>
            <family val="2"/>
          </rPr>
          <t>WERD:
Este factor esta dado en kg CH4/cabeza*unidad de tiempo</t>
        </r>
        <r>
          <rPr>
            <sz val="9"/>
            <color indexed="81"/>
            <rFont val="Tahoma"/>
            <family val="2"/>
          </rPr>
          <t xml:space="preserve">
Según el numero de datos, la unidad de tiempo puede estar dada en meses (12 datos), semestres (6 datos), trimestres (4 datos), año (1 dato)</t>
        </r>
      </text>
    </comment>
    <comment ref="E49" authorId="1" shapeId="0">
      <text>
        <r>
          <rPr>
            <b/>
            <sz val="9"/>
            <color indexed="81"/>
            <rFont val="Tahoma"/>
            <family val="2"/>
          </rPr>
          <t>WERD:</t>
        </r>
        <r>
          <rPr>
            <sz val="9"/>
            <color indexed="81"/>
            <rFont val="Tahoma"/>
            <family val="2"/>
          </rPr>
          <t xml:space="preserve">
Inventario Gobernacion</t>
        </r>
      </text>
    </comment>
    <comment ref="AE49" authorId="1" shapeId="0">
      <text>
        <r>
          <rPr>
            <b/>
            <sz val="9"/>
            <color indexed="81"/>
            <rFont val="Tahoma"/>
            <family val="2"/>
          </rPr>
          <t>WERD:
Este factor esta dado en kg CH4/cabeza*unidad de tiempo</t>
        </r>
        <r>
          <rPr>
            <sz val="9"/>
            <color indexed="81"/>
            <rFont val="Tahoma"/>
            <family val="2"/>
          </rPr>
          <t xml:space="preserve">
Según el numero de datos, la unidad de tiempo puede estar dada en meses (12 datos), semestres (6 datos), trimestres (4 datos), año (1 dato)</t>
        </r>
      </text>
    </comment>
    <comment ref="E50" authorId="1" shapeId="0">
      <text>
        <r>
          <rPr>
            <b/>
            <sz val="9"/>
            <color indexed="81"/>
            <rFont val="Tahoma"/>
            <family val="2"/>
          </rPr>
          <t>WERD:</t>
        </r>
        <r>
          <rPr>
            <sz val="9"/>
            <color indexed="81"/>
            <rFont val="Tahoma"/>
            <family val="2"/>
          </rPr>
          <t xml:space="preserve">
Inventario Gobernacion</t>
        </r>
      </text>
    </comment>
    <comment ref="AE50" authorId="1" shapeId="0">
      <text>
        <r>
          <rPr>
            <b/>
            <sz val="9"/>
            <color indexed="81"/>
            <rFont val="Tahoma"/>
            <family val="2"/>
          </rPr>
          <t>WERD:
Este factor esta dado en kg CH4/cabeza*unidad de tiempo</t>
        </r>
        <r>
          <rPr>
            <sz val="9"/>
            <color indexed="81"/>
            <rFont val="Tahoma"/>
            <family val="2"/>
          </rPr>
          <t xml:space="preserve">
Según el numero de datos, la unidad de tiempo puede estar dada en meses (12 datos), semestres (6 datos), trimestres (4 datos), año (1 dato)</t>
        </r>
      </text>
    </comment>
    <comment ref="E51" authorId="1" shapeId="0">
      <text>
        <r>
          <rPr>
            <b/>
            <sz val="9"/>
            <color indexed="81"/>
            <rFont val="Tahoma"/>
            <family val="2"/>
          </rPr>
          <t>WERD:</t>
        </r>
        <r>
          <rPr>
            <sz val="9"/>
            <color indexed="81"/>
            <rFont val="Tahoma"/>
            <family val="2"/>
          </rPr>
          <t xml:space="preserve">
Inventario Gobernacion</t>
        </r>
      </text>
    </comment>
    <comment ref="AE51" authorId="1" shapeId="0">
      <text>
        <r>
          <rPr>
            <b/>
            <sz val="9"/>
            <color indexed="81"/>
            <rFont val="Tahoma"/>
            <family val="2"/>
          </rPr>
          <t>WERD:
Este factor esta dado en kg CH4/cabeza*unidad de tiempo</t>
        </r>
        <r>
          <rPr>
            <sz val="9"/>
            <color indexed="81"/>
            <rFont val="Tahoma"/>
            <family val="2"/>
          </rPr>
          <t xml:space="preserve">
Según el numero de datos, la unidad de tiempo puede estar dada en meses (12 datos), semestres (6 datos), trimestres (4 datos), año (1 dato)</t>
        </r>
      </text>
    </comment>
    <comment ref="E52" authorId="1" shapeId="0">
      <text>
        <r>
          <rPr>
            <b/>
            <sz val="9"/>
            <color indexed="81"/>
            <rFont val="Tahoma"/>
            <family val="2"/>
          </rPr>
          <t>WERD:</t>
        </r>
        <r>
          <rPr>
            <sz val="9"/>
            <color indexed="81"/>
            <rFont val="Tahoma"/>
            <family val="2"/>
          </rPr>
          <t xml:space="preserve">
Dato directo alcaldia</t>
        </r>
      </text>
    </comment>
    <comment ref="AE52" authorId="1" shapeId="0">
      <text>
        <r>
          <rPr>
            <b/>
            <sz val="9"/>
            <color indexed="81"/>
            <rFont val="Tahoma"/>
            <family val="2"/>
          </rPr>
          <t>WERD:
Este factor esta dado en kg CH4/cabeza*unidad de tiempo</t>
        </r>
        <r>
          <rPr>
            <sz val="9"/>
            <color indexed="81"/>
            <rFont val="Tahoma"/>
            <family val="2"/>
          </rPr>
          <t xml:space="preserve">
Según el numero de datos, la unidad de tiempo puede estar dada en meses (12 datos), semestres (6 datos), trimestres (4 datos), año (1 dato)</t>
        </r>
      </text>
    </comment>
    <comment ref="AE53" authorId="1" shapeId="0">
      <text>
        <r>
          <rPr>
            <b/>
            <sz val="9"/>
            <color indexed="81"/>
            <rFont val="Tahoma"/>
            <family val="2"/>
          </rPr>
          <t>WERD:
Este factor esta dado en kg CH4/cabeza*unidad de tiempo</t>
        </r>
        <r>
          <rPr>
            <sz val="9"/>
            <color indexed="81"/>
            <rFont val="Tahoma"/>
            <family val="2"/>
          </rPr>
          <t xml:space="preserve">
Según el numero de datos, la unidad de tiempo puede estar dada en meses (12 datos), semestres (6 datos), trimestres (4 datos), año (1 dato)</t>
        </r>
      </text>
    </comment>
    <comment ref="E55" authorId="1" shapeId="0">
      <text>
        <r>
          <rPr>
            <b/>
            <sz val="9"/>
            <color indexed="81"/>
            <rFont val="Tahoma"/>
            <family val="2"/>
          </rPr>
          <t>WERD:</t>
        </r>
        <r>
          <rPr>
            <sz val="9"/>
            <color indexed="81"/>
            <rFont val="Tahoma"/>
            <family val="2"/>
          </rPr>
          <t xml:space="preserve">
Inventario gobernacion </t>
        </r>
      </text>
    </comment>
    <comment ref="AE55" authorId="1" shapeId="0">
      <text>
        <r>
          <rPr>
            <b/>
            <sz val="9"/>
            <color indexed="81"/>
            <rFont val="Tahoma"/>
            <family val="2"/>
          </rPr>
          <t>WERD:
Este factor esta dado en kg CH4/cabeza*unidad de tiempo</t>
        </r>
        <r>
          <rPr>
            <sz val="9"/>
            <color indexed="81"/>
            <rFont val="Tahoma"/>
            <family val="2"/>
          </rPr>
          <t xml:space="preserve">
Según el numero de datos, la unidad de tiempo puede estar dada en meses (12 datos), semestres (6 datos), trimestres (4 datos), año (1 dato)</t>
        </r>
      </text>
    </comment>
    <comment ref="AL55" authorId="1" shapeId="0">
      <text>
        <r>
          <rPr>
            <b/>
            <sz val="9"/>
            <color indexed="81"/>
            <rFont val="Tahoma"/>
            <family val="2"/>
          </rPr>
          <t>WERD:
Este factor esta dado en kg CH4/cabeza*unidad de tiempo</t>
        </r>
        <r>
          <rPr>
            <sz val="9"/>
            <color indexed="81"/>
            <rFont val="Tahoma"/>
            <family val="2"/>
          </rPr>
          <t xml:space="preserve">
Según el numero de datos, la unidad de tiempo puede estar dada en meses (12 datos), semestres (6 datos), trimestres (4 datos), año (1 dato)</t>
        </r>
      </text>
    </comment>
    <comment ref="E56" authorId="1" shapeId="0">
      <text>
        <r>
          <rPr>
            <b/>
            <sz val="9"/>
            <color indexed="81"/>
            <rFont val="Tahoma"/>
            <family val="2"/>
          </rPr>
          <t>WERD:</t>
        </r>
        <r>
          <rPr>
            <sz val="9"/>
            <color indexed="81"/>
            <rFont val="Tahoma"/>
            <family val="2"/>
          </rPr>
          <t xml:space="preserve">
Inventario gobernacion </t>
        </r>
      </text>
    </comment>
    <comment ref="AE56" authorId="1" shapeId="0">
      <text>
        <r>
          <rPr>
            <b/>
            <sz val="9"/>
            <color indexed="81"/>
            <rFont val="Tahoma"/>
            <family val="2"/>
          </rPr>
          <t>WERD:
Este factor esta dado en kg CH4/cabeza*unidad de tiempo</t>
        </r>
        <r>
          <rPr>
            <sz val="9"/>
            <color indexed="81"/>
            <rFont val="Tahoma"/>
            <family val="2"/>
          </rPr>
          <t xml:space="preserve">
Según el numero de datos, la unidad de tiempo puede estar dada en meses (12 datos), semestres (6 datos), trimestres (4 datos), año (1 dato)</t>
        </r>
      </text>
    </comment>
    <comment ref="AL56" authorId="1" shapeId="0">
      <text>
        <r>
          <rPr>
            <b/>
            <sz val="9"/>
            <color indexed="81"/>
            <rFont val="Tahoma"/>
            <family val="2"/>
          </rPr>
          <t>WERD:
Este factor esta dado en kg CH4/cabeza*unidad de tiempo</t>
        </r>
        <r>
          <rPr>
            <sz val="9"/>
            <color indexed="81"/>
            <rFont val="Tahoma"/>
            <family val="2"/>
          </rPr>
          <t xml:space="preserve">
Según el numero de datos, la unidad de tiempo puede estar dada en meses (12 datos), semestres (6 datos), trimestres (4 datos), año (1 dato)</t>
        </r>
      </text>
    </comment>
    <comment ref="E57" authorId="1" shapeId="0">
      <text>
        <r>
          <rPr>
            <b/>
            <sz val="9"/>
            <color indexed="81"/>
            <rFont val="Tahoma"/>
            <family val="2"/>
          </rPr>
          <t>WERD:</t>
        </r>
        <r>
          <rPr>
            <sz val="9"/>
            <color indexed="81"/>
            <rFont val="Tahoma"/>
            <family val="2"/>
          </rPr>
          <t xml:space="preserve">
Inventario gobernacion </t>
        </r>
      </text>
    </comment>
    <comment ref="AE57" authorId="1" shapeId="0">
      <text>
        <r>
          <rPr>
            <b/>
            <sz val="9"/>
            <color indexed="81"/>
            <rFont val="Tahoma"/>
            <family val="2"/>
          </rPr>
          <t>WERD:
Este factor esta dado en kg CH4/cabeza*unidad de tiempo</t>
        </r>
        <r>
          <rPr>
            <sz val="9"/>
            <color indexed="81"/>
            <rFont val="Tahoma"/>
            <family val="2"/>
          </rPr>
          <t xml:space="preserve">
Según el numero de datos, la unidad de tiempo puede estar dada en meses (12 datos), semestres (6 datos), trimestres (4 datos), año (1 dato)</t>
        </r>
      </text>
    </comment>
    <comment ref="AL57" authorId="1" shapeId="0">
      <text>
        <r>
          <rPr>
            <b/>
            <sz val="9"/>
            <color indexed="81"/>
            <rFont val="Tahoma"/>
            <family val="2"/>
          </rPr>
          <t>WERD:
Este factor esta dado en kg CH4/cabeza*unidad de tiempo</t>
        </r>
        <r>
          <rPr>
            <sz val="9"/>
            <color indexed="81"/>
            <rFont val="Tahoma"/>
            <family val="2"/>
          </rPr>
          <t xml:space="preserve">
Según el numero de datos, la unidad de tiempo puede estar dada en meses (12 datos), semestres (6 datos), trimestres (4 datos), año (1 dato)</t>
        </r>
      </text>
    </comment>
    <comment ref="E58" authorId="1" shapeId="0">
      <text>
        <r>
          <rPr>
            <b/>
            <sz val="9"/>
            <color indexed="81"/>
            <rFont val="Tahoma"/>
            <family val="2"/>
          </rPr>
          <t>WERD:</t>
        </r>
        <r>
          <rPr>
            <sz val="9"/>
            <color indexed="81"/>
            <rFont val="Tahoma"/>
            <family val="2"/>
          </rPr>
          <t xml:space="preserve">
Inventario gobernacion </t>
        </r>
      </text>
    </comment>
    <comment ref="AE58" authorId="1" shapeId="0">
      <text>
        <r>
          <rPr>
            <b/>
            <sz val="9"/>
            <color indexed="81"/>
            <rFont val="Tahoma"/>
            <family val="2"/>
          </rPr>
          <t>WERD:
Este factor esta dado en kg CH4/cabeza*unidad de tiempo</t>
        </r>
        <r>
          <rPr>
            <sz val="9"/>
            <color indexed="81"/>
            <rFont val="Tahoma"/>
            <family val="2"/>
          </rPr>
          <t xml:space="preserve">
Según el numero de datos, la unidad de tiempo puede estar dada en meses (12 datos), semestres (6 datos), trimestres (4 datos), año (1 dato)</t>
        </r>
      </text>
    </comment>
    <comment ref="AL58" authorId="1" shapeId="0">
      <text>
        <r>
          <rPr>
            <b/>
            <sz val="9"/>
            <color indexed="81"/>
            <rFont val="Tahoma"/>
            <family val="2"/>
          </rPr>
          <t>WERD:
Este factor esta dado en kg CH4/cabeza*unidad de tiempo</t>
        </r>
        <r>
          <rPr>
            <sz val="9"/>
            <color indexed="81"/>
            <rFont val="Tahoma"/>
            <family val="2"/>
          </rPr>
          <t xml:space="preserve">
Según el numero de datos, la unidad de tiempo puede estar dada en meses (12 datos), semestres (6 datos), trimestres (4 datos), año (1 dato)</t>
        </r>
      </text>
    </comment>
    <comment ref="E59" authorId="1" shapeId="0">
      <text>
        <r>
          <rPr>
            <b/>
            <sz val="9"/>
            <color indexed="81"/>
            <rFont val="Tahoma"/>
            <family val="2"/>
          </rPr>
          <t>WERD:</t>
        </r>
        <r>
          <rPr>
            <sz val="9"/>
            <color indexed="81"/>
            <rFont val="Tahoma"/>
            <family val="2"/>
          </rPr>
          <t xml:space="preserve">
Inventario gobernacion </t>
        </r>
      </text>
    </comment>
    <comment ref="AE59" authorId="1" shapeId="0">
      <text>
        <r>
          <rPr>
            <b/>
            <sz val="9"/>
            <color indexed="81"/>
            <rFont val="Tahoma"/>
            <family val="2"/>
          </rPr>
          <t>WERD:
Este factor esta dado en kg CH4/cabeza*unidad de tiempo</t>
        </r>
        <r>
          <rPr>
            <sz val="9"/>
            <color indexed="81"/>
            <rFont val="Tahoma"/>
            <family val="2"/>
          </rPr>
          <t xml:space="preserve">
Según el numero de datos, la unidad de tiempo puede estar dada en meses (12 datos), semestres (6 datos), trimestres (4 datos), año (1 dato)</t>
        </r>
      </text>
    </comment>
    <comment ref="AL59" authorId="1" shapeId="0">
      <text>
        <r>
          <rPr>
            <b/>
            <sz val="9"/>
            <color indexed="81"/>
            <rFont val="Tahoma"/>
            <family val="2"/>
          </rPr>
          <t>WERD:
Este factor esta dado en kg CH4/cabeza*unidad de tiempo</t>
        </r>
        <r>
          <rPr>
            <sz val="9"/>
            <color indexed="81"/>
            <rFont val="Tahoma"/>
            <family val="2"/>
          </rPr>
          <t xml:space="preserve">
Según el numero de datos, la unidad de tiempo puede estar dada en meses (12 datos), semestres (6 datos), trimestres (4 datos), año (1 dato)</t>
        </r>
      </text>
    </comment>
    <comment ref="E60" authorId="1" shapeId="0">
      <text>
        <r>
          <rPr>
            <b/>
            <sz val="9"/>
            <color indexed="81"/>
            <rFont val="Tahoma"/>
            <family val="2"/>
          </rPr>
          <t>WERD:</t>
        </r>
        <r>
          <rPr>
            <sz val="9"/>
            <color indexed="81"/>
            <rFont val="Tahoma"/>
            <family val="2"/>
          </rPr>
          <t xml:space="preserve">
Inventario gobernacion </t>
        </r>
      </text>
    </comment>
    <comment ref="AE60" authorId="1" shapeId="0">
      <text>
        <r>
          <rPr>
            <b/>
            <sz val="9"/>
            <color indexed="81"/>
            <rFont val="Tahoma"/>
            <family val="2"/>
          </rPr>
          <t>WERD:
Este factor esta dado en kg CH4/cabeza*unidad de tiempo</t>
        </r>
        <r>
          <rPr>
            <sz val="9"/>
            <color indexed="81"/>
            <rFont val="Tahoma"/>
            <family val="2"/>
          </rPr>
          <t xml:space="preserve">
Según el numero de datos, la unidad de tiempo puede estar dada en meses (12 datos), semestres (6 datos), trimestres (4 datos), año (1 dato)</t>
        </r>
      </text>
    </comment>
    <comment ref="AL60" authorId="1" shapeId="0">
      <text>
        <r>
          <rPr>
            <b/>
            <sz val="9"/>
            <color indexed="81"/>
            <rFont val="Tahoma"/>
            <family val="2"/>
          </rPr>
          <t>WERD:
Este factor esta dado en kg CH4/cabeza*unidad de tiempo</t>
        </r>
        <r>
          <rPr>
            <sz val="9"/>
            <color indexed="81"/>
            <rFont val="Tahoma"/>
            <family val="2"/>
          </rPr>
          <t xml:space="preserve">
Según el numero de datos, la unidad de tiempo puede estar dada en meses (12 datos), semestres (6 datos), trimestres (4 datos), año (1 dato)</t>
        </r>
      </text>
    </comment>
    <comment ref="E61" authorId="1" shapeId="0">
      <text>
        <r>
          <rPr>
            <b/>
            <sz val="9"/>
            <color indexed="81"/>
            <rFont val="Tahoma"/>
            <family val="2"/>
          </rPr>
          <t>WERD:</t>
        </r>
        <r>
          <rPr>
            <sz val="9"/>
            <color indexed="81"/>
            <rFont val="Tahoma"/>
            <family val="2"/>
          </rPr>
          <t xml:space="preserve">
Inventario gobernacion </t>
        </r>
      </text>
    </comment>
    <comment ref="AE61" authorId="1" shapeId="0">
      <text>
        <r>
          <rPr>
            <b/>
            <sz val="9"/>
            <color indexed="81"/>
            <rFont val="Tahoma"/>
            <family val="2"/>
          </rPr>
          <t>WERD:
Este factor esta dado en kg CH4/cabeza*unidad de tiempo</t>
        </r>
        <r>
          <rPr>
            <sz val="9"/>
            <color indexed="81"/>
            <rFont val="Tahoma"/>
            <family val="2"/>
          </rPr>
          <t xml:space="preserve">
Según el numero de datos, la unidad de tiempo puede estar dada en meses (12 datos), semestres (6 datos), trimestres (4 datos), año (1 dato)</t>
        </r>
      </text>
    </comment>
    <comment ref="AL61" authorId="1" shapeId="0">
      <text>
        <r>
          <rPr>
            <b/>
            <sz val="9"/>
            <color indexed="81"/>
            <rFont val="Tahoma"/>
            <family val="2"/>
          </rPr>
          <t>WERD:
Este factor esta dado en kg CH4/cabeza*unidad de tiempo</t>
        </r>
        <r>
          <rPr>
            <sz val="9"/>
            <color indexed="81"/>
            <rFont val="Tahoma"/>
            <family val="2"/>
          </rPr>
          <t xml:space="preserve">
Según el numero de datos, la unidad de tiempo puede estar dada en meses (12 datos), semestres (6 datos), trimestres (4 datos), año (1 dato)</t>
        </r>
      </text>
    </comment>
    <comment ref="AE62" authorId="1" shapeId="0">
      <text>
        <r>
          <rPr>
            <b/>
            <sz val="9"/>
            <color indexed="81"/>
            <rFont val="Tahoma"/>
            <family val="2"/>
          </rPr>
          <t>WERD:
Este factor esta dado en kg CH4/cabeza*unidad de tiempo</t>
        </r>
        <r>
          <rPr>
            <sz val="9"/>
            <color indexed="81"/>
            <rFont val="Tahoma"/>
            <family val="2"/>
          </rPr>
          <t xml:space="preserve">
Según el numero de datos, la unidad de tiempo puede estar dada en meses (12 datos), semestres (6 datos), trimestres (4 datos), año (1 dato)</t>
        </r>
      </text>
    </comment>
    <comment ref="AL62" authorId="1" shapeId="0">
      <text>
        <r>
          <rPr>
            <b/>
            <sz val="9"/>
            <color indexed="81"/>
            <rFont val="Tahoma"/>
            <family val="2"/>
          </rPr>
          <t>WERD:
Este factor esta dado en kg CH4/cabeza*unidad de tiempo</t>
        </r>
        <r>
          <rPr>
            <sz val="9"/>
            <color indexed="81"/>
            <rFont val="Tahoma"/>
            <family val="2"/>
          </rPr>
          <t xml:space="preserve">
Según el numero de datos, la unidad de tiempo puede estar dada en meses (12 datos), semestres (6 datos), trimestres (4 datos), año (1 dato)</t>
        </r>
      </text>
    </comment>
    <comment ref="AL64" authorId="1" shapeId="0">
      <text>
        <r>
          <rPr>
            <b/>
            <sz val="9"/>
            <color indexed="81"/>
            <rFont val="Tahoma"/>
            <family val="2"/>
          </rPr>
          <t>WERD:
Este factor esta dado en kg CH4/cabeza*unidad de tiempo</t>
        </r>
        <r>
          <rPr>
            <sz val="9"/>
            <color indexed="81"/>
            <rFont val="Tahoma"/>
            <family val="2"/>
          </rPr>
          <t xml:space="preserve">
Según el numero de datos, la unidad de tiempo puede estar dada en meses (12 datos), semestres (6 datos), trimestres (4 datos), año (1 dato)</t>
        </r>
      </text>
    </comment>
    <comment ref="AL65" authorId="1" shapeId="0">
      <text>
        <r>
          <rPr>
            <b/>
            <sz val="9"/>
            <color indexed="81"/>
            <rFont val="Tahoma"/>
            <family val="2"/>
          </rPr>
          <t>WERD:
Este factor esta dado en kg CH4/cabeza*unidad de tiempo</t>
        </r>
        <r>
          <rPr>
            <sz val="9"/>
            <color indexed="81"/>
            <rFont val="Tahoma"/>
            <family val="2"/>
          </rPr>
          <t xml:space="preserve">
Según el numero de datos, la unidad de tiempo puede estar dada en meses (12 datos), semestres (6 datos), trimestres (4 datos), año (1 dato)</t>
        </r>
      </text>
    </comment>
    <comment ref="AL66" authorId="1" shapeId="0">
      <text>
        <r>
          <rPr>
            <b/>
            <sz val="9"/>
            <color indexed="81"/>
            <rFont val="Tahoma"/>
            <family val="2"/>
          </rPr>
          <t>WERD:
Este factor esta dado en kg CH4/cabeza*unidad de tiempo</t>
        </r>
        <r>
          <rPr>
            <sz val="9"/>
            <color indexed="81"/>
            <rFont val="Tahoma"/>
            <family val="2"/>
          </rPr>
          <t xml:space="preserve">
Según el numero de datos, la unidad de tiempo puede estar dada en meses (12 datos), semestres (6 datos), trimestres (4 datos), año (1 dato)</t>
        </r>
      </text>
    </comment>
    <comment ref="E68" authorId="1" shapeId="0">
      <text>
        <r>
          <rPr>
            <b/>
            <sz val="9"/>
            <color indexed="81"/>
            <rFont val="Tahoma"/>
            <family val="2"/>
          </rPr>
          <t>WERD:</t>
        </r>
        <r>
          <rPr>
            <sz val="9"/>
            <color indexed="81"/>
            <rFont val="Tahoma"/>
            <family val="2"/>
          </rPr>
          <t xml:space="preserve">
Dato directo alcaldia
Mitad fertilizante - mitad urea
15% de contenido de N2 en el fertilizante
Bultos de 50 kg</t>
        </r>
      </text>
    </comment>
    <comment ref="E72" authorId="1" shapeId="0">
      <text>
        <r>
          <rPr>
            <b/>
            <sz val="9"/>
            <color indexed="81"/>
            <rFont val="Tahoma"/>
            <family val="2"/>
          </rPr>
          <t>WERD:</t>
        </r>
        <r>
          <rPr>
            <sz val="9"/>
            <color indexed="81"/>
            <rFont val="Tahoma"/>
            <family val="2"/>
          </rPr>
          <t xml:space="preserve">
Dato directo alcaldia
Mitad fertilizante - mitad urea
Bultos de 50 kg</t>
        </r>
      </text>
    </comment>
    <comment ref="AC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89" authorId="0" shapeId="0">
      <text>
        <r>
          <rPr>
            <b/>
            <sz val="9"/>
            <color indexed="81"/>
            <rFont val="Tahoma"/>
            <family val="2"/>
          </rPr>
          <t>80123558:</t>
        </r>
        <r>
          <rPr>
            <sz val="9"/>
            <color indexed="81"/>
            <rFont val="Tahoma"/>
            <family val="2"/>
          </rPr>
          <t xml:space="preserve">
Despliegue la lista y seleccione la categoría de datos  asociada al consumo en su organización </t>
        </r>
      </text>
    </comment>
    <comment ref="AE89" authorId="0" shapeId="0">
      <text>
        <r>
          <rPr>
            <b/>
            <sz val="9"/>
            <color indexed="81"/>
            <rFont val="Tahoma"/>
            <family val="2"/>
          </rPr>
          <t>80123558:</t>
        </r>
        <r>
          <rPr>
            <sz val="9"/>
            <color indexed="81"/>
            <rFont val="Tahoma"/>
            <family val="2"/>
          </rPr>
          <t xml:space="preserve">
Devuelve el valor de las emisiones de GEI asociadas a la variable elegida.</t>
        </r>
      </text>
    </comment>
    <comment ref="AF89"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90" authorId="0" shapeId="0">
      <text>
        <r>
          <rPr>
            <b/>
            <sz val="9"/>
            <color indexed="81"/>
            <rFont val="Tahoma"/>
            <family val="2"/>
          </rPr>
          <t>80123558:</t>
        </r>
        <r>
          <rPr>
            <sz val="9"/>
            <color indexed="81"/>
            <rFont val="Tahoma"/>
            <family val="2"/>
          </rPr>
          <t xml:space="preserve">
Indica la unidad en la que deben ser consignados los datos de consumo asociados a la variable elegida en la columna anterior</t>
        </r>
      </text>
    </comment>
    <comment ref="E90" authorId="0" shapeId="0">
      <text>
        <r>
          <rPr>
            <b/>
            <sz val="9"/>
            <color indexed="81"/>
            <rFont val="Tahoma"/>
            <family val="2"/>
          </rPr>
          <t xml:space="preserve">80123558:
</t>
        </r>
        <r>
          <rPr>
            <sz val="9"/>
            <color indexed="81"/>
            <rFont val="Tahoma"/>
            <family val="2"/>
          </rPr>
          <t>Incluya el valor del primer (o único) dato asociado a la variable correspondiente, en las unidades descritas en la columna "UNIDAD".</t>
        </r>
      </text>
    </comment>
    <comment ref="F90"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90"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90"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90"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90"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90"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90"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90"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90"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90"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90"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90" authorId="0" shapeId="0">
      <text>
        <r>
          <rPr>
            <b/>
            <sz val="9"/>
            <color indexed="81"/>
            <rFont val="Tahoma"/>
            <family val="2"/>
          </rPr>
          <t>80123558:</t>
        </r>
        <r>
          <rPr>
            <sz val="9"/>
            <color indexed="81"/>
            <rFont val="Tahoma"/>
            <family val="2"/>
          </rPr>
          <t xml:space="preserve">
Devuelve el valor total del consumo asociado a cada variable.</t>
        </r>
      </text>
    </comment>
    <comment ref="R90"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90"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90"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90"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90"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F99"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102" authorId="0" shapeId="0">
      <text>
        <r>
          <rPr>
            <b/>
            <sz val="9"/>
            <color indexed="81"/>
            <rFont val="Tahoma"/>
            <family val="2"/>
          </rPr>
          <t>80123558:</t>
        </r>
        <r>
          <rPr>
            <sz val="9"/>
            <color indexed="81"/>
            <rFont val="Tahoma"/>
            <family val="2"/>
          </rPr>
          <t xml:space="preserve">
Despliegue la lista y seleccione la categoría de datos  asociada al consumo en su organización </t>
        </r>
      </text>
    </comment>
    <comment ref="AE102" authorId="0" shapeId="0">
      <text>
        <r>
          <rPr>
            <b/>
            <sz val="9"/>
            <color indexed="81"/>
            <rFont val="Tahoma"/>
            <family val="2"/>
          </rPr>
          <t>80123558:</t>
        </r>
        <r>
          <rPr>
            <sz val="9"/>
            <color indexed="81"/>
            <rFont val="Tahoma"/>
            <family val="2"/>
          </rPr>
          <t xml:space="preserve">
Devuelve el valor de las emisiones de GEI asociadas a la variable elegida.</t>
        </r>
      </text>
    </comment>
    <comment ref="AF102"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03" authorId="0" shapeId="0">
      <text>
        <r>
          <rPr>
            <b/>
            <sz val="9"/>
            <color indexed="81"/>
            <rFont val="Tahoma"/>
            <family val="2"/>
          </rPr>
          <t>80123558:</t>
        </r>
        <r>
          <rPr>
            <sz val="9"/>
            <color indexed="81"/>
            <rFont val="Tahoma"/>
            <family val="2"/>
          </rPr>
          <t xml:space="preserve">
Indica la unidad en la que deben ser consignados los datos de consumo asociados a la variable elegida en la columna anterior</t>
        </r>
      </text>
    </comment>
    <comment ref="E103" authorId="0" shapeId="0">
      <text>
        <r>
          <rPr>
            <b/>
            <sz val="9"/>
            <color indexed="81"/>
            <rFont val="Tahoma"/>
            <family val="2"/>
          </rPr>
          <t xml:space="preserve">80123558:
</t>
        </r>
        <r>
          <rPr>
            <sz val="9"/>
            <color indexed="81"/>
            <rFont val="Tahoma"/>
            <family val="2"/>
          </rPr>
          <t>Incluya el valor del primer (o único) dato asociado a la variable correspondiente, en las unidades descritas en la columna "UNIDAD".</t>
        </r>
      </text>
    </comment>
    <comment ref="F103"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03"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03"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03"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03"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03"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03"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03"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03"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03"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03"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03" authorId="0" shapeId="0">
      <text>
        <r>
          <rPr>
            <b/>
            <sz val="9"/>
            <color indexed="81"/>
            <rFont val="Tahoma"/>
            <family val="2"/>
          </rPr>
          <t>80123558:</t>
        </r>
        <r>
          <rPr>
            <sz val="9"/>
            <color indexed="81"/>
            <rFont val="Tahoma"/>
            <family val="2"/>
          </rPr>
          <t xml:space="preserve">
Devuelve el valor total del consumo asociado a cada variable.</t>
        </r>
      </text>
    </comment>
    <comment ref="R103"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03"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03"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03"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03"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107"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F107"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134"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59"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69"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95"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08"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09"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96" authorId="1" shapeId="0">
      <text>
        <r>
          <rPr>
            <b/>
            <sz val="9"/>
            <color indexed="81"/>
            <rFont val="Tahoma"/>
            <family val="2"/>
          </rPr>
          <t>WERD:</t>
        </r>
        <r>
          <rPr>
            <sz val="9"/>
            <color indexed="81"/>
            <rFont val="Tahoma"/>
            <family val="2"/>
          </rPr>
          <t xml:space="preserve">
Tomados de la metodología 2006 del IPCC</t>
        </r>
      </text>
    </comment>
    <comment ref="BM307"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08"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09"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10"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11"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12"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13"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322" authorId="1" shapeId="0">
      <text>
        <r>
          <rPr>
            <b/>
            <sz val="9"/>
            <color indexed="81"/>
            <rFont val="Tahoma"/>
            <family val="2"/>
          </rPr>
          <t>WERD:</t>
        </r>
        <r>
          <rPr>
            <sz val="9"/>
            <color indexed="81"/>
            <rFont val="Tahoma"/>
            <family val="2"/>
          </rPr>
          <t xml:space="preserve">
http://www.lrrd.org/lrrd27/10/moul27194.html</t>
        </r>
      </text>
    </comment>
    <comment ref="BO323" authorId="1"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26" authorId="1"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27" authorId="1" shapeId="0">
      <text>
        <r>
          <rPr>
            <b/>
            <sz val="9"/>
            <color indexed="81"/>
            <rFont val="Tahoma"/>
            <family val="2"/>
          </rPr>
          <t>WERD:</t>
        </r>
        <r>
          <rPr>
            <sz val="9"/>
            <color indexed="81"/>
            <rFont val="Tahoma"/>
            <family val="2"/>
          </rPr>
          <t xml:space="preserve">
Se manejan valores en la categoria de N2O de suelos</t>
        </r>
      </text>
    </comment>
    <comment ref="AN327" authorId="1" shapeId="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28"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28"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28"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28"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28"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28"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28"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28"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28"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28"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28"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28"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28"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28"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28"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28"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28"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28"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28"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28"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28"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28"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28"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28"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28"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28"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28"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28"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6.xml><?xml version="1.0" encoding="utf-8"?>
<comments xmlns="http://schemas.openxmlformats.org/spreadsheetml/2006/main">
  <authors>
    <author>80123558</author>
    <author>WERD</author>
    <author>oficina</author>
  </authors>
  <commentList>
    <comment ref="C15" authorId="0" shapeId="0">
      <text>
        <r>
          <rPr>
            <b/>
            <sz val="9"/>
            <color indexed="81"/>
            <rFont val="Tahoma"/>
            <family val="2"/>
          </rPr>
          <t>80123558:</t>
        </r>
        <r>
          <rPr>
            <sz val="9"/>
            <color indexed="81"/>
            <rFont val="Tahoma"/>
            <family val="2"/>
          </rPr>
          <t xml:space="preserve">
Despliegue la lista y seleccione la categoría de datos  asociada al consumo en su organización </t>
        </r>
      </text>
    </comment>
    <comment ref="BF15" authorId="0" shapeId="0">
      <text>
        <r>
          <rPr>
            <b/>
            <sz val="9"/>
            <color indexed="81"/>
            <rFont val="Tahoma"/>
            <family val="2"/>
          </rPr>
          <t>80123558:</t>
        </r>
        <r>
          <rPr>
            <sz val="9"/>
            <color indexed="81"/>
            <rFont val="Tahoma"/>
            <family val="2"/>
          </rPr>
          <t xml:space="preserve">
Devuelve el valor de las emisiones de GEI asociadas a la variable elegida.</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b/>
            <sz val="9"/>
            <color indexed="81"/>
            <rFont val="Tahoma"/>
            <family val="2"/>
          </rPr>
          <t>80123558:</t>
        </r>
        <r>
          <rPr>
            <sz val="9"/>
            <color indexed="81"/>
            <rFont val="Tahoma"/>
            <family val="2"/>
          </rPr>
          <t xml:space="preserve">
Indica la unidad en la que deben ser consignados los datos de consumo asociados a la variable elegida en la columna anterior</t>
        </r>
      </text>
    </comment>
    <comment ref="E16" authorId="0" shapeId="0">
      <text>
        <r>
          <rPr>
            <b/>
            <sz val="9"/>
            <color indexed="81"/>
            <rFont val="Tahoma"/>
            <family val="2"/>
          </rPr>
          <t xml:space="preserve">80123558:
</t>
        </r>
        <r>
          <rPr>
            <sz val="9"/>
            <color indexed="81"/>
            <rFont val="Tahoma"/>
            <family val="2"/>
          </rPr>
          <t>Incluya el valor del primer (o único) dato asociado a la variable correspondiente, en las unidades descritas en la columna "UNIDAD".</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2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2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2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2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2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2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31" authorId="0" shapeId="0">
      <text>
        <r>
          <rPr>
            <b/>
            <sz val="9"/>
            <color indexed="81"/>
            <rFont val="Tahoma"/>
            <family val="2"/>
          </rPr>
          <t>80123558:</t>
        </r>
        <r>
          <rPr>
            <sz val="9"/>
            <color indexed="81"/>
            <rFont val="Tahoma"/>
            <family val="2"/>
          </rPr>
          <t xml:space="preserve">
Despliegue la lista y seleccione la categoría de datos  asociada al consumo en su organización </t>
        </r>
      </text>
    </comment>
    <comment ref="BF31" authorId="0" shapeId="0">
      <text>
        <r>
          <rPr>
            <b/>
            <sz val="9"/>
            <color indexed="81"/>
            <rFont val="Tahoma"/>
            <family val="2"/>
          </rPr>
          <t>80123558:</t>
        </r>
        <r>
          <rPr>
            <sz val="9"/>
            <color indexed="81"/>
            <rFont val="Tahoma"/>
            <family val="2"/>
          </rPr>
          <t xml:space="preserve">
Devuelve el valor de las emisiones de GEI asociadas a la variable elegida.</t>
        </r>
      </text>
    </comment>
    <comment ref="BG31"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32" authorId="0" shapeId="0">
      <text>
        <r>
          <rPr>
            <b/>
            <sz val="9"/>
            <color indexed="81"/>
            <rFont val="Tahoma"/>
            <family val="2"/>
          </rPr>
          <t>80123558:</t>
        </r>
        <r>
          <rPr>
            <sz val="9"/>
            <color indexed="81"/>
            <rFont val="Tahoma"/>
            <family val="2"/>
          </rPr>
          <t xml:space="preserve">
Indica la unidad en la que deben ser consignados los datos de consumo asociados a la variable elegida en la columna anterior</t>
        </r>
      </text>
    </comment>
    <comment ref="E32" authorId="0" shapeId="0">
      <text>
        <r>
          <rPr>
            <b/>
            <sz val="9"/>
            <color indexed="81"/>
            <rFont val="Tahoma"/>
            <family val="2"/>
          </rPr>
          <t xml:space="preserve">80123558:
</t>
        </r>
        <r>
          <rPr>
            <sz val="9"/>
            <color indexed="81"/>
            <rFont val="Tahoma"/>
            <family val="2"/>
          </rPr>
          <t>Incluya el valor del primer (o único) dato asociado a la variable correspondiente, en las unidades descritas en la columna "UNIDAD".</t>
        </r>
      </text>
    </comment>
    <comment ref="F32"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32"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32"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32"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32"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32"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32"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32"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32"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32"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32"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32" authorId="0" shapeId="0">
      <text>
        <r>
          <rPr>
            <b/>
            <sz val="9"/>
            <color indexed="81"/>
            <rFont val="Tahoma"/>
            <family val="2"/>
          </rPr>
          <t>80123558:</t>
        </r>
        <r>
          <rPr>
            <sz val="9"/>
            <color indexed="81"/>
            <rFont val="Tahoma"/>
            <family val="2"/>
          </rPr>
          <t xml:space="preserve">
Devuelve el valor total del consumo asociado a cada variable.</t>
        </r>
      </text>
    </comment>
    <comment ref="R32"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32"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32"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32"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32"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4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4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4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4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4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4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53" authorId="0" shapeId="0">
      <text>
        <r>
          <rPr>
            <b/>
            <sz val="9"/>
            <color indexed="81"/>
            <rFont val="Tahoma"/>
            <family val="2"/>
          </rPr>
          <t>80123558:</t>
        </r>
        <r>
          <rPr>
            <sz val="9"/>
            <color indexed="81"/>
            <rFont val="Tahoma"/>
            <family val="2"/>
          </rPr>
          <t xml:space="preserve">
Despliegue la lista y seleccione la categoría de datos  asociada al consumo en su organización </t>
        </r>
      </text>
    </comment>
    <comment ref="AE53" authorId="0" shapeId="0">
      <text>
        <r>
          <rPr>
            <b/>
            <sz val="9"/>
            <color indexed="81"/>
            <rFont val="Tahoma"/>
            <family val="2"/>
          </rPr>
          <t>80123558:</t>
        </r>
        <r>
          <rPr>
            <sz val="9"/>
            <color indexed="81"/>
            <rFont val="Tahoma"/>
            <family val="2"/>
          </rPr>
          <t xml:space="preserve">
Devuelve el valor de las emisiones de GEI asociadas a la variable elegida.</t>
        </r>
      </text>
    </comment>
    <comment ref="AF53"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54" authorId="0" shapeId="0">
      <text>
        <r>
          <rPr>
            <b/>
            <sz val="9"/>
            <color indexed="81"/>
            <rFont val="Tahoma"/>
            <family val="2"/>
          </rPr>
          <t>80123558:</t>
        </r>
        <r>
          <rPr>
            <sz val="9"/>
            <color indexed="81"/>
            <rFont val="Tahoma"/>
            <family val="2"/>
          </rPr>
          <t xml:space="preserve">
Indica la unidad en la que deben ser consignados los datos de consumo asociados a la variable elegida en la columna anterior</t>
        </r>
      </text>
    </comment>
    <comment ref="E54" authorId="0" shapeId="0">
      <text>
        <r>
          <rPr>
            <b/>
            <sz val="9"/>
            <color indexed="81"/>
            <rFont val="Tahoma"/>
            <family val="2"/>
          </rPr>
          <t xml:space="preserve">80123558:
</t>
        </r>
        <r>
          <rPr>
            <sz val="9"/>
            <color indexed="81"/>
            <rFont val="Tahoma"/>
            <family val="2"/>
          </rPr>
          <t>Incluya el valor del primer (o único) dato asociado a la variable correspondiente, en las unidades descritas en la columna "UNIDAD".</t>
        </r>
      </text>
    </comment>
    <comment ref="F54"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4"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4"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4"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4"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4"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4"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4"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4"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4"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4"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4" authorId="0" shapeId="0">
      <text>
        <r>
          <rPr>
            <b/>
            <sz val="9"/>
            <color indexed="81"/>
            <rFont val="Tahoma"/>
            <family val="2"/>
          </rPr>
          <t>80123558:</t>
        </r>
        <r>
          <rPr>
            <sz val="9"/>
            <color indexed="81"/>
            <rFont val="Tahoma"/>
            <family val="2"/>
          </rPr>
          <t xml:space="preserve">
Devuelve el valor total del consumo asociado a cada variable.</t>
        </r>
      </text>
    </comment>
    <comment ref="R54"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4"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54"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4"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4"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85"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0"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0"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46"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59"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0"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47" authorId="1" shapeId="0">
      <text>
        <r>
          <rPr>
            <b/>
            <sz val="9"/>
            <color indexed="81"/>
            <rFont val="Tahoma"/>
            <family val="2"/>
          </rPr>
          <t>WERD:</t>
        </r>
        <r>
          <rPr>
            <sz val="9"/>
            <color indexed="81"/>
            <rFont val="Tahoma"/>
            <family val="2"/>
          </rPr>
          <t xml:space="preserve">
Tomados de la metodología 2006 del IPCC</t>
        </r>
      </text>
    </comment>
    <comment ref="BM258"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59"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0"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1"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2"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3"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4"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273" authorId="1" shapeId="0">
      <text>
        <r>
          <rPr>
            <b/>
            <sz val="9"/>
            <color indexed="81"/>
            <rFont val="Tahoma"/>
            <family val="2"/>
          </rPr>
          <t>WERD:</t>
        </r>
        <r>
          <rPr>
            <sz val="9"/>
            <color indexed="81"/>
            <rFont val="Tahoma"/>
            <family val="2"/>
          </rPr>
          <t xml:space="preserve">
http://www.lrrd.org/lrrd27/10/moul27194.html</t>
        </r>
      </text>
    </comment>
    <comment ref="BO274" authorId="1"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77" authorId="1"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78" authorId="1" shapeId="0">
      <text>
        <r>
          <rPr>
            <b/>
            <sz val="9"/>
            <color indexed="81"/>
            <rFont val="Tahoma"/>
            <family val="2"/>
          </rPr>
          <t>WERD:</t>
        </r>
        <r>
          <rPr>
            <sz val="9"/>
            <color indexed="81"/>
            <rFont val="Tahoma"/>
            <family val="2"/>
          </rPr>
          <t xml:space="preserve">
Se manejan valores en la categoria de N2O de suelos</t>
        </r>
      </text>
    </comment>
    <comment ref="AN278" authorId="1" shapeId="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279"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79"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79"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79"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79"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79"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79"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79"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79"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79"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79"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79"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79"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79"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79"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79"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79"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79"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79"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79"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79"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79"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79"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79"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79"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79"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79"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79"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7.xml><?xml version="1.0" encoding="utf-8"?>
<comments xmlns="http://schemas.openxmlformats.org/spreadsheetml/2006/main">
  <authors>
    <author>WERD</author>
  </authors>
  <commentList>
    <comment ref="A61" authorId="0" shapeId="0">
      <text>
        <r>
          <rPr>
            <b/>
            <sz val="9"/>
            <color indexed="81"/>
            <rFont val="Tahoma"/>
            <family val="2"/>
          </rPr>
          <t>WERD:</t>
        </r>
        <r>
          <rPr>
            <sz val="9"/>
            <color indexed="81"/>
            <rFont val="Tahoma"/>
            <family val="2"/>
          </rPr>
          <t xml:space="preserve">
Panel Intergubernamental para el Cambio Climático IPCC, Directrices del IPCC de 2006 para los inventarios nacionales de gases de efecto invernadero – Combustión Estacionaria. Disponible en: http://www.ipcc-nggip.iges.or.jp/public/2006gl/spanish/pdf/2_Volume2/V2_2_Ch2_Stationary_Combustion.pdf </t>
        </r>
      </text>
    </comment>
    <comment ref="A76" authorId="0" shapeId="0">
      <text>
        <r>
          <rPr>
            <b/>
            <sz val="9"/>
            <color indexed="81"/>
            <rFont val="Tahoma"/>
            <family val="2"/>
          </rPr>
          <t>WERD:</t>
        </r>
        <r>
          <rPr>
            <sz val="9"/>
            <color indexed="81"/>
            <rFont val="Tahoma"/>
            <family val="2"/>
          </rPr>
          <t xml:space="preserve">
Global Protocol for Community-Scale Greenhouse Gas Emission Inventories.  An accounting and reporting standar for cities. World Resources Institute WRI - Climate Leadership Group C40 Cities - ICLEI.  Disponible en:  http://www.ghgprotocol.org/city-accounting </t>
        </r>
      </text>
    </comment>
    <comment ref="A92" authorId="0" shapeId="0">
      <text>
        <r>
          <rPr>
            <b/>
            <sz val="9"/>
            <color indexed="81"/>
            <rFont val="Tahoma"/>
            <family val="2"/>
          </rPr>
          <t>WERD:</t>
        </r>
        <r>
          <rPr>
            <sz val="9"/>
            <color indexed="81"/>
            <rFont val="Tahoma"/>
            <family val="2"/>
          </rPr>
          <t xml:space="preserve">
Global Protocol for Community-Scale Greenhouse Gas Emission Inventories.  An accounting and reporting standar for cities. World Resources Institute WRI - Climate Leadership Group C40 Cities - ICLEI.  Disponible en:  http://www.ghgprotocol.org/city-accounting </t>
        </r>
      </text>
    </comment>
  </commentList>
</comments>
</file>

<file path=xl/sharedStrings.xml><?xml version="1.0" encoding="utf-8"?>
<sst xmlns="http://schemas.openxmlformats.org/spreadsheetml/2006/main" count="17834" uniqueCount="1605">
  <si>
    <t>Crudo de Castilla</t>
  </si>
  <si>
    <t>Bagazo</t>
  </si>
  <si>
    <t>Carbón Genérico</t>
  </si>
  <si>
    <t>Leña</t>
  </si>
  <si>
    <t>Gas Natural Cusiana</t>
  </si>
  <si>
    <t>Gas Natural Guajira</t>
  </si>
  <si>
    <t>Gas Natural Guepaje</t>
  </si>
  <si>
    <t>LPG Propano</t>
  </si>
  <si>
    <t>SF6</t>
  </si>
  <si>
    <t>Uso de fertilizantes sintéticos</t>
  </si>
  <si>
    <t>Extracción de Carbón - Subterráneo</t>
  </si>
  <si>
    <t>Extracción de Carbón - Cielo Abierto</t>
  </si>
  <si>
    <t>Producción de coque</t>
  </si>
  <si>
    <t>Producción de Cal Viva</t>
  </si>
  <si>
    <t>Producción de Cal Dolomítica</t>
  </si>
  <si>
    <t>Producción de Amoniaco</t>
  </si>
  <si>
    <t>TELEFONO:</t>
  </si>
  <si>
    <t>MUNICIPIO:</t>
  </si>
  <si>
    <t>PERSONA QUE ELABORÓ:</t>
  </si>
  <si>
    <t>CELULAR:</t>
  </si>
  <si>
    <t>CARGO:</t>
  </si>
  <si>
    <t>AÑO BASE:</t>
  </si>
  <si>
    <t>FECHA:</t>
  </si>
  <si>
    <t>ALCANCE 1</t>
  </si>
  <si>
    <t>FUENTES MÓVILES</t>
  </si>
  <si>
    <t>CONSUMO</t>
  </si>
  <si>
    <t>INCERTIDUMBRE DE LA FUENTE</t>
  </si>
  <si>
    <t>UNIDAD</t>
  </si>
  <si>
    <t>DATO 1</t>
  </si>
  <si>
    <t>DATO 2</t>
  </si>
  <si>
    <t>DATO 3</t>
  </si>
  <si>
    <t>DATO 4</t>
  </si>
  <si>
    <t>DATO 5</t>
  </si>
  <si>
    <t>DATO 6</t>
  </si>
  <si>
    <t>DATO 7</t>
  </si>
  <si>
    <t>DATO 8</t>
  </si>
  <si>
    <t>DATO 9</t>
  </si>
  <si>
    <t>DATO 10</t>
  </si>
  <si>
    <t>DATO 11</t>
  </si>
  <si>
    <t>DATO 12</t>
  </si>
  <si>
    <t>TOTAL</t>
  </si>
  <si>
    <t>No. DATOS</t>
  </si>
  <si>
    <t>PROMEDIO</t>
  </si>
  <si>
    <t>DESVIACION ESTÁNDAR</t>
  </si>
  <si>
    <t>FACTOR T</t>
  </si>
  <si>
    <t xml:space="preserve">Variable Auxiliar = (Huella de carbono x Incertidumbre de la fuente)^2 </t>
  </si>
  <si>
    <t>SUBTOTAL COMBUSTIBLES</t>
  </si>
  <si>
    <t>SUBTOTAL FUENTES MÓVILES</t>
  </si>
  <si>
    <t>FUENTES FIJAS</t>
  </si>
  <si>
    <t>kg</t>
  </si>
  <si>
    <t>SUBTOTAL FUENTES FIJAS</t>
  </si>
  <si>
    <t>EMISIONES DE PROCESO</t>
  </si>
  <si>
    <t>Minería</t>
  </si>
  <si>
    <t>Industrial</t>
  </si>
  <si>
    <t>Fermentación Entérica</t>
  </si>
  <si>
    <t>Cabras</t>
  </si>
  <si>
    <t>Búfalos</t>
  </si>
  <si>
    <t>Ganado vacuno lechero</t>
  </si>
  <si>
    <t>Manejo de Estiércol</t>
  </si>
  <si>
    <t>Ganado vacuno no lechero</t>
  </si>
  <si>
    <t>Caballos</t>
  </si>
  <si>
    <t>Mulas y Asnos</t>
  </si>
  <si>
    <t>Residuos Agrícolas</t>
  </si>
  <si>
    <t>SUBTOTAL EMISIONES DE PROCESO</t>
  </si>
  <si>
    <t>TOTAL ALCANCE 1</t>
  </si>
  <si>
    <t>ALCANCE 2</t>
  </si>
  <si>
    <t>Consumo de energía eléctrica</t>
  </si>
  <si>
    <t>kgCO2 e/kg</t>
  </si>
  <si>
    <t>Papel bond blanco</t>
  </si>
  <si>
    <t>Papel reciclado</t>
  </si>
  <si>
    <t>Bogotá - Bucaramanga - Bogotá</t>
  </si>
  <si>
    <t>Bogotá - Cali - Bogotá</t>
  </si>
  <si>
    <t>Bogotá - Cartagena - Bogotá</t>
  </si>
  <si>
    <t>Bogotá - Barrancabermeja - Bogotá</t>
  </si>
  <si>
    <t>Bogotá - Armenia - Bogotá</t>
  </si>
  <si>
    <t>gal</t>
  </si>
  <si>
    <t>KWh</t>
  </si>
  <si>
    <t>ICAO</t>
  </si>
  <si>
    <t>Viaje</t>
  </si>
  <si>
    <t>Bogotá - Barranquilla - Bogotá</t>
  </si>
  <si>
    <t>Bogotá - Buenaventura - Bogotá</t>
  </si>
  <si>
    <t>Bogotá - Cúcuta - Bogotá</t>
  </si>
  <si>
    <t>Bogotá - Florencia - Bogotá</t>
  </si>
  <si>
    <t>Bogotá - Ibagué - Bogotá</t>
  </si>
  <si>
    <t>Bogotá - Leticia - Bogotá</t>
  </si>
  <si>
    <t>Bogotá - Manizales - Bogotá</t>
  </si>
  <si>
    <t>Bogotá - Medellín - Bogotá</t>
  </si>
  <si>
    <t>Bogotá - Mitú - Bogotá</t>
  </si>
  <si>
    <t>Bogotá - Neiva - Bogotá</t>
  </si>
  <si>
    <t>Bogotá - Pasto - Bogotá</t>
  </si>
  <si>
    <t>Bogotá - Pereira - Bogotá</t>
  </si>
  <si>
    <t>Bogotá - Popayán - Bogotá</t>
  </si>
  <si>
    <t>Bogotá - Puerto Carreño - Bogotá</t>
  </si>
  <si>
    <t>Bogotá - Santa Marta - Bogotá</t>
  </si>
  <si>
    <t>Bogotá - Valledupar - Bogotá</t>
  </si>
  <si>
    <t>Bogotá - Villavicencio - Bogotá</t>
  </si>
  <si>
    <t>Bogotá - Yopal - Bogotá</t>
  </si>
  <si>
    <t>Residuos</t>
  </si>
  <si>
    <t>kgCO2 e/cabeza</t>
  </si>
  <si>
    <t>kgCH4/cabeza/año</t>
  </si>
  <si>
    <t>Cabezas</t>
  </si>
  <si>
    <t>Ovejas</t>
  </si>
  <si>
    <t>Cerdos</t>
  </si>
  <si>
    <t>Cant.</t>
  </si>
  <si>
    <t>fracc oxidada</t>
  </si>
  <si>
    <t>C</t>
  </si>
  <si>
    <t>CH4</t>
  </si>
  <si>
    <t>FE</t>
  </si>
  <si>
    <t>FE total</t>
  </si>
  <si>
    <t>N-C</t>
  </si>
  <si>
    <t>N2O</t>
  </si>
  <si>
    <t>kg de N</t>
  </si>
  <si>
    <t>KgCO2 e/kg N</t>
  </si>
  <si>
    <t>fracción volatiza</t>
  </si>
  <si>
    <t>kgN2O/kg N</t>
  </si>
  <si>
    <t>PCG</t>
  </si>
  <si>
    <t>No. Datos</t>
  </si>
  <si>
    <t>Factor T</t>
  </si>
  <si>
    <t>Total</t>
  </si>
  <si>
    <t>Promedio</t>
  </si>
  <si>
    <t>Incertidumbre</t>
  </si>
  <si>
    <t>CORREO ELECTRÓNICO:</t>
  </si>
  <si>
    <t>INSTRUCCIONES</t>
  </si>
  <si>
    <t>Combustóleo</t>
  </si>
  <si>
    <t>CALCULO FACTOR DE EMISIÓN - MANEJO DE ESTIERCOL</t>
  </si>
  <si>
    <t>Ganado No Lechero - Clima Frío</t>
  </si>
  <si>
    <t>Ganado No Lechero - Clima Templado</t>
  </si>
  <si>
    <t>Ganado No Lechero - Clima Cálido</t>
  </si>
  <si>
    <t>Ganado Lechero - Clima Frío</t>
  </si>
  <si>
    <t>Ganado Lechero - Clima Templado</t>
  </si>
  <si>
    <t>Ganado Lechero - Clima Cálido</t>
  </si>
  <si>
    <t>Aves de Corral - Clima Frío</t>
  </si>
  <si>
    <t>Aves de Corral - Clima Templado</t>
  </si>
  <si>
    <t>Aves de Corral - Clima Cálido</t>
  </si>
  <si>
    <t>Ovejas - Clima Frío</t>
  </si>
  <si>
    <t>Ovejas - Clima Tempaldo</t>
  </si>
  <si>
    <t>Ovejas - Clima Cálido</t>
  </si>
  <si>
    <t>Cerdos Almacenamiento Sólido y Parcelas Secas - Clima Frío</t>
  </si>
  <si>
    <t>Cerdos Almacenamiento Sólido y Parcelas Secas - Clima Tempaldo</t>
  </si>
  <si>
    <t>Cerdos Almacenamiento Sólido y Parcelas Secas - Clima Cálido</t>
  </si>
  <si>
    <t>Cerdos Otros Sistemas de Manejo del Estiercol - Clima Frío</t>
  </si>
  <si>
    <t>Cerdos Otros Sistemas de Manejo del Estiercol - Clima Tempaldo</t>
  </si>
  <si>
    <t>Cerdos Otros Sistemas de Manejo del Estiercol - Clima Cálido</t>
  </si>
  <si>
    <t>Búfalos - Clima Frío</t>
  </si>
  <si>
    <t>Búfalos - Clima Templado</t>
  </si>
  <si>
    <t>Búfalos - Clima Cálido</t>
  </si>
  <si>
    <t>Cabras - Clima Frío</t>
  </si>
  <si>
    <t>Cabras - Clima Templado</t>
  </si>
  <si>
    <t>Cabras - Clima Cálido</t>
  </si>
  <si>
    <t>Caballos - Clima Frío</t>
  </si>
  <si>
    <t>Caballos - Clima Templado</t>
  </si>
  <si>
    <t>Caballos - Clima Cálido</t>
  </si>
  <si>
    <t>Mulas y Asnos - Clima Frío</t>
  </si>
  <si>
    <t>Mulas y Asnos - Clima Templado</t>
  </si>
  <si>
    <t>Mulas y Asnos - Clima Cálido</t>
  </si>
  <si>
    <t>TIPO DE ANIMAL</t>
  </si>
  <si>
    <r>
      <t>FACTOR  DE EMISIÓN CH</t>
    </r>
    <r>
      <rPr>
        <vertAlign val="subscript"/>
        <sz val="11"/>
        <color theme="1"/>
        <rFont val="Calibri"/>
        <family val="2"/>
        <scheme val="minor"/>
      </rPr>
      <t>4</t>
    </r>
  </si>
  <si>
    <r>
      <t>FACTOR EMISIÓN CO</t>
    </r>
    <r>
      <rPr>
        <vertAlign val="subscript"/>
        <sz val="11"/>
        <color theme="1"/>
        <rFont val="Calibri"/>
        <family val="2"/>
        <scheme val="minor"/>
      </rPr>
      <t>2</t>
    </r>
    <r>
      <rPr>
        <sz val="11"/>
        <color theme="1"/>
        <rFont val="Calibri"/>
        <family val="2"/>
        <scheme val="minor"/>
      </rPr>
      <t xml:space="preserve"> e</t>
    </r>
  </si>
  <si>
    <r>
      <t>CH</t>
    </r>
    <r>
      <rPr>
        <b/>
        <vertAlign val="subscript"/>
        <sz val="11"/>
        <color theme="1"/>
        <rFont val="Calibri"/>
        <family val="2"/>
        <scheme val="minor"/>
      </rPr>
      <t>4</t>
    </r>
  </si>
  <si>
    <t>N Excretado</t>
  </si>
  <si>
    <t>% N según Sistema de Manejo</t>
  </si>
  <si>
    <r>
      <t>Factor de Emisión N</t>
    </r>
    <r>
      <rPr>
        <vertAlign val="subscript"/>
        <sz val="11"/>
        <color theme="1"/>
        <rFont val="Calibri"/>
        <family val="2"/>
        <scheme val="minor"/>
      </rPr>
      <t>2</t>
    </r>
    <r>
      <rPr>
        <sz val="11"/>
        <color theme="1"/>
        <rFont val="Calibri"/>
        <family val="2"/>
        <scheme val="minor"/>
      </rPr>
      <t>O</t>
    </r>
  </si>
  <si>
    <t>N Excretado por Sistema de Manejo</t>
  </si>
  <si>
    <t>ExF</t>
  </si>
  <si>
    <r>
      <t>Emisiones de N</t>
    </r>
    <r>
      <rPr>
        <vertAlign val="subscript"/>
        <sz val="11"/>
        <color theme="1"/>
        <rFont val="Calibri"/>
        <family val="2"/>
        <scheme val="minor"/>
      </rPr>
      <t>2</t>
    </r>
    <r>
      <rPr>
        <sz val="11"/>
        <color theme="1"/>
        <rFont val="Calibri"/>
        <family val="2"/>
        <scheme val="minor"/>
      </rPr>
      <t>O</t>
    </r>
  </si>
  <si>
    <t>GxHx44/28</t>
  </si>
  <si>
    <r>
      <t>N</t>
    </r>
    <r>
      <rPr>
        <b/>
        <vertAlign val="subscript"/>
        <sz val="11"/>
        <color theme="1"/>
        <rFont val="Calibri"/>
        <family val="2"/>
        <scheme val="minor"/>
      </rPr>
      <t>2</t>
    </r>
    <r>
      <rPr>
        <b/>
        <sz val="11"/>
        <color theme="1"/>
        <rFont val="Calibri"/>
        <family val="2"/>
        <scheme val="minor"/>
      </rPr>
      <t>O</t>
    </r>
  </si>
  <si>
    <r>
      <t>FACTRO DE EMISION CO</t>
    </r>
    <r>
      <rPr>
        <vertAlign val="subscript"/>
        <sz val="11"/>
        <color theme="1"/>
        <rFont val="Calibri"/>
        <family val="2"/>
        <scheme val="minor"/>
      </rPr>
      <t>2</t>
    </r>
    <r>
      <rPr>
        <sz val="11"/>
        <color theme="1"/>
        <rFont val="Calibri"/>
        <family val="2"/>
        <scheme val="minor"/>
      </rPr>
      <t xml:space="preserve"> e TOTAL</t>
    </r>
  </si>
  <si>
    <t>Cabeza</t>
  </si>
  <si>
    <t>Ave</t>
  </si>
  <si>
    <t>CO2</t>
  </si>
  <si>
    <t>Fugas de CO2 en proceso</t>
  </si>
  <si>
    <t>Fuentes Fijas</t>
  </si>
  <si>
    <t>Fuentes Móviles</t>
  </si>
  <si>
    <t>ALCANCE</t>
  </si>
  <si>
    <t>Energía eléctrica adquirida (Factor emisión UPME-MDL 2008)</t>
  </si>
  <si>
    <t>CFC-11 / R-11</t>
  </si>
  <si>
    <t>CFC-12 / R-12</t>
  </si>
  <si>
    <t>HCFC-22 / R-22</t>
  </si>
  <si>
    <t>HFC-23 / R-23</t>
  </si>
  <si>
    <t>HFC-32 / R-32</t>
  </si>
  <si>
    <t>HFC-134 / R-134</t>
  </si>
  <si>
    <t>HFC-134a / R-134a</t>
  </si>
  <si>
    <t xml:space="preserve">PFC-14 / R-14 </t>
  </si>
  <si>
    <t>HFC-410a / R-410A</t>
  </si>
  <si>
    <t>HFC-407C / R-407C</t>
  </si>
  <si>
    <t>HFC-143 / R-143</t>
  </si>
  <si>
    <t>HFC-143a / R-143a</t>
  </si>
  <si>
    <t>HFC-422D / R-422D</t>
  </si>
  <si>
    <t>Energía eléctrica adquirida (Factor emisión Informe EIA 2011)</t>
  </si>
  <si>
    <t>Energía eléctrica adquirida (Factor emisión Informe EIA 2013)</t>
  </si>
  <si>
    <t>Energía eléctrica adquirida (Factor emisión UPME-FECOC 2014)</t>
  </si>
  <si>
    <t>Halon 1301 / CBrF3</t>
  </si>
  <si>
    <t>INCERTIDUMBRE DATOS</t>
  </si>
  <si>
    <t>FACTOR DE EMISIÓN CO2</t>
  </si>
  <si>
    <t>FACTOR DE EMISIÓN CH4</t>
  </si>
  <si>
    <t>FACTOR DE EMISIÓN N2O</t>
  </si>
  <si>
    <t>FACTOR DE EMISIÓN SF6</t>
  </si>
  <si>
    <t>EMISIONES SF6</t>
  </si>
  <si>
    <t>EMISIONES N2O</t>
  </si>
  <si>
    <t>EMISIONES CH4</t>
  </si>
  <si>
    <t>EMISIONES CO2</t>
  </si>
  <si>
    <t>INCERTIDUMBRE FACTOR EMISIÓN CO2</t>
  </si>
  <si>
    <t>INCERTIDUMBRE EMISIONES CO2</t>
  </si>
  <si>
    <t>INCERTIDUMBRE FACTOR EMISIÓN CH4</t>
  </si>
  <si>
    <t>INCERTIDUMBRE EMISIONES CH4</t>
  </si>
  <si>
    <t>INCERTIDUMBRE FACTOR EMISIÓN N2O</t>
  </si>
  <si>
    <t>INCERTIDUMBRE EMISIONES N2O</t>
  </si>
  <si>
    <t>INCERTIDUMBRE FACTOR EMISIÓN SF6</t>
  </si>
  <si>
    <t>INCERTIDUMBRE EMISIONES SF6</t>
  </si>
  <si>
    <t>INCERTIDUMBRE SISTEMATICA ADICIONAL</t>
  </si>
  <si>
    <t>Carbón Guajira - Cesar</t>
  </si>
  <si>
    <t>Carbón Guajira</t>
  </si>
  <si>
    <t>Carbón Cundinamarca</t>
  </si>
  <si>
    <t>Carbón Cauca - Valle del Cauca</t>
  </si>
  <si>
    <t>Carbón Norte de Santander</t>
  </si>
  <si>
    <t>Carbón Córdoba-Norte de Antioquia</t>
  </si>
  <si>
    <t>Carbón Santander</t>
  </si>
  <si>
    <t>Carbón Santander Sogamoso</t>
  </si>
  <si>
    <t>Carbón Boyacá</t>
  </si>
  <si>
    <t>Carbón Antioquia</t>
  </si>
  <si>
    <t>Fibra de palma</t>
  </si>
  <si>
    <t>Cuesco de palma</t>
  </si>
  <si>
    <t>Raquis de palma</t>
  </si>
  <si>
    <t>Cascarilla de Arroz</t>
  </si>
  <si>
    <t>Borra de Café</t>
  </si>
  <si>
    <t>Cisco de Café</t>
  </si>
  <si>
    <t>Madera Genérico</t>
  </si>
  <si>
    <t>Madera Eucalipto</t>
  </si>
  <si>
    <t>Madera Pino</t>
  </si>
  <si>
    <t>Madera Acacia</t>
  </si>
  <si>
    <t>Madera Melina</t>
  </si>
  <si>
    <t>Combustible</t>
  </si>
  <si>
    <t>Incertidumbre (+/- %)</t>
  </si>
  <si>
    <t>Kerosene</t>
  </si>
  <si>
    <t>Avigas</t>
  </si>
  <si>
    <t>Jet A1</t>
  </si>
  <si>
    <t>Biodiesel palma</t>
  </si>
  <si>
    <t>Fuel Oil # 4 - Ecopetrol</t>
  </si>
  <si>
    <t>Gasolina E10 (Mezcla comercial)</t>
  </si>
  <si>
    <t>Fuente Bibliográfica</t>
  </si>
  <si>
    <t>FECOC, 2015</t>
  </si>
  <si>
    <t>IPCC, 2006</t>
  </si>
  <si>
    <t>Coke Gas Genérico</t>
  </si>
  <si>
    <t>Gas Natural Neiva - Huila</t>
  </si>
  <si>
    <t>Gas Opon Payoa</t>
  </si>
  <si>
    <t>Gas Cupiagua</t>
  </si>
  <si>
    <t>Gas La Creciente</t>
  </si>
  <si>
    <t>Gas de Pozo cupiagua</t>
  </si>
  <si>
    <t>Lubricantes</t>
  </si>
  <si>
    <t>Extintores</t>
  </si>
  <si>
    <t>Unidad FE</t>
  </si>
  <si>
    <t>Gal</t>
  </si>
  <si>
    <t>Unidad Consumo</t>
  </si>
  <si>
    <t>GWP-AR4-IPCC</t>
  </si>
  <si>
    <t>Refrigerante</t>
  </si>
  <si>
    <t>Aceites lubricantes</t>
  </si>
  <si>
    <t>Grasa Lubricante</t>
  </si>
  <si>
    <t>IPCC 2006</t>
  </si>
  <si>
    <t>kg CO2/kg</t>
  </si>
  <si>
    <t>Emisiones de procesos</t>
  </si>
  <si>
    <t xml:space="preserve">Uso fertilizantes </t>
  </si>
  <si>
    <t>UPME</t>
  </si>
  <si>
    <t>EIA</t>
  </si>
  <si>
    <t xml:space="preserve">Aislamiento </t>
  </si>
  <si>
    <t>Factor Emisión N2O (g N2O/m3)</t>
  </si>
  <si>
    <t>Factor Emisión CH4 (g CH4/m3)</t>
  </si>
  <si>
    <t>Factor Emisión CO2 (kg CO2/gal)</t>
  </si>
  <si>
    <t>Factor Emisión CH4 (g CH4/gal)</t>
  </si>
  <si>
    <t>Factor Emisión CH4 (kg CH4/gal)</t>
  </si>
  <si>
    <t>Factor Emisión N2O (g N2O/gal)</t>
  </si>
  <si>
    <t>Factor Emisión N2O (kg N2O/gal)</t>
  </si>
  <si>
    <t>Diésel B10 (Mezcla comercial)</t>
  </si>
  <si>
    <t>Diésel Marino</t>
  </si>
  <si>
    <t>Biogás Genérico</t>
  </si>
  <si>
    <t>GLP Genérico</t>
  </si>
  <si>
    <t>Factor Emisión CO2e (kg CO2e/kg)</t>
  </si>
  <si>
    <t>Factor Emisión CO2e (kg CO2e/gal)</t>
  </si>
  <si>
    <t>kg CO2/galón</t>
  </si>
  <si>
    <t>Factor Emisión CH4 (kg CO2e/kg)</t>
  </si>
  <si>
    <t>Factor Emisión CH4 (kg CO2e/unidad)</t>
  </si>
  <si>
    <t>Factor Emisión N2O (kg CO2e/unidad)</t>
  </si>
  <si>
    <t>Factor Emisión N2O (kg CO2e/kg)</t>
  </si>
  <si>
    <t>FUENTE DE EMISIÓN DE GEI
(Seleccione de la lista)</t>
  </si>
  <si>
    <t>Consumo de combustibles líquidos
(Fuentes Moviles)</t>
  </si>
  <si>
    <t>Consumo de combustibles gaseosos
(Fuentes Moviles)</t>
  </si>
  <si>
    <t>SUBTOTAL OTROS</t>
  </si>
  <si>
    <t>DATOS DE ACTIVIDAD
(Seleccione de la lista)</t>
  </si>
  <si>
    <t>Extintores (Fuentes Fijas)</t>
  </si>
  <si>
    <t>Consumo de combustibles gaseosos
 (Fuentes Fijas)</t>
  </si>
  <si>
    <t>Consumo de combustibles líquidos
 (Fuentes Fijas)</t>
  </si>
  <si>
    <t>Consumo de combustibles sólidos
 (Fuentes Fijas)</t>
  </si>
  <si>
    <t xml:space="preserve">Quema Residuos </t>
  </si>
  <si>
    <t>Uso fertilizantes</t>
  </si>
  <si>
    <t xml:space="preserve">Columna Auxiliar </t>
  </si>
  <si>
    <t>Incertidumbre Juicio expertos IPCC</t>
  </si>
  <si>
    <t xml:space="preserve">% Rango menor </t>
  </si>
  <si>
    <t>% Rango mayor</t>
  </si>
  <si>
    <t>kgCH4/kg DQO</t>
  </si>
  <si>
    <t>Electricidad</t>
  </si>
  <si>
    <t xml:space="preserve">Viajes </t>
  </si>
  <si>
    <t>Papel</t>
  </si>
  <si>
    <t>Factor Emisión CO2 (kg CO2e/kg)</t>
  </si>
  <si>
    <t>TOTAL EMISIONES DE BIOMASA</t>
  </si>
  <si>
    <t>Consumo de aislante eléctrico</t>
  </si>
  <si>
    <t>Bogotá - Riohacha - Bogotá</t>
  </si>
  <si>
    <t>EMISIONES DE BIOMASA</t>
  </si>
  <si>
    <t>GEI</t>
  </si>
  <si>
    <t>PCG-GWP</t>
  </si>
  <si>
    <t>AR5</t>
  </si>
  <si>
    <t>AR4</t>
  </si>
  <si>
    <t>GWP-AR5-IPCC</t>
  </si>
  <si>
    <t>http://www.lindeus.com/internet.lg.lg.usa/en/images/Linde%20R290%20Refrigerant%20Grade%20Propane138_11493.pdf</t>
  </si>
  <si>
    <t>NF3</t>
  </si>
  <si>
    <t>ND</t>
  </si>
  <si>
    <t xml:space="preserve">Residuos </t>
  </si>
  <si>
    <t>Quema de Residuos Agrícolas</t>
  </si>
  <si>
    <t>Papel mate de revista</t>
  </si>
  <si>
    <t>Papel brillante de revista</t>
  </si>
  <si>
    <t>European reference Lifecycle Database Polyethylene high density granulate (PE-HD);production mix, at plant</t>
  </si>
  <si>
    <t>European reference Lifecycle Database:  Graphic Paper; technology mix; production mix, at plant; 79% primary fibre, 21% recycled fibre</t>
  </si>
  <si>
    <t>European reference Lifecycle Database:  Polypropylene granulate (PP); production mix, at plant</t>
  </si>
  <si>
    <t>European reference Lifecycle Database: Polyethylene low density granulate (PE-LD);production mix, at plant</t>
  </si>
  <si>
    <t xml:space="preserve">Aluminio primario </t>
  </si>
  <si>
    <t>Aluminio reciclado</t>
  </si>
  <si>
    <t>Center for environmental assessment of product and material systems (CPM LCA Database): primary aluminium production</t>
  </si>
  <si>
    <t xml:space="preserve">Polietileno de alta densidad </t>
  </si>
  <si>
    <t xml:space="preserve">Polietileno de baja densidad </t>
  </si>
  <si>
    <t xml:space="preserve">Polipropileno </t>
  </si>
  <si>
    <t>European reference Lifecycle Database: Aluminium extrusión profile; primary production; production mix, at plant; aluminium semi-finished extrusión product, including primary production, transformation and recycling</t>
  </si>
  <si>
    <t>Lubricantes (Fuentes Móviles)</t>
  </si>
  <si>
    <t>Bogotá - Puerto Inírida - Bogotá</t>
  </si>
  <si>
    <t>Bogotá - Puerto Asís - Bogotá</t>
  </si>
  <si>
    <t>kg húmedo</t>
  </si>
  <si>
    <t xml:space="preserve">Fermentación Entérica </t>
  </si>
  <si>
    <t>Ovejas - Clima Templado</t>
  </si>
  <si>
    <t>Cerdos Almacenamiento Sólido y Parcelas Secas - Clima Templado</t>
  </si>
  <si>
    <t>Cerdos Otros Sistemas de Manejo del Estiércol - Clima Frío</t>
  </si>
  <si>
    <t>Cerdos Otros Sistemas de Manejo del Estiércol - Clima Templado</t>
  </si>
  <si>
    <t>Cerdos Otros Sistemas de Manejo del Estiércol - Clima Cálido</t>
  </si>
  <si>
    <t>Bogotá - Montería - Bogotá</t>
  </si>
  <si>
    <t>Silva D., Raymundo A., Oliveira J., Ometto A., 2015. Life cycle assessment of offset paper production in Brazil: hotspots and cleaner production alternatives. Journal of cleaner Production. (93) 222-233</t>
  </si>
  <si>
    <t>Leon J., Aliaga C., Boulougouris G., Hortal M., Marti J., 2015. Quantifying GHG emissions savings potential in magazine paper production: a case study on supercalendered and light-weight coated papers. Journal of Cleaner Production. (103) 301-308</t>
  </si>
  <si>
    <t>Transporte de Gas Natural (Fugas CH4)</t>
  </si>
  <si>
    <t>Producción Polipropileno (Gases quemados TEA)</t>
  </si>
  <si>
    <t>Metano en tierras inundadas</t>
  </si>
  <si>
    <t>Ha</t>
  </si>
  <si>
    <t>Manejo Embalses</t>
  </si>
  <si>
    <t xml:space="preserve">US Environmental Protecction Agency, “Methane and Nitrous Oxide Emissions From Natural Sources”3, de abril de 2010. http://www.epa.gov/outreach/pdfs/Methane-and-Nitrous-Oxide-Emissions-From-Natural-Sources.pdf </t>
  </si>
  <si>
    <t>Acetileno</t>
  </si>
  <si>
    <t>Transporte aéreo de carga</t>
  </si>
  <si>
    <t>USDA-LCI (ICAO 2003)</t>
  </si>
  <si>
    <t>Transporte marítimo de carga</t>
  </si>
  <si>
    <t>USDA-LCI, 2006 (ARGO 2001)</t>
  </si>
  <si>
    <t>Transporte terrestre de carga</t>
  </si>
  <si>
    <t>USDA-LCI- (EPA 2010)</t>
  </si>
  <si>
    <t>Gas MAPP</t>
  </si>
  <si>
    <t>HCFC-141B / R-141B</t>
  </si>
  <si>
    <t>http://www.gas-servei.com/images/Ficha-tecnica-R404A.pdf</t>
  </si>
  <si>
    <t>HFC-404A / R-404A</t>
  </si>
  <si>
    <t>HFC-125 / R-125</t>
  </si>
  <si>
    <t>Propano Alta Calidad / R-290</t>
  </si>
  <si>
    <t xml:space="preserve">Isobutano / R-600A </t>
  </si>
  <si>
    <t>EMISIONES Compuestos Fluorados</t>
  </si>
  <si>
    <t>INCERTIDUMBRE EMISIONES Compuestos Fluorados</t>
  </si>
  <si>
    <t>INCERTIDUMBRE FACTOR EMISIÓN Compuestos Fluorados</t>
  </si>
  <si>
    <t>Combustible_Sólido</t>
  </si>
  <si>
    <t>Gasolina Motor (sin mezcla bioetanol)</t>
  </si>
  <si>
    <t>Bioetanol Anhidro</t>
  </si>
  <si>
    <t>Gas Natural Mezcla Sebastopol</t>
  </si>
  <si>
    <t>Gas Natural Mezcla Usme</t>
  </si>
  <si>
    <t>Gas Natural Mezcla Mariquita</t>
  </si>
  <si>
    <t>Residuos para coprocesamiento</t>
  </si>
  <si>
    <t>Extintores CO2</t>
  </si>
  <si>
    <t>Extintores R-123 / HCFC-123</t>
  </si>
  <si>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</si>
  <si>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e/kg</t>
    </r>
  </si>
  <si>
    <r>
      <t>CH</t>
    </r>
    <r>
      <rPr>
        <vertAlign val="subscript"/>
        <sz val="11"/>
        <color theme="0"/>
        <rFont val="Calibri"/>
        <family val="2"/>
        <scheme val="minor"/>
      </rPr>
      <t>4</t>
    </r>
  </si>
  <si>
    <r>
      <t>CO</t>
    </r>
    <r>
      <rPr>
        <vertAlign val="subscript"/>
        <sz val="11"/>
        <color theme="0"/>
        <rFont val="Calibri"/>
        <family val="2"/>
        <scheme val="minor"/>
      </rPr>
      <t>2</t>
    </r>
    <r>
      <rPr>
        <sz val="11"/>
        <color theme="0"/>
        <rFont val="Calibri"/>
        <family val="2"/>
        <scheme val="minor"/>
      </rPr>
      <t xml:space="preserve"> e (21)</t>
    </r>
  </si>
  <si>
    <r>
      <t>FACTOR  DE EMISIÓN CH</t>
    </r>
    <r>
      <rPr>
        <vertAlign val="subscript"/>
        <sz val="11"/>
        <color theme="0"/>
        <rFont val="Calibri"/>
        <family val="2"/>
        <scheme val="minor"/>
      </rPr>
      <t>4</t>
    </r>
  </si>
  <si>
    <r>
      <t>FACTOR EMISIÓN CO</t>
    </r>
    <r>
      <rPr>
        <vertAlign val="subscript"/>
        <sz val="11"/>
        <color theme="0"/>
        <rFont val="Calibri"/>
        <family val="2"/>
        <scheme val="minor"/>
      </rPr>
      <t>2</t>
    </r>
    <r>
      <rPr>
        <sz val="11"/>
        <color theme="0"/>
        <rFont val="Calibri"/>
        <family val="2"/>
        <scheme val="minor"/>
      </rPr>
      <t xml:space="preserve"> e</t>
    </r>
  </si>
  <si>
    <t xml:space="preserve">Manejo de residuos agropecuarios </t>
  </si>
  <si>
    <t>Cálculos realizados por Propilco</t>
  </si>
  <si>
    <t>Calculado a partir de la composición porcentual con los valores del AR5 - IPCC. R134A=4%; R125=44%; R143A=52%</t>
  </si>
  <si>
    <t>Calculado a partir de la composición porcentual con los valores del AR5 - IPCC. R134A=52%; R125=25%; R32=23%. Datos de porcentajes obtenidos de: IPCC    http://www.ipcc.ch/ipccreports/tar/wg3/index.php?idp=144</t>
  </si>
  <si>
    <t>Calculado a partir de la composición porcentual con los valores del AR5 - IPCC. R125=50%; R32=50%. Datos de porcentajes obtenidos de: IPCC    http://www.ipcc.ch/ipccreports/tar/wg3/index.php?idp=144</t>
  </si>
  <si>
    <t>Calculado a partir de la composición porcentual con los valores del AR5 - IPCC. R125=65,1%; R134A=31,5%; R600A=3,4%. Datos de porcentajes obtenidos de: http://www.gas-servei.com/images/Ficha-tecnica-R422D--I29-.pdf</t>
  </si>
  <si>
    <t>Cálculos realizados por Promigas</t>
  </si>
  <si>
    <r>
      <t>CO</t>
    </r>
    <r>
      <rPr>
        <vertAlign val="subscript"/>
        <sz val="11"/>
        <color theme="0"/>
        <rFont val="Calibri"/>
        <family val="2"/>
        <scheme val="minor"/>
      </rPr>
      <t>2</t>
    </r>
    <r>
      <rPr>
        <sz val="11"/>
        <color theme="0"/>
        <rFont val="Calibri"/>
        <family val="2"/>
        <scheme val="minor"/>
      </rPr>
      <t xml:space="preserve"> e (25)</t>
    </r>
  </si>
  <si>
    <r>
      <t>Factor de Emisión N</t>
    </r>
    <r>
      <rPr>
        <vertAlign val="subscript"/>
        <sz val="11"/>
        <color theme="0"/>
        <rFont val="Calibri"/>
        <family val="2"/>
        <scheme val="minor"/>
      </rPr>
      <t>2</t>
    </r>
    <r>
      <rPr>
        <sz val="11"/>
        <color theme="0"/>
        <rFont val="Calibri"/>
        <family val="2"/>
        <scheme val="minor"/>
      </rPr>
      <t>O</t>
    </r>
  </si>
  <si>
    <r>
      <t>Emisiones de N</t>
    </r>
    <r>
      <rPr>
        <vertAlign val="subscript"/>
        <sz val="11"/>
        <color theme="0"/>
        <rFont val="Calibri"/>
        <family val="2"/>
        <scheme val="minor"/>
      </rPr>
      <t>2</t>
    </r>
    <r>
      <rPr>
        <sz val="11"/>
        <color theme="0"/>
        <rFont val="Calibri"/>
        <family val="2"/>
        <scheme val="minor"/>
      </rPr>
      <t>O</t>
    </r>
  </si>
  <si>
    <r>
      <t>FACTRO DE EMISION CO</t>
    </r>
    <r>
      <rPr>
        <vertAlign val="subscript"/>
        <sz val="11"/>
        <color theme="0"/>
        <rFont val="Calibri"/>
        <family val="2"/>
        <scheme val="minor"/>
      </rPr>
      <t>2</t>
    </r>
    <r>
      <rPr>
        <sz val="11"/>
        <color theme="0"/>
        <rFont val="Calibri"/>
        <family val="2"/>
        <scheme val="minor"/>
      </rPr>
      <t xml:space="preserve"> e TOTAL</t>
    </r>
  </si>
  <si>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</si>
  <si>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e/Ave</t>
    </r>
  </si>
  <si>
    <t>FE-36 / 1,1,1,3,3,3 - Hexafluoropropano</t>
  </si>
  <si>
    <t>HFC-227ea / FM-200</t>
  </si>
  <si>
    <t xml:space="preserve"> (Fuentes Fijas)</t>
  </si>
  <si>
    <t>Consumo de combustibles sólidos</t>
  </si>
  <si>
    <t>Consumo de combustibles gaseosos</t>
  </si>
  <si>
    <t xml:space="preserve">Consumo de refrigerantes </t>
  </si>
  <si>
    <t>(Fuentes Fijas)</t>
  </si>
  <si>
    <t>(Fuentes Móviles)</t>
  </si>
  <si>
    <t>Consumo de combustibles líquidos</t>
  </si>
  <si>
    <t>1965,839 </t>
  </si>
  <si>
    <r>
      <t>kg CO</t>
    </r>
    <r>
      <rPr>
        <vertAlign val="subscript"/>
        <sz val="10"/>
        <rFont val="Arial Narrow"/>
        <family val="2"/>
      </rPr>
      <t>2</t>
    </r>
    <r>
      <rPr>
        <sz val="10"/>
        <rFont val="Arial Narrow"/>
        <family val="2"/>
      </rPr>
      <t>/kg</t>
    </r>
  </si>
  <si>
    <r>
      <t>kg CO</t>
    </r>
    <r>
      <rPr>
        <vertAlign val="subscript"/>
        <sz val="10"/>
        <rFont val="Arial Narrow"/>
        <family val="2"/>
      </rPr>
      <t>2</t>
    </r>
    <r>
      <rPr>
        <sz val="10"/>
        <rFont val="Arial Narrow"/>
        <family val="2"/>
      </rPr>
      <t>/gal</t>
    </r>
  </si>
  <si>
    <r>
      <t>kg CH</t>
    </r>
    <r>
      <rPr>
        <vertAlign val="subscript"/>
        <sz val="10"/>
        <rFont val="Arial Narrow"/>
        <family val="2"/>
      </rPr>
      <t>4</t>
    </r>
    <r>
      <rPr>
        <sz val="10"/>
        <rFont val="Arial Narrow"/>
        <family val="2"/>
      </rPr>
      <t>/gal</t>
    </r>
  </si>
  <si>
    <r>
      <t>kg N</t>
    </r>
    <r>
      <rPr>
        <vertAlign val="subscript"/>
        <sz val="10"/>
        <rFont val="Arial Narrow"/>
        <family val="2"/>
      </rPr>
      <t>2</t>
    </r>
    <r>
      <rPr>
        <sz val="10"/>
        <rFont val="Arial Narrow"/>
        <family val="2"/>
      </rPr>
      <t>O/gal</t>
    </r>
  </si>
  <si>
    <r>
      <t>m</t>
    </r>
    <r>
      <rPr>
        <vertAlign val="superscript"/>
        <sz val="10"/>
        <rFont val="Arial Narrow"/>
        <family val="2"/>
      </rPr>
      <t>3</t>
    </r>
  </si>
  <si>
    <r>
      <t>kg CO</t>
    </r>
    <r>
      <rPr>
        <vertAlign val="subscript"/>
        <sz val="10"/>
        <rFont val="Arial Narrow"/>
        <family val="2"/>
      </rPr>
      <t>2</t>
    </r>
    <r>
      <rPr>
        <sz val="10"/>
        <rFont val="Arial Narrow"/>
        <family val="2"/>
      </rPr>
      <t>/m</t>
    </r>
    <r>
      <rPr>
        <vertAlign val="superscript"/>
        <sz val="10"/>
        <rFont val="Arial Narrow"/>
        <family val="2"/>
      </rPr>
      <t>3</t>
    </r>
  </si>
  <si>
    <r>
      <t>kg CH</t>
    </r>
    <r>
      <rPr>
        <vertAlign val="subscript"/>
        <sz val="10"/>
        <rFont val="Arial Narrow"/>
        <family val="2"/>
      </rPr>
      <t>4</t>
    </r>
    <r>
      <rPr>
        <sz val="10"/>
        <rFont val="Arial Narrow"/>
        <family val="2"/>
      </rPr>
      <t>/m</t>
    </r>
    <r>
      <rPr>
        <vertAlign val="superscript"/>
        <sz val="10"/>
        <rFont val="Arial Narrow"/>
        <family val="2"/>
      </rPr>
      <t>3</t>
    </r>
  </si>
  <si>
    <r>
      <t>kgCO</t>
    </r>
    <r>
      <rPr>
        <vertAlign val="subscript"/>
        <sz val="11"/>
        <rFont val="Calibri"/>
        <family val="2"/>
        <scheme val="minor"/>
      </rPr>
      <t>2</t>
    </r>
    <r>
      <rPr>
        <sz val="11"/>
        <rFont val="Calibri"/>
        <family val="2"/>
        <scheme val="minor"/>
      </rPr>
      <t>e/kg</t>
    </r>
  </si>
  <si>
    <r>
      <t>kgCH</t>
    </r>
    <r>
      <rPr>
        <vertAlign val="subscript"/>
        <sz val="10"/>
        <rFont val="Arial Narrow"/>
        <family val="2"/>
      </rPr>
      <t>4</t>
    </r>
    <r>
      <rPr>
        <sz val="10"/>
        <rFont val="Arial Narrow"/>
        <family val="2"/>
      </rPr>
      <t>/kg DQO</t>
    </r>
  </si>
  <si>
    <r>
      <t>kgCH</t>
    </r>
    <r>
      <rPr>
        <vertAlign val="subscript"/>
        <sz val="11"/>
        <rFont val="Calibri"/>
        <family val="2"/>
        <scheme val="minor"/>
      </rPr>
      <t>4</t>
    </r>
    <r>
      <rPr>
        <sz val="11"/>
        <rFont val="Calibri"/>
        <family val="2"/>
        <scheme val="minor"/>
      </rPr>
      <t>/cabeza</t>
    </r>
  </si>
  <si>
    <r>
      <t>kgCO</t>
    </r>
    <r>
      <rPr>
        <vertAlign val="subscript"/>
        <sz val="11"/>
        <rFont val="Calibri"/>
        <family val="2"/>
        <scheme val="minor"/>
      </rPr>
      <t>2</t>
    </r>
    <r>
      <rPr>
        <sz val="11"/>
        <rFont val="Calibri"/>
        <family val="2"/>
        <scheme val="minor"/>
      </rPr>
      <t xml:space="preserve"> e/cabeza</t>
    </r>
  </si>
  <si>
    <r>
      <t>kgN</t>
    </r>
    <r>
      <rPr>
        <vertAlign val="subscript"/>
        <sz val="11"/>
        <rFont val="Calibri"/>
        <family val="2"/>
        <scheme val="minor"/>
      </rPr>
      <t>2</t>
    </r>
    <r>
      <rPr>
        <sz val="11"/>
        <rFont val="Calibri"/>
        <family val="2"/>
        <scheme val="minor"/>
      </rPr>
      <t>O/cabeza</t>
    </r>
  </si>
  <si>
    <r>
      <t>kgCH</t>
    </r>
    <r>
      <rPr>
        <vertAlign val="subscript"/>
        <sz val="11"/>
        <rFont val="Calibri"/>
        <family val="2"/>
        <scheme val="minor"/>
      </rPr>
      <t>4</t>
    </r>
    <r>
      <rPr>
        <sz val="11"/>
        <rFont val="Calibri"/>
        <family val="2"/>
        <scheme val="minor"/>
      </rPr>
      <t>/kg</t>
    </r>
  </si>
  <si>
    <r>
      <t>kgN</t>
    </r>
    <r>
      <rPr>
        <vertAlign val="subscript"/>
        <sz val="11"/>
        <rFont val="Calibri"/>
        <family val="2"/>
        <scheme val="minor"/>
      </rPr>
      <t>2</t>
    </r>
    <r>
      <rPr>
        <sz val="11"/>
        <rFont val="Calibri"/>
        <family val="2"/>
        <scheme val="minor"/>
      </rPr>
      <t>O/kg</t>
    </r>
  </si>
  <si>
    <r>
      <t>kgCO</t>
    </r>
    <r>
      <rPr>
        <vertAlign val="subscript"/>
        <sz val="11"/>
        <rFont val="Calibri"/>
        <family val="2"/>
        <scheme val="minor"/>
      </rPr>
      <t>2</t>
    </r>
    <r>
      <rPr>
        <sz val="11"/>
        <rFont val="Calibri"/>
        <family val="2"/>
        <scheme val="minor"/>
      </rPr>
      <t xml:space="preserve"> e/kg</t>
    </r>
  </si>
  <si>
    <r>
      <t>kg N</t>
    </r>
    <r>
      <rPr>
        <vertAlign val="subscript"/>
        <sz val="10"/>
        <rFont val="Arial Narrow"/>
        <family val="2"/>
      </rPr>
      <t>2</t>
    </r>
  </si>
  <si>
    <r>
      <t>kgCO</t>
    </r>
    <r>
      <rPr>
        <vertAlign val="subscript"/>
        <sz val="11"/>
        <rFont val="Calibri"/>
        <family val="2"/>
        <scheme val="minor"/>
      </rPr>
      <t>2</t>
    </r>
    <r>
      <rPr>
        <sz val="11"/>
        <rFont val="Calibri"/>
        <family val="2"/>
        <scheme val="minor"/>
      </rPr>
      <t xml:space="preserve"> e/kgN2</t>
    </r>
  </si>
  <si>
    <r>
      <t>kgCO</t>
    </r>
    <r>
      <rPr>
        <vertAlign val="subscript"/>
        <sz val="11"/>
        <rFont val="Calibri"/>
        <family val="2"/>
        <scheme val="minor"/>
      </rPr>
      <t>2</t>
    </r>
    <r>
      <rPr>
        <sz val="11"/>
        <rFont val="Calibri"/>
        <family val="2"/>
        <scheme val="minor"/>
      </rPr>
      <t xml:space="preserve"> e/KWh</t>
    </r>
  </si>
  <si>
    <r>
      <t>kgCO</t>
    </r>
    <r>
      <rPr>
        <vertAlign val="subscript"/>
        <sz val="11"/>
        <rFont val="Calibri"/>
        <family val="2"/>
        <scheme val="minor"/>
      </rPr>
      <t>2</t>
    </r>
    <r>
      <rPr>
        <sz val="11"/>
        <rFont val="Calibri"/>
        <family val="2"/>
        <scheme val="minor"/>
      </rPr>
      <t xml:space="preserve"> e/Viaje</t>
    </r>
  </si>
  <si>
    <r>
      <t>kgCO</t>
    </r>
    <r>
      <rPr>
        <vertAlign val="subscript"/>
        <sz val="10"/>
        <rFont val="Arial Narrow"/>
        <family val="2"/>
      </rPr>
      <t>2</t>
    </r>
    <r>
      <rPr>
        <sz val="10"/>
        <rFont val="Arial Narrow"/>
        <family val="2"/>
      </rPr>
      <t>/kg</t>
    </r>
  </si>
  <si>
    <r>
      <t>kgCH</t>
    </r>
    <r>
      <rPr>
        <vertAlign val="subscript"/>
        <sz val="11"/>
        <rFont val="Calibri"/>
        <family val="2"/>
        <scheme val="minor"/>
      </rPr>
      <t>4</t>
    </r>
    <r>
      <rPr>
        <sz val="11"/>
        <rFont val="Calibri"/>
        <family val="2"/>
        <scheme val="minor"/>
      </rPr>
      <t>/Ha</t>
    </r>
  </si>
  <si>
    <r>
      <t>kgCH</t>
    </r>
    <r>
      <rPr>
        <vertAlign val="subscript"/>
        <sz val="10"/>
        <rFont val="Arial Narrow"/>
        <family val="2"/>
      </rPr>
      <t>4</t>
    </r>
    <r>
      <rPr>
        <sz val="10"/>
        <rFont val="Arial Narrow"/>
        <family val="2"/>
      </rPr>
      <t>/kg húmedo</t>
    </r>
  </si>
  <si>
    <r>
      <t>kgN</t>
    </r>
    <r>
      <rPr>
        <vertAlign val="subscript"/>
        <sz val="10"/>
        <rFont val="Arial Narrow"/>
        <family val="2"/>
      </rPr>
      <t>2</t>
    </r>
    <r>
      <rPr>
        <sz val="10"/>
        <rFont val="Arial Narrow"/>
        <family val="2"/>
      </rPr>
      <t>O/kg húmedo</t>
    </r>
  </si>
  <si>
    <t>Gas Natural Genérico</t>
  </si>
  <si>
    <t>kg DQO</t>
  </si>
  <si>
    <t xml:space="preserve">IPCC 2006. Corresponde a la sumatoria de las emisiones de minería y postextracción. Paginas 4.11 y 4.12; Se toma el valor mayor para ser conservador. </t>
  </si>
  <si>
    <t xml:space="preserve">IPCC 2006. Corresponde a la sumatoria de las emisiones de minería y postextracción. Paginas 4.18 y 4.19; Se toma el valor mayor para ser conservador. </t>
  </si>
  <si>
    <t>Calcinación de Calcita (CaCO3)</t>
  </si>
  <si>
    <t>Calcinación de Magnesita (MgCO3)</t>
  </si>
  <si>
    <t>Calcinación de Dolomita (CaMg(CO3)2)</t>
  </si>
  <si>
    <t>Calcinación de Siderita (FeCO3)</t>
  </si>
  <si>
    <t>Calcinación de Ankerita (Ca(Fe,Mg,Mn)(CO3)2)</t>
  </si>
  <si>
    <t>Calcinación de Rhodochrosita (MnCO3)</t>
  </si>
  <si>
    <t>Calcinación de Carbonato de sodio (Na2CO3)</t>
  </si>
  <si>
    <t>Producción de cemento (Clinker)</t>
  </si>
  <si>
    <t>Producción de vidrio plano y recipientes</t>
  </si>
  <si>
    <t>Producción de vidrio especial (laboratorio y/o farmacia)</t>
  </si>
  <si>
    <t>Producción de vidrio especial (vajillas)</t>
  </si>
  <si>
    <t>Producción de vidrio especial (iluminación)</t>
  </si>
  <si>
    <t>Energía eléctrica adquirida (Factor emisión UPME-FECOC 2015)</t>
  </si>
  <si>
    <t>Energía eléctrica adquirida (Factor emisión UPME-FECOC 2013)</t>
  </si>
  <si>
    <t>Energía eléctrica adquirida (Factor emisión UPME-FECOC 2012)</t>
  </si>
  <si>
    <t>Energía eléctrica adquirida (Factor emisión UPME-FECOC 2010)</t>
  </si>
  <si>
    <t>Energía eléctrica adquirida (Factor emisión UPME-FECOC 2011)</t>
  </si>
  <si>
    <t>Energía eléctrica adquirida (Factor emisión UPME-FECOC 2009)</t>
  </si>
  <si>
    <t>Uso de fertilizantes aplicados en arrozales inundados</t>
  </si>
  <si>
    <t xml:space="preserve">Uso de fertilizantes minerales, abonos orgánicos y residuos agrícolas </t>
  </si>
  <si>
    <t>Fertilización directa de vacunos, aves de corral y porcinos</t>
  </si>
  <si>
    <t>Fertilización directa de ovinos y otros animales</t>
  </si>
  <si>
    <r>
      <t>kgN</t>
    </r>
    <r>
      <rPr>
        <vertAlign val="subscript"/>
        <sz val="11"/>
        <rFont val="Calibri"/>
        <family val="2"/>
        <scheme val="minor"/>
      </rPr>
      <t>2</t>
    </r>
    <r>
      <rPr>
        <sz val="11"/>
        <rFont val="Calibri"/>
        <family val="2"/>
        <scheme val="minor"/>
      </rPr>
      <t>O/kgN</t>
    </r>
    <r>
      <rPr>
        <vertAlign val="subscript"/>
        <sz val="11"/>
        <rFont val="Calibri"/>
        <family val="2"/>
        <scheme val="minor"/>
      </rPr>
      <t>2</t>
    </r>
  </si>
  <si>
    <r>
      <t>kgCO</t>
    </r>
    <r>
      <rPr>
        <vertAlign val="subscript"/>
        <sz val="11"/>
        <rFont val="Calibri"/>
        <family val="2"/>
        <scheme val="minor"/>
      </rPr>
      <t>2</t>
    </r>
    <r>
      <rPr>
        <sz val="11"/>
        <rFont val="Calibri"/>
        <family val="2"/>
        <scheme val="minor"/>
      </rPr>
      <t>/kg cal</t>
    </r>
  </si>
  <si>
    <t>kg Cal</t>
  </si>
  <si>
    <t>Caliza cálcica aplicada (CaCO3)</t>
  </si>
  <si>
    <t>Cal Dolomita Aplicada (CaMg(CO3)2)</t>
  </si>
  <si>
    <t>kg urea</t>
  </si>
  <si>
    <r>
      <t>kgCO</t>
    </r>
    <r>
      <rPr>
        <vertAlign val="subscript"/>
        <sz val="11"/>
        <rFont val="Calibri"/>
        <family val="2"/>
        <scheme val="minor"/>
      </rPr>
      <t>2</t>
    </r>
    <r>
      <rPr>
        <sz val="11"/>
        <rFont val="Calibri"/>
        <family val="2"/>
        <scheme val="minor"/>
      </rPr>
      <t>/kg urea</t>
    </r>
  </si>
  <si>
    <t>Quema de Residuos Pastizales</t>
  </si>
  <si>
    <r>
      <t>kgCO</t>
    </r>
    <r>
      <rPr>
        <vertAlign val="subscript"/>
        <sz val="11"/>
        <rFont val="Calibri"/>
        <family val="2"/>
        <scheme val="minor"/>
      </rPr>
      <t>2</t>
    </r>
    <r>
      <rPr>
        <sz val="11"/>
        <rFont val="Calibri"/>
        <family val="2"/>
        <scheme val="minor"/>
      </rPr>
      <t>/kg</t>
    </r>
  </si>
  <si>
    <t>BUR Colombia 2015</t>
  </si>
  <si>
    <t>Toros reproductores (tipo Cebuino) - Peso Promedio 530 kg</t>
  </si>
  <si>
    <t>Terneros pre-destetos</t>
  </si>
  <si>
    <t>Terneras de reemplazo</t>
  </si>
  <si>
    <t xml:space="preserve">Ganado de engorde </t>
  </si>
  <si>
    <t>Conejos</t>
  </si>
  <si>
    <t>Pollos de engorde</t>
  </si>
  <si>
    <t>Wang SY; Huang DJ</t>
  </si>
  <si>
    <t>Compostaje de materia orgánica (base seca)</t>
  </si>
  <si>
    <t xml:space="preserve">kg residuo seco </t>
  </si>
  <si>
    <t>Compostaje de materia orgánica (base húmeda)</t>
  </si>
  <si>
    <t>Digestión anaeróbica en instalaciones de biogás (base seca)</t>
  </si>
  <si>
    <t>Digestión anaeróbica en instalaciones de biogás  (base húmeda)</t>
  </si>
  <si>
    <t>kg residuo humedo</t>
  </si>
  <si>
    <t>kg res. húmedo</t>
  </si>
  <si>
    <t xml:space="preserve">Domiciliarios - Rellenos sanitario semi-aerobico </t>
  </si>
  <si>
    <t>Domiciliarios - No clasificado</t>
  </si>
  <si>
    <t>Relleno Sanitario Semi-aerobico</t>
  </si>
  <si>
    <t>Botadero &gt;5mts profundidad</t>
  </si>
  <si>
    <t>Domiciliarios - Botadero &lt; 5mts prof.</t>
  </si>
  <si>
    <t>Domiciliarios - Botadero &gt; 5mts prof.</t>
  </si>
  <si>
    <t>No clasificado</t>
  </si>
  <si>
    <t>COD</t>
  </si>
  <si>
    <t>Hospitalarios</t>
  </si>
  <si>
    <t>Domiciliarios</t>
  </si>
  <si>
    <t>Industrias textiles</t>
  </si>
  <si>
    <t>Industrias alimentos, bebidas y tabaco</t>
  </si>
  <si>
    <t>Industrias de la Madera y Productos de Madera</t>
  </si>
  <si>
    <t xml:space="preserve">Industrias de Pulpa y Papel (o relacionadas) </t>
  </si>
  <si>
    <t xml:space="preserve">Industrias del caucho (o relacionadas) </t>
  </si>
  <si>
    <t>Otras industrias (incluye manufactureras)</t>
  </si>
  <si>
    <t>Fertilización con Urea (CO(NH2)2)</t>
  </si>
  <si>
    <t xml:space="preserve">Calculo estequiométrico </t>
  </si>
  <si>
    <t>Producción de Acido Nítrico</t>
  </si>
  <si>
    <t>Relleno Sanitario Anaeróbico</t>
  </si>
  <si>
    <t xml:space="preserve">Domiciliarios - Rellenos sanitario anaeróbico </t>
  </si>
  <si>
    <t xml:space="preserve">Calculado con las fracciones para Latinoamérica </t>
  </si>
  <si>
    <t xml:space="preserve">Industrias de construcción y demolición </t>
  </si>
  <si>
    <t>Vacas de alta producción lechera (Holstein, Jersey, Ayrshire) - Peso Promedio 520kg - Producción Promedio 11,7 kg leche/día</t>
  </si>
  <si>
    <t>Vacas de baja producción lechera (Doble Propósito) - Peso Promedio 395 kg - Producción Promedio 3,5 kg leche/día</t>
  </si>
  <si>
    <t>Vacas de baja producción lechera (Doble Propósito con corte Cebuino) - Peso Promedio 380 kg - Producción Promedio 1,9 kg leche/día</t>
  </si>
  <si>
    <t>Desviacion estandar</t>
  </si>
  <si>
    <t>Emisiones CH4 (kgCH4/kg res. húmedo)</t>
  </si>
  <si>
    <r>
      <t>m</t>
    </r>
    <r>
      <rPr>
        <vertAlign val="superscript"/>
        <sz val="10"/>
        <rFont val="Arial Narrow"/>
        <family val="2"/>
      </rPr>
      <t>3</t>
    </r>
    <r>
      <rPr>
        <sz val="10"/>
        <rFont val="Arial Narrow"/>
        <family val="2"/>
      </rPr>
      <t xml:space="preserve"> Biogas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</si>
  <si>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Biogas</t>
    </r>
  </si>
  <si>
    <t>Fugas de metano en proceso de captura (solamente cuando hay captura de biogas)</t>
  </si>
  <si>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Biogas</t>
    </r>
  </si>
  <si>
    <t>Poder calorifico biogas (TJ/Gg) IPCC 2006</t>
  </si>
  <si>
    <t>Poder calorifico biogas (MJ/m3) FECOC 2016</t>
  </si>
  <si>
    <t>Fraccion contenido CH4 en biogas  (m3 CH4/m3 biogas - Fuente: medicion contenido CH4 en Aliar)</t>
  </si>
  <si>
    <t>Densidad Calculada del Biogas (kg CH4/m3 CH4)</t>
  </si>
  <si>
    <t>Disposicion como solido en pasturas o prados</t>
  </si>
  <si>
    <t>Disposicion en sistemas liquido/fango</t>
  </si>
  <si>
    <r>
      <t>kg N</t>
    </r>
    <r>
      <rPr>
        <vertAlign val="subscript"/>
        <sz val="10"/>
        <rFont val="Arial Narrow"/>
        <family val="2"/>
      </rPr>
      <t>2</t>
    </r>
    <r>
      <rPr>
        <sz val="10"/>
        <rFont val="Arial Narrow"/>
        <family val="2"/>
      </rPr>
      <t>O/m</t>
    </r>
    <r>
      <rPr>
        <vertAlign val="superscript"/>
        <sz val="10"/>
        <rFont val="Arial Narrow"/>
        <family val="2"/>
      </rPr>
      <t>3</t>
    </r>
  </si>
  <si>
    <t xml:space="preserve">Vertimientos industriales tratados (PTAR aeróbica) </t>
  </si>
  <si>
    <t>Vertimientos industriales no tratados (solo para alcance 3)</t>
  </si>
  <si>
    <t xml:space="preserve">Vertimientos industriales tratados (PTAR aeróbica sobrecargada) </t>
  </si>
  <si>
    <t xml:space="preserve">Vertimientos industriales tratados (Digestor anaeróbico) </t>
  </si>
  <si>
    <t xml:space="preserve">Vertimientos industriales tratados (Reactor anaeróbico) </t>
  </si>
  <si>
    <t xml:space="preserve">Vertimientos industriales tratados (Laguna anaeróbica &lt; 2 mts) </t>
  </si>
  <si>
    <t xml:space="preserve">Vertimientos industriales tratados (Laguna anaeróbica &gt; 2 mts) </t>
  </si>
  <si>
    <t>Porcinos de carne - Clima Frío</t>
  </si>
  <si>
    <t>Porcinos de carne - Clima Templado</t>
  </si>
  <si>
    <t>Porcinos de carne - Clima Cálido</t>
  </si>
  <si>
    <t>Incertidumbre FE (+/- %)</t>
  </si>
  <si>
    <t xml:space="preserve">Disposicion en sistemas de base liquida (inlcuidas lagunas anaerobicas) </t>
  </si>
  <si>
    <t>Lagunas anaerobicas</t>
  </si>
  <si>
    <t>Liquido/fango</t>
  </si>
  <si>
    <t>Almacenamiento solido</t>
  </si>
  <si>
    <t>Corral engorde</t>
  </si>
  <si>
    <t>Pastura/prado</t>
  </si>
  <si>
    <t>Distribucion diaria</t>
  </si>
  <si>
    <t>Quemado para combustible</t>
  </si>
  <si>
    <t>Camas de aves de corral con hojarasca</t>
  </si>
  <si>
    <t>Tratamientos aerobicos</t>
  </si>
  <si>
    <t>Almacenamiento en pozos y camas profundas &lt; 1 mes</t>
  </si>
  <si>
    <t>Almacenamiento en pozos y camas profundas &gt; 1 mes</t>
  </si>
  <si>
    <t>Compostaje en Tambor y pilas estaticas</t>
  </si>
  <si>
    <t>Compostaje pilas con volteo intensivo o regular</t>
  </si>
  <si>
    <t>NA</t>
  </si>
  <si>
    <t>Bo</t>
  </si>
  <si>
    <t>Vs</t>
  </si>
  <si>
    <t>Digestor Anaerobico</t>
  </si>
  <si>
    <t>Porcinos de Cría - Clima Frío</t>
  </si>
  <si>
    <t>Porcinos de Cría - Clima Templado</t>
  </si>
  <si>
    <t>Porcinos de Cría - Clima Cálido</t>
  </si>
  <si>
    <t>Conejos - Clima Frío</t>
  </si>
  <si>
    <t>Conejos - Clima Templado</t>
  </si>
  <si>
    <t>Conejos - Clima Cálido</t>
  </si>
  <si>
    <t>Avestruces - Clima Frío</t>
  </si>
  <si>
    <t>Avestruces - Clima Templado</t>
  </si>
  <si>
    <t>Avestruces - Clima Cálido</t>
  </si>
  <si>
    <t>Datos calculados a partir de IPCC 2006 (Nivel 2 con datos por defecto)  kg CH4/cabeza*año</t>
  </si>
  <si>
    <t>Emisiones de CH4 según tipo de Gestión (kg CH4/cabeza*año)</t>
  </si>
  <si>
    <t>Datos IPCC 2006 (kg CH4/cabeza*año)</t>
  </si>
  <si>
    <t>Nindice</t>
  </si>
  <si>
    <t>Emisiones de N2O según tipo de Gestión (kg N2O/cabeza*año)</t>
  </si>
  <si>
    <t>TAM</t>
  </si>
  <si>
    <t>Incentidumbre (+/- %)</t>
  </si>
  <si>
    <t>Botadero &gt;=5mts profundidad</t>
  </si>
  <si>
    <t>Lodos aguas residuales</t>
  </si>
  <si>
    <t>Diésel o ACPM (sin mezcla biodiesel)</t>
  </si>
  <si>
    <t xml:space="preserve">Residuos solidos domiciliarios a relleno sanitario semiaerobico </t>
  </si>
  <si>
    <t>Residuos solidos domiciliarios a botadero &gt;5mts profundidad</t>
  </si>
  <si>
    <t>Residuos solidos domiciliarios a botadero &lt;5mts profundidad</t>
  </si>
  <si>
    <t>SR</t>
  </si>
  <si>
    <r>
      <t>kgCH</t>
    </r>
    <r>
      <rPr>
        <vertAlign val="subscript"/>
        <sz val="10"/>
        <rFont val="Arial Narrow"/>
        <family val="2"/>
      </rPr>
      <t>4</t>
    </r>
    <r>
      <rPr>
        <sz val="10"/>
        <rFont val="Arial Narrow"/>
        <family val="2"/>
      </rPr>
      <t>/kg DBO</t>
    </r>
  </si>
  <si>
    <t>kg DBO</t>
  </si>
  <si>
    <t>Tratamiento de lodos orgánicos industriales</t>
  </si>
  <si>
    <r>
      <t>kgCO</t>
    </r>
    <r>
      <rPr>
        <vertAlign val="subscript"/>
        <sz val="10"/>
        <rFont val="Arial Narrow"/>
        <family val="2"/>
      </rPr>
      <t>2</t>
    </r>
    <r>
      <rPr>
        <sz val="10"/>
        <rFont val="Arial Narrow"/>
        <family val="2"/>
      </rPr>
      <t>/kg húmedo</t>
    </r>
  </si>
  <si>
    <t xml:space="preserve">Incineración controlada residuos solidos ordinarios </t>
  </si>
  <si>
    <t>Quema a cielo abierto residuos solidos ordinarios</t>
  </si>
  <si>
    <t xml:space="preserve">Incineración controlada residuos solidos industriales </t>
  </si>
  <si>
    <t xml:space="preserve">Incineración controlada residuos solidos hospitalarios  </t>
  </si>
  <si>
    <t>Incineración controlada residuos liquidos fósiles</t>
  </si>
  <si>
    <t>Producción de fibra de vidrio</t>
  </si>
  <si>
    <t>Vertimientos domésticos no tratados (solo para alcance 3)</t>
  </si>
  <si>
    <t>Vertimientos domésticos a cloaca o alcantarilla estancada</t>
  </si>
  <si>
    <t>Vertimientos domésticos a cloaca o alcantarilla en movimiento (abierta o cerrada)</t>
  </si>
  <si>
    <t xml:space="preserve">Vertimientos domésticos tratados (PTAR aeróbica) </t>
  </si>
  <si>
    <t xml:space="preserve">Vertimientos domésticos tratados (PTAR aeróbica sobrecargada) </t>
  </si>
  <si>
    <t xml:space="preserve">Vertimientos domésticos tratados (Digestor anaeróbico) </t>
  </si>
  <si>
    <t xml:space="preserve">Vertimientos domésticos tratados (Reactor anaeróbico) </t>
  </si>
  <si>
    <t xml:space="preserve">Vertimientos domésticos tratados (Laguna anaeróbica &lt; 2 mts) </t>
  </si>
  <si>
    <t xml:space="preserve">Vertimientos domésticos tratados (Laguna anaeróbica &gt; 2 mts) </t>
  </si>
  <si>
    <t xml:space="preserve">Vertimientos domésticos tratados (Sistema séptico) </t>
  </si>
  <si>
    <t>Tratamiento de lodos orgánicos domésticos</t>
  </si>
  <si>
    <t xml:space="preserve">Residuos solidos domiciliarios a relleno sanitario anaeróbico </t>
  </si>
  <si>
    <t xml:space="preserve">Lodos aguas residuales a relleno sanitario anaeróbico </t>
  </si>
  <si>
    <t>Residuos solidos hospitalarios a relleno sanitario anaeróbico</t>
  </si>
  <si>
    <t>Residuos solidos industria alimentos a relleno sanitario anaeróbico</t>
  </si>
  <si>
    <t>Residuos solidos industria textil a relleno sanitario anaeróbico</t>
  </si>
  <si>
    <t>Residuos solidos industria madera a relleno sanitario anaeróbico</t>
  </si>
  <si>
    <t>Residuos solidos industria pulpa y papel a relleno sanitario anaeróbico</t>
  </si>
  <si>
    <t>Residuos solidos industria caucho a relleno sanitario anaeróbico</t>
  </si>
  <si>
    <t>Residuos solidos industria construcción a relleno sanitario anaeróbico</t>
  </si>
  <si>
    <t>Residuos solidos otras industrias a relleno sanitario anaeróbico</t>
  </si>
  <si>
    <t>Incineración controlada residuos líquidos domésticos</t>
  </si>
  <si>
    <t>Incineración controlada residuos líquidos industriales</t>
  </si>
  <si>
    <t xml:space="preserve">Ganado No Lechero - Clima Frío </t>
  </si>
  <si>
    <t>Quema de residuos agricolas</t>
  </si>
  <si>
    <t>Quema de residuos pastizales</t>
  </si>
  <si>
    <t>HUELLA DE CARBONO
(tCO2 e)</t>
  </si>
  <si>
    <t>EMISIONES CO2 (tCO2)</t>
  </si>
  <si>
    <t>HUELLA DE CARBONO
(tCO2e)</t>
  </si>
  <si>
    <t>Factor Emisión CO2 (kg CO2/t)</t>
  </si>
  <si>
    <t>Factor Emisión CH4 (g CH4/t)</t>
  </si>
  <si>
    <t>Factor Emisión CH4 (kg CH4/t)</t>
  </si>
  <si>
    <t>Factor Emisión N2O (kg N2O/t)</t>
  </si>
  <si>
    <t xml:space="preserve">t </t>
  </si>
  <si>
    <r>
      <t>kg CO</t>
    </r>
    <r>
      <rPr>
        <vertAlign val="subscript"/>
        <sz val="10"/>
        <rFont val="Arial Narrow"/>
        <family val="2"/>
      </rPr>
      <t>2</t>
    </r>
    <r>
      <rPr>
        <sz val="10"/>
        <rFont val="Arial Narrow"/>
        <family val="2"/>
      </rPr>
      <t>/t</t>
    </r>
  </si>
  <si>
    <r>
      <t>kg CH</t>
    </r>
    <r>
      <rPr>
        <vertAlign val="subscript"/>
        <sz val="10"/>
        <rFont val="Arial Narrow"/>
        <family val="2"/>
      </rPr>
      <t>4</t>
    </r>
    <r>
      <rPr>
        <sz val="10"/>
        <rFont val="Arial Narrow"/>
        <family val="2"/>
      </rPr>
      <t>/t</t>
    </r>
  </si>
  <si>
    <r>
      <t>kg N</t>
    </r>
    <r>
      <rPr>
        <vertAlign val="subscript"/>
        <sz val="10"/>
        <rFont val="Arial Narrow"/>
        <family val="2"/>
      </rPr>
      <t>2</t>
    </r>
    <r>
      <rPr>
        <sz val="10"/>
        <rFont val="Arial Narrow"/>
        <family val="2"/>
      </rPr>
      <t>O/t</t>
    </r>
  </si>
  <si>
    <t>t</t>
  </si>
  <si>
    <r>
      <t>kg CH</t>
    </r>
    <r>
      <rPr>
        <vertAlign val="subscript"/>
        <sz val="10"/>
        <rFont val="Arial Narrow"/>
        <family val="2"/>
      </rPr>
      <t>4</t>
    </r>
    <r>
      <rPr>
        <sz val="10"/>
        <rFont val="Arial Narrow"/>
        <family val="2"/>
      </rPr>
      <t>/t+</t>
    </r>
  </si>
  <si>
    <t>EMISIONES CO2 (tCO2e)</t>
  </si>
  <si>
    <t>EMISIONES CH4 (tCH4)</t>
  </si>
  <si>
    <t>EMISIONES CH4 (tCO2e)</t>
  </si>
  <si>
    <t>EMISIONES N2O (tN2O)</t>
  </si>
  <si>
    <t>EMISIONES N2O (tCO2e)</t>
  </si>
  <si>
    <t>FACTOR DE EMISIÓN 
Compuestos Fluorados</t>
  </si>
  <si>
    <t>EMISIONES Compuestos Fluorados (tCO2e)</t>
  </si>
  <si>
    <t>EMISIONES SF6 (tSF6)</t>
  </si>
  <si>
    <t>EMISIONES SF6 (tCO2e)</t>
  </si>
  <si>
    <t>t Clinker</t>
  </si>
  <si>
    <t>kgCH4/t</t>
  </si>
  <si>
    <r>
      <t>kgCO</t>
    </r>
    <r>
      <rPr>
        <vertAlign val="subscript"/>
        <sz val="10"/>
        <rFont val="Arial Narrow"/>
        <family val="2"/>
      </rPr>
      <t>2</t>
    </r>
    <r>
      <rPr>
        <sz val="10"/>
        <rFont val="Arial Narrow"/>
        <family val="2"/>
      </rPr>
      <t>/t Clinker</t>
    </r>
  </si>
  <si>
    <r>
      <t>kgCO</t>
    </r>
    <r>
      <rPr>
        <vertAlign val="subscript"/>
        <sz val="10"/>
        <rFont val="Arial Narrow"/>
        <family val="2"/>
      </rPr>
      <t>2</t>
    </r>
    <r>
      <rPr>
        <sz val="10"/>
        <rFont val="Arial Narrow"/>
        <family val="2"/>
      </rPr>
      <t>/t</t>
    </r>
  </si>
  <si>
    <t>kgCO2/ t NH3</t>
  </si>
  <si>
    <r>
      <t>kgN</t>
    </r>
    <r>
      <rPr>
        <vertAlign val="subscript"/>
        <sz val="10"/>
        <rFont val="Arial Narrow"/>
        <family val="2"/>
      </rPr>
      <t>2</t>
    </r>
    <r>
      <rPr>
        <sz val="10"/>
        <rFont val="Arial Narrow"/>
        <family val="2"/>
      </rPr>
      <t>O/t</t>
    </r>
  </si>
  <si>
    <t>t*km</t>
  </si>
  <si>
    <t>kg CO2 e/ t*km</t>
  </si>
  <si>
    <r>
      <t>kgCH</t>
    </r>
    <r>
      <rPr>
        <vertAlign val="subscript"/>
        <sz val="11"/>
        <rFont val="Calibri"/>
        <family val="2"/>
        <scheme val="minor"/>
      </rPr>
      <t>4</t>
    </r>
    <r>
      <rPr>
        <sz val="11"/>
        <rFont val="Calibri"/>
        <family val="2"/>
        <scheme val="minor"/>
      </rPr>
      <t>/t</t>
    </r>
  </si>
  <si>
    <t>kgCO2 e/t</t>
  </si>
  <si>
    <t>t NH3</t>
  </si>
  <si>
    <r>
      <t>kgCO</t>
    </r>
    <r>
      <rPr>
        <vertAlign val="subscript"/>
        <sz val="11"/>
        <rFont val="Calibri"/>
        <family val="2"/>
        <scheme val="minor"/>
      </rPr>
      <t>2</t>
    </r>
    <r>
      <rPr>
        <sz val="11"/>
        <rFont val="Calibri"/>
        <family val="2"/>
        <scheme val="minor"/>
      </rPr>
      <t>/t</t>
    </r>
  </si>
  <si>
    <t>HUELLA DE CARBONO
(t CO2 e)</t>
  </si>
  <si>
    <t>EMISIONES CO2 (t CO2)</t>
  </si>
  <si>
    <t>EMISIONES CO2 (t CO2e)</t>
  </si>
  <si>
    <t>kg CO2/t</t>
  </si>
  <si>
    <t>kg CO2/gal</t>
  </si>
  <si>
    <t>m3</t>
  </si>
  <si>
    <t>kg CO2/m3</t>
  </si>
  <si>
    <t>Incertidumbre datos</t>
  </si>
  <si>
    <t>DATO DE ACTIVIDAD</t>
  </si>
  <si>
    <t>DATOS GENERALES  DEL MUNICIPIO</t>
  </si>
  <si>
    <t>INSTITUCION RESPONSABLE:</t>
  </si>
  <si>
    <t>DIRECCION:</t>
  </si>
  <si>
    <t>HERRAMIENTA PARA EL CALCULO DE LA HUELLA DE CARBONO A NIVEL MUNICIPAL</t>
  </si>
  <si>
    <t>HERRAMIENTA PARA EL CALCULO DE LA HUELLA DE CARBONO A NIVEL SECTORIAL</t>
  </si>
  <si>
    <t>INSTRUCCIONES DE DILIGANCIAMIENTO</t>
  </si>
  <si>
    <t>* Es importante verificar que la información, se encuentra en las unidades definidas para cada fuentes de emisión.</t>
  </si>
  <si>
    <t>* Solo se diligencian las celdas que están en blanco, las demás están protegidas para no ser modificadas.</t>
  </si>
  <si>
    <t>* Después de diligenciar la información, la herramienta hace el cálculo automático de la Huella de Carbono y al final actualiza todas las Gráficas con los resultados.</t>
  </si>
  <si>
    <t>MENÚ</t>
  </si>
  <si>
    <t>SIGUIENTE</t>
  </si>
  <si>
    <t>TOTAL HUELLA DE CARBONO RESIDENCIAL</t>
  </si>
  <si>
    <t>VALOR</t>
  </si>
  <si>
    <t>TOTAL HUELLA DE CARBONO TRANSPORTE</t>
  </si>
  <si>
    <t>TOTAL HUELLA DE CARBONO AGROPECUARIA</t>
  </si>
  <si>
    <t>TOTAL HUELLA DE CARBONO INDUSTRIA</t>
  </si>
  <si>
    <t>TOTAL HUELLA DE CARBONO RESIDUOS</t>
  </si>
  <si>
    <t>Wet</t>
  </si>
  <si>
    <t>Moist with Short Dry Season</t>
  </si>
  <si>
    <t>Dry</t>
  </si>
  <si>
    <t>Montane Moist</t>
  </si>
  <si>
    <t>Montane</t>
  </si>
  <si>
    <t>%</t>
  </si>
  <si>
    <t>Mean</t>
  </si>
  <si>
    <t>Min.</t>
  </si>
  <si>
    <t>America</t>
  </si>
  <si>
    <t>Max.</t>
  </si>
  <si>
    <t>Broadleaf</t>
  </si>
  <si>
    <t>CÁLCULO DE LA HUELLA DE CARBONO POR CAMBIOS DE BIOMASA DE BOSQUES Y OTROS EN TIPOS DE VEGETACIÓN LEÑOSA</t>
  </si>
  <si>
    <t>MOSAICO DE PASTOS CON ESPACION NATURALES</t>
  </si>
  <si>
    <t>TABLE 3A.1.3</t>
  </si>
  <si>
    <t>ABSORCIÓN DEBIDA A LOS SUMIDEROS</t>
  </si>
  <si>
    <t>CULTIVOS CONFINADOS</t>
  </si>
  <si>
    <t>ABOVEGROUND BIOMASS STOCK IN PLANTATION FORESTS BY BROAD CATEGORY (tonnes dry matter/ha)</t>
  </si>
  <si>
    <t>Pines</t>
  </si>
  <si>
    <t>10.0</t>
  </si>
  <si>
    <t>Superficie de las existencias por categoria</t>
  </si>
  <si>
    <t>MOSAICO DE PASTOS Y CULTIVOS</t>
  </si>
  <si>
    <t>(To be used for Bw  in Equation 3.2.9, for Lconversion in equation in Equation 3.3.8 in Cropland section and for Lconversion in</t>
  </si>
  <si>
    <t>(ha)</t>
  </si>
  <si>
    <t>TEJIDO URBANO DESCONTINUO</t>
  </si>
  <si>
    <r>
      <t>Equation 3.4.13. in Grassland section, etc. Not to be applied for Ct</t>
    </r>
    <r>
      <rPr>
        <vertAlign val="subscript"/>
        <sz val="9"/>
        <rFont val="Verdana"/>
        <family val="2"/>
      </rPr>
      <t xml:space="preserve">2  </t>
    </r>
    <r>
      <rPr>
        <sz val="9"/>
        <rFont val="Verdana"/>
        <family val="2"/>
      </rPr>
      <t xml:space="preserve">  or Ct</t>
    </r>
    <r>
      <rPr>
        <vertAlign val="subscript"/>
        <sz val="9"/>
        <rFont val="Verdana"/>
        <family val="2"/>
      </rPr>
      <t>1</t>
    </r>
    <r>
      <rPr>
        <sz val="9"/>
        <rFont val="Verdana"/>
        <family val="2"/>
      </rPr>
      <t xml:space="preserve">   in Forest section Equation 3.2.3)</t>
    </r>
  </si>
  <si>
    <t>TIERRAS FORESTALES GESTIONADAS</t>
  </si>
  <si>
    <t>PLANTACIONES COMERCIALES</t>
  </si>
  <si>
    <t>ZONAS INDUSTRIALES O COMERCIALES</t>
  </si>
  <si>
    <t>Tropical and sub-tropical Forests</t>
  </si>
  <si>
    <t>VIVIENDA CAMPESTRE FUERA DEL POT DESARROLLADOS</t>
  </si>
  <si>
    <t>VIVIENDA CAMPESTRE DENTRO DEL POT DESARROLLADOS</t>
  </si>
  <si>
    <t>Pinus</t>
  </si>
  <si>
    <t>All</t>
  </si>
  <si>
    <t>CABALLERIZA</t>
  </si>
  <si>
    <t>Eucalyptus</t>
  </si>
  <si>
    <r>
      <t>Note: BEF</t>
    </r>
    <r>
      <rPr>
        <sz val="5"/>
        <rFont val="Verdana"/>
        <family val="2"/>
      </rPr>
      <t>2</t>
    </r>
    <r>
      <rPr>
        <sz val="8"/>
        <rFont val="Verdana"/>
        <family val="2"/>
      </rPr>
      <t>s given here represent averages for average growing stock or age, the upper limit of the range represents young forests or</t>
    </r>
  </si>
  <si>
    <t>AVICOLA</t>
  </si>
  <si>
    <t>Tectona</t>
  </si>
  <si>
    <t>forests with low growing stock; lower limits of the range approximate mature forests or those with high growing stock. The values apply</t>
  </si>
  <si>
    <t>EQUIPAMIENTOS EDUCATIVOS RURALES</t>
  </si>
  <si>
    <t>other broadleaved</t>
  </si>
  <si>
    <t>to growing stock biomass (dry weight) including bark and for given minimum diameter at breast height; Minimum top diameters and treatment of branches is unspecified. Result is above-ground tree biomass.</t>
  </si>
  <si>
    <t>Tipo de bosque</t>
  </si>
  <si>
    <t>Cod.</t>
  </si>
  <si>
    <t>Ext.</t>
  </si>
  <si>
    <t>BAj</t>
  </si>
  <si>
    <t>I.C.</t>
  </si>
  <si>
    <t>t C ha-1</t>
  </si>
  <si>
    <t>t BA</t>
  </si>
  <si>
    <t>t C</t>
  </si>
  <si>
    <t>t CO2e</t>
  </si>
  <si>
    <t>(tonnes dry matter/ha/year) (To be used for GW in Equation  3.2.5)</t>
  </si>
  <si>
    <t>Bosque seco tropical</t>
  </si>
  <si>
    <t>bs-T</t>
  </si>
  <si>
    <t>Tropical and Sub-Tropical Forests</t>
  </si>
  <si>
    <t>Subtotal</t>
  </si>
  <si>
    <t>Bosque húmedo tropical</t>
  </si>
  <si>
    <t>bh-T</t>
  </si>
  <si>
    <t>Moist with Long Dry Season</t>
  </si>
  <si>
    <t>PLANTACIONES PROTECTORAS</t>
  </si>
  <si>
    <t>Bosque muy húmedo tropical</t>
  </si>
  <si>
    <t>bmh-T</t>
  </si>
  <si>
    <t>Montane Dry</t>
  </si>
  <si>
    <t>Bosque pluvial tropical</t>
  </si>
  <si>
    <t>bp-T</t>
  </si>
  <si>
    <t>Age Class</t>
  </si>
  <si>
    <t>R &gt; 2000</t>
  </si>
  <si>
    <t>2000&gt;R&gt;1000</t>
  </si>
  <si>
    <t>R&lt;1000</t>
  </si>
  <si>
    <t>R&gt;1000</t>
  </si>
  <si>
    <t>Bosque húmedo premontano</t>
  </si>
  <si>
    <t>bh-PM</t>
  </si>
  <si>
    <t>Bosque muy húmedo premontano</t>
  </si>
  <si>
    <t>bmh-PM</t>
  </si>
  <si>
    <t>£20 years</t>
  </si>
  <si>
    <t>Bosque pluvial premontano</t>
  </si>
  <si>
    <t>bp-PM</t>
  </si>
  <si>
    <t>&gt;20 years</t>
  </si>
  <si>
    <t>BOSQUES NATURALES Y OTRAS COBERTURAS</t>
  </si>
  <si>
    <t>Bosque húmedo montano bajo</t>
  </si>
  <si>
    <t>bh-MB</t>
  </si>
  <si>
    <t>Bosque muy húmedo montano bajo</t>
  </si>
  <si>
    <t>bmh-MB</t>
  </si>
  <si>
    <t>Bosque muy húmedo montano</t>
  </si>
  <si>
    <t>bmh-M</t>
  </si>
  <si>
    <t>Note: R= annual rainfall in mm/yr</t>
  </si>
  <si>
    <t>Phillips J.F., Duque A.J., Cabrera K.R., Yepes A.P., Navarrete D.A., García, M.C., Álvarez, E., Cabrera E., Cárdenas, D., Galindo G.,
Ordóñez, M.F., Rodríguez M.L., Vargas D.M. 2011. Estimación de las reservas potenciales de carbono almacenadas en la biomasa
aérea
en
bosques
naturales
de
Colombia.
Instituto
de
Hidrología,
Meteorología,
y
Estudios
Ambientales-IDEAM-.
Bogotá
D.C.,
Colombia. 16 p.</t>
  </si>
  <si>
    <t>Note: Data are given as mean value and as the range of possible values.</t>
  </si>
  <si>
    <t>Table 3A.1.6</t>
  </si>
  <si>
    <t>Estimación de biomasa aérea / reservas de carbono en bosques naturales empleando una leyenda por zonas de vida (IDEAM 2005)</t>
  </si>
  <si>
    <t>ANNUAL AVERAGE ABOVEGROUND BIOMASS INCREMENT IN PLANTATIONS BY BROAD CATEGORY</t>
  </si>
  <si>
    <t>TOTAL ABSORCIÓN CAMBIOS DE BIOMASA DE BOSQUES Y OTROS EN TIPOS DE VEGETACIÓN LEÑOSA</t>
  </si>
  <si>
    <t>Región</t>
  </si>
  <si>
    <t>Zona de vida</t>
  </si>
  <si>
    <t>Área (ha)</t>
  </si>
  <si>
    <t>Biomasa
Aérea
(t ha-1)</t>
  </si>
  <si>
    <t>Biomasa total
(t)</t>
  </si>
  <si>
    <t>Carbono
(t ha-1)</t>
  </si>
  <si>
    <t>Carbono total
(t)</t>
  </si>
  <si>
    <t>CO e total
2
(t)</t>
  </si>
  <si>
    <t>(tonnes dry matter/ha/year )</t>
  </si>
  <si>
    <t>Amazonía</t>
  </si>
  <si>
    <t>(To be used for GW in Equation 3.2.5.</t>
  </si>
  <si>
    <t>In case of missing values it is preferred to use stemwood volume increment data IV  from Table 3A.1.7)</t>
  </si>
  <si>
    <t>NOMENCLATURA</t>
  </si>
  <si>
    <t>CONCEPTO</t>
  </si>
  <si>
    <t>ha</t>
  </si>
  <si>
    <t>hectáreas</t>
  </si>
  <si>
    <t>t ms/ha</t>
  </si>
  <si>
    <t>toneladas de materia seca por hectárea</t>
  </si>
  <si>
    <t>Moist</t>
  </si>
  <si>
    <t>kt ms</t>
  </si>
  <si>
    <t>toneladas de materia seca</t>
  </si>
  <si>
    <t>R &gt;2000</t>
  </si>
  <si>
    <t>kt C</t>
  </si>
  <si>
    <t>toneladas de carbono</t>
  </si>
  <si>
    <t>Andina</t>
  </si>
  <si>
    <t>*</t>
  </si>
  <si>
    <t>La fracción de Carbono es igual para todas las especies, de acuerdo con el factor del IPCC, por defecto.</t>
  </si>
  <si>
    <t>-</t>
  </si>
  <si>
    <t>Caribe</t>
  </si>
  <si>
    <t>Note 1 : R= annual rainfall in mm/yr</t>
  </si>
  <si>
    <t>Note 2 : Data are given as mean value and as the range of possible values.</t>
  </si>
  <si>
    <r>
      <t xml:space="preserve">Note 3 : Some Boreal data were calculated from original values in Zakharov </t>
    </r>
    <r>
      <rPr>
        <i/>
        <sz val="9"/>
        <rFont val="Verdana"/>
        <family val="2"/>
      </rPr>
      <t xml:space="preserve">et al. </t>
    </r>
    <r>
      <rPr>
        <sz val="9"/>
        <rFont val="Verdana"/>
        <family val="2"/>
      </rPr>
      <t xml:space="preserve">(1962), Zagreev </t>
    </r>
    <r>
      <rPr>
        <i/>
        <sz val="9"/>
        <rFont val="Verdana"/>
        <family val="2"/>
      </rPr>
      <t xml:space="preserve">et al. </t>
    </r>
    <r>
      <rPr>
        <sz val="9"/>
        <rFont val="Verdana"/>
        <family val="2"/>
      </rPr>
      <t xml:space="preserve">(1993), Isaev </t>
    </r>
    <r>
      <rPr>
        <i/>
        <sz val="9"/>
        <rFont val="Verdana"/>
        <family val="2"/>
      </rPr>
      <t xml:space="preserve">et al. </t>
    </r>
    <r>
      <rPr>
        <sz val="9"/>
        <rFont val="Verdana"/>
        <family val="2"/>
      </rPr>
      <t>(1993) using</t>
    </r>
  </si>
  <si>
    <t>0.23 as belowground/aboveground biomass ratio and assuming a linear increase in annual increment from 0 to 20 years.</t>
  </si>
  <si>
    <t>Note 4 : For plantations in temperate and boreal zones, it is good practice to use stemwood volume increment data (Iv  in Equation 3.2.5)</t>
  </si>
  <si>
    <t>Pacífico</t>
  </si>
  <si>
    <t>instead of  above ground biomass increment as given in above table.</t>
  </si>
  <si>
    <r>
      <t>T</t>
    </r>
    <r>
      <rPr>
        <b/>
        <sz val="7"/>
        <rFont val="Verdana"/>
        <family val="2"/>
      </rPr>
      <t xml:space="preserve">ABLE </t>
    </r>
    <r>
      <rPr>
        <b/>
        <sz val="9"/>
        <rFont val="Verdana"/>
        <family val="2"/>
      </rPr>
      <t>3A.1.7</t>
    </r>
  </si>
  <si>
    <r>
      <t>T</t>
    </r>
    <r>
      <rPr>
        <b/>
        <sz val="7"/>
        <rFont val="Verdana"/>
        <family val="2"/>
      </rPr>
      <t xml:space="preserve">ABLE </t>
    </r>
    <r>
      <rPr>
        <b/>
        <sz val="9"/>
        <rFont val="Verdana"/>
        <family val="2"/>
      </rPr>
      <t>3A.1.8</t>
    </r>
  </si>
  <si>
    <r>
      <t>T</t>
    </r>
    <r>
      <rPr>
        <b/>
        <sz val="7"/>
        <rFont val="Verdana"/>
        <family val="2"/>
      </rPr>
      <t xml:space="preserve">ABLE </t>
    </r>
    <r>
      <rPr>
        <b/>
        <sz val="9"/>
        <rFont val="Verdana"/>
        <family val="2"/>
      </rPr>
      <t>3A.1.9-2</t>
    </r>
  </si>
  <si>
    <r>
      <t>A</t>
    </r>
    <r>
      <rPr>
        <b/>
        <sz val="7"/>
        <rFont val="Verdana"/>
        <family val="2"/>
      </rPr>
      <t>VERAGE ANNUAL ABOVE GROUND NET INCREMENT IN VOLUME IN PLANTATIONS BY SPECIES</t>
    </r>
  </si>
  <si>
    <r>
      <t>A</t>
    </r>
    <r>
      <rPr>
        <b/>
        <sz val="7"/>
        <rFont val="Verdana"/>
        <family val="2"/>
      </rPr>
      <t xml:space="preserve">VERAGE BELOWGROUND TO ABOVEGROUND BIOMASS RATIO </t>
    </r>
    <r>
      <rPr>
        <b/>
        <sz val="9"/>
        <rFont val="Verdana"/>
        <family val="2"/>
      </rPr>
      <t>(</t>
    </r>
    <r>
      <rPr>
        <b/>
        <sz val="7"/>
        <rFont val="Verdana"/>
        <family val="2"/>
      </rPr>
      <t>ROOT</t>
    </r>
    <r>
      <rPr>
        <b/>
        <sz val="9"/>
        <rFont val="Verdana"/>
        <family val="2"/>
      </rPr>
      <t>-</t>
    </r>
    <r>
      <rPr>
        <b/>
        <sz val="7"/>
        <rFont val="Verdana"/>
        <family val="2"/>
      </rPr>
      <t>SHOOT RATIO</t>
    </r>
    <r>
      <rPr>
        <b/>
        <sz val="9"/>
        <rFont val="Verdana"/>
        <family val="2"/>
      </rPr>
      <t xml:space="preserve">, R) </t>
    </r>
    <r>
      <rPr>
        <b/>
        <sz val="7"/>
        <rFont val="Verdana"/>
        <family val="2"/>
      </rPr>
      <t xml:space="preserve">IN NATURAL REGENERATION BY BROAD CATEGORY </t>
    </r>
    <r>
      <rPr>
        <b/>
        <sz val="9"/>
        <rFont val="Verdana"/>
        <family val="2"/>
      </rPr>
      <t>(tonnes dry matter/tonne dry matter)</t>
    </r>
  </si>
  <si>
    <r>
      <t>B</t>
    </r>
    <r>
      <rPr>
        <b/>
        <sz val="7"/>
        <rFont val="Verdana"/>
        <family val="2"/>
      </rPr>
      <t xml:space="preserve">ASIC WOOD DENSITIES </t>
    </r>
    <r>
      <rPr>
        <b/>
        <sz val="9"/>
        <rFont val="Verdana"/>
        <family val="2"/>
      </rPr>
      <t xml:space="preserve">(D) </t>
    </r>
    <r>
      <rPr>
        <b/>
        <sz val="7"/>
        <rFont val="Verdana"/>
        <family val="2"/>
      </rPr>
      <t xml:space="preserve">OF STEMWOOD  </t>
    </r>
    <r>
      <rPr>
        <b/>
        <sz val="9"/>
        <rFont val="Verdana"/>
        <family val="2"/>
      </rPr>
      <t>(tonnes dry matter/m</t>
    </r>
    <r>
      <rPr>
        <b/>
        <sz val="6"/>
        <rFont val="Verdana"/>
        <family val="2"/>
      </rPr>
      <t xml:space="preserve">3  </t>
    </r>
    <r>
      <rPr>
        <b/>
        <sz val="9"/>
        <rFont val="Verdana"/>
        <family val="2"/>
      </rPr>
      <t xml:space="preserve">fresh volume) </t>
    </r>
    <r>
      <rPr>
        <b/>
        <sz val="7"/>
        <rFont val="Verdana"/>
        <family val="2"/>
      </rPr>
      <t>FOR TROPICAL  TREE SPECIES</t>
    </r>
  </si>
  <si>
    <r>
      <t>(m</t>
    </r>
    <r>
      <rPr>
        <b/>
        <sz val="6"/>
        <rFont val="Verdana"/>
        <family val="2"/>
      </rPr>
      <t>3</t>
    </r>
    <r>
      <rPr>
        <b/>
        <sz val="9"/>
        <rFont val="Verdana"/>
        <family val="2"/>
      </rPr>
      <t>/ha/yr)</t>
    </r>
  </si>
  <si>
    <t>(To be used for R in Equation 3.2.5)</t>
  </si>
  <si>
    <t>(To be used for D in Equations 3.2.3., 3.2.5, 3.2.7, 3.2.8)</t>
  </si>
  <si>
    <r>
      <t>(To be used for I</t>
    </r>
    <r>
      <rPr>
        <sz val="6"/>
        <rFont val="Verdana"/>
        <family val="2"/>
      </rPr>
      <t xml:space="preserve">v </t>
    </r>
    <r>
      <rPr>
        <sz val="9"/>
        <rFont val="Verdana"/>
        <family val="2"/>
      </rPr>
      <t>in Equation 3.2.5)</t>
    </r>
  </si>
  <si>
    <r>
      <t xml:space="preserve">Aboveground biomass </t>
    </r>
    <r>
      <rPr>
        <sz val="8"/>
        <rFont val="Verdana"/>
        <family val="2"/>
      </rPr>
      <t>(t/ha)</t>
    </r>
  </si>
  <si>
    <t>lower range</t>
  </si>
  <si>
    <t>upper range</t>
  </si>
  <si>
    <t>TROPICAL AMERICA</t>
  </si>
  <si>
    <t>D</t>
  </si>
  <si>
    <r>
      <t>I</t>
    </r>
    <r>
      <rPr>
        <b/>
        <sz val="6"/>
        <rFont val="Verdana"/>
        <family val="2"/>
      </rPr>
      <t>V</t>
    </r>
  </si>
  <si>
    <t>Vegetation type</t>
  </si>
  <si>
    <t>SD</t>
  </si>
  <si>
    <t>References</t>
  </si>
  <si>
    <t>Albizia spp.</t>
  </si>
  <si>
    <t>Species</t>
  </si>
  <si>
    <r>
      <t>(m³ ha</t>
    </r>
    <r>
      <rPr>
        <b/>
        <sz val="6"/>
        <rFont val="Verdana"/>
        <family val="2"/>
      </rPr>
      <t>-</t>
    </r>
    <r>
      <rPr>
        <b/>
        <sz val="9"/>
        <rFont val="Verdana"/>
        <family val="2"/>
      </rPr>
      <t>¹ yr</t>
    </r>
    <r>
      <rPr>
        <b/>
        <sz val="6"/>
        <rFont val="Verdana"/>
        <family val="2"/>
      </rPr>
      <t>-</t>
    </r>
    <r>
      <rPr>
        <b/>
        <sz val="9"/>
        <rFont val="Verdana"/>
        <family val="2"/>
      </rPr>
      <t>¹)</t>
    </r>
  </si>
  <si>
    <t>Tropical   / sup - tropical forest</t>
  </si>
  <si>
    <t>Secondary tropical/sub-tropical forest</t>
  </si>
  <si>
    <t>5, 7, 13, 25, 28, 31, 48,</t>
  </si>
  <si>
    <t>Alcornea spp.</t>
  </si>
  <si>
    <t>Min</t>
  </si>
  <si>
    <t>Mean*</t>
  </si>
  <si>
    <t>Max</t>
  </si>
  <si>
    <t>&lt;125</t>
  </si>
  <si>
    <t>Alexa grandiflora</t>
  </si>
  <si>
    <t>Orinoquía</t>
  </si>
  <si>
    <t>E. deglupta</t>
  </si>
  <si>
    <t>Primary tropical/sub-tropical moist forest</t>
  </si>
  <si>
    <t>Alnus ferruginea</t>
  </si>
  <si>
    <t>E. globulus</t>
  </si>
  <si>
    <t>NS</t>
  </si>
  <si>
    <t>33, 57, 63, 67, 69</t>
  </si>
  <si>
    <t>E. grandis</t>
  </si>
  <si>
    <t>Tropical/sub-tropical dry forest</t>
  </si>
  <si>
    <t>Anacardium excelsum</t>
  </si>
  <si>
    <t>E. saligna</t>
  </si>
  <si>
    <t>Conifer forest / plantation</t>
  </si>
  <si>
    <t>Conifer forest/plantation</t>
  </si>
  <si>
    <t>&lt;50</t>
  </si>
  <si>
    <t>2, 8, 43, 44, 54, 61, 75</t>
  </si>
  <si>
    <t>Anadenanthera macrocarpa</t>
  </si>
  <si>
    <t>E. camaldulensis</t>
  </si>
  <si>
    <t>50-150</t>
  </si>
  <si>
    <t>6, 36, 54, 55, 58, 61</t>
  </si>
  <si>
    <t>Andira retusa</t>
  </si>
  <si>
    <t>E. urophylla</t>
  </si>
  <si>
    <t>1, 6, 20, 40, 53, 61, 67,</t>
  </si>
  <si>
    <t>Aniba riparia lduckei</t>
  </si>
  <si>
    <t>E. robusta</t>
  </si>
  <si>
    <t>&gt;150</t>
  </si>
  <si>
    <t>77, 79</t>
  </si>
  <si>
    <t>Antiaris africana</t>
  </si>
  <si>
    <t>Pinus caribaea var. caribaea</t>
  </si>
  <si>
    <t>Temeperate boradleaf forest / plantation</t>
  </si>
  <si>
    <t>Oak forest</t>
  </si>
  <si>
    <t>&gt;70</t>
  </si>
  <si>
    <t>15, 60, 64, 67</t>
  </si>
  <si>
    <t>Apeiba echinata</t>
  </si>
  <si>
    <t>Pinus caribaea var. hondurensis</t>
  </si>
  <si>
    <t>Eucalypt plantation</t>
  </si>
  <si>
    <t>9, 51, 59</t>
  </si>
  <si>
    <t>Artocarpus comunis</t>
  </si>
  <si>
    <t>Pinus patula</t>
  </si>
  <si>
    <t>4, 9, 59, 66, 76</t>
  </si>
  <si>
    <t>Aspidosperma spp.</t>
  </si>
  <si>
    <t>Pinus radiata</t>
  </si>
  <si>
    <t>Eucalypt forest/plantation</t>
  </si>
  <si>
    <t>4, 9, 16, 66</t>
  </si>
  <si>
    <t>(araracanga group)</t>
  </si>
  <si>
    <t>Pinus oocarpa</t>
  </si>
  <si>
    <t>Other broadleaf forest</t>
  </si>
  <si>
    <t>&lt;75</t>
  </si>
  <si>
    <t>30, 45, 46, 62</t>
  </si>
  <si>
    <t>Astronium lecointei</t>
  </si>
  <si>
    <t>Araucaria angustifolia</t>
  </si>
  <si>
    <t>30, 36, 45, 46, 62, 77,</t>
  </si>
  <si>
    <t>Bagassa guianensis</t>
  </si>
  <si>
    <t>0.68,0.69+</t>
  </si>
  <si>
    <t>A. cunninghamii</t>
  </si>
  <si>
    <t>75-150</t>
  </si>
  <si>
    <t>78, 81</t>
  </si>
  <si>
    <t>Banara guianensis</t>
  </si>
  <si>
    <t>Gmelina arborea</t>
  </si>
  <si>
    <t>3, 26, 30, 37, 67, 78, 81</t>
  </si>
  <si>
    <t>Basiloxylon exelsum</t>
  </si>
  <si>
    <t>Swietenia macrophylla</t>
  </si>
  <si>
    <t>Grassland</t>
  </si>
  <si>
    <t>Steppe/tundra/prairie grassland</t>
  </si>
  <si>
    <t>50, 56, 70, 72</t>
  </si>
  <si>
    <t>Beilschmiedia sp.</t>
  </si>
  <si>
    <t>Tectona grandis</t>
  </si>
  <si>
    <t>Temperate/sub-tropical/ tropical grassland</t>
  </si>
  <si>
    <t>Berthollettia excelsa</t>
  </si>
  <si>
    <t>0.59, 0.63+</t>
  </si>
  <si>
    <t>Casuarina equisetifolia</t>
  </si>
  <si>
    <t>22, 23, 32, 52</t>
  </si>
  <si>
    <t>Bixa arborea</t>
  </si>
  <si>
    <t>C. junghuhniana</t>
  </si>
  <si>
    <t>Semi-arid grassland</t>
  </si>
  <si>
    <t>17-19, 34</t>
  </si>
  <si>
    <t>Bombacopsis sepium</t>
  </si>
  <si>
    <t>Cupressus lusitanica</t>
  </si>
  <si>
    <t>Other</t>
  </si>
  <si>
    <t>10-12, 21, 27, 49, 65,</t>
  </si>
  <si>
    <t>Borojoa patinoi</t>
  </si>
  <si>
    <t>Cordia alliadora</t>
  </si>
  <si>
    <t>Woodland/savanna</t>
  </si>
  <si>
    <t>73, 74</t>
  </si>
  <si>
    <t>Bowdichia spp.</t>
  </si>
  <si>
    <t>Leucaena leucocephala</t>
  </si>
  <si>
    <t>14, 29, 35, 38, 41, 42,</t>
  </si>
  <si>
    <t>Brosimum spp. (alicastrum group)</t>
  </si>
  <si>
    <t>0.64, 0.66+</t>
  </si>
  <si>
    <t>Acacia auriculiformis</t>
  </si>
  <si>
    <t>Shrubland</t>
  </si>
  <si>
    <t>47, 67</t>
  </si>
  <si>
    <t>Acacia mearnsii</t>
  </si>
  <si>
    <t>Tidal marsh</t>
  </si>
  <si>
    <t>24, 39, 68, 80</t>
  </si>
  <si>
    <t>Brosimum utile</t>
  </si>
  <si>
    <t>0.41, 0.46+</t>
  </si>
  <si>
    <t>Terminalia superba</t>
  </si>
  <si>
    <t>NS = Not specified</t>
  </si>
  <si>
    <t>Brysenia adenophylla</t>
  </si>
  <si>
    <t>Terminalia ivorensis</t>
  </si>
  <si>
    <t>Buchenauia capitata</t>
  </si>
  <si>
    <t>0.61, 0.63+</t>
  </si>
  <si>
    <t>Dalbergia sissoo</t>
  </si>
  <si>
    <t>Bucida buceras</t>
  </si>
  <si>
    <t>*  For those parties that have reason to believe that their plantations are located on more than average fertile sites it is suggested to use the mean value + 50%, for those Parties that have reason to believe their plantations are located on poor sites, it is suggested to use the mean value -50%</t>
  </si>
  <si>
    <t>Bulnesia arborea</t>
  </si>
  <si>
    <t>Bursera simaruba</t>
  </si>
  <si>
    <t>0.29, 0.34+</t>
  </si>
  <si>
    <t>Byrsonima coriacea</t>
  </si>
  <si>
    <t>Cabralea cangerana</t>
  </si>
  <si>
    <t>Caesalpinia spp.</t>
  </si>
  <si>
    <t>Calophyllum sp.</t>
  </si>
  <si>
    <t>Campnosperma panamensis</t>
  </si>
  <si>
    <t>0.33,0.50+</t>
  </si>
  <si>
    <t>Carapa sp.</t>
  </si>
  <si>
    <t>Caryocar spp.</t>
  </si>
  <si>
    <t>0.69, 0.72+</t>
  </si>
  <si>
    <t>Casearia sp.</t>
  </si>
  <si>
    <t>Cassia moschata</t>
  </si>
  <si>
    <t>Catostemma spp.</t>
  </si>
  <si>
    <t>Cecropia spp.</t>
  </si>
  <si>
    <t>Cedrela spp.</t>
  </si>
  <si>
    <t>0.40, 0.46+</t>
  </si>
  <si>
    <t>0.41, 0.53+</t>
  </si>
  <si>
    <t>Cedrelinga catenaeformis</t>
  </si>
  <si>
    <t>0.23,0.24,0.25,</t>
  </si>
  <si>
    <t>Ceiba pentandra</t>
  </si>
  <si>
    <t>0.29+</t>
  </si>
  <si>
    <t>Centrolobium spp.</t>
  </si>
  <si>
    <t>0.65</t>
  </si>
  <si>
    <t>Cespedesia macrophylla</t>
  </si>
  <si>
    <t>0.63</t>
  </si>
  <si>
    <t>Chaetocarpus schomburgkianus</t>
  </si>
  <si>
    <t>0.8</t>
  </si>
  <si>
    <t>Chlorophora tinctoria</t>
  </si>
  <si>
    <t>0.71,0.75+</t>
  </si>
  <si>
    <t>Clarisia racemosa</t>
  </si>
  <si>
    <t>0.53,0.57+</t>
  </si>
  <si>
    <t>Clusia rosea</t>
  </si>
  <si>
    <t>0.67</t>
  </si>
  <si>
    <t>Cochlospermum orinocensis</t>
  </si>
  <si>
    <t>0.26</t>
  </si>
  <si>
    <t>Copaifera spp.</t>
  </si>
  <si>
    <t>0.46, 0.55+</t>
  </si>
  <si>
    <t>Cordia spp. (gerascanthus group)</t>
  </si>
  <si>
    <t>0.74</t>
  </si>
  <si>
    <t>Cordia spp. (alliodora group)</t>
  </si>
  <si>
    <t>0.48</t>
  </si>
  <si>
    <t>Couepia sp.</t>
  </si>
  <si>
    <t>0.7</t>
  </si>
  <si>
    <t>Couma macrocarpa</t>
  </si>
  <si>
    <t>0.50,0.53+</t>
  </si>
  <si>
    <t>Couratari spp.</t>
  </si>
  <si>
    <t>0.5</t>
  </si>
  <si>
    <t>Croton xanthochloros</t>
  </si>
  <si>
    <t>0.43, 0.44+</t>
  </si>
  <si>
    <t>Cyrilla racemiflora</t>
  </si>
  <si>
    <t>0.53</t>
  </si>
  <si>
    <t>Dactyodes colombiana</t>
  </si>
  <si>
    <t>0.51</t>
  </si>
  <si>
    <t>Dacryodes excelsa</t>
  </si>
  <si>
    <t>0.52, 0.53+</t>
  </si>
  <si>
    <t>Dalbergia retusa.</t>
  </si>
  <si>
    <t>0.89</t>
  </si>
  <si>
    <t>Dalbergia stevensonii</t>
  </si>
  <si>
    <t>0.82</t>
  </si>
  <si>
    <t>Declinanona calycina</t>
  </si>
  <si>
    <t>0.47</t>
  </si>
  <si>
    <t>Dialium guianensis</t>
  </si>
  <si>
    <t>0.87</t>
  </si>
  <si>
    <t>Dialyanthera spp.</t>
  </si>
  <si>
    <t>0.36, 0.48+</t>
  </si>
  <si>
    <t>Dicorynia paraensis</t>
  </si>
  <si>
    <t>0.6</t>
  </si>
  <si>
    <t>Didymopanax sp.</t>
  </si>
  <si>
    <t>Dimorphandra mora</t>
  </si>
  <si>
    <t>0.99*</t>
  </si>
  <si>
    <t>Diplotropis purpurea</t>
  </si>
  <si>
    <t>0.76, 0.77, 0.78+</t>
  </si>
  <si>
    <t>Dipterix odorata</t>
  </si>
  <si>
    <t>0.81,0.86,0.89+</t>
  </si>
  <si>
    <t>Drypetes variabilis</t>
  </si>
  <si>
    <t>0.69</t>
  </si>
  <si>
    <t>Dussia lehmannii</t>
  </si>
  <si>
    <t>0.59</t>
  </si>
  <si>
    <t>Ecclinusa guianensis</t>
  </si>
  <si>
    <t>Endlicheria cocvirey</t>
  </si>
  <si>
    <t>0.39</t>
  </si>
  <si>
    <t>Enterolobium schomburgkii</t>
  </si>
  <si>
    <t>Eperua spp.</t>
  </si>
  <si>
    <t>0.78</t>
  </si>
  <si>
    <t>Eriotheca sp.</t>
  </si>
  <si>
    <t>0.4</t>
  </si>
  <si>
    <t>Erisma uncinatum</t>
  </si>
  <si>
    <t>0.42, 0.48+</t>
  </si>
  <si>
    <t>Erythrina sp.</t>
  </si>
  <si>
    <t>0.23</t>
  </si>
  <si>
    <t>Eschweilera spp.</t>
  </si>
  <si>
    <t>0.71,0.79,0.95+</t>
  </si>
  <si>
    <t>Eucalyptus robusta</t>
  </si>
  <si>
    <t>Eugenia stahlii</t>
  </si>
  <si>
    <t>0.73</t>
  </si>
  <si>
    <t>Euxylophora paraensis</t>
  </si>
  <si>
    <t>0.68,0.70+</t>
  </si>
  <si>
    <t>Fagara spp.</t>
  </si>
  <si>
    <t>Ficus sp.</t>
  </si>
  <si>
    <t>0.32</t>
  </si>
  <si>
    <t>Genipa spp.</t>
  </si>
  <si>
    <t>0.75</t>
  </si>
  <si>
    <t>Goupia glabra</t>
  </si>
  <si>
    <t>0.67, 0.72+</t>
  </si>
  <si>
    <t>Guarea chalde</t>
  </si>
  <si>
    <t>0.52</t>
  </si>
  <si>
    <t>Guarea spp.</t>
  </si>
  <si>
    <t>Guatteria spp.</t>
  </si>
  <si>
    <t>0.36</t>
  </si>
  <si>
    <t>Guazuma ulmifolia</t>
  </si>
  <si>
    <t>0.52, 0.50+</t>
  </si>
  <si>
    <t>Guettarda scabra</t>
  </si>
  <si>
    <t>Guillielma gasipae</t>
  </si>
  <si>
    <t>0.95, 1.25+</t>
  </si>
  <si>
    <t>Gwtavia sp.</t>
  </si>
  <si>
    <t>0.56</t>
  </si>
  <si>
    <t>Helicostylis tomentosa</t>
  </si>
  <si>
    <t>0.68, 0.72+</t>
  </si>
  <si>
    <t>Hernandia Sonora</t>
  </si>
  <si>
    <t>0.29</t>
  </si>
  <si>
    <t>Hevea brasiliense</t>
  </si>
  <si>
    <t>0.49</t>
  </si>
  <si>
    <t>Himatanthus articulata</t>
  </si>
  <si>
    <t>0.40,0.54+</t>
  </si>
  <si>
    <t>Hirtella davisii</t>
  </si>
  <si>
    <t>Humiria balsamifera</t>
  </si>
  <si>
    <t>0.66,0.67+</t>
  </si>
  <si>
    <t>Humiriastrum procera</t>
  </si>
  <si>
    <t>Hura crepitans</t>
  </si>
  <si>
    <t>0.36, 0.37, 0.38+</t>
  </si>
  <si>
    <t>Hyeronima alchorneoides</t>
  </si>
  <si>
    <t>0.60,0.64+</t>
  </si>
  <si>
    <t>Hyeronima laxiflora</t>
  </si>
  <si>
    <t>Hymenaea davisii</t>
  </si>
  <si>
    <t>Hymenolobium sp.</t>
  </si>
  <si>
    <t>0.64</t>
  </si>
  <si>
    <t>0.49,0.52,0.58,</t>
  </si>
  <si>
    <t>Inga sp.</t>
  </si>
  <si>
    <t>0.64+</t>
  </si>
  <si>
    <t>Iryanthera spp.</t>
  </si>
  <si>
    <t>0.46</t>
  </si>
  <si>
    <t>Jacaranda sp.</t>
  </si>
  <si>
    <t>0.55</t>
  </si>
  <si>
    <t>Joannesia heveoides</t>
  </si>
  <si>
    <t>Lachmellea speciosa</t>
  </si>
  <si>
    <t>Laetia procera</t>
  </si>
  <si>
    <t>0.68</t>
  </si>
  <si>
    <t>Lecythis spp.</t>
  </si>
  <si>
    <t>0.77</t>
  </si>
  <si>
    <t>Licania spp.</t>
  </si>
  <si>
    <t>Licaria spp.</t>
  </si>
  <si>
    <t>Lindackeria sp.</t>
  </si>
  <si>
    <t>0.41</t>
  </si>
  <si>
    <t>Linociera domingensis</t>
  </si>
  <si>
    <t>0.81</t>
  </si>
  <si>
    <t>Lonchocarpus spp.</t>
  </si>
  <si>
    <t>Loxopterygium sagotii</t>
  </si>
  <si>
    <t>Lucuma spp.</t>
  </si>
  <si>
    <t>0.79</t>
  </si>
  <si>
    <t>Luehea spp.</t>
  </si>
  <si>
    <t>Lueheopsis duckeana</t>
  </si>
  <si>
    <t>Mabea piriri</t>
  </si>
  <si>
    <t>Machaerium spp.</t>
  </si>
  <si>
    <t>Macoubea guianensis</t>
  </si>
  <si>
    <t>0.40*</t>
  </si>
  <si>
    <t>Magnolia spp.</t>
  </si>
  <si>
    <t>Maguira sclerophylla</t>
  </si>
  <si>
    <t>0.57</t>
  </si>
  <si>
    <t>Mammea americana</t>
  </si>
  <si>
    <t>0.62</t>
  </si>
  <si>
    <t>Mangifera indica</t>
  </si>
  <si>
    <t>Manilkara sp.</t>
  </si>
  <si>
    <t>Marila sp.</t>
  </si>
  <si>
    <t>Qualea spp.</t>
  </si>
  <si>
    <t>Quararibaea guianensis</t>
  </si>
  <si>
    <t>0.54</t>
  </si>
  <si>
    <t>Quercus alata</t>
  </si>
  <si>
    <t>0.71</t>
  </si>
  <si>
    <t>Quercus costaricensis</t>
  </si>
  <si>
    <t>0.61</t>
  </si>
  <si>
    <t>Quercus eugeniaefolia</t>
  </si>
  <si>
    <t>Quercus spp.</t>
  </si>
  <si>
    <t>Raputia sp.</t>
  </si>
  <si>
    <t>Rheedia spp.</t>
  </si>
  <si>
    <t>0.72</t>
  </si>
  <si>
    <t>Rollinia spp.</t>
  </si>
  <si>
    <t>Saccoglottis cydonioides</t>
  </si>
  <si>
    <t>Sapium ssp.</t>
  </si>
  <si>
    <t>0.47,0.72+</t>
  </si>
  <si>
    <t>Schinopsis spp.</t>
  </si>
  <si>
    <t>1</t>
  </si>
  <si>
    <t>Sclerobium spp.</t>
  </si>
  <si>
    <t>Sickingia spp.</t>
  </si>
  <si>
    <t>Simaba multiflora</t>
  </si>
  <si>
    <t>Simarouba amara</t>
  </si>
  <si>
    <t>0.32, 0.34,0.38+</t>
  </si>
  <si>
    <t>Sloanea guianensis</t>
  </si>
  <si>
    <t>Spondias mombin</t>
  </si>
  <si>
    <t>0.30, 0.40,0.41+</t>
  </si>
  <si>
    <t>Sterculia spp.</t>
  </si>
  <si>
    <t>Stylogyne spp.</t>
  </si>
  <si>
    <t>Swartzia spp.</t>
  </si>
  <si>
    <t>0.95</t>
  </si>
  <si>
    <t>0.42,0.45,0.46,</t>
  </si>
  <si>
    <t>0.54+</t>
  </si>
  <si>
    <t>Symphonia globulifera</t>
  </si>
  <si>
    <t>Tabebuia spp. (lapacho group)</t>
  </si>
  <si>
    <t>0.91</t>
  </si>
  <si>
    <t>Tabebuia spp. (roble)</t>
  </si>
  <si>
    <t>Tabebuia spp. (white cedar)</t>
  </si>
  <si>
    <t>Tabebuia stenocalyx</t>
  </si>
  <si>
    <t>0.55,0.57+</t>
  </si>
  <si>
    <t>Tachigalia myrmecophylla</t>
  </si>
  <si>
    <t>Talisia sp.</t>
  </si>
  <si>
    <t>0.84</t>
  </si>
  <si>
    <t>Tapirira guianensis</t>
  </si>
  <si>
    <t>0.47*</t>
  </si>
  <si>
    <t>0.50, 0.51,</t>
  </si>
  <si>
    <t>Terminalia sp.</t>
  </si>
  <si>
    <t>0.58+</t>
  </si>
  <si>
    <t>Tetragastris altisima</t>
  </si>
  <si>
    <t>Toluifera balsamum</t>
  </si>
  <si>
    <t>Torrubia sp.</t>
  </si>
  <si>
    <t>Toulicia pulvinata</t>
  </si>
  <si>
    <t>Tovomita guianensis</t>
  </si>
  <si>
    <t>Trattinickia sp.</t>
  </si>
  <si>
    <t>0.38</t>
  </si>
  <si>
    <t>Trichilia propingua</t>
  </si>
  <si>
    <t>0.58</t>
  </si>
  <si>
    <t>Trichosperma mexicanum</t>
  </si>
  <si>
    <t>Triplaris spp.</t>
  </si>
  <si>
    <t>Trophis sp.</t>
  </si>
  <si>
    <t>Vatairea spp.</t>
  </si>
  <si>
    <t>Virola spp.</t>
  </si>
  <si>
    <t>0.40, 0.44,</t>
  </si>
  <si>
    <t>0.48+</t>
  </si>
  <si>
    <t>Vismia spp.</t>
  </si>
  <si>
    <t>Vitex spp.</t>
  </si>
  <si>
    <t>0.52,0.56,</t>
  </si>
  <si>
    <t>0.57+</t>
  </si>
  <si>
    <t>Vitex stahelii</t>
  </si>
  <si>
    <t>0.40,0.47,</t>
  </si>
  <si>
    <t>Vochysia spp.</t>
  </si>
  <si>
    <t>0.79+</t>
  </si>
  <si>
    <t>Vouacapoua americana</t>
  </si>
  <si>
    <t>Warszewicsia coccinea</t>
  </si>
  <si>
    <t>Xanthoxylum martinicensis</t>
  </si>
  <si>
    <t>Xanthoxylum spp.</t>
  </si>
  <si>
    <t>0.44</t>
  </si>
  <si>
    <t>Xylopia frutescens</t>
  </si>
  <si>
    <t>0 64”</t>
  </si>
  <si>
    <t>+  The wood densities specified pertain to more than one bibliographic source.</t>
  </si>
  <si>
    <r>
      <t xml:space="preserve">*  Wood density value is derived from the regression equation  in Reyes </t>
    </r>
    <r>
      <rPr>
        <i/>
        <sz val="8"/>
        <rFont val="Verdana"/>
        <family val="2"/>
      </rPr>
      <t xml:space="preserve">et al. </t>
    </r>
    <r>
      <rPr>
        <sz val="8"/>
        <rFont val="Verdana"/>
        <family val="2"/>
      </rPr>
      <t>(1992).</t>
    </r>
  </si>
  <si>
    <t>Source: Reyes, Gisel; Brown, Sandra; Chapman, Jonathan; Lugo, Ariel E. 1992. Wood densities of tropical tree species. Gen. Tech. Rep. SO-88 New Orleans, LA: U.S. Department of Agriculture, Forest Service, Southern Forest Experiment Station. 15pp.</t>
  </si>
  <si>
    <t>SECTOR</t>
  </si>
  <si>
    <t>FUENTES DE EMISIÓN</t>
  </si>
  <si>
    <t>Consumo de Combustibles</t>
  </si>
  <si>
    <t>SUBTOTAL ALCANCE 1</t>
  </si>
  <si>
    <t>Consumo de Energía Eléctrica</t>
  </si>
  <si>
    <t>SUBTOTAL ALCANCE 2</t>
  </si>
  <si>
    <t xml:space="preserve">TRANSPORTE </t>
  </si>
  <si>
    <t>TOTAL SECTOR TRANSPORTE</t>
  </si>
  <si>
    <t>INDUSTRIAL</t>
  </si>
  <si>
    <t>Procesos Industriales</t>
  </si>
  <si>
    <t>TOTAL SECTOR INDUSTRIAL</t>
  </si>
  <si>
    <t>AGROPECUARIO</t>
  </si>
  <si>
    <t>Uso de Fertilizantes Sintéticos</t>
  </si>
  <si>
    <t>TOTAL SECTOR AGROPECUARIO</t>
  </si>
  <si>
    <t>RESIDUOS</t>
  </si>
  <si>
    <t>SUBTOTAL ALCANCE 3</t>
  </si>
  <si>
    <t>TOTAL SECTOR RESIDUOS</t>
  </si>
  <si>
    <t>CAMBIO USO DE SUELO Y SILVICULTURA</t>
  </si>
  <si>
    <t>UNIDADES</t>
  </si>
  <si>
    <t>Captura de carbono</t>
  </si>
  <si>
    <t>Captura de Carbono</t>
  </si>
  <si>
    <t>(ton CO2/año)</t>
  </si>
  <si>
    <t>Especie Forestal</t>
  </si>
  <si>
    <t>Bosque tropical lluvioso</t>
  </si>
  <si>
    <t>Bosque tropical humedo de hojas caducas</t>
  </si>
  <si>
    <t>Bosque tropical seco</t>
  </si>
  <si>
    <t xml:space="preserve">Arbustos tropicales </t>
  </si>
  <si>
    <t>Sistemas montañosos tropicales</t>
  </si>
  <si>
    <t>Bosque humedo subtropical</t>
  </si>
  <si>
    <t xml:space="preserve">Bosque seco subtropical </t>
  </si>
  <si>
    <t xml:space="preserve">Estepa subtropical </t>
  </si>
  <si>
    <t>Sistemas montañosos subtropicales</t>
  </si>
  <si>
    <t>Biomasa aerea en bosques naturales (ton m.s./ha)</t>
  </si>
  <si>
    <t>Biomasa aerea plantaciones forestales (ton m.s./ha)</t>
  </si>
  <si>
    <t>Crecimiento neto de biomasa aerea en bosques naturales (ton m.s./ha*año)</t>
  </si>
  <si>
    <t>Crecimiento neto de biomasa aerea plantaciones forestales (ton m.s./ha*año)</t>
  </si>
  <si>
    <t>Fraccion de carbono CF (ton C/ton m.s.)</t>
  </si>
  <si>
    <t>Cuadro 4.12; Capitulo 4; Volumen 4; Directices IPCC 2006</t>
  </si>
  <si>
    <t>Crecimiento neto de biomasa</t>
  </si>
  <si>
    <t>Relacion biomasa subterranea/biomasa aerea  R</t>
  </si>
  <si>
    <t>(Ton C/ha*año)</t>
  </si>
  <si>
    <t>Aumento de existencias de carbono por crecimiento de biomasa en bosques naturales (ton C/ha*año)</t>
  </si>
  <si>
    <t>Aumento de existencias de carbono por crecimiento de biomasa en plantaciones forestales (ton C/ha*año)</t>
  </si>
  <si>
    <t>Incertidumbre de la Fuente</t>
  </si>
  <si>
    <t>USOS DEL SUELO Y CAMBIOS DE USO DE SUELO</t>
  </si>
  <si>
    <t>Cambio de Uso</t>
  </si>
  <si>
    <t>Asentamientos convertidos en tierras forestales</t>
  </si>
  <si>
    <t xml:space="preserve">Tipo de tierra forestal a la que se realizo la conversion </t>
  </si>
  <si>
    <t>Otras tierras convertidas en tierras forestales</t>
  </si>
  <si>
    <t>Humedales convertidos en tierras forestales</t>
  </si>
  <si>
    <t>Pastizales convertidos en tierras forestales</t>
  </si>
  <si>
    <t>Tierras de cultivo convertidas en tierras forestales</t>
  </si>
  <si>
    <t>Cultivos leñosos perennes en clima templado</t>
  </si>
  <si>
    <t>Tasa de acumulacion de biomasa ton C/ha*año</t>
  </si>
  <si>
    <t>Cultivos leñosos perennes en clima tropical seco</t>
  </si>
  <si>
    <t>Cultivos leñosos perennes en clima tropical humedo</t>
  </si>
  <si>
    <t>Cultivos leñosos perennes en clima tropical muy humedo</t>
  </si>
  <si>
    <t>Cultivos leñosos perennes en clima templado - fin de ciclo</t>
  </si>
  <si>
    <t>Cultivos leñosos perennes en clima tropical seco - fin de ciclo</t>
  </si>
  <si>
    <t>Cultivos leñosos perennes en clima tropical humedo - fin de ciclo</t>
  </si>
  <si>
    <t>Cultivos leñosos perennes en clima tropical muy humedo - fin de ciclo</t>
  </si>
  <si>
    <t>Pastizales convertidos en tierras de cultivo</t>
  </si>
  <si>
    <t xml:space="preserve">Tierras forestales convertidas en tierras de cultivo </t>
  </si>
  <si>
    <t xml:space="preserve">Humedales convertidos en tierras de cultivo </t>
  </si>
  <si>
    <t>Asentamientos convertidos en tierras de cultivo</t>
  </si>
  <si>
    <t>Otras tierras convertidas en tierras de cultivo</t>
  </si>
  <si>
    <t>TIERRAS CONVERTIDAS EN PASTIZALES</t>
  </si>
  <si>
    <t>Tierras forestales convertidas en pastizales</t>
  </si>
  <si>
    <t>Humedales convertidos en pastizales</t>
  </si>
  <si>
    <t>Asentamientos convertidos en pastizales</t>
  </si>
  <si>
    <t>Otras tierras convertidas en pastizales</t>
  </si>
  <si>
    <t>TIERRAS CONVERTIDAS EN TIERRAS DE CULTIVO</t>
  </si>
  <si>
    <t>TIERRAS CONVERTIDAS EN TIERRAS FORESTALES</t>
  </si>
  <si>
    <t>Emisiones de CO2</t>
  </si>
  <si>
    <t xml:space="preserve">Tipo de cultivo al que se realizo la conversion </t>
  </si>
  <si>
    <t>TIERRAS DE CULTIVOS LEÑOSOS PERENNES</t>
  </si>
  <si>
    <t>TOTAL ABSORCIÓN CULTIVOS LEÑOSOS PERENNES</t>
  </si>
  <si>
    <t>CULTIVOS LEÑOSOS PERENNES</t>
  </si>
  <si>
    <t>Biomasa aerea  (ton c/ha)</t>
  </si>
  <si>
    <t>Biomasa aerea  (ton m.s./ha)</t>
  </si>
  <si>
    <t>Bosque tropical lluvioso natural</t>
  </si>
  <si>
    <t>Bosque tropical humedo de hojas caducas natural</t>
  </si>
  <si>
    <t>Bosque tropical seco natural</t>
  </si>
  <si>
    <t>Arbustos tropicales  natural</t>
  </si>
  <si>
    <t>Sistemas montañosos tropicales natural</t>
  </si>
  <si>
    <t>Bosque humedo subtropical natural</t>
  </si>
  <si>
    <t>Bosque seco subtropical  natural</t>
  </si>
  <si>
    <t>Estepa subtropical natural</t>
  </si>
  <si>
    <t>Sistemas montañosos subtropicales natural</t>
  </si>
  <si>
    <t>Bosque tropical lluvioso plantacion forestal</t>
  </si>
  <si>
    <t>Bosque tropical humedo de hojas caducas  plantacion forestal</t>
  </si>
  <si>
    <t>Bosque tropical seco plantacion forestal</t>
  </si>
  <si>
    <t>Arbustos tropicales  plantacion forestal</t>
  </si>
  <si>
    <t>Sistemas montañosos tropicales plantacion forestal</t>
  </si>
  <si>
    <t>Bosque humedo subtropical plantacion forestal</t>
  </si>
  <si>
    <t>Bosque seco subtropical plantacion forestal</t>
  </si>
  <si>
    <t>Estepa subtropical plantacion forestal</t>
  </si>
  <si>
    <t>Sistemas montañosos subtropicales plantacion forestal</t>
  </si>
  <si>
    <t xml:space="preserve">Tipo de uso antes de la conversion </t>
  </si>
  <si>
    <t>Existencias carbono cultivo</t>
  </si>
  <si>
    <t xml:space="preserve">Existencias carbono uso anterior </t>
  </si>
  <si>
    <t>(Ton C/ha)</t>
  </si>
  <si>
    <t>Superficie convertida por categoria</t>
  </si>
  <si>
    <t>Tipo de cultivo</t>
  </si>
  <si>
    <t>Existencias de carbono despues de un año (ton C/ha)</t>
  </si>
  <si>
    <t>Tierra de cultivo anual</t>
  </si>
  <si>
    <t>Tierra de cultivo perenne tropical seco</t>
  </si>
  <si>
    <t>Tierra de cultivo perenne tropical humedo</t>
  </si>
  <si>
    <t>Tierra de cultivo perenne tropical muy humedo</t>
  </si>
  <si>
    <t>Tierras forestales convertidas en humedales</t>
  </si>
  <si>
    <t>TIERRAS CONVERTIDAS EN HUMEDALES</t>
  </si>
  <si>
    <t>TIERRAS CONVERTIDAS EN ASENTAMIENTOS</t>
  </si>
  <si>
    <t>Tierras forestales convertidas en asentamientos</t>
  </si>
  <si>
    <t>Pastizales convertidos en asentamientos</t>
  </si>
  <si>
    <t>Humedales convertidos en asentamientos</t>
  </si>
  <si>
    <t>Otras tierras convertidas en asentamientos</t>
  </si>
  <si>
    <t>TIERRAS CONVERTIDAS EN OTRAS TIERRAS</t>
  </si>
  <si>
    <t>Tierras forestales convertidas en otras tierras</t>
  </si>
  <si>
    <t>Pastizales convertidos en otras tierras</t>
  </si>
  <si>
    <t>Humedales convertidos en otras tierras</t>
  </si>
  <si>
    <t>Asentamientos convertidos en otras tierras</t>
  </si>
  <si>
    <t xml:space="preserve">TOTAL EMISIONES USOS DEL SUELO Y CAMBIOS DE USO DEL SUELO </t>
  </si>
  <si>
    <t>Tipo de pastizal</t>
  </si>
  <si>
    <t>Pastizal tropical seco</t>
  </si>
  <si>
    <t>Pastizal tropical humedo/muy humedo</t>
  </si>
  <si>
    <t>Tierras convertidas en humedales</t>
  </si>
  <si>
    <t>Tierras de cultivo convertidas en otras tierras</t>
  </si>
  <si>
    <t>Tierras de cultivo convertidas en asentamientos</t>
  </si>
  <si>
    <t>Tierras de cultivo convertidas en pastizales</t>
  </si>
  <si>
    <t xml:space="preserve">Tipo de pastizal al que se realizo la conversion </t>
  </si>
  <si>
    <t>Pastizales convertidos en humedales</t>
  </si>
  <si>
    <t>Tierras de cultivo convertidas en humedales</t>
  </si>
  <si>
    <t>Asentamientos convertidos en humedales</t>
  </si>
  <si>
    <t>Otras tierras convertidas en humedales</t>
  </si>
  <si>
    <t>Humedal artificial</t>
  </si>
  <si>
    <t>Humedal natural</t>
  </si>
  <si>
    <t>Existencias carbono pastizal</t>
  </si>
  <si>
    <t>Existencias carbono humedal</t>
  </si>
  <si>
    <t>Existencias carbono asentamiento</t>
  </si>
  <si>
    <t>Existencias carbono otras tierras</t>
  </si>
  <si>
    <t>Otras categorias</t>
  </si>
  <si>
    <t>Asentamientos</t>
  </si>
  <si>
    <t xml:space="preserve">Tipo de uso al que se realizo la conversion </t>
  </si>
  <si>
    <t xml:space="preserve">Tipo de uso al que se hizo la conversion </t>
  </si>
  <si>
    <t>Suelo desnudo</t>
  </si>
  <si>
    <t xml:space="preserve">Roca </t>
  </si>
  <si>
    <t>Desierto</t>
  </si>
  <si>
    <t xml:space="preserve">Especie </t>
  </si>
  <si>
    <t>(ton C/año)</t>
  </si>
  <si>
    <t>Carbono asociado al proceso</t>
  </si>
  <si>
    <t>INCERTIDUMBRE
(+/- %)</t>
  </si>
  <si>
    <t>RESIDENCIAL</t>
  </si>
  <si>
    <t>TOTAL HUELLA DE CARBONO INSTITUCIONAL-COMERCIAL</t>
  </si>
  <si>
    <t>CALCULO DE LA HUELLA DE CARBONO MUNICIPAL - SECTOR TRANSPORTE</t>
  </si>
  <si>
    <t>CALCULO DE LA HUELLA DE CARBONO MUNICIPAL - SECTOR RESIDENCIAL</t>
  </si>
  <si>
    <t>CALCULO DE LA HUELLA DE CARBONO MUNICIPAL - SECTOR INSTITUCIONAL - COMERCIAL</t>
  </si>
  <si>
    <t>CALCULO DE LA HUELLA DE CARBONO MUNICIPAL - SECTOR INDUSTRIA</t>
  </si>
  <si>
    <t>Manejo Residuos y Vertimientos</t>
  </si>
  <si>
    <t>TOTAL ALCANCE 3</t>
  </si>
  <si>
    <t>ALCANCE 3</t>
  </si>
  <si>
    <t>CALCULO DE LA HUELLA DE CARBONO MUNICIPAL - SECTOR AGROPECUARIO</t>
  </si>
  <si>
    <t xml:space="preserve">CALCULO DE LA HUELLA DE CARBONO MUNICIPAL - SECTOR RESIDUOS </t>
  </si>
  <si>
    <t>CALCULO DE LA HUELLA DE CARBONO MUNICIPAL - SECTOR CAMBIOS USO DEL SUELO</t>
  </si>
  <si>
    <t>t ms</t>
  </si>
  <si>
    <t>CALCULO DE LA HUELLA DE CARBONO MUNICIPAL - SECTOR SUMIDEROS</t>
  </si>
  <si>
    <t>EMISIONES COMPUESTOS FLUORADOS (tCO2e)</t>
  </si>
  <si>
    <t>TOTAL SECTOR INSTITUCIONAL - COMERCIAL</t>
  </si>
  <si>
    <t>TOTAL SECTOR RESIDENCIAL</t>
  </si>
  <si>
    <t>PORCENTAJE DEL TOTAL (%)</t>
  </si>
  <si>
    <t>TOTAL SECTOR CAMBIO DE USO DE SUELO</t>
  </si>
  <si>
    <t>TOTAL SUMIDEROS GESTIÓN DE TIERRAS FORESTALES</t>
  </si>
  <si>
    <t>INSTITUCIONAL-COMERCIAL</t>
  </si>
  <si>
    <t>TRANSPORTE</t>
  </si>
  <si>
    <t>INDUSTRIA</t>
  </si>
  <si>
    <t>AGROPECUARIA</t>
  </si>
  <si>
    <t>SUMIDEROS</t>
  </si>
  <si>
    <t>BIOMASA</t>
  </si>
  <si>
    <t xml:space="preserve">KG CO2 </t>
  </si>
  <si>
    <t>INCERTIDUMBRE</t>
  </si>
  <si>
    <t>Otras fuentes fijas</t>
  </si>
  <si>
    <t>TOTAL ALCANCE 2</t>
  </si>
  <si>
    <t xml:space="preserve">Fuentes moviles </t>
  </si>
  <si>
    <t>Consumo combustibles</t>
  </si>
  <si>
    <t xml:space="preserve">Otras emisiones </t>
  </si>
  <si>
    <t>Subtotal emisiones de fermentación entérica</t>
  </si>
  <si>
    <t>Subtotal emisiones de manejo estiercol</t>
  </si>
  <si>
    <t>Subtotal emisiones de manejo de residuos agropecuarios</t>
  </si>
  <si>
    <t>Subtotal emisiones de uso de fertilizantes</t>
  </si>
  <si>
    <t>Manejo de Embalses</t>
  </si>
  <si>
    <t>Manejo de residuos agricolas</t>
  </si>
  <si>
    <t>Uso de cal</t>
  </si>
  <si>
    <t>Cal y urea aplicadas</t>
  </si>
  <si>
    <t>Subtotal emisiones de uso de cal y urea</t>
  </si>
  <si>
    <t>Disposición de Residuos Sólidos y vertimientos</t>
  </si>
  <si>
    <t>Tierras convertidas en tierras forestales</t>
  </si>
  <si>
    <t>Tierras convertidas en tierras de cultivo</t>
  </si>
  <si>
    <t>Tierras convertidas en pastizales</t>
  </si>
  <si>
    <t>Tierras convertidas en asentamientos</t>
  </si>
  <si>
    <t>Tierras convertidas en otros tipos de tierra</t>
  </si>
  <si>
    <t xml:space="preserve">SUMIDEROS </t>
  </si>
  <si>
    <t xml:space="preserve">Plantaciones Comerciales </t>
  </si>
  <si>
    <t>Plantaciones Protectoras</t>
  </si>
  <si>
    <t xml:space="preserve">Bosques Naturales </t>
  </si>
  <si>
    <t>Cltivos Leñosos Perennes</t>
  </si>
  <si>
    <t>Bosques</t>
  </si>
  <si>
    <t xml:space="preserve">TOTAL ABSORCIÓN </t>
  </si>
  <si>
    <t xml:space="preserve">TOTAL ABSORCIONES DE GEI </t>
  </si>
  <si>
    <t xml:space="preserve">TOTAL EMISIONES DE GEI </t>
  </si>
  <si>
    <t xml:space="preserve">BALANCE TOTAL DE GEI (EMISIONES - ABSORCIONES) </t>
  </si>
  <si>
    <t>N/A</t>
  </si>
  <si>
    <t>INSTITUCIONAL - COMERCIAL</t>
  </si>
  <si>
    <t>RESULTADOS DEL CÁLCULO DE EMISIONES DE GEI</t>
  </si>
  <si>
    <t>EMISIONES CO2 ASOCIADAS A LA COMBUSTION BIOMASA</t>
  </si>
  <si>
    <t>Desviación estándar</t>
  </si>
  <si>
    <t>Incineración controlada residuos líquidos fósiles</t>
  </si>
  <si>
    <t>Distribución diaria</t>
  </si>
  <si>
    <t>Lagunas anaeróbicas</t>
  </si>
  <si>
    <t>Digestor Anaeróbico</t>
  </si>
  <si>
    <t>Compostaje en Tambor y pilas estáticas</t>
  </si>
  <si>
    <t>Tratamientos aeróbicos</t>
  </si>
  <si>
    <t>Disposición como solido en pasturas o prados</t>
  </si>
  <si>
    <t xml:space="preserve">Disposición en sistemas de base liquida (incluidas lagunas anaeróbicas) </t>
  </si>
  <si>
    <t>Disposición en sistemas liquido/fango</t>
  </si>
  <si>
    <t>kg residuo húmedo</t>
  </si>
  <si>
    <t>Poder calorífico biogás (TJ/Gg) IPCC 2006</t>
  </si>
  <si>
    <t>Poder calorífico biogás (MJ/m3) FECOC 2016</t>
  </si>
  <si>
    <t>Densidad Calculada del Biogás (kg CH4/m3 CH4)</t>
  </si>
  <si>
    <t>Fracción contenido CH4 en biogás  (m3 CH4/m3 biogás - Fuente: medición contenido CH4 en Aliar)</t>
  </si>
  <si>
    <t>Fugas de metano en proceso de captura (solamente cuando hay captura de biogás)</t>
  </si>
  <si>
    <r>
      <t>m</t>
    </r>
    <r>
      <rPr>
        <vertAlign val="superscript"/>
        <sz val="10"/>
        <rFont val="Arial Narrow"/>
        <family val="2"/>
      </rPr>
      <t>3</t>
    </r>
    <r>
      <rPr>
        <sz val="10"/>
        <rFont val="Arial Narrow"/>
        <family val="2"/>
      </rPr>
      <t xml:space="preserve"> Biogás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</si>
  <si>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Biogás</t>
    </r>
  </si>
  <si>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Biogás</t>
    </r>
  </si>
  <si>
    <t>EMISIONES POR SECTOR</t>
  </si>
  <si>
    <t xml:space="preserve">AGROPECUARIO </t>
  </si>
  <si>
    <t xml:space="preserve">USO DEL SUELO </t>
  </si>
  <si>
    <t>TOTAL EMISIONES</t>
  </si>
  <si>
    <t>TOTAL ABSORCIONES</t>
  </si>
  <si>
    <t>BALANCE TOTAL GEI</t>
  </si>
  <si>
    <t>EMISIONES POR ALCANCE</t>
  </si>
  <si>
    <t>EMISIONES POR GEI</t>
  </si>
  <si>
    <t>Compuestos Fluorados</t>
  </si>
  <si>
    <r>
      <t>CO</t>
    </r>
    <r>
      <rPr>
        <vertAlign val="subscript"/>
        <sz val="11"/>
        <color theme="1"/>
        <rFont val="Calibri"/>
        <family val="2"/>
        <scheme val="minor"/>
      </rPr>
      <t>2</t>
    </r>
  </si>
  <si>
    <r>
      <t>CH</t>
    </r>
    <r>
      <rPr>
        <vertAlign val="subscript"/>
        <sz val="11"/>
        <color theme="1"/>
        <rFont val="Calibri"/>
        <family val="2"/>
        <scheme val="minor"/>
      </rPr>
      <t>4</t>
    </r>
  </si>
  <si>
    <r>
      <t>SF</t>
    </r>
    <r>
      <rPr>
        <vertAlign val="subscript"/>
        <sz val="11"/>
        <color theme="1"/>
        <rFont val="Calibri"/>
        <family val="2"/>
        <scheme val="minor"/>
      </rPr>
      <t>6</t>
    </r>
  </si>
  <si>
    <r>
      <t>NF</t>
    </r>
    <r>
      <rPr>
        <vertAlign val="subscript"/>
        <sz val="11"/>
        <color theme="1"/>
        <rFont val="Calibri"/>
        <family val="2"/>
        <scheme val="minor"/>
      </rPr>
      <t>3</t>
    </r>
  </si>
  <si>
    <t>TOTAL EMISIONES ORIGEN BIOGENICO</t>
  </si>
  <si>
    <t>EMISIONES ORIGEN BIOGENICO BIOMASA</t>
  </si>
  <si>
    <t>EMISIONES REPORTE BASIC (GHG PROTOCOL - GPC)</t>
  </si>
  <si>
    <t>FUENTE</t>
  </si>
  <si>
    <t>ENERGIA ESTACIONARIA</t>
  </si>
  <si>
    <t>EMISIONES REPORTE BASIC + (GHG PROTOCOL - GPC)</t>
  </si>
  <si>
    <t>IPPU</t>
  </si>
  <si>
    <t>AFOLU</t>
  </si>
  <si>
    <t xml:space="preserve">EMISIONES REPORTE IPCC </t>
  </si>
  <si>
    <t xml:space="preserve">ENERGIA  </t>
  </si>
  <si>
    <t>DESECHOS</t>
  </si>
  <si>
    <t>TOTAL EMISIONES GEI</t>
  </si>
  <si>
    <r>
      <t>TON CO</t>
    </r>
    <r>
      <rPr>
        <b/>
        <vertAlign val="subscript"/>
        <sz val="11"/>
        <color theme="0"/>
        <rFont val="Calibri"/>
        <family val="2"/>
        <scheme val="minor"/>
      </rPr>
      <t>2</t>
    </r>
    <r>
      <rPr>
        <b/>
        <sz val="11"/>
        <color theme="0"/>
        <rFont val="Calibri"/>
        <family val="2"/>
        <scheme val="minor"/>
      </rPr>
      <t>e</t>
    </r>
  </si>
  <si>
    <r>
      <t>TON CO</t>
    </r>
    <r>
      <rPr>
        <b/>
        <vertAlign val="subscript"/>
        <sz val="11"/>
        <color theme="0"/>
        <rFont val="Calibri"/>
        <family val="2"/>
        <scheme val="minor"/>
      </rPr>
      <t>2</t>
    </r>
  </si>
  <si>
    <r>
      <t>SUMIDEROS (CO</t>
    </r>
    <r>
      <rPr>
        <b/>
        <vertAlign val="subscript"/>
        <sz val="11"/>
        <color theme="1"/>
        <rFont val="Calibri"/>
        <family val="2"/>
        <scheme val="minor"/>
      </rPr>
      <t>2</t>
    </r>
    <r>
      <rPr>
        <b/>
        <sz val="11"/>
        <color theme="1"/>
        <rFont val="Calibri"/>
        <family val="2"/>
        <scheme val="minor"/>
      </rPr>
      <t>)</t>
    </r>
  </si>
  <si>
    <t>TOTAL EMISIONES GEI REPORTE BASIC</t>
  </si>
  <si>
    <t>TOTAL EMISIONES GEI REPORTE BASIC +</t>
  </si>
  <si>
    <t xml:space="preserve">TOTAL EMISIONES GEI </t>
  </si>
  <si>
    <t>Emisiones Fuera de Reporte</t>
  </si>
  <si>
    <t>Absorciones Fuera de Reporte</t>
  </si>
  <si>
    <t>% Total</t>
  </si>
  <si>
    <t>Lagos, lagunas y otras tierras inindadas</t>
  </si>
  <si>
    <t>CREDITOS:</t>
  </si>
  <si>
    <r>
      <rPr>
        <b/>
        <sz val="12"/>
        <color indexed="9"/>
        <rFont val="Calibri"/>
        <family val="2"/>
      </rPr>
      <t xml:space="preserve">Desarrollo de herramienta de calculo de emisiones: </t>
    </r>
    <r>
      <rPr>
        <sz val="12"/>
        <color indexed="9"/>
        <rFont val="Calibri"/>
        <family val="2"/>
      </rPr>
      <t>William E. Rodríguez Delgado</t>
    </r>
  </si>
  <si>
    <t>Bogotá Colombia 2016</t>
  </si>
  <si>
    <t>La Corporación Ambiental Empresarial CAEM, filial de la Cámara de Comercio de Bogotá CCB y la Corporación  Autónoma Regional de Cundinamarca CAR, han establecido el Convenio 1171 de 2016 que tiene por objeto “Aunar esfuerzos entre la corporación y CAEM, para promover Acciones Nacionalmente Apropiadas de Mitigación de gases de efecto Invernadero, en el sector empresarial ubicado en la jurisdicción CAR, enmarcado en el Cálculo de huella de carbono y eficiencia energética, así como promover estrategias de autogestión ambiental para el manejo integral del recurso hídrico y el seguimiento a la implementación de la huella de carbono municipal”.</t>
  </si>
  <si>
    <r>
      <rPr>
        <b/>
        <sz val="12"/>
        <color indexed="9"/>
        <rFont val="Calibri"/>
        <family val="2"/>
      </rPr>
      <t>Directora CAEM:</t>
    </r>
    <r>
      <rPr>
        <sz val="12"/>
        <color indexed="9"/>
        <rFont val="Calibri"/>
        <family val="2"/>
      </rPr>
      <t xml:space="preserve"> Fabiola Suarez</t>
    </r>
  </si>
  <si>
    <r>
      <t xml:space="preserve">Coordinadora Convenio (CAEM): </t>
    </r>
    <r>
      <rPr>
        <sz val="12"/>
        <color indexed="9"/>
        <rFont val="Calibri"/>
        <family val="2"/>
      </rPr>
      <t>Diana Aguilar</t>
    </r>
  </si>
  <si>
    <r>
      <t xml:space="preserve">Coordinación General del Convenio: </t>
    </r>
    <r>
      <rPr>
        <sz val="12"/>
        <color indexed="9"/>
        <rFont val="Calibri"/>
        <family val="2"/>
      </rPr>
      <t>Corporación Autónoma Regional de Cundinamarca CAR</t>
    </r>
  </si>
  <si>
    <r>
      <t xml:space="preserve">Entidad Ejecutora del Convenio: </t>
    </r>
    <r>
      <rPr>
        <sz val="12"/>
        <color indexed="9"/>
        <rFont val="Calibri"/>
        <family val="2"/>
      </rPr>
      <t>Corporación Ambiental Empresarial CAEM - filial de la Cámara de Comercio de Bogotá CCB</t>
    </r>
  </si>
  <si>
    <r>
      <rPr>
        <b/>
        <sz val="12"/>
        <color indexed="9"/>
        <rFont val="Calibri"/>
        <family val="2"/>
      </rPr>
      <t xml:space="preserve">Apoyo técnico, revisión y actualización de la herramienta en general: </t>
    </r>
    <r>
      <rPr>
        <sz val="12"/>
        <color indexed="9"/>
        <rFont val="Calibri"/>
        <family val="2"/>
      </rPr>
      <t>Diana Aguilar, Lina Galindo, Julie Camargo, Luz del Carmen Sánchez, Angélica Castañeda, Javier  Zambrano y William E. Rodríguez Delgado</t>
    </r>
  </si>
  <si>
    <t>Esta herramienta permite calcular las emisiones de Gases de Efecto Invernadero (GEI) generadas por los siguientes sectores: Residencial, Institucional, Transporte, Industrial, Agropecuario, Residuos, y Uso del Suelo, Cambio del Uso del Suelo y Silvicultura. En su conjunto corresponde a la "Huella de Carbono Territorial".</t>
  </si>
  <si>
    <t>Para el cálculo de la Huella de Carbono se utiliza la metodología definida por el IPCC versión 2007, que corresponde a la implementada para la elaboración de los inventarios nacionales y regionales de Emisiones de Gases de Efecto Invernadero.
Los factores de emisión utilizados se obtuvieron de las siguientes fuentes:
* Combustibles y Energía Eléctrica: Unidad de Planeación Minero Energética – UPME.
* Procesos industriales, Actividades agropecuarias, Residuos y Usos del suelo: Directrices del IPCC para los Inventarios de GEI. 2007.</t>
  </si>
  <si>
    <t>* Revise el manual de la calculadora para mas informacion .</t>
  </si>
  <si>
    <r>
      <t>HUELLA DE CARBONO
(Ton CO</t>
    </r>
    <r>
      <rPr>
        <b/>
        <vertAlign val="subscript"/>
        <sz val="11"/>
        <rFont val="Calibri"/>
        <family val="2"/>
      </rPr>
      <t>2</t>
    </r>
    <r>
      <rPr>
        <b/>
        <sz val="11"/>
        <rFont val="Calibri"/>
        <family val="2"/>
      </rPr>
      <t xml:space="preserve"> e)</t>
    </r>
  </si>
  <si>
    <t>Chía</t>
  </si>
  <si>
    <t>Secretaría de Medio Ambiente</t>
  </si>
  <si>
    <t>David Ricardo Murcia Cortés - Viviana Elisa Garzón</t>
  </si>
  <si>
    <t>Cra 11 # 17 - 50</t>
  </si>
  <si>
    <t>8844444 - 3200</t>
  </si>
  <si>
    <t>david.murcia@chia.gov.co, viviana.garzon@chia.gov.co</t>
  </si>
  <si>
    <t>Profesional Universitario - Profesional Universitario</t>
  </si>
  <si>
    <t>Area de plantaciones comerciales, protectoras, bosque natural y otras coberturas y cultivos leñosos perennes</t>
  </si>
  <si>
    <t>Planes de Ordenamiento Territorial o Esquemas de Ordenamiento Territorial
Información geográfica de la Autoridad Ambiental</t>
  </si>
  <si>
    <t>Areas Forestales</t>
  </si>
  <si>
    <t>FIJA</t>
  </si>
  <si>
    <t>Cambios en las coberturas del suelo por tipo de cobertura</t>
  </si>
  <si>
    <t>Cambio en las coberturas del suelo</t>
  </si>
  <si>
    <t>USOS DEL SUELO</t>
  </si>
  <si>
    <t>Caracterizaciones realizadas por las industrias
Caracterizaciones realizadas por la Autoridad Ambiental</t>
  </si>
  <si>
    <t>mg/l</t>
  </si>
  <si>
    <t>Concentración de DQO de las aguas residuales dmésticas que ingresan al sistema aneróbico</t>
  </si>
  <si>
    <t>Volumen de agua residual * Concetración de DQO</t>
  </si>
  <si>
    <t>Reportes de las industrias
Permisos de vertimiento de la Autoridad Ambiental</t>
  </si>
  <si>
    <r>
      <t>m</t>
    </r>
    <r>
      <rPr>
        <vertAlign val="superscript"/>
        <sz val="11"/>
        <color theme="1"/>
        <rFont val="Calibri"/>
        <family val="2"/>
        <scheme val="minor"/>
      </rPr>
      <t>3</t>
    </r>
  </si>
  <si>
    <t>Volumen tratado de aguas residuales industriales mediante sistema aneróbico</t>
  </si>
  <si>
    <t>Residuos líquidos industriales tratados anaeróbicamente</t>
  </si>
  <si>
    <t>Caracterizaciones realizadas por la empresa de servicios públicos</t>
  </si>
  <si>
    <r>
      <t>Concentración de DBO</t>
    </r>
    <r>
      <rPr>
        <vertAlign val="subscript"/>
        <sz val="11"/>
        <color theme="1"/>
        <rFont val="Calibri"/>
        <family val="2"/>
        <scheme val="minor"/>
      </rPr>
      <t>5</t>
    </r>
    <r>
      <rPr>
        <sz val="11"/>
        <color theme="1"/>
        <rFont val="Calibri"/>
        <family val="2"/>
        <scheme val="minor"/>
      </rPr>
      <t xml:space="preserve"> de las aguas residuales dmésticas que ingresan al sistema aneróbico</t>
    </r>
  </si>
  <si>
    <r>
      <t>Volumen de agua residual * Concetración de DBO</t>
    </r>
    <r>
      <rPr>
        <vertAlign val="subscript"/>
        <sz val="11"/>
        <color theme="1"/>
        <rFont val="Calibri"/>
        <family val="2"/>
        <scheme val="minor"/>
      </rPr>
      <t>5</t>
    </r>
  </si>
  <si>
    <t>Estadísticas del Municipio</t>
  </si>
  <si>
    <t>Volumen tratado de aguas residuales domésticas mediante sistema aneróbico</t>
  </si>
  <si>
    <t>Residuos líquidos domésticos tratados anaeróbicamente</t>
  </si>
  <si>
    <t>Cantidad de residuos sólidos orgánicos dispuestos en relleno sanitario</t>
  </si>
  <si>
    <t>Estadísticas del Municipio 
Reportes de las industrias</t>
  </si>
  <si>
    <t>Kg.</t>
  </si>
  <si>
    <t>Residuos sólidos orgánicos industriales dispuestos en relleno sanitario</t>
  </si>
  <si>
    <t>Residuos sólidos orgánicos domesticos dispuestos en relleno sanitario</t>
  </si>
  <si>
    <t>Cantidad usada de fertilizantes, cal y urea</t>
  </si>
  <si>
    <t>Uso de fertilizantes, cal y urea</t>
  </si>
  <si>
    <t>Cantidad de residuos agropecuarios gestionada a traves de compostaje, incineracion o digestion anaerobica</t>
  </si>
  <si>
    <t>Manejo de residuos agropecuarios</t>
  </si>
  <si>
    <t>Cantidad de animales por especie a nivel municipal</t>
  </si>
  <si>
    <t>Estadísticas del censo pecuario (DANE / Municipio)</t>
  </si>
  <si>
    <t>Num.</t>
  </si>
  <si>
    <t>Cantidad de animales por especie</t>
  </si>
  <si>
    <t>Fermentación entérica y manejo de estiércol</t>
  </si>
  <si>
    <t>Número de actividades agripecuarias con sistemas de refrigeración a nivel municipal</t>
  </si>
  <si>
    <t>Estadística de actividades agropecuarias que tienen sistemas de refrigeración (DANE / Municipio)</t>
  </si>
  <si>
    <t>Cantidad de neveras, refrigeradores, enfriadores o aires acondicionados en las actividades agropecuarias</t>
  </si>
  <si>
    <t>Refrigerantes</t>
  </si>
  <si>
    <t>Consumo de combustibles sólidos a nivel municipal</t>
  </si>
  <si>
    <t>Reportes de las unidades agropecuarias</t>
  </si>
  <si>
    <t>Consumo de Gas natural, GLP, Gas propano o Biogas en las actividades agropecuarias</t>
  </si>
  <si>
    <t>Combustibles gaseosos</t>
  </si>
  <si>
    <t>Consumo de Kerosene, Diésel o Gasolina, combustoleo, crudo de castilla o avigas en las actividades agropecuarias</t>
  </si>
  <si>
    <t>Combustibles líquidos</t>
  </si>
  <si>
    <t>Ton</t>
  </si>
  <si>
    <t>Consumo de carbón o leña en las actividades agropecuarias</t>
  </si>
  <si>
    <t>Combustibles sólidos</t>
  </si>
  <si>
    <t>Consumo anual de energía eléctrica del sector industrial a nivel municipal</t>
  </si>
  <si>
    <t>Estadísticas de la empresa de servicios públicos</t>
  </si>
  <si>
    <t>kWh</t>
  </si>
  <si>
    <t>Consumo de energía eléctrica adquirida en las industrias</t>
  </si>
  <si>
    <t>Energía Eléctrica</t>
  </si>
  <si>
    <t>Número de industrias a nivel municipal</t>
  </si>
  <si>
    <t>Estadística de industrias (DANE / Municipio)</t>
  </si>
  <si>
    <t>Cantidad de industrias</t>
  </si>
  <si>
    <t>Cantidad de CO2 o HCFC 123 recargado</t>
  </si>
  <si>
    <t>Empresas dedicadas a la recarga de extintores</t>
  </si>
  <si>
    <t>Kg</t>
  </si>
  <si>
    <t>Número de industrias del sector alimentos a nivel municipal</t>
  </si>
  <si>
    <t>Cantidad de neveras, refrigeradores, enfriadores o aires acondicionados en las industrias</t>
  </si>
  <si>
    <t>Consumo anual de combustible gaseoso del sector industrial a nivel municipal</t>
  </si>
  <si>
    <t>Sistema de Información de Combustibles Gaseosos (SICOM)
Estadísticas de la empresa de servicios públicos</t>
  </si>
  <si>
    <r>
      <t xml:space="preserve">Consumo nacional de combustible gaseoso en industrias * Cantidad de industrias a nivel municipal
</t>
    </r>
    <r>
      <rPr>
        <sz val="9"/>
        <color theme="1"/>
        <rFont val="Calibri"/>
        <family val="2"/>
        <scheme val="minor"/>
      </rPr>
      <t xml:space="preserve">                Cantidad de industrias a nivel nacional</t>
    </r>
  </si>
  <si>
    <t>Balance Energético Nacional (BEN) - UPME
Estimaciones de industrias (DANE / Municipio)</t>
  </si>
  <si>
    <t>Consumo de Gas natural, GLP, Gas propano, Biogas, Coke de Gas, Acetileno en las industrias</t>
  </si>
  <si>
    <t>Consumo anual de combustible líquido del sector industrial a nivel municipal</t>
  </si>
  <si>
    <t>Sistema de Información de Combustibles Líquidos (SICOM)</t>
  </si>
  <si>
    <r>
      <t xml:space="preserve">Consumo nacional de combustible líquido en industrias * Cantidad de industrias a nivel municipal
</t>
    </r>
    <r>
      <rPr>
        <sz val="9"/>
        <color theme="1"/>
        <rFont val="Calibri"/>
        <family val="2"/>
        <scheme val="minor"/>
      </rPr>
      <t xml:space="preserve">                Cantidad de industrias a nivel nacional</t>
    </r>
  </si>
  <si>
    <t>Balance Energético Nacional (BEN) - UPME
Estadística de industrias (DANE / Municipio)</t>
  </si>
  <si>
    <t>Consumo de Kerosene, Diésel, Gasolina, combustoleo, crudo de castilla o avigas en las industrias</t>
  </si>
  <si>
    <r>
      <rPr>
        <u/>
        <sz val="9"/>
        <color theme="1"/>
        <rFont val="Calibri"/>
        <family val="2"/>
        <scheme val="minor"/>
      </rPr>
      <t>Consumo nacional de leña o madera en industrias * Cantidad de industrias a nivel municipal</t>
    </r>
    <r>
      <rPr>
        <sz val="9"/>
        <color theme="1"/>
        <rFont val="Calibri"/>
        <family val="2"/>
        <scheme val="minor"/>
      </rPr>
      <t xml:space="preserve">
                Cantidad de industrias a nivel nacional</t>
    </r>
  </si>
  <si>
    <t>Consumo de leña o madera en las industrias</t>
  </si>
  <si>
    <r>
      <rPr>
        <u/>
        <sz val="9"/>
        <color theme="1"/>
        <rFont val="Calibri"/>
        <family val="2"/>
        <scheme val="minor"/>
      </rPr>
      <t>Consumo nacional de carbón en industrias * Cantidad de industrias a nivel municipal</t>
    </r>
    <r>
      <rPr>
        <sz val="9"/>
        <color theme="1"/>
        <rFont val="Calibri"/>
        <family val="2"/>
        <scheme val="minor"/>
      </rPr>
      <t xml:space="preserve">
                Cantidad de industrias a nivel nacional</t>
    </r>
  </si>
  <si>
    <t>Consumo de carbón en las industrias</t>
  </si>
  <si>
    <t>Número de hogares a nivel municipal * % de vehículos por hogas a nivel nacional</t>
  </si>
  <si>
    <t>Número de hogares (Municipio / DANE / SISBEN)
Porcentaje de vehículos por hogar a nivel nacional (SISBEN)</t>
  </si>
  <si>
    <t>Número de vehículos a nivel municipal</t>
  </si>
  <si>
    <t>Estadísticas del municipio</t>
  </si>
  <si>
    <t>Cantidad de vehículos</t>
  </si>
  <si>
    <t>Refrigerantes y Lubricantes</t>
  </si>
  <si>
    <t>Ventas de combustible gaseoso para uso vehicular</t>
  </si>
  <si>
    <t>Consumo anual de combustible gaseoso del sector transporte a nivel municipal</t>
  </si>
  <si>
    <t>Sistema de Información de Combustibles Gaseosos (SICOM)</t>
  </si>
  <si>
    <t>Balance Energético Nacional (BEN) - UPME
Estadística de transporte / movilidad (Fuente)</t>
  </si>
  <si>
    <t>Consumo de Gas natural o GLP en el sector transporte</t>
  </si>
  <si>
    <t>Ventas de combustible a nivel municipal</t>
  </si>
  <si>
    <t>Sistema de Información de Combustibles Líquidos (SICOM)
Reportes de las estaciones de servicio a nivel municipal</t>
  </si>
  <si>
    <t>Consumo de Diésel, Gasolina, Jet A1 o Avigas en el sector transporte</t>
  </si>
  <si>
    <t>MOVIL</t>
  </si>
  <si>
    <t>Consumo anual de energía eléctrica del sector comercial e institucional a nivel municipal</t>
  </si>
  <si>
    <t>Consumo de energía eléctrica adquirida en los comercios e instituciones</t>
  </si>
  <si>
    <t>Número de establecimientos comerciales e institucionales a nivel municipal</t>
  </si>
  <si>
    <t>Cantidad de neveras, refrigeradores, enfriadores o aires acondicionados en los comercios e instituciones</t>
  </si>
  <si>
    <t>Consumo anual de combustible gaseoso del sector comercial e institucional a nivel municipal</t>
  </si>
  <si>
    <r>
      <t xml:space="preserve">Consumo nacional de combustible gaseoso en comercios e instituciones * Cantidad comercios e instituciones a nivel municipal
</t>
    </r>
    <r>
      <rPr>
        <sz val="9"/>
        <color theme="1"/>
        <rFont val="Calibri"/>
        <family val="2"/>
        <scheme val="minor"/>
      </rPr>
      <t xml:space="preserve">                Cantidad de comercio e instituciones a nivel nacional</t>
    </r>
  </si>
  <si>
    <t>Balance Energético Nacional (BEN) - UPME
Estimaciones de comercios e instituciones (DANE / Municipio)</t>
  </si>
  <si>
    <t>Consumo de Gas natural, GLP o Gas propano en los comercios e instituciones</t>
  </si>
  <si>
    <t>Consumo anual de combustible líquido del sector comercial e institucional a nivel municipal</t>
  </si>
  <si>
    <r>
      <t xml:space="preserve">Consumo nacional de combustible líquido en comercios e instituciones * Cantidad comercios e instituciones a nivel municipal
</t>
    </r>
    <r>
      <rPr>
        <sz val="9"/>
        <color theme="1"/>
        <rFont val="Calibri"/>
        <family val="2"/>
        <scheme val="minor"/>
      </rPr>
      <t xml:space="preserve">                Cantidad de comercio e instituciones a nivel nacional</t>
    </r>
  </si>
  <si>
    <t>Balance Energético Nacional (BEN) - UPME
Estadística de comercios e instituciones (DANE / Municipio)</t>
  </si>
  <si>
    <t>Consumo de Kerosene, Diésel o Gasolina en los comercios e instituciones</t>
  </si>
  <si>
    <r>
      <rPr>
        <u/>
        <sz val="9"/>
        <color theme="1"/>
        <rFont val="Calibri"/>
        <family val="2"/>
        <scheme val="minor"/>
      </rPr>
      <t>Consumo nacional de leña o madera en comercios e instituciones * Cantidad comercios e instituciones a nivel municipal</t>
    </r>
    <r>
      <rPr>
        <sz val="9"/>
        <color theme="1"/>
        <rFont val="Calibri"/>
        <family val="2"/>
        <scheme val="minor"/>
      </rPr>
      <t xml:space="preserve">
                Cantidad de comercio e instituciones a nivel nacional</t>
    </r>
  </si>
  <si>
    <t>Consumo de leña o madera en los comercios e instituciones</t>
  </si>
  <si>
    <r>
      <rPr>
        <u/>
        <sz val="9"/>
        <color theme="1"/>
        <rFont val="Calibri"/>
        <family val="2"/>
        <scheme val="minor"/>
      </rPr>
      <t>Consumo nacional de carbón en comercios e instituciones * Cantidad comercios e instituciones a nivel municipal</t>
    </r>
    <r>
      <rPr>
        <sz val="9"/>
        <color theme="1"/>
        <rFont val="Calibri"/>
        <family val="2"/>
        <scheme val="minor"/>
      </rPr>
      <t xml:space="preserve">
                Cantidad de comercio e instituciones a nivel nacional</t>
    </r>
  </si>
  <si>
    <t>Consumo de carbón en los comercios e instituciones</t>
  </si>
  <si>
    <t>COMERCIAL E INSTITUCIONAL</t>
  </si>
  <si>
    <t>Consumo anual de energía eléctrica del sector residencial a nivel municipal</t>
  </si>
  <si>
    <t>Sistema Único de Información de Servicios Públicos Domiciliarios (SUI)
Estadísticas de la empresa de servicios públicos</t>
  </si>
  <si>
    <t>Consumo de energía eléctrica adquirida en los hogares</t>
  </si>
  <si>
    <t>Número de hogares a nivel municipal</t>
  </si>
  <si>
    <t>Número de equipos de refrigeración en hogares a nivel municipal</t>
  </si>
  <si>
    <t>Estadísticas del SISBEN</t>
  </si>
  <si>
    <t>Cantidad de neveras, refrigeradores, enfriadores o aires acondicionados en los hogares</t>
  </si>
  <si>
    <t>Consumo anual de combustible gaseoso del sector residencial  a nivel municipal</t>
  </si>
  <si>
    <t>Sistema de Información de Combustibles Líquidos (SICOM)
Sistema Único de Información de Servicios Públicos Domiciliarios (SUI)
Estadísticas de la empresa de servicios públicos</t>
  </si>
  <si>
    <r>
      <rPr>
        <u/>
        <sz val="9"/>
        <color theme="1"/>
        <rFont val="Calibri"/>
        <family val="2"/>
        <scheme val="minor"/>
      </rPr>
      <t>Consumo nacional de combustible gaseoso * Población rural municipal</t>
    </r>
    <r>
      <rPr>
        <sz val="9"/>
        <color theme="1"/>
        <rFont val="Calibri"/>
        <family val="2"/>
        <scheme val="minor"/>
      </rPr>
      <t xml:space="preserve">
                Población rural nacional</t>
    </r>
  </si>
  <si>
    <t>Balance Energético Nacional (BEN) - UPME
Estimaciones de población (DANE / Municipio)</t>
  </si>
  <si>
    <t>Consumo de Gas natural, GLP o Gas propano en los hogares</t>
  </si>
  <si>
    <t>Consumo anual de combustible líquido del sector residencial a nivel municipal</t>
  </si>
  <si>
    <r>
      <rPr>
        <u/>
        <sz val="9"/>
        <color theme="1"/>
        <rFont val="Calibri"/>
        <family val="2"/>
        <scheme val="minor"/>
      </rPr>
      <t>Consumo nacional de combustible líquido * Población rural municipal</t>
    </r>
    <r>
      <rPr>
        <sz val="9"/>
        <color theme="1"/>
        <rFont val="Calibri"/>
        <family val="2"/>
        <scheme val="minor"/>
      </rPr>
      <t xml:space="preserve">
                Población rural nacional</t>
    </r>
  </si>
  <si>
    <t xml:space="preserve"> en los hogaresConsumo de Kerosene, Diésel o Gasolina</t>
  </si>
  <si>
    <r>
      <rPr>
        <u/>
        <sz val="9"/>
        <color theme="1"/>
        <rFont val="Calibri"/>
        <family val="2"/>
        <scheme val="minor"/>
      </rPr>
      <t>Consumo nacional de leña o madera doméstico * Población rural municipal</t>
    </r>
    <r>
      <rPr>
        <sz val="9"/>
        <color theme="1"/>
        <rFont val="Calibri"/>
        <family val="2"/>
        <scheme val="minor"/>
      </rPr>
      <t xml:space="preserve">
                Población rural nacional</t>
    </r>
  </si>
  <si>
    <t>Consumo de leña o madera en los hogares</t>
  </si>
  <si>
    <r>
      <rPr>
        <u/>
        <sz val="9"/>
        <color theme="1"/>
        <rFont val="Calibri"/>
        <family val="2"/>
        <scheme val="minor"/>
      </rPr>
      <t>Consumo nacional de carbón doméstico * Población rural municipal</t>
    </r>
    <r>
      <rPr>
        <sz val="9"/>
        <color theme="1"/>
        <rFont val="Calibri"/>
        <family val="2"/>
        <scheme val="minor"/>
      </rPr>
      <t xml:space="preserve">
                Población rural nacional</t>
    </r>
  </si>
  <si>
    <t>Consumo de carbón en los hogares</t>
  </si>
  <si>
    <t>FORMULA DE OBTENCIÓN</t>
  </si>
  <si>
    <t>FUENTE DE INFORMACIÓN</t>
  </si>
  <si>
    <t>DATOS REQUERIDOS DE LA ACTIVIDAD</t>
  </si>
  <si>
    <t>FUENTE DE EMISIÓN DE GEI</t>
  </si>
  <si>
    <t>TIPO DE FUENTE</t>
  </si>
  <si>
    <t>FUENTES DE INFORMACIÓN SOBRE CARGAS AMBIENTALES PARA EL CÁLCULO DE LA HUELLA DE CARBONO MUNICIPAL</t>
  </si>
  <si>
    <r>
      <t xml:space="preserve">Consumo nacional de combustible líquido por el parque automotor * </t>
    </r>
    <r>
      <rPr>
        <u/>
        <sz val="9"/>
        <color rgb="FFFF0000"/>
        <rFont val="Calibri"/>
        <family val="2"/>
        <scheme val="minor"/>
      </rPr>
      <t>Cantidad de vehículos registrados en el municipio</t>
    </r>
    <r>
      <rPr>
        <u/>
        <sz val="9"/>
        <color theme="1"/>
        <rFont val="Calibri"/>
        <family val="2"/>
        <scheme val="minor"/>
      </rPr>
      <t xml:space="preserve">
</t>
    </r>
    <r>
      <rPr>
        <sz val="9"/>
        <color theme="1"/>
        <rFont val="Calibri"/>
        <family val="2"/>
        <scheme val="minor"/>
      </rPr>
      <t xml:space="preserve">                Cantidad de vehículos a nivel nacional</t>
    </r>
  </si>
  <si>
    <r>
      <t xml:space="preserve">Consumo nacional de combustible gaseoso por el parque automotor * </t>
    </r>
    <r>
      <rPr>
        <u/>
        <sz val="9"/>
        <color rgb="FFFF0000"/>
        <rFont val="Calibri"/>
        <family val="2"/>
        <scheme val="minor"/>
      </rPr>
      <t>Cantidad de vehículos registrados en el municipio</t>
    </r>
    <r>
      <rPr>
        <u/>
        <sz val="9"/>
        <color theme="1"/>
        <rFont val="Calibri"/>
        <family val="2"/>
        <scheme val="minor"/>
      </rPr>
      <t xml:space="preserve">
</t>
    </r>
    <r>
      <rPr>
        <sz val="9"/>
        <color theme="1"/>
        <rFont val="Calibri"/>
        <family val="2"/>
        <scheme val="minor"/>
      </rPr>
      <t xml:space="preserve">                Cantidad de vehículos a nivel nacional</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</si>
</sst>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 #,##0.00_);_(* \(#,##0.00\);_(* &quot;-&quot;??_);_(@_)"/>
    <numFmt numFmtId="165" formatCode="_ [$€-2]\ * #,##0.00_ ;_ [$€-2]\ * \-#,##0.00_ ;_ [$€-2]\ * &quot;-&quot;??_ "/>
    <numFmt numFmtId="166" formatCode="&quot;+/- &quot;0.0%"/>
    <numFmt numFmtId="167" formatCode="_(* #,##0.0_);_(* \(#,##0.0\);_(* &quot;-&quot;??_);_(@_)"/>
    <numFmt numFmtId="168" formatCode="0.000000"/>
    <numFmt numFmtId="169" formatCode="0.00000"/>
    <numFmt numFmtId="170" formatCode="0.000"/>
    <numFmt numFmtId="171" formatCode="&quot;+/- &quot;0.00%"/>
    <numFmt numFmtId="172" formatCode="0.0000"/>
    <numFmt numFmtId="173" formatCode="0.0000000"/>
    <numFmt numFmtId="174" formatCode="0.00000000"/>
    <numFmt numFmtId="175" formatCode="#,##0.00000"/>
  </numFmts>
  <fonts count="9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24"/>
      <color theme="0"/>
      <name val="Calibri"/>
      <family val="2"/>
      <scheme val="minor"/>
    </font>
    <font>
      <sz val="10"/>
      <color theme="1"/>
      <name val="Calibri"/>
      <family val="2"/>
      <scheme val="minor"/>
    </font>
    <font>
      <b/>
      <sz val="14"/>
      <color theme="0"/>
      <name val="Calibri"/>
      <family val="2"/>
      <scheme val="minor"/>
    </font>
    <font>
      <b/>
      <sz val="12"/>
      <color theme="0"/>
      <name val="Calibri"/>
      <family val="2"/>
      <scheme val="minor"/>
    </font>
    <font>
      <b/>
      <sz val="12"/>
      <name val="Calibri"/>
      <family val="2"/>
      <scheme val="minor"/>
    </font>
    <font>
      <u/>
      <sz val="11"/>
      <color theme="10"/>
      <name val="Calibri"/>
      <family val="2"/>
    </font>
    <font>
      <b/>
      <sz val="10"/>
      <color theme="1"/>
      <name val="Calibri"/>
      <family val="2"/>
      <scheme val="minor"/>
    </font>
    <font>
      <b/>
      <sz val="14"/>
      <color theme="1"/>
      <name val="Calibri"/>
      <family val="2"/>
      <scheme val="minor"/>
    </font>
    <font>
      <b/>
      <sz val="10"/>
      <name val="Calibri"/>
      <family val="2"/>
      <scheme val="minor"/>
    </font>
    <font>
      <b/>
      <sz val="12"/>
      <color theme="1"/>
      <name val="Calibri"/>
      <family val="2"/>
      <scheme val="minor"/>
    </font>
    <font>
      <sz val="11"/>
      <color indexed="8"/>
      <name val="Calibri"/>
      <family val="2"/>
    </font>
    <font>
      <sz val="10"/>
      <name val="Arial"/>
      <family val="2"/>
    </font>
    <font>
      <u/>
      <sz val="10"/>
      <color indexed="12"/>
      <name val="MS Sans Serif"/>
      <family val="2"/>
    </font>
    <font>
      <sz val="10"/>
      <name val="MS Sans Serif"/>
      <family val="2"/>
    </font>
    <font>
      <sz val="11"/>
      <name val="Calibri"/>
      <family val="2"/>
      <scheme val="minor"/>
    </font>
    <font>
      <sz val="9"/>
      <color indexed="81"/>
      <name val="Tahoma"/>
      <family val="2"/>
    </font>
    <font>
      <b/>
      <sz val="9"/>
      <color indexed="81"/>
      <name val="Tahoma"/>
      <family val="2"/>
    </font>
    <font>
      <sz val="11"/>
      <color theme="0"/>
      <name val="Calibri"/>
      <family val="2"/>
      <scheme val="minor"/>
    </font>
    <font>
      <b/>
      <sz val="11"/>
      <name val="Calibri"/>
      <family val="2"/>
      <scheme val="minor"/>
    </font>
    <font>
      <sz val="11"/>
      <name val="Calibri"/>
      <family val="2"/>
    </font>
    <font>
      <b/>
      <sz val="16"/>
      <color theme="0"/>
      <name val="Calibri"/>
      <family val="2"/>
      <scheme val="minor"/>
    </font>
    <font>
      <b/>
      <sz val="18"/>
      <color theme="2"/>
      <name val="Calibri"/>
      <family val="2"/>
      <scheme val="minor"/>
    </font>
    <font>
      <b/>
      <sz val="16"/>
      <name val="Calibri"/>
      <family val="2"/>
      <scheme val="minor"/>
    </font>
    <font>
      <b/>
      <sz val="18"/>
      <color theme="0"/>
      <name val="Calibri"/>
      <family val="2"/>
      <scheme val="minor"/>
    </font>
    <font>
      <u/>
      <sz val="18"/>
      <color theme="10"/>
      <name val="Calibri"/>
      <family val="2"/>
    </font>
    <font>
      <vertAlign val="subscript"/>
      <sz val="11"/>
      <color theme="1"/>
      <name val="Calibri"/>
      <family val="2"/>
      <scheme val="minor"/>
    </font>
    <font>
      <b/>
      <vertAlign val="subscript"/>
      <sz val="11"/>
      <color theme="1"/>
      <name val="Calibri"/>
      <family val="2"/>
      <scheme val="minor"/>
    </font>
    <font>
      <b/>
      <sz val="11"/>
      <color theme="0"/>
      <name val="Calibri"/>
      <family val="2"/>
      <scheme val="minor"/>
    </font>
    <font>
      <b/>
      <sz val="12"/>
      <color theme="2"/>
      <name val="Calibri"/>
      <family val="2"/>
      <scheme val="minor"/>
    </font>
    <font>
      <b/>
      <sz val="9"/>
      <color theme="1"/>
      <name val="Calibri"/>
      <family val="2"/>
      <scheme val="minor"/>
    </font>
    <font>
      <sz val="10"/>
      <color theme="0"/>
      <name val="Arial Narrow"/>
      <family val="2"/>
    </font>
    <font>
      <vertAlign val="subscript"/>
      <sz val="11"/>
      <color theme="0"/>
      <name val="Calibri"/>
      <family val="2"/>
      <scheme val="minor"/>
    </font>
    <font>
      <sz val="11"/>
      <name val="Arial"/>
      <family val="2"/>
    </font>
    <font>
      <b/>
      <sz val="10"/>
      <name val="Arial Narrow"/>
      <family val="2"/>
    </font>
    <font>
      <sz val="10"/>
      <name val="Arial Narrow"/>
      <family val="2"/>
    </font>
    <font>
      <vertAlign val="subscript"/>
      <sz val="10"/>
      <name val="Arial Narrow"/>
      <family val="2"/>
    </font>
    <font>
      <vertAlign val="superscript"/>
      <sz val="10"/>
      <name val="Arial Narrow"/>
      <family val="2"/>
    </font>
    <font>
      <vertAlign val="subscript"/>
      <sz val="11"/>
      <name val="Calibri"/>
      <family val="2"/>
      <scheme val="minor"/>
    </font>
    <font>
      <sz val="12"/>
      <name val="Calibri"/>
      <family val="2"/>
      <scheme val="minor"/>
    </font>
    <font>
      <u/>
      <sz val="11"/>
      <name val="Calibri"/>
      <family val="2"/>
    </font>
    <font>
      <sz val="10"/>
      <color rgb="FFFF0000"/>
      <name val="Arial Narrow"/>
      <family val="2"/>
    </font>
    <font>
      <b/>
      <sz val="11"/>
      <color theme="3"/>
      <name val="Calibri"/>
      <family val="2"/>
      <scheme val="minor"/>
    </font>
    <font>
      <b/>
      <sz val="11"/>
      <color rgb="FFFF0000"/>
      <name val="Calibri"/>
      <family val="2"/>
      <scheme val="minor"/>
    </font>
    <font>
      <sz val="11"/>
      <color theme="3"/>
      <name val="Calibri"/>
      <family val="2"/>
      <scheme val="minor"/>
    </font>
    <font>
      <b/>
      <sz val="11"/>
      <color rgb="FF0070C0"/>
      <name val="Calibri"/>
      <family val="2"/>
      <scheme val="minor"/>
    </font>
    <font>
      <sz val="11"/>
      <color rgb="FF0070C0"/>
      <name val="Calibri"/>
      <family val="2"/>
      <scheme val="minor"/>
    </font>
    <font>
      <b/>
      <sz val="11"/>
      <color rgb="FF00B050"/>
      <name val="Calibri"/>
      <family val="2"/>
      <scheme val="minor"/>
    </font>
    <font>
      <sz val="11"/>
      <color rgb="FF00B050"/>
      <name val="Calibri"/>
      <family val="2"/>
      <scheme val="minor"/>
    </font>
    <font>
      <b/>
      <u/>
      <sz val="11"/>
      <color theme="10"/>
      <name val="Calibri"/>
      <family val="2"/>
    </font>
    <font>
      <b/>
      <sz val="13"/>
      <color theme="0"/>
      <name val="Calibri"/>
      <family val="2"/>
      <scheme val="minor"/>
    </font>
    <font>
      <sz val="11"/>
      <color theme="1"/>
      <name val="Arial"/>
      <family val="2"/>
    </font>
    <font>
      <b/>
      <sz val="8"/>
      <color theme="1"/>
      <name val="Calibri"/>
      <family val="2"/>
      <scheme val="minor"/>
    </font>
    <font>
      <sz val="9"/>
      <color theme="1"/>
      <name val="Calibri"/>
      <family val="2"/>
      <scheme val="minor"/>
    </font>
    <font>
      <sz val="8"/>
      <name val="Times New Roman"/>
      <family val="1"/>
    </font>
    <font>
      <b/>
      <sz val="14"/>
      <name val="Verdana"/>
      <family val="2"/>
    </font>
    <font>
      <b/>
      <sz val="9"/>
      <name val="Verdana"/>
      <family val="2"/>
    </font>
    <font>
      <b/>
      <sz val="7"/>
      <name val="Verdana"/>
      <family val="2"/>
    </font>
    <font>
      <sz val="11"/>
      <color rgb="FF000000"/>
      <name val="Calibri"/>
      <family val="2"/>
      <scheme val="minor"/>
    </font>
    <font>
      <sz val="8"/>
      <name val="Verdana"/>
      <family val="2"/>
    </font>
    <font>
      <sz val="5"/>
      <name val="Verdana"/>
      <family val="2"/>
    </font>
    <font>
      <sz val="9"/>
      <name val="Verdana"/>
      <family val="2"/>
    </font>
    <font>
      <sz val="6"/>
      <name val="Verdana"/>
      <family val="2"/>
    </font>
    <font>
      <b/>
      <sz val="6"/>
      <name val="Verdana"/>
      <family val="2"/>
    </font>
    <font>
      <i/>
      <sz val="9"/>
      <name val="Verdana"/>
      <family val="2"/>
    </font>
    <font>
      <sz val="10"/>
      <name val="Verdana"/>
      <family val="2"/>
    </font>
    <font>
      <vertAlign val="subscript"/>
      <sz val="9"/>
      <name val="Verdana"/>
      <family val="2"/>
    </font>
    <font>
      <i/>
      <sz val="8"/>
      <name val="Verdana"/>
      <family val="2"/>
    </font>
    <font>
      <sz val="13"/>
      <name val="Verdana"/>
      <family val="2"/>
    </font>
    <font>
      <u/>
      <sz val="11"/>
      <color theme="10"/>
      <name val="Calibri"/>
      <family val="2"/>
      <scheme val="minor"/>
    </font>
    <font>
      <sz val="12"/>
      <name val="Verdana"/>
      <family val="2"/>
    </font>
    <font>
      <b/>
      <sz val="8"/>
      <name val="Verdana"/>
      <family val="2"/>
    </font>
    <font>
      <b/>
      <sz val="10"/>
      <name val="Verdana"/>
      <family val="2"/>
    </font>
    <font>
      <sz val="7"/>
      <name val="Calibri"/>
      <family val="2"/>
      <scheme val="minor"/>
    </font>
    <font>
      <sz val="7"/>
      <color rgb="FF000000"/>
      <name val="Calibri"/>
      <family val="2"/>
      <scheme val="minor"/>
    </font>
    <font>
      <b/>
      <sz val="11"/>
      <color rgb="FF000000"/>
      <name val="Calibri"/>
      <family val="2"/>
      <scheme val="minor"/>
    </font>
    <font>
      <b/>
      <sz val="20"/>
      <color theme="0"/>
      <name val="Calibri"/>
      <family val="2"/>
      <scheme val="minor"/>
    </font>
    <font>
      <b/>
      <sz val="22"/>
      <color theme="0"/>
      <name val="Calibri"/>
      <family val="2"/>
      <scheme val="minor"/>
    </font>
    <font>
      <b/>
      <sz val="9"/>
      <name val="Calibri"/>
      <family val="2"/>
      <scheme val="minor"/>
    </font>
    <font>
      <b/>
      <sz val="9"/>
      <color theme="0"/>
      <name val="Calibri"/>
      <family val="2"/>
      <scheme val="minor"/>
    </font>
    <font>
      <b/>
      <sz val="20"/>
      <name val="Calibri"/>
      <family val="2"/>
      <scheme val="minor"/>
    </font>
    <font>
      <b/>
      <sz val="22"/>
      <name val="Calibri"/>
      <family val="2"/>
      <scheme val="minor"/>
    </font>
    <font>
      <b/>
      <sz val="12"/>
      <color rgb="FF000000"/>
      <name val="Calibri"/>
      <family val="2"/>
      <scheme val="minor"/>
    </font>
    <font>
      <sz val="20"/>
      <color theme="1"/>
      <name val="Calibri"/>
      <family val="2"/>
      <scheme val="minor"/>
    </font>
    <font>
      <b/>
      <vertAlign val="subscript"/>
      <sz val="11"/>
      <color theme="0"/>
      <name val="Calibri"/>
      <family val="2"/>
      <scheme val="minor"/>
    </font>
    <font>
      <b/>
      <sz val="12"/>
      <color indexed="9"/>
      <name val="Calibri"/>
      <family val="2"/>
    </font>
    <font>
      <sz val="11"/>
      <color indexed="9"/>
      <name val="Calibri"/>
      <family val="2"/>
    </font>
    <font>
      <sz val="12"/>
      <color indexed="9"/>
      <name val="Calibri"/>
      <family val="2"/>
    </font>
    <font>
      <b/>
      <vertAlign val="subscript"/>
      <sz val="11"/>
      <name val="Calibri"/>
      <family val="2"/>
    </font>
    <font>
      <b/>
      <sz val="11"/>
      <name val="Calibri"/>
      <family val="2"/>
    </font>
    <font>
      <vertAlign val="superscript"/>
      <sz val="11"/>
      <color theme="1"/>
      <name val="Calibri"/>
      <family val="2"/>
      <scheme val="minor"/>
    </font>
    <font>
      <u/>
      <sz val="9"/>
      <color theme="1"/>
      <name val="Calibri"/>
      <family val="2"/>
      <scheme val="minor"/>
    </font>
    <font>
      <b/>
      <sz val="14"/>
      <color theme="4" tint="-0.499984740745262"/>
      <name val="Calibri"/>
      <family val="2"/>
      <scheme val="minor"/>
    </font>
    <font>
      <u/>
      <sz val="9"/>
      <color rgb="FFFF0000"/>
      <name val="Calibri"/>
      <family val="2"/>
      <scheme val="minor"/>
    </font>
  </fonts>
  <fills count="70">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2" tint="-0.499984740745262"/>
        <bgColor indexed="64"/>
      </patternFill>
    </fill>
    <fill>
      <patternFill patternType="solid">
        <fgColor theme="1" tint="0.499984740745262"/>
        <bgColor indexed="64"/>
      </patternFill>
    </fill>
    <fill>
      <patternFill patternType="solid">
        <fgColor theme="6" tint="-0.249977111117893"/>
        <bgColor indexed="64"/>
      </patternFill>
    </fill>
    <fill>
      <patternFill patternType="solid">
        <fgColor rgb="FFFFFF00"/>
        <bgColor indexed="64"/>
      </patternFill>
    </fill>
    <fill>
      <patternFill patternType="solid">
        <fgColor theme="3" tint="0.39994506668294322"/>
        <bgColor indexed="64"/>
      </patternFill>
    </fill>
    <fill>
      <patternFill patternType="solid">
        <fgColor theme="3" tint="0.59996337778862885"/>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rgb="FFCE053C"/>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FF66"/>
        <bgColor indexed="64"/>
      </patternFill>
    </fill>
    <fill>
      <patternFill patternType="solid">
        <fgColor rgb="FFD3DFEE"/>
        <bgColor indexed="64"/>
      </patternFill>
    </fill>
    <fill>
      <patternFill patternType="solid">
        <fgColor rgb="FF05C1F2"/>
      </patternFill>
    </fill>
    <fill>
      <patternFill patternType="solid">
        <fgColor rgb="FFFFCC66"/>
        <bgColor indexed="64"/>
      </patternFill>
    </fill>
    <fill>
      <patternFill patternType="solid">
        <fgColor rgb="FFE0F2FC"/>
      </patternFill>
    </fill>
    <fill>
      <patternFill patternType="solid">
        <fgColor rgb="FF00BAF1"/>
      </patternFill>
    </fill>
    <fill>
      <patternFill patternType="solid">
        <fgColor rgb="FFC7E9FA"/>
      </patternFill>
    </fill>
    <fill>
      <patternFill patternType="solid">
        <fgColor rgb="FFFDFDFD"/>
      </patternFill>
    </fill>
    <fill>
      <patternFill patternType="solid">
        <fgColor theme="4" tint="0.39997558519241921"/>
        <bgColor indexed="64"/>
      </patternFill>
    </fill>
    <fill>
      <patternFill patternType="solid">
        <fgColor theme="5" tint="-0.249977111117893"/>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5" tint="-0.24994659260841701"/>
        <bgColor indexed="64"/>
      </patternFill>
    </fill>
    <fill>
      <patternFill patternType="solid">
        <fgColor theme="5" tint="0.39994506668294322"/>
        <bgColor indexed="64"/>
      </patternFill>
    </fill>
    <fill>
      <patternFill patternType="solid">
        <fgColor rgb="FFFFFF99"/>
        <bgColor indexed="64"/>
      </patternFill>
    </fill>
    <fill>
      <patternFill patternType="solid">
        <fgColor rgb="FFFFFFCC"/>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2"/>
        <bgColor indexed="64"/>
      </patternFill>
    </fill>
    <fill>
      <patternFill patternType="solid">
        <fgColor theme="6"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499984740745262"/>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rgb="FFFF0000"/>
        <bgColor indexed="64"/>
      </patternFill>
    </fill>
    <fill>
      <patternFill patternType="solid">
        <fgColor rgb="FF002060"/>
        <bgColor indexed="64"/>
      </patternFill>
    </fill>
    <fill>
      <patternFill patternType="solid">
        <fgColor rgb="FF00B050"/>
        <bgColor indexed="64"/>
      </patternFill>
    </fill>
    <fill>
      <patternFill patternType="solid">
        <fgColor rgb="FF7030A0"/>
        <bgColor indexed="64"/>
      </patternFill>
    </fill>
    <fill>
      <patternFill patternType="solid">
        <fgColor theme="1"/>
        <bgColor indexed="64"/>
      </patternFill>
    </fill>
    <fill>
      <patternFill patternType="solid">
        <fgColor rgb="FFEEECE1"/>
        <bgColor indexed="64"/>
      </patternFill>
    </fill>
    <fill>
      <patternFill patternType="solid">
        <fgColor rgb="FF948A54"/>
        <bgColor indexed="64"/>
      </patternFill>
    </fill>
    <fill>
      <patternFill patternType="solid">
        <fgColor theme="5"/>
        <bgColor indexed="64"/>
      </patternFill>
    </fill>
    <fill>
      <patternFill patternType="solid">
        <fgColor rgb="FFE4DFEC"/>
        <bgColor indexed="64"/>
      </patternFill>
    </fill>
    <fill>
      <patternFill patternType="solid">
        <fgColor rgb="FF60497A"/>
        <bgColor indexed="64"/>
      </patternFill>
    </fill>
    <fill>
      <patternFill patternType="solid">
        <fgColor rgb="FFDAEEF3"/>
        <bgColor indexed="64"/>
      </patternFill>
    </fill>
    <fill>
      <patternFill patternType="solid">
        <fgColor rgb="FF92CDDC"/>
        <bgColor indexed="64"/>
      </patternFill>
    </fill>
    <fill>
      <patternFill patternType="solid">
        <fgColor theme="9"/>
        <bgColor indexed="64"/>
      </patternFill>
    </fill>
    <fill>
      <patternFill patternType="solid">
        <fgColor rgb="FFF2DCDB"/>
        <bgColor indexed="64"/>
      </patternFill>
    </fill>
    <fill>
      <patternFill patternType="solid">
        <fgColor rgb="FFDA9694"/>
        <bgColor indexed="64"/>
      </patternFill>
    </fill>
    <fill>
      <patternFill patternType="solid">
        <fgColor theme="4"/>
        <bgColor indexed="64"/>
      </patternFill>
    </fill>
    <fill>
      <patternFill patternType="solid">
        <fgColor theme="8"/>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theme="2" tint="-0.89996032593768116"/>
      </left>
      <right/>
      <top style="thin">
        <color theme="2" tint="-0.89996032593768116"/>
      </top>
      <bottom style="thin">
        <color theme="2" tint="-0.89996032593768116"/>
      </bottom>
      <diagonal/>
    </border>
    <border>
      <left style="thin">
        <color theme="2" tint="-0.89996032593768116"/>
      </left>
      <right style="thin">
        <color theme="2" tint="-0.89996032593768116"/>
      </right>
      <top style="thin">
        <color theme="2" tint="-0.89996032593768116"/>
      </top>
      <bottom style="thin">
        <color theme="2" tint="-0.89996032593768116"/>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59"/>
      </left>
      <right style="thin">
        <color indexed="59"/>
      </right>
      <top style="thin">
        <color indexed="59"/>
      </top>
      <bottom style="thin">
        <color indexed="59"/>
      </bottom>
      <diagonal/>
    </border>
    <border>
      <left style="thin">
        <color indexed="64"/>
      </left>
      <right style="thin">
        <color indexed="64"/>
      </right>
      <top style="thin">
        <color indexed="64"/>
      </top>
      <bottom/>
      <diagonal/>
    </border>
    <border>
      <left style="medium">
        <color indexed="64"/>
      </left>
      <right/>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thin">
        <color auto="1"/>
      </left>
      <right/>
      <top style="thin">
        <color auto="1"/>
      </top>
      <bottom style="thin">
        <color auto="1"/>
      </bottom>
      <diagonal/>
    </border>
    <border>
      <left style="thin">
        <color theme="8"/>
      </left>
      <right style="thin">
        <color auto="1"/>
      </right>
      <top style="thin">
        <color theme="8"/>
      </top>
      <bottom style="thin">
        <color auto="1"/>
      </bottom>
      <diagonal/>
    </border>
    <border>
      <left style="thin">
        <color theme="8"/>
      </left>
      <right style="thin">
        <color theme="8"/>
      </right>
      <top style="thin">
        <color theme="8"/>
      </top>
      <bottom style="thin">
        <color auto="1"/>
      </bottom>
      <diagonal/>
    </border>
    <border>
      <left style="thin">
        <color auto="1"/>
      </left>
      <right style="thin">
        <color theme="8"/>
      </right>
      <top style="thin">
        <color theme="8"/>
      </top>
      <bottom style="thin">
        <color auto="1"/>
      </bottom>
      <diagonal/>
    </border>
    <border>
      <left style="thin">
        <color theme="8"/>
      </left>
      <right style="thin">
        <color auto="1"/>
      </right>
      <top style="thin">
        <color theme="8"/>
      </top>
      <bottom style="thin">
        <color theme="8"/>
      </bottom>
      <diagonal/>
    </border>
    <border>
      <left style="thin">
        <color theme="8"/>
      </left>
      <right style="thin">
        <color theme="8"/>
      </right>
      <top style="thin">
        <color theme="8"/>
      </top>
      <bottom style="thin">
        <color theme="8"/>
      </bottom>
      <diagonal/>
    </border>
    <border>
      <left style="thin">
        <color auto="1"/>
      </left>
      <right style="thin">
        <color theme="8"/>
      </right>
      <top style="thin">
        <color theme="8"/>
      </top>
      <bottom style="thin">
        <color theme="8"/>
      </bottom>
      <diagonal/>
    </border>
    <border>
      <left style="thin">
        <color theme="8"/>
      </left>
      <right style="thin">
        <color auto="1"/>
      </right>
      <top/>
      <bottom style="thin">
        <color theme="8"/>
      </bottom>
      <diagonal/>
    </border>
    <border>
      <left style="thin">
        <color theme="8"/>
      </left>
      <right style="thin">
        <color theme="8"/>
      </right>
      <top/>
      <bottom style="thin">
        <color theme="8"/>
      </bottom>
      <diagonal/>
    </border>
    <border>
      <left style="thin">
        <color auto="1"/>
      </left>
      <right style="thin">
        <color theme="8"/>
      </right>
      <top/>
      <bottom style="thin">
        <color theme="8"/>
      </bottom>
      <diagonal/>
    </border>
    <border>
      <left style="thin">
        <color rgb="FF948A54"/>
      </left>
      <right style="thin">
        <color auto="1"/>
      </right>
      <top style="thin">
        <color auto="1"/>
      </top>
      <bottom style="thin">
        <color auto="1"/>
      </bottom>
      <diagonal/>
    </border>
    <border>
      <left style="thin">
        <color rgb="FF948A54"/>
      </left>
      <right style="thin">
        <color rgb="FF948A54"/>
      </right>
      <top style="thin">
        <color auto="1"/>
      </top>
      <bottom style="thin">
        <color auto="1"/>
      </bottom>
      <diagonal/>
    </border>
    <border>
      <left style="thin">
        <color auto="1"/>
      </left>
      <right style="thin">
        <color rgb="FF948A54"/>
      </right>
      <top style="thin">
        <color auto="1"/>
      </top>
      <bottom style="thin">
        <color auto="1"/>
      </bottom>
      <diagonal/>
    </border>
    <border>
      <left style="thin">
        <color theme="7"/>
      </left>
      <right style="thin">
        <color auto="1"/>
      </right>
      <top style="thin">
        <color auto="1"/>
      </top>
      <bottom style="thin">
        <color auto="1"/>
      </bottom>
      <diagonal/>
    </border>
    <border>
      <left style="thin">
        <color theme="7"/>
      </left>
      <right style="thin">
        <color theme="7"/>
      </right>
      <top style="thin">
        <color auto="1"/>
      </top>
      <bottom style="thin">
        <color auto="1"/>
      </bottom>
      <diagonal/>
    </border>
    <border>
      <left style="thin">
        <color auto="1"/>
      </left>
      <right style="thin">
        <color theme="7"/>
      </right>
      <top style="thin">
        <color auto="1"/>
      </top>
      <bottom style="thin">
        <color auto="1"/>
      </bottom>
      <diagonal/>
    </border>
    <border>
      <left style="thin">
        <color theme="5"/>
      </left>
      <right style="thin">
        <color auto="1"/>
      </right>
      <top style="thin">
        <color theme="5"/>
      </top>
      <bottom style="thin">
        <color auto="1"/>
      </bottom>
      <diagonal/>
    </border>
    <border>
      <left style="thin">
        <color theme="5"/>
      </left>
      <right style="thin">
        <color theme="5"/>
      </right>
      <top style="thin">
        <color theme="5"/>
      </top>
      <bottom style="thin">
        <color auto="1"/>
      </bottom>
      <diagonal/>
    </border>
    <border>
      <left style="thin">
        <color auto="1"/>
      </left>
      <right style="thin">
        <color theme="5"/>
      </right>
      <top style="thin">
        <color theme="5"/>
      </top>
      <bottom style="thin">
        <color auto="1"/>
      </bottom>
      <diagonal/>
    </border>
    <border>
      <left style="thin">
        <color theme="5"/>
      </left>
      <right style="thin">
        <color auto="1"/>
      </right>
      <top style="thin">
        <color theme="5"/>
      </top>
      <bottom style="thin">
        <color theme="5"/>
      </bottom>
      <diagonal/>
    </border>
    <border>
      <left style="thin">
        <color theme="5"/>
      </left>
      <right style="thin">
        <color theme="5"/>
      </right>
      <top style="thin">
        <color theme="5"/>
      </top>
      <bottom style="thin">
        <color theme="5"/>
      </bottom>
      <diagonal/>
    </border>
    <border>
      <left style="thin">
        <color auto="1"/>
      </left>
      <right style="thin">
        <color theme="5"/>
      </right>
      <top style="thin">
        <color theme="5"/>
      </top>
      <bottom style="thin">
        <color theme="5"/>
      </bottom>
      <diagonal/>
    </border>
    <border>
      <left style="thin">
        <color theme="5"/>
      </left>
      <right style="thin">
        <color auto="1"/>
      </right>
      <top style="thin">
        <color auto="1"/>
      </top>
      <bottom style="thin">
        <color theme="5"/>
      </bottom>
      <diagonal/>
    </border>
    <border>
      <left style="thin">
        <color theme="5"/>
      </left>
      <right style="thin">
        <color theme="5"/>
      </right>
      <top style="thin">
        <color auto="1"/>
      </top>
      <bottom style="thin">
        <color theme="5"/>
      </bottom>
      <diagonal/>
    </border>
    <border>
      <left style="thin">
        <color auto="1"/>
      </left>
      <right style="thin">
        <color theme="5"/>
      </right>
      <top style="thin">
        <color auto="1"/>
      </top>
      <bottom style="thin">
        <color theme="5"/>
      </bottom>
      <diagonal/>
    </border>
    <border>
      <left style="thin">
        <color rgb="FF60497A"/>
      </left>
      <right style="thin">
        <color auto="1"/>
      </right>
      <top style="thin">
        <color rgb="FF60497A"/>
      </top>
      <bottom style="thin">
        <color auto="1"/>
      </bottom>
      <diagonal/>
    </border>
    <border>
      <left style="thin">
        <color rgb="FF60497A"/>
      </left>
      <right style="thin">
        <color rgb="FF60497A"/>
      </right>
      <top style="thin">
        <color rgb="FF60497A"/>
      </top>
      <bottom style="thin">
        <color auto="1"/>
      </bottom>
      <diagonal/>
    </border>
    <border>
      <left style="thin">
        <color auto="1"/>
      </left>
      <right style="thin">
        <color rgb="FF60497A"/>
      </right>
      <top style="thin">
        <color rgb="FF60497A"/>
      </top>
      <bottom style="thin">
        <color auto="1"/>
      </bottom>
      <diagonal/>
    </border>
    <border>
      <left style="thin">
        <color rgb="FF60497A"/>
      </left>
      <right style="thin">
        <color auto="1"/>
      </right>
      <top style="thin">
        <color rgb="FF60497A"/>
      </top>
      <bottom style="thin">
        <color rgb="FF60497A"/>
      </bottom>
      <diagonal/>
    </border>
    <border>
      <left style="thin">
        <color rgb="FF60497A"/>
      </left>
      <right style="thin">
        <color rgb="FF60497A"/>
      </right>
      <top style="thin">
        <color rgb="FF60497A"/>
      </top>
      <bottom style="thin">
        <color rgb="FF60497A"/>
      </bottom>
      <diagonal/>
    </border>
    <border>
      <left style="thin">
        <color auto="1"/>
      </left>
      <right style="thin">
        <color rgb="FF60497A"/>
      </right>
      <top style="thin">
        <color rgb="FF60497A"/>
      </top>
      <bottom style="thin">
        <color rgb="FF60497A"/>
      </bottom>
      <diagonal/>
    </border>
    <border>
      <left style="thin">
        <color rgb="FF60497A"/>
      </left>
      <right style="thin">
        <color auto="1"/>
      </right>
      <top style="thin">
        <color auto="1"/>
      </top>
      <bottom style="thin">
        <color rgb="FF60497A"/>
      </bottom>
      <diagonal/>
    </border>
    <border>
      <left style="thin">
        <color rgb="FF60497A"/>
      </left>
      <right style="thin">
        <color rgb="FF60497A"/>
      </right>
      <top style="thin">
        <color auto="1"/>
      </top>
      <bottom style="thin">
        <color rgb="FF60497A"/>
      </bottom>
      <diagonal/>
    </border>
    <border>
      <left style="thin">
        <color auto="1"/>
      </left>
      <right style="thin">
        <color rgb="FF60497A"/>
      </right>
      <top style="thin">
        <color auto="1"/>
      </top>
      <bottom style="thin">
        <color rgb="FF60497A"/>
      </bottom>
      <diagonal/>
    </border>
    <border>
      <left style="thin">
        <color rgb="FF92CDDC"/>
      </left>
      <right style="thin">
        <color auto="1"/>
      </right>
      <top style="thin">
        <color rgb="FF92CDDC"/>
      </top>
      <bottom style="thin">
        <color auto="1"/>
      </bottom>
      <diagonal/>
    </border>
    <border>
      <left style="thin">
        <color rgb="FF92CDDC"/>
      </left>
      <right style="thin">
        <color rgb="FF92CDDC"/>
      </right>
      <top style="thin">
        <color rgb="FF92CDDC"/>
      </top>
      <bottom style="thin">
        <color auto="1"/>
      </bottom>
      <diagonal/>
    </border>
    <border>
      <left style="thin">
        <color auto="1"/>
      </left>
      <right style="thin">
        <color rgb="FF92CDDC"/>
      </right>
      <top style="thin">
        <color rgb="FF92CDDC"/>
      </top>
      <bottom style="thin">
        <color auto="1"/>
      </bottom>
      <diagonal/>
    </border>
    <border>
      <left style="thin">
        <color rgb="FF92CDDC"/>
      </left>
      <right style="thin">
        <color auto="1"/>
      </right>
      <top style="thin">
        <color rgb="FF92CDDC"/>
      </top>
      <bottom style="thin">
        <color rgb="FF92CDDC"/>
      </bottom>
      <diagonal/>
    </border>
    <border>
      <left style="thin">
        <color rgb="FF92CDDC"/>
      </left>
      <right style="thin">
        <color rgb="FF92CDDC"/>
      </right>
      <top style="thin">
        <color rgb="FF92CDDC"/>
      </top>
      <bottom style="thin">
        <color rgb="FF92CDDC"/>
      </bottom>
      <diagonal/>
    </border>
    <border>
      <left style="thin">
        <color rgb="FF92CDDC"/>
      </left>
      <right style="thin">
        <color rgb="FF92CDDC"/>
      </right>
      <top/>
      <bottom style="thin">
        <color rgb="FF92CDDC"/>
      </bottom>
      <diagonal/>
    </border>
    <border>
      <left style="thin">
        <color auto="1"/>
      </left>
      <right style="thin">
        <color rgb="FF92CDDC"/>
      </right>
      <top style="thin">
        <color rgb="FF92CDDC"/>
      </top>
      <bottom/>
      <diagonal/>
    </border>
    <border>
      <left style="thin">
        <color rgb="FF92CDDC"/>
      </left>
      <right style="thin">
        <color rgb="FF92CDDC"/>
      </right>
      <top/>
      <bottom/>
      <diagonal/>
    </border>
    <border>
      <left style="thin">
        <color auto="1"/>
      </left>
      <right style="thin">
        <color rgb="FF92CDDC"/>
      </right>
      <top style="thin">
        <color rgb="FF92CDDC"/>
      </top>
      <bottom style="thin">
        <color rgb="FF92CDDC"/>
      </bottom>
      <diagonal/>
    </border>
    <border>
      <left style="thin">
        <color rgb="FF92CDDC"/>
      </left>
      <right style="thin">
        <color auto="1"/>
      </right>
      <top style="thin">
        <color auto="1"/>
      </top>
      <bottom style="thin">
        <color rgb="FF92CDDC"/>
      </bottom>
      <diagonal/>
    </border>
    <border>
      <left style="thin">
        <color rgb="FF92CDDC"/>
      </left>
      <right style="thin">
        <color rgb="FF92CDDC"/>
      </right>
      <top style="thin">
        <color auto="1"/>
      </top>
      <bottom style="thin">
        <color rgb="FF92CDDC"/>
      </bottom>
      <diagonal/>
    </border>
    <border>
      <left style="thin">
        <color rgb="FF92CDDC"/>
      </left>
      <right style="thin">
        <color rgb="FF92CDDC"/>
      </right>
      <top style="thin">
        <color auto="1"/>
      </top>
      <bottom/>
      <diagonal/>
    </border>
    <border>
      <left style="thin">
        <color auto="1"/>
      </left>
      <right style="thin">
        <color rgb="FF92CDDC"/>
      </right>
      <top style="thin">
        <color auto="1"/>
      </top>
      <bottom style="thin">
        <color rgb="FF92CDDC"/>
      </bottom>
      <diagonal/>
    </border>
    <border>
      <left style="thin">
        <color theme="9"/>
      </left>
      <right style="thin">
        <color auto="1"/>
      </right>
      <top style="thin">
        <color theme="9"/>
      </top>
      <bottom style="thin">
        <color auto="1"/>
      </bottom>
      <diagonal/>
    </border>
    <border>
      <left style="thin">
        <color theme="9"/>
      </left>
      <right style="thin">
        <color theme="9"/>
      </right>
      <top style="thin">
        <color theme="9"/>
      </top>
      <bottom style="thin">
        <color auto="1"/>
      </bottom>
      <diagonal/>
    </border>
    <border>
      <left style="thin">
        <color theme="9"/>
      </left>
      <right style="thin">
        <color theme="9"/>
      </right>
      <top style="thin">
        <color theme="9"/>
      </top>
      <bottom style="thin">
        <color theme="8"/>
      </bottom>
      <diagonal/>
    </border>
    <border>
      <left style="thin">
        <color auto="1"/>
      </left>
      <right style="thin">
        <color theme="9"/>
      </right>
      <top style="thin">
        <color theme="9"/>
      </top>
      <bottom style="thin">
        <color theme="8"/>
      </bottom>
      <diagonal/>
    </border>
    <border>
      <left style="thin">
        <color theme="9"/>
      </left>
      <right style="thin">
        <color auto="1"/>
      </right>
      <top style="thin">
        <color theme="9"/>
      </top>
      <bottom style="thin">
        <color theme="9"/>
      </bottom>
      <diagonal/>
    </border>
    <border>
      <left style="thin">
        <color theme="9"/>
      </left>
      <right style="thin">
        <color theme="9"/>
      </right>
      <top style="thin">
        <color theme="9"/>
      </top>
      <bottom style="thin">
        <color theme="9"/>
      </bottom>
      <diagonal/>
    </border>
    <border>
      <left style="thin">
        <color auto="1"/>
      </left>
      <right style="thin">
        <color theme="9"/>
      </right>
      <top style="thin">
        <color theme="9"/>
      </top>
      <bottom style="thin">
        <color theme="9"/>
      </bottom>
      <diagonal/>
    </border>
    <border>
      <left style="thin">
        <color theme="9"/>
      </left>
      <right style="thin">
        <color auto="1"/>
      </right>
      <top style="thin">
        <color auto="1"/>
      </top>
      <bottom style="thin">
        <color theme="9"/>
      </bottom>
      <diagonal/>
    </border>
    <border>
      <left style="thin">
        <color theme="9"/>
      </left>
      <right style="thin">
        <color theme="9"/>
      </right>
      <top style="thin">
        <color auto="1"/>
      </top>
      <bottom style="thin">
        <color theme="9"/>
      </bottom>
      <diagonal/>
    </border>
    <border>
      <left style="thin">
        <color auto="1"/>
      </left>
      <right style="thin">
        <color theme="9"/>
      </right>
      <top style="thin">
        <color auto="1"/>
      </top>
      <bottom style="thin">
        <color theme="9"/>
      </bottom>
      <diagonal/>
    </border>
    <border>
      <left style="thin">
        <color rgb="FFDA9694"/>
      </left>
      <right style="thin">
        <color auto="1"/>
      </right>
      <top style="thin">
        <color rgb="FFDA9694"/>
      </top>
      <bottom style="thin">
        <color auto="1"/>
      </bottom>
      <diagonal/>
    </border>
    <border>
      <left style="thin">
        <color rgb="FFDA9694"/>
      </left>
      <right style="thin">
        <color rgb="FFDA9694"/>
      </right>
      <top style="thin">
        <color rgb="FFDA9694"/>
      </top>
      <bottom style="thin">
        <color auto="1"/>
      </bottom>
      <diagonal/>
    </border>
    <border>
      <left style="thin">
        <color auto="1"/>
      </left>
      <right style="thin">
        <color rgb="FFDA9694"/>
      </right>
      <top style="thin">
        <color rgb="FFDA9694"/>
      </top>
      <bottom style="thin">
        <color auto="1"/>
      </bottom>
      <diagonal/>
    </border>
    <border>
      <left style="thin">
        <color rgb="FFDA9694"/>
      </left>
      <right style="thin">
        <color auto="1"/>
      </right>
      <top style="thin">
        <color rgb="FFDA9694"/>
      </top>
      <bottom style="thin">
        <color rgb="FFDA9694"/>
      </bottom>
      <diagonal/>
    </border>
    <border>
      <left style="thin">
        <color rgb="FFDA9694"/>
      </left>
      <right style="thin">
        <color rgb="FFDA9694"/>
      </right>
      <top style="thin">
        <color rgb="FFDA9694"/>
      </top>
      <bottom style="thin">
        <color rgb="FFDA9694"/>
      </bottom>
      <diagonal/>
    </border>
    <border>
      <left style="thin">
        <color auto="1"/>
      </left>
      <right style="thin">
        <color rgb="FFDA9694"/>
      </right>
      <top style="thin">
        <color rgb="FFDA9694"/>
      </top>
      <bottom style="thin">
        <color rgb="FFDA9694"/>
      </bottom>
      <diagonal/>
    </border>
    <border>
      <left style="thin">
        <color rgb="FFDA9694"/>
      </left>
      <right style="thin">
        <color auto="1"/>
      </right>
      <top style="thin">
        <color auto="1"/>
      </top>
      <bottom style="thin">
        <color rgb="FFDA9694"/>
      </bottom>
      <diagonal/>
    </border>
    <border>
      <left style="thin">
        <color rgb="FFDA9694"/>
      </left>
      <right style="thin">
        <color rgb="FFDA9694"/>
      </right>
      <top style="thin">
        <color auto="1"/>
      </top>
      <bottom style="thin">
        <color rgb="FFDA9694"/>
      </bottom>
      <diagonal/>
    </border>
    <border>
      <left style="thin">
        <color auto="1"/>
      </left>
      <right style="thin">
        <color rgb="FFDA9694"/>
      </right>
      <top style="thin">
        <color auto="1"/>
      </top>
      <bottom style="thin">
        <color rgb="FFDA9694"/>
      </bottom>
      <diagonal/>
    </border>
    <border>
      <left style="thin">
        <color theme="8"/>
      </left>
      <right style="thin">
        <color auto="1"/>
      </right>
      <top style="thin">
        <color theme="8"/>
      </top>
      <bottom/>
      <diagonal/>
    </border>
    <border>
      <left style="thin">
        <color theme="8"/>
      </left>
      <right style="thin">
        <color theme="8"/>
      </right>
      <top style="thin">
        <color theme="8"/>
      </top>
      <bottom/>
      <diagonal/>
    </border>
    <border>
      <left/>
      <right style="thin">
        <color theme="8"/>
      </right>
      <top style="thin">
        <color theme="8"/>
      </top>
      <bottom/>
      <diagonal/>
    </border>
    <border>
      <left style="thin">
        <color theme="8"/>
      </left>
      <right/>
      <top style="thin">
        <color theme="8"/>
      </top>
      <bottom/>
      <diagonal/>
    </border>
    <border>
      <left style="thin">
        <color auto="1"/>
      </left>
      <right style="thin">
        <color theme="8"/>
      </right>
      <top/>
      <bottom/>
      <diagonal/>
    </border>
    <border>
      <left style="thin">
        <color theme="8"/>
      </left>
      <right style="thin">
        <color theme="8"/>
      </right>
      <top/>
      <bottom/>
      <diagonal/>
    </border>
    <border>
      <left style="thin">
        <color auto="1"/>
      </left>
      <right style="thin">
        <color theme="8"/>
      </right>
      <top style="thin">
        <color theme="8"/>
      </top>
      <bottom/>
      <diagonal/>
    </border>
    <border>
      <left style="thin">
        <color theme="0"/>
      </left>
      <right style="thin">
        <color auto="1"/>
      </right>
      <top style="thin">
        <color auto="1"/>
      </top>
      <bottom/>
      <diagonal/>
    </border>
    <border>
      <left style="thin">
        <color theme="0"/>
      </left>
      <right style="thin">
        <color theme="0"/>
      </right>
      <top style="thin">
        <color auto="1"/>
      </top>
      <bottom/>
      <diagonal/>
    </border>
    <border>
      <left/>
      <right style="thin">
        <color theme="0"/>
      </right>
      <top style="thin">
        <color auto="1"/>
      </top>
      <bottom/>
      <diagonal/>
    </border>
    <border>
      <left style="thin">
        <color auto="1"/>
      </left>
      <right style="thin">
        <color theme="0"/>
      </right>
      <top style="thin">
        <color auto="1"/>
      </top>
      <bottom/>
      <diagonal/>
    </border>
  </borders>
  <cellStyleXfs count="18">
    <xf numFmtId="0" fontId="0" fillId="0" borderId="0"/>
    <xf numFmtId="0" fontId="9" fillId="0" borderId="0" applyNumberFormat="0" applyFill="0" applyBorder="0" applyAlignment="0" applyProtection="0">
      <alignment vertical="top"/>
      <protection locked="0"/>
    </xf>
    <xf numFmtId="165" fontId="15" fillId="0" borderId="0" applyFont="0" applyFill="0" applyBorder="0" applyAlignment="0" applyProtection="0"/>
    <xf numFmtId="0" fontId="16" fillId="0" borderId="0" applyNumberFormat="0" applyFill="0" applyBorder="0" applyAlignment="0" applyProtection="0"/>
    <xf numFmtId="164" fontId="15" fillId="0" borderId="0" applyFont="0" applyFill="0" applyBorder="0" applyAlignment="0" applyProtection="0"/>
    <xf numFmtId="0" fontId="17" fillId="0" borderId="0"/>
    <xf numFmtId="0" fontId="15" fillId="0" borderId="0"/>
    <xf numFmtId="0" fontId="1" fillId="0" borderId="0"/>
    <xf numFmtId="0" fontId="15" fillId="0" borderId="0"/>
    <xf numFmtId="0" fontId="15" fillId="0" borderId="0"/>
    <xf numFmtId="0" fontId="15" fillId="0" borderId="0"/>
    <xf numFmtId="0" fontId="15" fillId="0" borderId="0"/>
    <xf numFmtId="9" fontId="14" fillId="0" borderId="0" applyFont="0" applyFill="0" applyBorder="0" applyAlignment="0" applyProtection="0"/>
    <xf numFmtId="164" fontId="1" fillId="0" borderId="0" applyFont="0" applyFill="0" applyBorder="0" applyAlignment="0" applyProtection="0"/>
    <xf numFmtId="0" fontId="14" fillId="0" borderId="0"/>
    <xf numFmtId="164" fontId="14" fillId="0" borderId="0" applyFont="0" applyFill="0" applyBorder="0" applyAlignment="0" applyProtection="0"/>
    <xf numFmtId="0" fontId="57" fillId="0" borderId="0"/>
    <xf numFmtId="9" fontId="1" fillId="0" borderId="0" applyFont="0" applyFill="0" applyBorder="0" applyAlignment="0" applyProtection="0"/>
  </cellStyleXfs>
  <cellXfs count="2047">
    <xf numFmtId="0" fontId="0" fillId="0" borderId="0" xfId="0"/>
    <xf numFmtId="0" fontId="5" fillId="2" borderId="0" xfId="0" applyNumberFormat="1" applyFont="1" applyFill="1" applyBorder="1" applyAlignment="1">
      <alignment vertical="top" wrapText="1"/>
    </xf>
    <xf numFmtId="0" fontId="0" fillId="5" borderId="0" xfId="0" applyFill="1"/>
    <xf numFmtId="0" fontId="0" fillId="0" borderId="0" xfId="0"/>
    <xf numFmtId="0" fontId="0" fillId="0" borderId="0" xfId="0" applyAlignment="1">
      <alignment horizontal="center" vertical="center"/>
    </xf>
    <xf numFmtId="0" fontId="3"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2" fontId="0" fillId="0" borderId="0" xfId="0" applyNumberFormat="1"/>
    <xf numFmtId="164" fontId="0" fillId="0" borderId="0" xfId="13" applyFont="1"/>
    <xf numFmtId="167" fontId="0" fillId="0" borderId="0" xfId="0" applyNumberFormat="1"/>
    <xf numFmtId="4" fontId="0" fillId="0" borderId="0" xfId="0" applyNumberFormat="1" applyProtection="1"/>
    <xf numFmtId="4" fontId="23" fillId="3" borderId="1" xfId="0" applyNumberFormat="1" applyFont="1" applyFill="1" applyBorder="1" applyAlignment="1" applyProtection="1">
      <alignment horizontal="center" vertical="center" wrapText="1"/>
      <protection locked="0"/>
    </xf>
    <xf numFmtId="10" fontId="23" fillId="3" borderId="1" xfId="0" applyNumberFormat="1"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wrapText="1"/>
      <protection locked="0"/>
    </xf>
    <xf numFmtId="0" fontId="0" fillId="10" borderId="1" xfId="0" applyFill="1" applyBorder="1" applyAlignment="1" applyProtection="1">
      <alignment horizontal="center" vertical="center" wrapText="1"/>
    </xf>
    <xf numFmtId="4" fontId="0" fillId="10" borderId="1" xfId="0" applyNumberFormat="1" applyFill="1" applyBorder="1" applyAlignment="1" applyProtection="1">
      <alignment horizontal="center" vertical="center" wrapText="1"/>
    </xf>
    <xf numFmtId="2" fontId="3" fillId="8" borderId="1" xfId="0" applyNumberFormat="1" applyFont="1" applyFill="1" applyBorder="1" applyAlignment="1" applyProtection="1">
      <alignment horizontal="center" vertical="center"/>
    </xf>
    <xf numFmtId="171" fontId="3" fillId="8" borderId="1" xfId="0" applyNumberFormat="1" applyFont="1" applyFill="1" applyBorder="1" applyAlignment="1" applyProtection="1">
      <alignment horizontal="center" vertical="center"/>
    </xf>
    <xf numFmtId="171" fontId="3" fillId="8" borderId="19" xfId="0" applyNumberFormat="1" applyFont="1" applyFill="1" applyBorder="1" applyAlignment="1" applyProtection="1">
      <alignment horizontal="center" vertical="center"/>
    </xf>
    <xf numFmtId="2" fontId="31" fillId="11" borderId="31" xfId="0" applyNumberFormat="1" applyFont="1" applyFill="1" applyBorder="1" applyAlignment="1" applyProtection="1">
      <alignment horizontal="center" vertical="center"/>
    </xf>
    <xf numFmtId="171" fontId="31" fillId="11" borderId="31" xfId="0" applyNumberFormat="1" applyFont="1" applyFill="1" applyBorder="1" applyAlignment="1" applyProtection="1">
      <alignment horizontal="center" vertical="center"/>
    </xf>
    <xf numFmtId="171" fontId="31" fillId="11" borderId="32" xfId="0" applyNumberFormat="1" applyFont="1" applyFill="1" applyBorder="1" applyAlignment="1" applyProtection="1">
      <alignment horizontal="center" vertical="center"/>
    </xf>
    <xf numFmtId="0" fontId="21" fillId="0" borderId="0" xfId="0" applyFont="1" applyProtection="1"/>
    <xf numFmtId="0" fontId="31" fillId="11" borderId="14" xfId="0" applyFont="1" applyFill="1" applyBorder="1" applyAlignment="1" applyProtection="1">
      <alignment vertical="center"/>
    </xf>
    <xf numFmtId="0" fontId="31" fillId="11" borderId="10" xfId="0" applyFont="1" applyFill="1" applyBorder="1" applyAlignment="1" applyProtection="1">
      <alignment vertical="center"/>
    </xf>
    <xf numFmtId="0" fontId="0" fillId="3" borderId="0" xfId="0" applyFill="1" applyBorder="1" applyProtection="1"/>
    <xf numFmtId="0" fontId="0" fillId="0" borderId="0" xfId="0" applyBorder="1" applyProtection="1"/>
    <xf numFmtId="0" fontId="21" fillId="3" borderId="0" xfId="0" applyFont="1" applyFill="1" applyBorder="1" applyProtection="1"/>
    <xf numFmtId="0" fontId="2" fillId="3" borderId="0" xfId="0" applyFont="1" applyFill="1" applyBorder="1" applyProtection="1"/>
    <xf numFmtId="0" fontId="6" fillId="3" borderId="0"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10" fontId="11" fillId="3" borderId="0" xfId="0" applyNumberFormat="1" applyFont="1" applyFill="1" applyBorder="1" applyAlignment="1" applyProtection="1">
      <alignment horizontal="center" vertical="center" wrapText="1"/>
    </xf>
    <xf numFmtId="2" fontId="11" fillId="3" borderId="0" xfId="0" applyNumberFormat="1" applyFont="1" applyFill="1" applyBorder="1" applyAlignment="1" applyProtection="1">
      <alignment horizontal="center" vertical="center" wrapText="1"/>
    </xf>
    <xf numFmtId="4" fontId="13" fillId="3" borderId="0" xfId="0" applyNumberFormat="1" applyFont="1" applyFill="1" applyBorder="1" applyAlignment="1" applyProtection="1">
      <alignment vertical="center" wrapText="1"/>
    </xf>
    <xf numFmtId="10" fontId="13" fillId="3" borderId="0" xfId="0" applyNumberFormat="1" applyFont="1" applyFill="1" applyBorder="1" applyAlignment="1" applyProtection="1">
      <alignment vertical="center" wrapText="1"/>
    </xf>
    <xf numFmtId="0" fontId="2" fillId="0" borderId="0" xfId="0" applyFont="1" applyBorder="1" applyProtection="1"/>
    <xf numFmtId="0" fontId="21" fillId="0" borderId="0" xfId="0" applyFont="1" applyBorder="1" applyProtection="1"/>
    <xf numFmtId="0" fontId="7" fillId="3" borderId="0"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10" fontId="13" fillId="3" borderId="0" xfId="0" applyNumberFormat="1" applyFont="1" applyFill="1" applyBorder="1" applyAlignment="1" applyProtection="1">
      <alignment horizontal="center" vertical="center" wrapText="1"/>
    </xf>
    <xf numFmtId="2" fontId="13" fillId="3" borderId="0" xfId="0" applyNumberFormat="1" applyFont="1" applyFill="1" applyBorder="1" applyAlignment="1" applyProtection="1">
      <alignment horizontal="center" vertical="center" wrapText="1"/>
    </xf>
    <xf numFmtId="4" fontId="11" fillId="3" borderId="0" xfId="0" applyNumberFormat="1" applyFont="1" applyFill="1" applyBorder="1" applyAlignment="1" applyProtection="1">
      <alignment horizontal="center" vertical="center" wrapText="1"/>
    </xf>
    <xf numFmtId="0" fontId="0" fillId="3" borderId="0" xfId="0" applyFont="1" applyFill="1" applyBorder="1" applyProtection="1"/>
    <xf numFmtId="4" fontId="0" fillId="3" borderId="0" xfId="0" applyNumberFormat="1" applyFont="1" applyFill="1" applyBorder="1" applyProtection="1"/>
    <xf numFmtId="1" fontId="0" fillId="3" borderId="0" xfId="0" applyNumberFormat="1" applyFont="1" applyFill="1" applyBorder="1" applyProtection="1"/>
    <xf numFmtId="10" fontId="0" fillId="3" borderId="0" xfId="0" applyNumberFormat="1" applyFont="1" applyFill="1" applyBorder="1" applyProtection="1"/>
    <xf numFmtId="2" fontId="0" fillId="3" borderId="0" xfId="0" applyNumberFormat="1" applyFont="1" applyFill="1" applyBorder="1" applyProtection="1"/>
    <xf numFmtId="169" fontId="0" fillId="3" borderId="0" xfId="0" applyNumberFormat="1" applyFont="1" applyFill="1" applyBorder="1" applyProtection="1"/>
    <xf numFmtId="168" fontId="0" fillId="3" borderId="0" xfId="0" applyNumberFormat="1" applyFont="1" applyFill="1" applyBorder="1" applyProtection="1"/>
    <xf numFmtId="4" fontId="3" fillId="3" borderId="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0" fontId="3" fillId="3" borderId="0" xfId="0" applyFont="1" applyFill="1" applyBorder="1" applyAlignment="1" applyProtection="1">
      <alignment vertical="center"/>
    </xf>
    <xf numFmtId="0" fontId="0" fillId="3" borderId="0" xfId="0" applyFont="1" applyFill="1" applyBorder="1" applyAlignment="1" applyProtection="1">
      <alignment horizontal="justify" vertical="center"/>
    </xf>
    <xf numFmtId="4" fontId="0" fillId="3" borderId="0" xfId="0" applyNumberFormat="1" applyFont="1" applyFill="1" applyBorder="1" applyAlignment="1" applyProtection="1">
      <alignment horizontal="justify" vertical="center"/>
    </xf>
    <xf numFmtId="1" fontId="0" fillId="3" borderId="0" xfId="0" applyNumberFormat="1" applyFont="1" applyFill="1" applyBorder="1" applyAlignment="1" applyProtection="1">
      <alignment horizontal="justify" vertical="center"/>
    </xf>
    <xf numFmtId="10" fontId="0" fillId="3" borderId="0" xfId="0" applyNumberFormat="1" applyFont="1" applyFill="1" applyBorder="1" applyAlignment="1" applyProtection="1">
      <alignment horizontal="justify" vertical="center"/>
    </xf>
    <xf numFmtId="14" fontId="22" fillId="3" borderId="0" xfId="0" applyNumberFormat="1" applyFont="1" applyFill="1" applyBorder="1" applyAlignment="1" applyProtection="1">
      <alignment horizontal="left" vertical="center"/>
    </xf>
    <xf numFmtId="10" fontId="22" fillId="3" borderId="0" xfId="0" applyNumberFormat="1" applyFont="1" applyFill="1" applyBorder="1" applyAlignment="1" applyProtection="1">
      <alignment horizontal="left" vertical="center"/>
    </xf>
    <xf numFmtId="2" fontId="22" fillId="3" borderId="0" xfId="0" applyNumberFormat="1" applyFont="1" applyFill="1" applyBorder="1" applyAlignment="1" applyProtection="1">
      <alignment horizontal="left" vertical="center"/>
    </xf>
    <xf numFmtId="169" fontId="0" fillId="3" borderId="0" xfId="0" applyNumberFormat="1" applyFont="1" applyFill="1" applyBorder="1" applyAlignment="1" applyProtection="1">
      <alignment horizontal="justify" vertical="center"/>
    </xf>
    <xf numFmtId="168" fontId="22" fillId="3" borderId="0" xfId="0" applyNumberFormat="1" applyFont="1" applyFill="1" applyBorder="1" applyAlignment="1" applyProtection="1">
      <alignment horizontal="left" vertical="center"/>
    </xf>
    <xf numFmtId="4" fontId="18" fillId="3" borderId="0" xfId="0" applyNumberFormat="1" applyFont="1" applyFill="1" applyBorder="1" applyAlignment="1" applyProtection="1">
      <alignment horizontal="center" vertical="center"/>
    </xf>
    <xf numFmtId="10" fontId="18" fillId="3" borderId="0" xfId="0" applyNumberFormat="1" applyFont="1" applyFill="1" applyBorder="1" applyAlignment="1" applyProtection="1">
      <alignment horizontal="center" vertical="center"/>
    </xf>
    <xf numFmtId="0" fontId="18" fillId="0" borderId="0" xfId="0" applyFont="1" applyBorder="1" applyProtection="1"/>
    <xf numFmtId="4" fontId="18" fillId="12" borderId="1" xfId="0" applyNumberFormat="1" applyFont="1" applyFill="1" applyBorder="1" applyAlignment="1" applyProtection="1">
      <alignment horizontal="center" vertical="center" wrapText="1"/>
    </xf>
    <xf numFmtId="166" fontId="0" fillId="12" borderId="1" xfId="0" applyNumberFormat="1" applyFont="1" applyFill="1" applyBorder="1" applyAlignment="1" applyProtection="1">
      <alignment horizontal="center" vertical="center" wrapText="1"/>
    </xf>
    <xf numFmtId="166" fontId="0" fillId="12" borderId="19" xfId="0" applyNumberFormat="1" applyFont="1" applyFill="1" applyBorder="1" applyAlignment="1" applyProtection="1">
      <alignment horizontal="center" vertical="center" wrapText="1"/>
    </xf>
    <xf numFmtId="0" fontId="22" fillId="9" borderId="21" xfId="0" applyFont="1" applyFill="1" applyBorder="1" applyAlignment="1" applyProtection="1">
      <alignment vertical="center"/>
    </xf>
    <xf numFmtId="166" fontId="3" fillId="9" borderId="19" xfId="0" applyNumberFormat="1" applyFont="1" applyFill="1" applyBorder="1" applyAlignment="1" applyProtection="1">
      <alignment horizontal="center" vertical="center" wrapText="1"/>
    </xf>
    <xf numFmtId="166" fontId="13" fillId="8" borderId="19" xfId="0" applyNumberFormat="1" applyFont="1" applyFill="1" applyBorder="1" applyAlignment="1" applyProtection="1">
      <alignment horizontal="center" vertical="center" wrapText="1"/>
    </xf>
    <xf numFmtId="0" fontId="8" fillId="10" borderId="37" xfId="0" applyFont="1" applyFill="1" applyBorder="1" applyAlignment="1" applyProtection="1">
      <alignment vertical="center"/>
    </xf>
    <xf numFmtId="166" fontId="13" fillId="10" borderId="24" xfId="0" applyNumberFormat="1" applyFont="1" applyFill="1" applyBorder="1" applyAlignment="1" applyProtection="1">
      <alignment horizontal="center" vertical="center" wrapText="1"/>
    </xf>
    <xf numFmtId="0" fontId="4" fillId="11" borderId="22" xfId="0" applyFont="1" applyFill="1" applyBorder="1" applyAlignment="1" applyProtection="1">
      <alignment vertical="center"/>
    </xf>
    <xf numFmtId="0" fontId="24" fillId="11" borderId="23" xfId="0" applyFont="1" applyFill="1" applyBorder="1" applyAlignment="1" applyProtection="1">
      <alignment vertical="center"/>
    </xf>
    <xf numFmtId="2" fontId="24" fillId="11" borderId="23" xfId="0" applyNumberFormat="1" applyFont="1" applyFill="1" applyBorder="1" applyAlignment="1" applyProtection="1">
      <alignment vertical="center"/>
    </xf>
    <xf numFmtId="4" fontId="7" fillId="11" borderId="23" xfId="0" applyNumberFormat="1" applyFont="1" applyFill="1" applyBorder="1" applyAlignment="1" applyProtection="1">
      <alignment horizontal="center" vertical="center"/>
    </xf>
    <xf numFmtId="166" fontId="32" fillId="11" borderId="23" xfId="0" applyNumberFormat="1" applyFont="1" applyFill="1" applyBorder="1" applyAlignment="1" applyProtection="1">
      <alignment horizontal="center" vertical="center" wrapText="1"/>
    </xf>
    <xf numFmtId="2" fontId="24" fillId="11" borderId="23" xfId="0" applyNumberFormat="1" applyFont="1" applyFill="1" applyBorder="1" applyAlignment="1" applyProtection="1">
      <alignment horizontal="center" vertical="center"/>
    </xf>
    <xf numFmtId="166" fontId="25" fillId="11" borderId="20" xfId="0" applyNumberFormat="1" applyFont="1" applyFill="1" applyBorder="1" applyAlignment="1" applyProtection="1">
      <alignment horizontal="center" vertical="center" wrapText="1"/>
    </xf>
    <xf numFmtId="0" fontId="2" fillId="0" borderId="0" xfId="0" applyFont="1" applyFill="1" applyBorder="1" applyProtection="1"/>
    <xf numFmtId="0" fontId="21" fillId="0" borderId="0" xfId="0" applyFont="1" applyFill="1" applyBorder="1" applyProtection="1"/>
    <xf numFmtId="0" fontId="0" fillId="0" borderId="0" xfId="0" applyFill="1" applyBorder="1" applyProtection="1"/>
    <xf numFmtId="0" fontId="26" fillId="3" borderId="39" xfId="0" applyFont="1" applyFill="1" applyBorder="1" applyAlignment="1" applyProtection="1">
      <alignment horizontal="center" vertical="center"/>
    </xf>
    <xf numFmtId="4" fontId="26" fillId="3" borderId="39" xfId="0" applyNumberFormat="1" applyFont="1" applyFill="1" applyBorder="1" applyAlignment="1" applyProtection="1">
      <alignment horizontal="center" vertical="center"/>
    </xf>
    <xf numFmtId="1" fontId="26" fillId="3" borderId="39" xfId="0" applyNumberFormat="1" applyFont="1" applyFill="1" applyBorder="1" applyAlignment="1" applyProtection="1">
      <alignment horizontal="center" vertical="center"/>
    </xf>
    <xf numFmtId="10" fontId="26" fillId="3" borderId="39" xfId="0" applyNumberFormat="1" applyFont="1" applyFill="1" applyBorder="1" applyAlignment="1" applyProtection="1">
      <alignment horizontal="center" vertical="center"/>
    </xf>
    <xf numFmtId="2" fontId="26" fillId="3" borderId="39" xfId="0" applyNumberFormat="1" applyFont="1" applyFill="1" applyBorder="1" applyAlignment="1" applyProtection="1">
      <alignment horizontal="center" vertical="center"/>
    </xf>
    <xf numFmtId="169" fontId="26" fillId="3" borderId="39" xfId="0" applyNumberFormat="1" applyFont="1" applyFill="1" applyBorder="1" applyAlignment="1" applyProtection="1">
      <alignment horizontal="center" vertical="center"/>
    </xf>
    <xf numFmtId="168" fontId="26" fillId="3" borderId="39" xfId="0" applyNumberFormat="1" applyFont="1" applyFill="1" applyBorder="1" applyAlignment="1" applyProtection="1">
      <alignment horizontal="center" vertical="center"/>
    </xf>
    <xf numFmtId="0" fontId="18" fillId="12" borderId="21" xfId="0" applyFont="1" applyFill="1" applyBorder="1" applyAlignment="1" applyProtection="1">
      <alignment vertical="center" wrapText="1"/>
    </xf>
    <xf numFmtId="4" fontId="0" fillId="0" borderId="0" xfId="0" applyNumberFormat="1" applyBorder="1" applyProtection="1"/>
    <xf numFmtId="1" fontId="0" fillId="0" borderId="0" xfId="0" applyNumberFormat="1" applyBorder="1" applyProtection="1"/>
    <xf numFmtId="10" fontId="0" fillId="0" borderId="0" xfId="0" applyNumberFormat="1" applyBorder="1" applyProtection="1"/>
    <xf numFmtId="2" fontId="0" fillId="0" borderId="0" xfId="0" applyNumberFormat="1" applyBorder="1" applyProtection="1"/>
    <xf numFmtId="169" fontId="0" fillId="0" borderId="0" xfId="0" applyNumberFormat="1" applyBorder="1" applyProtection="1"/>
    <xf numFmtId="168" fontId="0" fillId="0" borderId="0" xfId="0" applyNumberFormat="1" applyBorder="1" applyProtection="1"/>
    <xf numFmtId="0" fontId="0" fillId="3" borderId="0" xfId="0" applyNumberFormat="1" applyFill="1" applyBorder="1" applyProtection="1"/>
    <xf numFmtId="0" fontId="0" fillId="0" borderId="0" xfId="0" applyNumberFormat="1" applyBorder="1" applyProtection="1"/>
    <xf numFmtId="0" fontId="21" fillId="3" borderId="0" xfId="0" applyNumberFormat="1" applyFont="1" applyFill="1" applyBorder="1" applyProtection="1"/>
    <xf numFmtId="0" fontId="2" fillId="0" borderId="0" xfId="0" applyNumberFormat="1" applyFont="1" applyBorder="1" applyProtection="1"/>
    <xf numFmtId="0" fontId="21" fillId="0" borderId="0" xfId="0" applyNumberFormat="1" applyFont="1" applyBorder="1" applyProtection="1"/>
    <xf numFmtId="0" fontId="18" fillId="0" borderId="0" xfId="0" applyNumberFormat="1" applyFont="1" applyBorder="1" applyProtection="1"/>
    <xf numFmtId="10" fontId="21" fillId="0" borderId="0" xfId="0" applyNumberFormat="1" applyFont="1" applyBorder="1" applyProtection="1"/>
    <xf numFmtId="2" fontId="21" fillId="0" borderId="0" xfId="0" applyNumberFormat="1" applyFont="1" applyBorder="1" applyProtection="1"/>
    <xf numFmtId="169" fontId="21" fillId="0" borderId="0" xfId="0" applyNumberFormat="1" applyFont="1" applyBorder="1" applyProtection="1"/>
    <xf numFmtId="168" fontId="21" fillId="0" borderId="0" xfId="0" applyNumberFormat="1" applyFont="1" applyBorder="1" applyProtection="1"/>
    <xf numFmtId="0" fontId="21" fillId="0" borderId="0" xfId="0" applyNumberFormat="1" applyFont="1" applyBorder="1" applyAlignment="1" applyProtection="1">
      <alignment vertical="center"/>
    </xf>
    <xf numFmtId="0" fontId="21" fillId="0" borderId="0" xfId="0" applyNumberFormat="1" applyFont="1" applyBorder="1" applyAlignment="1" applyProtection="1">
      <alignment vertical="center" wrapText="1"/>
    </xf>
    <xf numFmtId="169" fontId="21" fillId="0" borderId="0" xfId="0" applyNumberFormat="1" applyFont="1" applyBorder="1" applyAlignment="1" applyProtection="1">
      <alignment vertical="center"/>
    </xf>
    <xf numFmtId="2" fontId="21" fillId="0" borderId="0" xfId="0" applyNumberFormat="1" applyFont="1" applyBorder="1" applyAlignment="1" applyProtection="1">
      <alignment vertical="center"/>
    </xf>
    <xf numFmtId="168" fontId="21" fillId="0" borderId="0" xfId="0" applyNumberFormat="1" applyFont="1" applyBorder="1" applyAlignment="1" applyProtection="1">
      <alignment vertical="center"/>
    </xf>
    <xf numFmtId="0" fontId="21" fillId="3" borderId="0" xfId="0" applyFont="1" applyFill="1" applyBorder="1" applyAlignment="1" applyProtection="1">
      <alignment horizontal="center" vertical="center"/>
    </xf>
    <xf numFmtId="0" fontId="21" fillId="0" borderId="0" xfId="0" applyFont="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0" xfId="0" applyNumberFormat="1" applyFont="1" applyBorder="1" applyAlignment="1" applyProtection="1">
      <alignment horizontal="center"/>
    </xf>
    <xf numFmtId="0" fontId="21" fillId="0" borderId="0" xfId="0" applyNumberFormat="1" applyFont="1" applyBorder="1" applyAlignment="1" applyProtection="1">
      <alignment horizontal="center" vertical="center"/>
    </xf>
    <xf numFmtId="0" fontId="21" fillId="0" borderId="0" xfId="0" applyNumberFormat="1" applyFont="1" applyFill="1" applyBorder="1" applyAlignment="1" applyProtection="1">
      <alignment horizontal="center" vertical="center"/>
    </xf>
    <xf numFmtId="0" fontId="31" fillId="0" borderId="0" xfId="0" applyNumberFormat="1" applyFont="1" applyBorder="1" applyAlignment="1" applyProtection="1">
      <alignment horizontal="center" vertical="center"/>
    </xf>
    <xf numFmtId="0" fontId="34" fillId="0" borderId="0" xfId="0" applyFont="1" applyBorder="1" applyAlignment="1" applyProtection="1">
      <alignment horizontal="center" vertical="center" wrapText="1"/>
    </xf>
    <xf numFmtId="0" fontId="21" fillId="0" borderId="9" xfId="0" applyNumberFormat="1" applyFont="1" applyBorder="1" applyProtection="1"/>
    <xf numFmtId="0" fontId="21" fillId="0" borderId="0" xfId="0" applyFont="1" applyAlignment="1" applyProtection="1">
      <alignment horizontal="center" vertical="center"/>
    </xf>
    <xf numFmtId="2" fontId="21" fillId="0" borderId="0" xfId="0" applyNumberFormat="1" applyFont="1" applyAlignment="1" applyProtection="1">
      <alignment horizontal="center"/>
    </xf>
    <xf numFmtId="0" fontId="21" fillId="0" borderId="0" xfId="0" applyFont="1" applyAlignment="1" applyProtection="1">
      <alignment horizontal="center"/>
    </xf>
    <xf numFmtId="0" fontId="21" fillId="0" borderId="0" xfId="0" applyNumberFormat="1" applyFont="1" applyBorder="1" applyAlignment="1" applyProtection="1">
      <alignment horizontal="right"/>
    </xf>
    <xf numFmtId="0" fontId="0" fillId="3" borderId="0" xfId="0" applyNumberFormat="1" applyFill="1" applyBorder="1" applyAlignment="1" applyProtection="1">
      <alignment wrapText="1"/>
    </xf>
    <xf numFmtId="0" fontId="21" fillId="3" borderId="0" xfId="0" applyNumberFormat="1" applyFont="1" applyFill="1" applyBorder="1" applyAlignment="1" applyProtection="1">
      <alignment wrapText="1"/>
    </xf>
    <xf numFmtId="0" fontId="2" fillId="0" borderId="0" xfId="0" applyNumberFormat="1" applyFont="1" applyBorder="1" applyAlignment="1" applyProtection="1">
      <alignment wrapText="1"/>
    </xf>
    <xf numFmtId="0" fontId="21" fillId="0" borderId="0" xfId="0" applyNumberFormat="1" applyFont="1" applyBorder="1" applyAlignment="1" applyProtection="1">
      <alignment wrapText="1"/>
    </xf>
    <xf numFmtId="0" fontId="18" fillId="0" borderId="0" xfId="0" applyNumberFormat="1" applyFont="1" applyBorder="1" applyAlignment="1" applyProtection="1">
      <alignment wrapText="1"/>
    </xf>
    <xf numFmtId="166" fontId="0" fillId="10" borderId="1" xfId="0" applyNumberFormat="1" applyFont="1" applyFill="1" applyBorder="1" applyAlignment="1" applyProtection="1">
      <alignment horizontal="center" vertical="center" wrapText="1"/>
    </xf>
    <xf numFmtId="2" fontId="18" fillId="10" borderId="1" xfId="0" applyNumberFormat="1" applyFont="1" applyFill="1" applyBorder="1" applyAlignment="1" applyProtection="1">
      <alignment horizontal="center" vertical="center" wrapText="1"/>
    </xf>
    <xf numFmtId="1" fontId="18" fillId="10" borderId="1" xfId="0" applyNumberFormat="1" applyFont="1" applyFill="1" applyBorder="1" applyAlignment="1" applyProtection="1">
      <alignment horizontal="center" vertical="center" wrapText="1"/>
    </xf>
    <xf numFmtId="2" fontId="0" fillId="10" borderId="1" xfId="0" applyNumberFormat="1" applyFont="1" applyFill="1" applyBorder="1" applyAlignment="1" applyProtection="1">
      <alignment horizontal="center" vertical="center" wrapText="1"/>
    </xf>
    <xf numFmtId="4" fontId="18" fillId="10" borderId="1" xfId="0" applyNumberFormat="1" applyFont="1" applyFill="1" applyBorder="1" applyAlignment="1" applyProtection="1">
      <alignment horizontal="center" vertical="center" wrapText="1"/>
    </xf>
    <xf numFmtId="166" fontId="0" fillId="10" borderId="19" xfId="0" applyNumberFormat="1" applyFont="1" applyFill="1" applyBorder="1" applyAlignment="1" applyProtection="1">
      <alignment horizontal="center" vertical="center" wrapText="1"/>
    </xf>
    <xf numFmtId="0" fontId="26" fillId="3" borderId="0" xfId="0" applyFont="1" applyFill="1" applyBorder="1" applyAlignment="1" applyProtection="1">
      <alignment horizontal="center" vertical="center"/>
    </xf>
    <xf numFmtId="4" fontId="26" fillId="3" borderId="0" xfId="0" applyNumberFormat="1" applyFont="1" applyFill="1" applyBorder="1" applyAlignment="1" applyProtection="1">
      <alignment horizontal="center" vertical="center"/>
    </xf>
    <xf numFmtId="1" fontId="26" fillId="3" borderId="0" xfId="0" applyNumberFormat="1" applyFont="1" applyFill="1" applyBorder="1" applyAlignment="1" applyProtection="1">
      <alignment horizontal="center" vertical="center"/>
    </xf>
    <xf numFmtId="10" fontId="26" fillId="3" borderId="0" xfId="0" applyNumberFormat="1" applyFont="1" applyFill="1" applyBorder="1" applyAlignment="1" applyProtection="1">
      <alignment horizontal="center" vertical="center"/>
    </xf>
    <xf numFmtId="2" fontId="26" fillId="3" borderId="0" xfId="0" applyNumberFormat="1" applyFont="1" applyFill="1" applyBorder="1" applyAlignment="1" applyProtection="1">
      <alignment horizontal="center" vertical="center"/>
    </xf>
    <xf numFmtId="0" fontId="21" fillId="0" borderId="0" xfId="13" applyNumberFormat="1" applyFont="1" applyBorder="1" applyAlignment="1" applyProtection="1">
      <alignment horizontal="center"/>
    </xf>
    <xf numFmtId="2" fontId="21" fillId="0" borderId="0" xfId="0" applyNumberFormat="1" applyFont="1" applyProtection="1"/>
    <xf numFmtId="4" fontId="18" fillId="0" borderId="40" xfId="0" applyNumberFormat="1" applyFont="1" applyFill="1" applyBorder="1" applyAlignment="1" applyProtection="1">
      <alignment horizontal="center" vertical="center" wrapText="1"/>
      <protection locked="0"/>
    </xf>
    <xf numFmtId="4" fontId="18" fillId="0" borderId="41" xfId="0" applyNumberFormat="1" applyFont="1" applyFill="1" applyBorder="1" applyAlignment="1" applyProtection="1">
      <alignment horizontal="center" vertical="center" wrapText="1"/>
      <protection locked="0"/>
    </xf>
    <xf numFmtId="4" fontId="18" fillId="3" borderId="41" xfId="0" applyNumberFormat="1" applyFont="1" applyFill="1" applyBorder="1" applyAlignment="1" applyProtection="1">
      <alignment horizontal="center" vertical="center" wrapText="1"/>
      <protection locked="0"/>
    </xf>
    <xf numFmtId="0" fontId="21" fillId="0" borderId="0" xfId="0" applyFont="1" applyAlignment="1" applyProtection="1">
      <alignment horizontal="center" vertical="center" wrapText="1"/>
    </xf>
    <xf numFmtId="0" fontId="2" fillId="3" borderId="0" xfId="0" applyNumberFormat="1" applyFont="1" applyFill="1" applyBorder="1" applyProtection="1"/>
    <xf numFmtId="2" fontId="34" fillId="0" borderId="0" xfId="0" applyNumberFormat="1" applyFont="1" applyBorder="1" applyAlignment="1" applyProtection="1">
      <alignment horizontal="center" vertical="center" wrapText="1"/>
    </xf>
    <xf numFmtId="164" fontId="21" fillId="0" borderId="0" xfId="13" applyFont="1" applyProtection="1"/>
    <xf numFmtId="167" fontId="21" fillId="0" borderId="0" xfId="0" applyNumberFormat="1" applyFont="1" applyProtection="1"/>
    <xf numFmtId="0" fontId="0" fillId="0" borderId="0" xfId="0" applyProtection="1"/>
    <xf numFmtId="4" fontId="23" fillId="0" borderId="44" xfId="0" applyNumberFormat="1" applyFont="1" applyFill="1" applyBorder="1" applyAlignment="1" applyProtection="1">
      <alignment horizontal="center" vertical="center" wrapText="1"/>
      <protection locked="0"/>
    </xf>
    <xf numFmtId="3" fontId="14" fillId="0" borderId="47" xfId="14" applyNumberFormat="1" applyFont="1" applyBorder="1" applyAlignment="1" applyProtection="1">
      <alignment horizontal="center" readingOrder="1"/>
      <protection locked="0"/>
    </xf>
    <xf numFmtId="3" fontId="14" fillId="0" borderId="47" xfId="14" applyNumberFormat="1" applyBorder="1" applyAlignment="1" applyProtection="1">
      <alignment horizontal="center" vertical="center"/>
      <protection locked="0"/>
    </xf>
    <xf numFmtId="3" fontId="14" fillId="0" borderId="48" xfId="14" applyNumberFormat="1" applyFont="1" applyBorder="1" applyAlignment="1" applyProtection="1">
      <alignment horizontal="center" readingOrder="1"/>
      <protection locked="0"/>
    </xf>
    <xf numFmtId="3" fontId="36" fillId="0" borderId="47" xfId="0" applyNumberFormat="1" applyFont="1" applyBorder="1" applyAlignment="1" applyProtection="1">
      <alignment horizontal="center"/>
      <protection locked="0"/>
    </xf>
    <xf numFmtId="3" fontId="14" fillId="0" borderId="49" xfId="14" applyNumberFormat="1" applyBorder="1" applyAlignment="1" applyProtection="1">
      <alignment horizontal="center" vertical="center"/>
      <protection locked="0"/>
    </xf>
    <xf numFmtId="3" fontId="14" fillId="0" borderId="49" xfId="14" applyNumberFormat="1" applyFont="1" applyBorder="1" applyAlignment="1" applyProtection="1">
      <alignment horizontal="center" vertical="center"/>
      <protection locked="0"/>
    </xf>
    <xf numFmtId="3" fontId="14" fillId="0" borderId="49" xfId="14" applyNumberFormat="1" applyFont="1" applyBorder="1" applyAlignment="1" applyProtection="1">
      <alignment horizontal="center" readingOrder="1"/>
      <protection locked="0"/>
    </xf>
    <xf numFmtId="0" fontId="18" fillId="12" borderId="1" xfId="0" applyFont="1" applyFill="1" applyBorder="1" applyAlignment="1" applyProtection="1">
      <alignment horizontal="center" vertical="center" wrapText="1"/>
    </xf>
    <xf numFmtId="0" fontId="18" fillId="12" borderId="51" xfId="0" applyFont="1" applyFill="1" applyBorder="1" applyAlignment="1" applyProtection="1">
      <alignment vertical="center" wrapText="1"/>
    </xf>
    <xf numFmtId="0" fontId="18" fillId="12" borderId="30" xfId="0" applyFont="1" applyFill="1" applyBorder="1" applyAlignment="1" applyProtection="1">
      <alignment vertical="center" wrapText="1"/>
    </xf>
    <xf numFmtId="0" fontId="18" fillId="12" borderId="27" xfId="0" applyFont="1" applyFill="1" applyBorder="1" applyAlignment="1" applyProtection="1">
      <alignment vertical="center" wrapText="1"/>
    </xf>
    <xf numFmtId="0" fontId="18" fillId="3" borderId="0" xfId="0" applyFont="1" applyFill="1" applyBorder="1" applyProtection="1"/>
    <xf numFmtId="0" fontId="18" fillId="3" borderId="0" xfId="0" applyFont="1" applyFill="1" applyBorder="1" applyAlignment="1" applyProtection="1">
      <alignment horizontal="center"/>
    </xf>
    <xf numFmtId="10" fontId="18" fillId="3" borderId="0" xfId="0" applyNumberFormat="1" applyFont="1" applyFill="1" applyBorder="1" applyAlignment="1" applyProtection="1">
      <alignment horizontal="center"/>
    </xf>
    <xf numFmtId="0" fontId="18" fillId="3" borderId="0" xfId="0" applyFont="1" applyFill="1" applyBorder="1" applyAlignment="1" applyProtection="1">
      <alignment horizontal="center" vertical="center"/>
    </xf>
    <xf numFmtId="0" fontId="18" fillId="0" borderId="0" xfId="0" applyFont="1" applyBorder="1" applyAlignment="1" applyProtection="1">
      <alignment horizontal="center"/>
    </xf>
    <xf numFmtId="10" fontId="18" fillId="0" borderId="0" xfId="0" applyNumberFormat="1" applyFont="1" applyBorder="1" applyAlignment="1" applyProtection="1">
      <alignment horizontal="center"/>
    </xf>
    <xf numFmtId="0" fontId="18" fillId="0" borderId="0" xfId="0" applyFont="1" applyBorder="1" applyAlignment="1" applyProtection="1">
      <alignment horizontal="center" vertical="center"/>
    </xf>
    <xf numFmtId="0" fontId="22" fillId="0" borderId="0" xfId="0"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18" fillId="0" borderId="0" xfId="0" applyNumberFormat="1" applyFont="1" applyBorder="1" applyAlignment="1" applyProtection="1">
      <alignment horizontal="center" wrapText="1"/>
    </xf>
    <xf numFmtId="0" fontId="18" fillId="0" borderId="0" xfId="0" applyFont="1" applyFill="1" applyBorder="1" applyProtection="1"/>
    <xf numFmtId="0" fontId="18" fillId="0" borderId="0" xfId="0" applyFont="1" applyFill="1" applyBorder="1" applyAlignment="1" applyProtection="1">
      <alignment horizontal="center"/>
    </xf>
    <xf numFmtId="10" fontId="18" fillId="0" borderId="0" xfId="0" applyNumberFormat="1" applyFont="1" applyFill="1" applyBorder="1" applyAlignment="1" applyProtection="1">
      <alignment horizontal="center"/>
    </xf>
    <xf numFmtId="0" fontId="18" fillId="0" borderId="0" xfId="0" applyFont="1" applyFill="1" applyBorder="1" applyAlignment="1" applyProtection="1">
      <alignment horizontal="center" vertical="center"/>
    </xf>
    <xf numFmtId="0" fontId="18" fillId="0" borderId="0" xfId="0" applyNumberFormat="1" applyFont="1" applyBorder="1" applyAlignment="1" applyProtection="1">
      <alignment horizontal="center"/>
    </xf>
    <xf numFmtId="0" fontId="22" fillId="0" borderId="0" xfId="0" applyNumberFormat="1" applyFont="1" applyFill="1" applyBorder="1" applyAlignment="1" applyProtection="1">
      <alignment horizontal="center" vertical="center"/>
    </xf>
    <xf numFmtId="0" fontId="18" fillId="0" borderId="0" xfId="0" applyNumberFormat="1" applyFont="1" applyBorder="1" applyAlignment="1" applyProtection="1">
      <alignment horizontal="center" vertical="center"/>
    </xf>
    <xf numFmtId="0" fontId="38" fillId="0" borderId="12" xfId="0" applyFont="1" applyBorder="1" applyAlignment="1" applyProtection="1">
      <alignment horizontal="center" vertical="center" wrapText="1"/>
    </xf>
    <xf numFmtId="0" fontId="37" fillId="0" borderId="13" xfId="0" applyFont="1" applyBorder="1" applyAlignment="1" applyProtection="1">
      <alignment vertical="center" wrapText="1"/>
    </xf>
    <xf numFmtId="0" fontId="37" fillId="0" borderId="13" xfId="0" applyFont="1" applyBorder="1" applyAlignment="1" applyProtection="1">
      <alignment horizontal="center" vertical="center" wrapText="1"/>
    </xf>
    <xf numFmtId="0" fontId="37" fillId="0" borderId="11" xfId="0" applyFont="1" applyBorder="1" applyAlignment="1" applyProtection="1">
      <alignment horizontal="center" vertical="center" wrapText="1"/>
    </xf>
    <xf numFmtId="0" fontId="37" fillId="0" borderId="9" xfId="0" applyFont="1" applyBorder="1" applyAlignment="1" applyProtection="1">
      <alignment horizontal="center" vertical="center" wrapText="1"/>
    </xf>
    <xf numFmtId="0" fontId="38" fillId="0" borderId="9" xfId="0" applyFont="1" applyBorder="1" applyAlignment="1" applyProtection="1">
      <alignment horizontal="left" vertical="center" wrapText="1"/>
    </xf>
    <xf numFmtId="0" fontId="38" fillId="0" borderId="10" xfId="0" applyFont="1" applyBorder="1" applyAlignment="1" applyProtection="1">
      <alignment horizontal="center" vertical="center" wrapText="1"/>
    </xf>
    <xf numFmtId="10" fontId="38" fillId="0" borderId="10" xfId="0" applyNumberFormat="1" applyFont="1" applyBorder="1" applyAlignment="1" applyProtection="1">
      <alignment horizontal="center" vertical="center" wrapText="1"/>
    </xf>
    <xf numFmtId="10" fontId="38" fillId="0" borderId="12" xfId="0" applyNumberFormat="1" applyFont="1" applyBorder="1" applyAlignment="1" applyProtection="1">
      <alignment horizontal="center" vertical="center" wrapText="1"/>
    </xf>
    <xf numFmtId="0" fontId="38" fillId="0" borderId="11" xfId="0" applyFont="1" applyBorder="1" applyAlignment="1" applyProtection="1">
      <alignment horizontal="left" vertical="center" wrapText="1"/>
    </xf>
    <xf numFmtId="0" fontId="38" fillId="0" borderId="12" xfId="0" applyFont="1" applyBorder="1" applyAlignment="1" applyProtection="1">
      <alignment horizontal="center" vertical="center"/>
    </xf>
    <xf numFmtId="0" fontId="18" fillId="0" borderId="0" xfId="13" applyNumberFormat="1" applyFont="1" applyFill="1" applyBorder="1" applyAlignment="1" applyProtection="1">
      <alignment horizontal="center" vertical="center"/>
      <protection hidden="1"/>
    </xf>
    <xf numFmtId="0" fontId="38" fillId="7" borderId="12" xfId="0" applyFont="1" applyFill="1" applyBorder="1" applyAlignment="1" applyProtection="1">
      <alignment horizontal="center" vertical="center"/>
    </xf>
    <xf numFmtId="0" fontId="38" fillId="7" borderId="12" xfId="0" applyFont="1" applyFill="1" applyBorder="1" applyAlignment="1" applyProtection="1">
      <alignment horizontal="center" vertical="center" wrapText="1"/>
    </xf>
    <xf numFmtId="0" fontId="38" fillId="0" borderId="12" xfId="0" applyFont="1" applyBorder="1" applyAlignment="1" applyProtection="1">
      <alignment horizontal="right" vertical="center"/>
    </xf>
    <xf numFmtId="0" fontId="38" fillId="0" borderId="11" xfId="0" applyFont="1" applyBorder="1" applyAlignment="1" applyProtection="1">
      <alignment horizontal="center" vertical="center" wrapText="1"/>
    </xf>
    <xf numFmtId="0" fontId="18" fillId="0" borderId="0" xfId="0" applyNumberFormat="1" applyFont="1" applyFill="1" applyBorder="1" applyAlignment="1" applyProtection="1">
      <alignment horizontal="center" vertical="center"/>
    </xf>
    <xf numFmtId="10" fontId="43" fillId="0" borderId="10" xfId="1" applyNumberFormat="1" applyFont="1" applyBorder="1" applyAlignment="1" applyProtection="1">
      <alignment horizontal="center" vertical="center" wrapText="1"/>
    </xf>
    <xf numFmtId="0" fontId="22" fillId="0" borderId="0" xfId="0" applyNumberFormat="1" applyFont="1" applyBorder="1" applyAlignment="1" applyProtection="1">
      <alignment horizontal="center" vertical="center"/>
    </xf>
    <xf numFmtId="0" fontId="38" fillId="0" borderId="0" xfId="0" applyFont="1" applyBorder="1" applyAlignment="1" applyProtection="1">
      <alignment horizontal="left" vertical="center" wrapText="1"/>
    </xf>
    <xf numFmtId="0" fontId="38" fillId="0" borderId="0" xfId="0" applyFont="1" applyBorder="1" applyAlignment="1" applyProtection="1">
      <alignment horizontal="center" vertical="center" wrapText="1"/>
    </xf>
    <xf numFmtId="10" fontId="38" fillId="0" borderId="0" xfId="0" applyNumberFormat="1" applyFont="1" applyBorder="1" applyAlignment="1" applyProtection="1">
      <alignment horizontal="center" vertical="center" wrapText="1"/>
    </xf>
    <xf numFmtId="0" fontId="38" fillId="0" borderId="12" xfId="0" applyFont="1" applyBorder="1" applyAlignment="1" applyProtection="1">
      <alignment horizontal="left" vertical="center" wrapText="1"/>
    </xf>
    <xf numFmtId="0" fontId="18" fillId="0" borderId="0" xfId="0" applyFont="1" applyAlignment="1" applyProtection="1">
      <alignment horizontal="center" vertical="center" wrapText="1"/>
    </xf>
    <xf numFmtId="0" fontId="18" fillId="0" borderId="0" xfId="0" applyFont="1" applyAlignment="1" applyProtection="1">
      <alignment horizontal="center" vertical="center"/>
    </xf>
    <xf numFmtId="2" fontId="18" fillId="0" borderId="0" xfId="0" applyNumberFormat="1" applyFont="1" applyAlignment="1" applyProtection="1">
      <alignment horizontal="center"/>
    </xf>
    <xf numFmtId="0" fontId="18" fillId="0" borderId="0" xfId="0" applyFont="1" applyAlignment="1" applyProtection="1">
      <alignment horizontal="center"/>
    </xf>
    <xf numFmtId="10" fontId="38" fillId="7" borderId="12" xfId="0" applyNumberFormat="1" applyFont="1" applyFill="1" applyBorder="1" applyAlignment="1" applyProtection="1">
      <alignment horizontal="center" vertical="center" wrapText="1"/>
    </xf>
    <xf numFmtId="0" fontId="42" fillId="0" borderId="0" xfId="0" applyFont="1" applyProtection="1"/>
    <xf numFmtId="0" fontId="42" fillId="0" borderId="9" xfId="0" applyFont="1" applyBorder="1" applyProtection="1"/>
    <xf numFmtId="0" fontId="37" fillId="0" borderId="9" xfId="0" applyFont="1" applyBorder="1" applyAlignment="1" applyProtection="1">
      <alignment horizontal="left" vertical="center" wrapText="1"/>
    </xf>
    <xf numFmtId="0" fontId="37" fillId="0" borderId="10" xfId="0" applyFont="1" applyBorder="1" applyAlignment="1" applyProtection="1">
      <alignment horizontal="left" vertical="center" wrapText="1"/>
    </xf>
    <xf numFmtId="0" fontId="44" fillId="0" borderId="12" xfId="0" applyFont="1" applyBorder="1" applyAlignment="1" applyProtection="1">
      <alignment horizontal="center" vertical="center" wrapText="1"/>
    </xf>
    <xf numFmtId="0" fontId="44" fillId="0" borderId="9" xfId="0" applyFont="1" applyBorder="1" applyAlignment="1" applyProtection="1">
      <alignment horizontal="center" vertical="center" wrapText="1"/>
    </xf>
    <xf numFmtId="0" fontId="38" fillId="0" borderId="52" xfId="0" applyFont="1" applyBorder="1" applyAlignment="1" applyProtection="1">
      <alignment horizontal="left" vertical="center" wrapText="1"/>
    </xf>
    <xf numFmtId="0" fontId="38" fillId="0" borderId="52" xfId="0" applyFont="1" applyBorder="1" applyAlignment="1" applyProtection="1">
      <alignment horizontal="center" vertical="center" wrapText="1"/>
    </xf>
    <xf numFmtId="10" fontId="38" fillId="0" borderId="35" xfId="0" applyNumberFormat="1" applyFont="1" applyBorder="1" applyAlignment="1" applyProtection="1">
      <alignment horizontal="center" vertical="center" wrapText="1"/>
    </xf>
    <xf numFmtId="10" fontId="2" fillId="0" borderId="0" xfId="0" applyNumberFormat="1" applyFont="1" applyBorder="1" applyProtection="1"/>
    <xf numFmtId="2" fontId="2" fillId="0" borderId="0" xfId="0" applyNumberFormat="1" applyFont="1" applyBorder="1" applyProtection="1"/>
    <xf numFmtId="169" fontId="2" fillId="0" borderId="0" xfId="0" applyNumberFormat="1" applyFont="1" applyBorder="1" applyProtection="1"/>
    <xf numFmtId="168" fontId="2" fillId="0" borderId="0" xfId="0" applyNumberFormat="1" applyFont="1" applyBorder="1" applyProtection="1"/>
    <xf numFmtId="0" fontId="44" fillId="0" borderId="11" xfId="0" applyFont="1" applyBorder="1" applyAlignment="1" applyProtection="1">
      <alignment horizontal="left" vertical="center" wrapText="1"/>
    </xf>
    <xf numFmtId="0" fontId="44" fillId="0" borderId="11" xfId="0" applyFont="1" applyBorder="1" applyAlignment="1" applyProtection="1">
      <alignment horizontal="center" vertical="center" wrapText="1"/>
    </xf>
    <xf numFmtId="0" fontId="2" fillId="0" borderId="0" xfId="0" applyNumberFormat="1" applyFont="1" applyBorder="1" applyAlignment="1" applyProtection="1">
      <alignment horizontal="center"/>
    </xf>
    <xf numFmtId="0" fontId="2" fillId="0" borderId="0" xfId="0" applyNumberFormat="1" applyFont="1" applyBorder="1" applyAlignment="1" applyProtection="1">
      <alignment horizontal="center" vertical="center"/>
    </xf>
    <xf numFmtId="0" fontId="2" fillId="0" borderId="0" xfId="0" applyNumberFormat="1" applyFont="1" applyBorder="1" applyAlignment="1" applyProtection="1">
      <alignment horizontal="left"/>
    </xf>
    <xf numFmtId="0" fontId="46" fillId="0" borderId="0" xfId="0" applyNumberFormat="1" applyFont="1" applyBorder="1" applyProtection="1"/>
    <xf numFmtId="0" fontId="46" fillId="0" borderId="0" xfId="0" applyNumberFormat="1" applyFont="1" applyBorder="1" applyAlignment="1" applyProtection="1">
      <alignment horizontal="left"/>
    </xf>
    <xf numFmtId="0" fontId="45" fillId="0" borderId="0" xfId="0" applyNumberFormat="1" applyFont="1" applyBorder="1" applyProtection="1"/>
    <xf numFmtId="2" fontId="45" fillId="0" borderId="0" xfId="0" applyNumberFormat="1" applyFont="1" applyBorder="1" applyProtection="1"/>
    <xf numFmtId="168" fontId="47" fillId="0" borderId="0" xfId="0" applyNumberFormat="1" applyFont="1" applyBorder="1" applyProtection="1"/>
    <xf numFmtId="10" fontId="47" fillId="0" borderId="0" xfId="0" applyNumberFormat="1" applyFont="1" applyBorder="1" applyProtection="1"/>
    <xf numFmtId="0" fontId="47" fillId="0" borderId="0" xfId="0" applyNumberFormat="1" applyFont="1" applyBorder="1" applyProtection="1"/>
    <xf numFmtId="169" fontId="47" fillId="0" borderId="0" xfId="0" applyNumberFormat="1" applyFont="1" applyBorder="1" applyProtection="1"/>
    <xf numFmtId="2" fontId="47" fillId="0" borderId="0" xfId="0" applyNumberFormat="1" applyFont="1" applyBorder="1" applyProtection="1"/>
    <xf numFmtId="0" fontId="2" fillId="0" borderId="0" xfId="0" applyNumberFormat="1" applyFont="1" applyBorder="1" applyAlignment="1" applyProtection="1"/>
    <xf numFmtId="9" fontId="18" fillId="0" borderId="0" xfId="0" applyNumberFormat="1" applyFont="1" applyBorder="1" applyProtection="1"/>
    <xf numFmtId="0" fontId="46" fillId="0" borderId="0" xfId="0" applyNumberFormat="1" applyFont="1" applyBorder="1" applyAlignment="1" applyProtection="1"/>
    <xf numFmtId="0" fontId="22" fillId="0" borderId="0" xfId="0" applyNumberFormat="1" applyFont="1" applyBorder="1" applyProtection="1"/>
    <xf numFmtId="0" fontId="48" fillId="0" borderId="0" xfId="0" applyNumberFormat="1" applyFont="1" applyBorder="1" applyProtection="1"/>
    <xf numFmtId="0" fontId="49" fillId="0" borderId="0" xfId="0" applyNumberFormat="1" applyFont="1" applyBorder="1" applyProtection="1"/>
    <xf numFmtId="0" fontId="50" fillId="0" borderId="0" xfId="0" applyNumberFormat="1" applyFont="1" applyBorder="1" applyProtection="1"/>
    <xf numFmtId="0" fontId="51" fillId="0" borderId="0" xfId="0" applyNumberFormat="1" applyFont="1" applyBorder="1" applyProtection="1"/>
    <xf numFmtId="0" fontId="50" fillId="0" borderId="0" xfId="0" applyNumberFormat="1" applyFont="1" applyBorder="1" applyAlignment="1" applyProtection="1"/>
    <xf numFmtId="2" fontId="51" fillId="0" borderId="0" xfId="0" applyNumberFormat="1" applyFont="1" applyBorder="1" applyProtection="1"/>
    <xf numFmtId="172" fontId="50" fillId="0" borderId="0" xfId="0" applyNumberFormat="1" applyFont="1" applyBorder="1" applyProtection="1"/>
    <xf numFmtId="172" fontId="48" fillId="0" borderId="0" xfId="0" applyNumberFormat="1" applyFont="1" applyBorder="1" applyProtection="1"/>
    <xf numFmtId="172" fontId="21" fillId="0" borderId="0" xfId="0" applyNumberFormat="1" applyFont="1" applyBorder="1" applyProtection="1"/>
    <xf numFmtId="0" fontId="18" fillId="0" borderId="9" xfId="0" applyNumberFormat="1" applyFont="1" applyBorder="1" applyProtection="1"/>
    <xf numFmtId="168" fontId="38" fillId="0" borderId="11" xfId="0" applyNumberFormat="1" applyFont="1" applyBorder="1" applyAlignment="1" applyProtection="1">
      <alignment horizontal="center" vertical="center" wrapText="1"/>
    </xf>
    <xf numFmtId="0" fontId="37" fillId="0" borderId="13" xfId="0" applyFont="1" applyBorder="1" applyAlignment="1" applyProtection="1">
      <alignment horizontal="center" vertical="center" wrapText="1"/>
    </xf>
    <xf numFmtId="0" fontId="37" fillId="0" borderId="11" xfId="0" applyFont="1" applyBorder="1" applyAlignment="1" applyProtection="1">
      <alignment horizontal="center" vertical="center" wrapText="1"/>
    </xf>
    <xf numFmtId="0" fontId="21" fillId="0" borderId="0" xfId="0" applyFont="1" applyAlignment="1" applyProtection="1">
      <alignment horizontal="center" vertical="center" wrapText="1"/>
    </xf>
    <xf numFmtId="0" fontId="21" fillId="0" borderId="0" xfId="0" applyFont="1" applyAlignment="1" applyProtection="1">
      <alignment horizontal="center" vertical="center"/>
    </xf>
    <xf numFmtId="0" fontId="33" fillId="9" borderId="1" xfId="0" applyNumberFormat="1" applyFont="1" applyFill="1" applyBorder="1" applyAlignment="1" applyProtection="1">
      <alignment horizontal="center" vertical="center" wrapText="1"/>
    </xf>
    <xf numFmtId="0" fontId="31" fillId="8" borderId="16" xfId="0" applyNumberFormat="1" applyFont="1" applyFill="1" applyBorder="1" applyAlignment="1" applyProtection="1">
      <alignment vertical="center" wrapText="1"/>
    </xf>
    <xf numFmtId="0" fontId="31" fillId="8" borderId="17" xfId="0" applyNumberFormat="1" applyFont="1" applyFill="1" applyBorder="1" applyAlignment="1" applyProtection="1">
      <alignment vertical="center" wrapText="1"/>
    </xf>
    <xf numFmtId="0" fontId="31" fillId="8" borderId="18" xfId="0" applyNumberFormat="1" applyFont="1" applyFill="1" applyBorder="1" applyAlignment="1" applyProtection="1">
      <alignment vertical="center" wrapText="1"/>
    </xf>
    <xf numFmtId="166" fontId="7" fillId="10" borderId="33" xfId="0" applyNumberFormat="1" applyFont="1" applyFill="1" applyBorder="1" applyAlignment="1" applyProtection="1">
      <alignment vertical="center" wrapText="1"/>
    </xf>
    <xf numFmtId="166" fontId="7" fillId="10" borderId="34" xfId="0" applyNumberFormat="1" applyFont="1" applyFill="1" applyBorder="1" applyAlignment="1" applyProtection="1">
      <alignment vertical="center" wrapText="1"/>
    </xf>
    <xf numFmtId="166" fontId="7" fillId="10" borderId="35" xfId="0" applyNumberFormat="1" applyFont="1" applyFill="1" applyBorder="1" applyAlignment="1" applyProtection="1">
      <alignment vertical="center" wrapText="1"/>
    </xf>
    <xf numFmtId="0" fontId="31" fillId="11" borderId="14" xfId="0" applyFont="1" applyFill="1" applyBorder="1" applyAlignment="1" applyProtection="1">
      <alignment horizontal="center" vertical="center"/>
    </xf>
    <xf numFmtId="9" fontId="18" fillId="0" borderId="0" xfId="0" applyNumberFormat="1" applyFont="1" applyBorder="1" applyAlignment="1" applyProtection="1">
      <alignment horizontal="center"/>
    </xf>
    <xf numFmtId="0" fontId="33" fillId="9" borderId="50" xfId="0" applyNumberFormat="1" applyFont="1" applyFill="1" applyBorder="1" applyAlignment="1" applyProtection="1">
      <alignment horizontal="left" vertical="center" wrapText="1"/>
    </xf>
    <xf numFmtId="0" fontId="0" fillId="3" borderId="50" xfId="0" applyFont="1" applyFill="1" applyBorder="1" applyAlignment="1" applyProtection="1">
      <alignment vertical="center"/>
      <protection locked="0"/>
    </xf>
    <xf numFmtId="14" fontId="0" fillId="3" borderId="50" xfId="0" applyNumberFormat="1" applyFont="1" applyFill="1" applyBorder="1" applyAlignment="1" applyProtection="1">
      <alignment vertical="center"/>
      <protection locked="0"/>
    </xf>
    <xf numFmtId="0" fontId="28" fillId="0" borderId="4" xfId="1" applyFont="1" applyFill="1" applyBorder="1" applyAlignment="1" applyProtection="1">
      <alignment vertical="center"/>
    </xf>
    <xf numFmtId="0" fontId="4" fillId="11" borderId="15" xfId="0" applyFont="1" applyFill="1" applyBorder="1" applyAlignment="1" applyProtection="1">
      <alignment vertical="center"/>
    </xf>
    <xf numFmtId="0" fontId="3" fillId="5" borderId="0" xfId="0" applyFont="1" applyFill="1"/>
    <xf numFmtId="0" fontId="0" fillId="5" borderId="0" xfId="0" applyFill="1" applyAlignment="1">
      <alignment horizontal="right"/>
    </xf>
    <xf numFmtId="0" fontId="0" fillId="0" borderId="0" xfId="0" applyAlignment="1">
      <alignment horizontal="right"/>
    </xf>
    <xf numFmtId="0" fontId="0" fillId="2" borderId="0" xfId="0" applyFill="1"/>
    <xf numFmtId="49" fontId="0" fillId="2" borderId="0" xfId="0" applyNumberFormat="1" applyFill="1" applyAlignment="1">
      <alignment vertical="center" wrapText="1"/>
    </xf>
    <xf numFmtId="49" fontId="0" fillId="2" borderId="0" xfId="0" applyNumberFormat="1" applyFill="1" applyAlignment="1">
      <alignment horizontal="right" vertical="center" wrapText="1"/>
    </xf>
    <xf numFmtId="0" fontId="5" fillId="2" borderId="0" xfId="0" applyNumberFormat="1" applyFont="1" applyFill="1" applyAlignment="1">
      <alignment vertical="top" wrapText="1"/>
    </xf>
    <xf numFmtId="0" fontId="0" fillId="2" borderId="0" xfId="0" applyNumberFormat="1" applyFill="1" applyBorder="1" applyAlignment="1">
      <alignment horizontal="justify" vertical="top" wrapText="1"/>
    </xf>
    <xf numFmtId="0" fontId="5" fillId="2" borderId="0" xfId="0" applyNumberFormat="1" applyFont="1" applyFill="1" applyBorder="1" applyAlignment="1">
      <alignment horizontal="center" vertical="center" wrapText="1"/>
    </xf>
    <xf numFmtId="0" fontId="52" fillId="2" borderId="0" xfId="1" applyFont="1" applyFill="1" applyBorder="1" applyAlignment="1" applyProtection="1">
      <alignment vertical="center" wrapText="1"/>
    </xf>
    <xf numFmtId="0" fontId="0" fillId="2" borderId="0" xfId="0" applyNumberFormat="1" applyFill="1" applyBorder="1" applyAlignment="1">
      <alignment horizontal="center" vertical="center" wrapText="1"/>
    </xf>
    <xf numFmtId="0" fontId="4" fillId="2" borderId="0" xfId="0" applyFont="1" applyFill="1" applyAlignment="1">
      <alignment vertical="center" wrapText="1"/>
    </xf>
    <xf numFmtId="0" fontId="4" fillId="2" borderId="0" xfId="0" applyFont="1" applyFill="1" applyBorder="1" applyAlignment="1">
      <alignment vertical="center" wrapText="1"/>
    </xf>
    <xf numFmtId="0" fontId="0" fillId="2" borderId="0" xfId="0" applyFill="1" applyAlignment="1">
      <alignment horizontal="center" vertical="center"/>
    </xf>
    <xf numFmtId="0" fontId="7" fillId="2" borderId="0" xfId="0" applyFont="1" applyFill="1" applyAlignment="1">
      <alignment vertical="center" wrapText="1"/>
    </xf>
    <xf numFmtId="0" fontId="7" fillId="2" borderId="0" xfId="0" applyFont="1" applyFill="1" applyBorder="1" applyAlignment="1">
      <alignment vertical="center" wrapText="1"/>
    </xf>
    <xf numFmtId="0" fontId="5" fillId="2" borderId="0" xfId="0" applyNumberFormat="1" applyFont="1" applyFill="1" applyAlignment="1">
      <alignment horizontal="center" vertical="center" wrapText="1"/>
    </xf>
    <xf numFmtId="0" fontId="0" fillId="2" borderId="0" xfId="0" applyNumberFormat="1" applyFill="1" applyAlignment="1">
      <alignment horizontal="center" vertical="center" wrapText="1"/>
    </xf>
    <xf numFmtId="0" fontId="10" fillId="2" borderId="0" xfId="0" applyNumberFormat="1" applyFont="1" applyFill="1" applyAlignment="1">
      <alignment horizontal="center" vertical="center" wrapText="1"/>
    </xf>
    <xf numFmtId="0" fontId="0" fillId="2" borderId="0" xfId="0" applyNumberFormat="1" applyFill="1" applyAlignment="1">
      <alignment horizontal="justify" vertical="top" wrapText="1"/>
    </xf>
    <xf numFmtId="0" fontId="54" fillId="2" borderId="0" xfId="0" applyFont="1" applyFill="1"/>
    <xf numFmtId="0" fontId="0" fillId="0" borderId="0" xfId="0" applyFont="1" applyAlignment="1" applyProtection="1">
      <alignment vertical="center"/>
    </xf>
    <xf numFmtId="0" fontId="0" fillId="0" borderId="50" xfId="0" applyFont="1" applyBorder="1" applyAlignment="1" applyProtection="1">
      <alignment vertical="center"/>
    </xf>
    <xf numFmtId="0" fontId="59" fillId="0" borderId="50" xfId="0" applyFont="1" applyBorder="1" applyAlignment="1">
      <alignment horizontal="center" vertical="top" wrapText="1"/>
    </xf>
    <xf numFmtId="0" fontId="59" fillId="0" borderId="50" xfId="0" applyFont="1" applyBorder="1" applyAlignment="1">
      <alignment vertical="top" wrapText="1"/>
    </xf>
    <xf numFmtId="0" fontId="59" fillId="0" borderId="50" xfId="0" applyFont="1" applyBorder="1" applyAlignment="1">
      <alignment horizontal="left" vertical="top" wrapText="1" indent="2"/>
    </xf>
    <xf numFmtId="0" fontId="59" fillId="0" borderId="50" xfId="0" applyFont="1" applyBorder="1" applyAlignment="1">
      <alignment horizontal="left" vertical="top" wrapText="1" indent="1"/>
    </xf>
    <xf numFmtId="0" fontId="59" fillId="0" borderId="50" xfId="0" applyFont="1" applyBorder="1" applyAlignment="1">
      <alignment wrapText="1"/>
    </xf>
    <xf numFmtId="0" fontId="61" fillId="0" borderId="57" xfId="0" applyFont="1" applyBorder="1" applyAlignment="1">
      <alignment horizontal="center" vertical="top"/>
    </xf>
    <xf numFmtId="0" fontId="59" fillId="0" borderId="50" xfId="0" applyFont="1" applyBorder="1" applyAlignment="1">
      <alignment horizontal="right" vertical="top" wrapText="1"/>
    </xf>
    <xf numFmtId="0" fontId="59" fillId="0" borderId="50" xfId="0" applyFont="1" applyBorder="1" applyAlignment="1">
      <alignment horizontal="center" vertical="top" wrapText="1"/>
    </xf>
    <xf numFmtId="0" fontId="61" fillId="0" borderId="57" xfId="0" applyNumberFormat="1" applyFont="1" applyBorder="1" applyAlignment="1">
      <alignment horizontal="center" vertical="top"/>
    </xf>
    <xf numFmtId="10" fontId="61" fillId="0" borderId="57" xfId="0" applyNumberFormat="1" applyFont="1" applyBorder="1" applyAlignment="1">
      <alignment horizontal="left" vertical="top"/>
    </xf>
    <xf numFmtId="0" fontId="64" fillId="0" borderId="50" xfId="0" applyFont="1" applyBorder="1" applyAlignment="1">
      <alignment vertical="top" wrapText="1"/>
    </xf>
    <xf numFmtId="0" fontId="64" fillId="0" borderId="50" xfId="0" applyFont="1" applyBorder="1" applyAlignment="1">
      <alignment horizontal="right" vertical="top" wrapText="1"/>
    </xf>
    <xf numFmtId="0" fontId="64" fillId="0" borderId="50" xfId="0" applyFont="1" applyBorder="1" applyAlignment="1">
      <alignment horizontal="center" vertical="top" wrapText="1"/>
    </xf>
    <xf numFmtId="0" fontId="61" fillId="0" borderId="57" xfId="0" applyNumberFormat="1" applyFont="1" applyBorder="1" applyAlignment="1">
      <alignment horizontal="left" vertical="top"/>
    </xf>
    <xf numFmtId="0" fontId="64" fillId="0" borderId="50" xfId="0" applyFont="1" applyBorder="1" applyAlignment="1">
      <alignment vertical="top" wrapText="1"/>
    </xf>
    <xf numFmtId="0" fontId="62" fillId="0" borderId="50" xfId="0" applyFont="1" applyBorder="1" applyAlignment="1">
      <alignment horizontal="center" vertical="top" wrapText="1"/>
    </xf>
    <xf numFmtId="0" fontId="59" fillId="0" borderId="50" xfId="0" applyFont="1" applyBorder="1" applyAlignment="1">
      <alignment horizontal="left" vertical="top" wrapText="1" indent="4"/>
    </xf>
    <xf numFmtId="0" fontId="64" fillId="0" borderId="50" xfId="0" applyFont="1" applyBorder="1" applyAlignment="1">
      <alignment horizontal="left" vertical="top" wrapText="1" indent="4"/>
    </xf>
    <xf numFmtId="0" fontId="18" fillId="0" borderId="0" xfId="0" applyFont="1" applyAlignment="1" applyProtection="1">
      <alignment vertical="center"/>
    </xf>
    <xf numFmtId="0" fontId="18" fillId="0" borderId="0" xfId="0" applyFont="1" applyBorder="1" applyAlignment="1" applyProtection="1">
      <alignment vertical="center"/>
    </xf>
    <xf numFmtId="0" fontId="18" fillId="0" borderId="0" xfId="0" applyFont="1" applyProtection="1"/>
    <xf numFmtId="0" fontId="38" fillId="21" borderId="0" xfId="0" applyFont="1" applyFill="1" applyBorder="1" applyAlignment="1">
      <alignment horizontal="center" vertical="center"/>
    </xf>
    <xf numFmtId="0" fontId="64" fillId="0" borderId="50" xfId="0" applyFont="1" applyBorder="1" applyAlignment="1">
      <alignment horizontal="center" vertical="top" wrapText="1"/>
    </xf>
    <xf numFmtId="0" fontId="22" fillId="0" borderId="50" xfId="0" applyFont="1" applyFill="1" applyBorder="1" applyAlignment="1">
      <alignment horizontal="center" vertical="center" wrapText="1"/>
    </xf>
    <xf numFmtId="4" fontId="22" fillId="0" borderId="50" xfId="0" applyNumberFormat="1" applyFont="1" applyFill="1" applyBorder="1" applyAlignment="1">
      <alignment horizontal="center" vertical="center" wrapText="1"/>
    </xf>
    <xf numFmtId="0" fontId="38" fillId="0" borderId="0" xfId="0" applyFont="1" applyBorder="1" applyAlignment="1">
      <alignment horizontal="center" vertical="center"/>
    </xf>
    <xf numFmtId="0" fontId="18" fillId="0" borderId="50" xfId="0" applyFont="1" applyFill="1" applyBorder="1" applyAlignment="1">
      <alignment horizontal="center" vertical="center"/>
    </xf>
    <xf numFmtId="4" fontId="18" fillId="0" borderId="50" xfId="0" applyNumberFormat="1" applyFont="1" applyFill="1" applyBorder="1" applyAlignment="1">
      <alignment horizontal="center" vertical="center"/>
    </xf>
    <xf numFmtId="0" fontId="22" fillId="22" borderId="50" xfId="0" applyFont="1" applyFill="1" applyBorder="1" applyAlignment="1">
      <alignment horizontal="left" vertical="top"/>
    </xf>
    <xf numFmtId="0" fontId="22" fillId="22" borderId="50" xfId="0" applyFont="1" applyFill="1" applyBorder="1" applyAlignment="1">
      <alignment vertical="top"/>
    </xf>
    <xf numFmtId="0" fontId="18" fillId="0" borderId="50" xfId="0" applyFont="1" applyBorder="1" applyAlignment="1">
      <alignment horizontal="left" vertical="top"/>
    </xf>
    <xf numFmtId="0" fontId="18" fillId="0" borderId="50" xfId="0" applyNumberFormat="1" applyFont="1" applyBorder="1" applyAlignment="1">
      <alignment horizontal="left" vertical="top"/>
    </xf>
    <xf numFmtId="3" fontId="18" fillId="0" borderId="50" xfId="0" applyNumberFormat="1" applyFont="1" applyBorder="1" applyAlignment="1">
      <alignment horizontal="left" vertical="top"/>
    </xf>
    <xf numFmtId="4" fontId="22" fillId="23" borderId="50" xfId="0" applyNumberFormat="1" applyFont="1" applyFill="1" applyBorder="1" applyAlignment="1">
      <alignment vertical="center"/>
    </xf>
    <xf numFmtId="4" fontId="22" fillId="23" borderId="50" xfId="0" applyNumberFormat="1" applyFont="1" applyFill="1" applyBorder="1" applyAlignment="1">
      <alignment horizontal="right" vertical="center"/>
    </xf>
    <xf numFmtId="4" fontId="22" fillId="23" borderId="50" xfId="0" applyNumberFormat="1" applyFont="1" applyFill="1" applyBorder="1" applyAlignment="1">
      <alignment horizontal="center" vertical="center"/>
    </xf>
    <xf numFmtId="0" fontId="18" fillId="24" borderId="50" xfId="0" applyFont="1" applyFill="1" applyBorder="1" applyAlignment="1">
      <alignment horizontal="left" vertical="top"/>
    </xf>
    <xf numFmtId="3" fontId="18" fillId="24" borderId="50" xfId="0" applyNumberFormat="1" applyFont="1" applyFill="1" applyBorder="1" applyAlignment="1">
      <alignment horizontal="left" vertical="top"/>
    </xf>
    <xf numFmtId="0" fontId="18" fillId="24" borderId="50" xfId="0" applyNumberFormat="1" applyFont="1" applyFill="1" applyBorder="1" applyAlignment="1">
      <alignment horizontal="left" vertical="top"/>
    </xf>
    <xf numFmtId="0" fontId="68" fillId="0" borderId="50" xfId="0" applyFont="1" applyBorder="1" applyAlignment="1">
      <alignment vertical="top" wrapText="1"/>
    </xf>
    <xf numFmtId="0" fontId="71" fillId="0" borderId="50" xfId="0" applyFont="1" applyBorder="1" applyAlignment="1">
      <alignment vertical="top" wrapText="1"/>
    </xf>
    <xf numFmtId="0" fontId="71" fillId="0" borderId="50" xfId="0" applyFont="1" applyBorder="1" applyAlignment="1">
      <alignment vertical="top" wrapText="1"/>
    </xf>
    <xf numFmtId="0" fontId="59" fillId="0" borderId="50" xfId="0" applyFont="1" applyBorder="1" applyAlignment="1">
      <alignment horizontal="left" vertical="top" wrapText="1" indent="4"/>
    </xf>
    <xf numFmtId="0" fontId="59" fillId="0" borderId="50" xfId="0" applyFont="1" applyBorder="1" applyAlignment="1">
      <alignment horizontal="left" vertical="top" wrapText="1" indent="1"/>
    </xf>
    <xf numFmtId="0" fontId="2" fillId="0" borderId="50" xfId="0" applyNumberFormat="1" applyFont="1" applyBorder="1" applyAlignment="1">
      <alignment horizontal="left" vertical="top"/>
    </xf>
    <xf numFmtId="0" fontId="2" fillId="24" borderId="50" xfId="0" applyNumberFormat="1" applyFont="1" applyFill="1" applyBorder="1" applyAlignment="1">
      <alignment horizontal="left" vertical="top"/>
    </xf>
    <xf numFmtId="0" fontId="64" fillId="0" borderId="50" xfId="0" applyFont="1" applyBorder="1" applyAlignment="1">
      <alignment horizontal="left" vertical="top" wrapText="1" indent="2"/>
    </xf>
    <xf numFmtId="0" fontId="64" fillId="0" borderId="50" xfId="0" applyFont="1" applyBorder="1" applyAlignment="1">
      <alignment horizontal="left" vertical="top" wrapText="1" indent="1"/>
    </xf>
    <xf numFmtId="0" fontId="68" fillId="0" borderId="50" xfId="0" applyFont="1" applyBorder="1" applyAlignment="1">
      <alignment vertical="top" wrapText="1"/>
    </xf>
    <xf numFmtId="4" fontId="18" fillId="0" borderId="55" xfId="0" applyNumberFormat="1" applyFont="1" applyFill="1" applyBorder="1" applyAlignment="1">
      <alignment horizontal="center" vertical="center"/>
    </xf>
    <xf numFmtId="4" fontId="18" fillId="0" borderId="54" xfId="0" applyNumberFormat="1" applyFont="1" applyFill="1" applyBorder="1" applyAlignment="1">
      <alignment horizontal="center" vertical="center"/>
    </xf>
    <xf numFmtId="0" fontId="22" fillId="25" borderId="50" xfId="0" applyFont="1" applyFill="1" applyBorder="1" applyAlignment="1">
      <alignment horizontal="left" vertical="top" wrapText="1"/>
    </xf>
    <xf numFmtId="0" fontId="22" fillId="25" borderId="50" xfId="0" applyFont="1" applyFill="1" applyBorder="1" applyAlignment="1">
      <alignment horizontal="right" vertical="top" wrapText="1"/>
    </xf>
    <xf numFmtId="0" fontId="22" fillId="25" borderId="55" xfId="0" applyFont="1" applyFill="1" applyBorder="1" applyAlignment="1">
      <alignment horizontal="right" vertical="top" wrapText="1"/>
    </xf>
    <xf numFmtId="0" fontId="22" fillId="25" borderId="55" xfId="0" applyFont="1" applyFill="1" applyBorder="1" applyAlignment="1">
      <alignment horizontal="right" vertical="top"/>
    </xf>
    <xf numFmtId="0" fontId="22" fillId="25" borderId="50" xfId="0" applyFont="1" applyFill="1" applyBorder="1" applyAlignment="1">
      <alignment horizontal="right" vertical="top"/>
    </xf>
    <xf numFmtId="0" fontId="18" fillId="26" borderId="50" xfId="0" applyFont="1" applyFill="1" applyBorder="1" applyAlignment="1">
      <alignment horizontal="left" vertical="top" wrapText="1"/>
    </xf>
    <xf numFmtId="4" fontId="18" fillId="24" borderId="50" xfId="0" applyNumberFormat="1" applyFont="1" applyFill="1" applyBorder="1" applyAlignment="1">
      <alignment horizontal="right" vertical="top"/>
    </xf>
    <xf numFmtId="0" fontId="18" fillId="24" borderId="50" xfId="0" applyNumberFormat="1" applyFont="1" applyFill="1" applyBorder="1" applyAlignment="1">
      <alignment horizontal="right" vertical="top"/>
    </xf>
    <xf numFmtId="0" fontId="72" fillId="2" borderId="0" xfId="1" applyFont="1" applyFill="1" applyAlignment="1" applyProtection="1">
      <alignment horizontal="center" vertical="center"/>
    </xf>
    <xf numFmtId="4" fontId="18" fillId="27" borderId="50" xfId="0" applyNumberFormat="1" applyFont="1" applyFill="1" applyBorder="1" applyAlignment="1">
      <alignment horizontal="right" vertical="top"/>
    </xf>
    <xf numFmtId="0" fontId="18" fillId="27" borderId="50" xfId="0" applyNumberFormat="1" applyFont="1" applyFill="1" applyBorder="1" applyAlignment="1">
      <alignment horizontal="right" vertical="top"/>
    </xf>
    <xf numFmtId="0" fontId="3" fillId="0" borderId="50" xfId="0" applyFont="1" applyBorder="1" applyAlignment="1" applyProtection="1">
      <alignment horizontal="center" vertical="center"/>
    </xf>
    <xf numFmtId="0" fontId="3" fillId="0" borderId="50" xfId="0" applyFont="1" applyBorder="1" applyAlignment="1" applyProtection="1">
      <alignment horizontal="center" vertical="center"/>
    </xf>
    <xf numFmtId="4" fontId="18" fillId="0" borderId="50" xfId="0" applyNumberFormat="1" applyFont="1" applyFill="1" applyBorder="1" applyAlignment="1">
      <alignment vertical="center"/>
    </xf>
    <xf numFmtId="4" fontId="18" fillId="0" borderId="50" xfId="0" applyNumberFormat="1" applyFont="1" applyFill="1" applyBorder="1" applyAlignment="1">
      <alignment horizontal="left" vertical="center"/>
    </xf>
    <xf numFmtId="4" fontId="22" fillId="24" borderId="50" xfId="0" applyNumberFormat="1" applyFont="1" applyFill="1" applyBorder="1" applyAlignment="1">
      <alignment horizontal="right" vertical="top"/>
    </xf>
    <xf numFmtId="0" fontId="22" fillId="24" borderId="50" xfId="0" applyNumberFormat="1" applyFont="1" applyFill="1" applyBorder="1" applyAlignment="1">
      <alignment horizontal="right" vertical="top"/>
    </xf>
    <xf numFmtId="0" fontId="18" fillId="0" borderId="50" xfId="0" applyFont="1" applyBorder="1" applyAlignment="1">
      <alignment horizontal="left" vertical="top" wrapText="1"/>
    </xf>
    <xf numFmtId="4" fontId="18" fillId="0" borderId="50" xfId="0" applyNumberFormat="1" applyFont="1" applyBorder="1" applyAlignment="1">
      <alignment horizontal="right" vertical="top"/>
    </xf>
    <xf numFmtId="0" fontId="18" fillId="0" borderId="50" xfId="0" applyNumberFormat="1" applyFont="1" applyBorder="1" applyAlignment="1">
      <alignment horizontal="right" vertical="top"/>
    </xf>
    <xf numFmtId="4" fontId="22" fillId="0" borderId="50" xfId="0" applyNumberFormat="1" applyFont="1" applyBorder="1" applyAlignment="1">
      <alignment horizontal="right" vertical="top"/>
    </xf>
    <xf numFmtId="0" fontId="22" fillId="0" borderId="50" xfId="0" applyNumberFormat="1" applyFont="1" applyBorder="1" applyAlignment="1">
      <alignment horizontal="right" vertical="top"/>
    </xf>
    <xf numFmtId="0" fontId="68" fillId="0" borderId="50" xfId="0" applyFont="1" applyFill="1" applyBorder="1" applyAlignment="1">
      <alignment horizontal="left"/>
    </xf>
    <xf numFmtId="0" fontId="65" fillId="0" borderId="50" xfId="0" applyFont="1" applyBorder="1" applyAlignment="1">
      <alignment vertical="top" wrapText="1"/>
    </xf>
    <xf numFmtId="0" fontId="74" fillId="0" borderId="50" xfId="0" applyFont="1" applyBorder="1" applyAlignment="1">
      <alignment vertical="top" wrapText="1"/>
    </xf>
    <xf numFmtId="0" fontId="74" fillId="0" borderId="50" xfId="0" applyFont="1" applyBorder="1" applyAlignment="1">
      <alignment horizontal="center" vertical="top" wrapText="1"/>
    </xf>
    <xf numFmtId="0" fontId="71" fillId="0" borderId="50" xfId="0" applyFont="1" applyFill="1" applyBorder="1" applyAlignment="1">
      <alignment vertical="top" wrapText="1"/>
    </xf>
    <xf numFmtId="0" fontId="74" fillId="0" borderId="50" xfId="0" applyFont="1" applyBorder="1" applyAlignment="1">
      <alignment horizontal="left" vertical="top" wrapText="1" indent="3"/>
    </xf>
    <xf numFmtId="0" fontId="74" fillId="0" borderId="50" xfId="0" applyFont="1" applyBorder="1" applyAlignment="1">
      <alignment horizontal="left" vertical="top" wrapText="1" indent="1"/>
    </xf>
    <xf numFmtId="0" fontId="74" fillId="0" borderId="50" xfId="0" applyFont="1" applyBorder="1" applyAlignment="1">
      <alignment horizontal="left" vertical="top" wrapText="1" indent="2"/>
    </xf>
    <xf numFmtId="0" fontId="62" fillId="0" borderId="50" xfId="0" applyFont="1" applyBorder="1" applyAlignment="1">
      <alignment vertical="top" wrapText="1"/>
    </xf>
    <xf numFmtId="0" fontId="59" fillId="0" borderId="50" xfId="0" applyFont="1" applyFill="1" applyBorder="1" applyAlignment="1">
      <alignment horizontal="center" vertical="top" wrapText="1"/>
    </xf>
    <xf numFmtId="0" fontId="73" fillId="0" borderId="50" xfId="0" applyFont="1" applyBorder="1" applyAlignment="1">
      <alignment horizontal="center" vertical="center" textRotation="90" wrapText="1"/>
    </xf>
    <xf numFmtId="0" fontId="68" fillId="0" borderId="50" xfId="0" applyFont="1" applyFill="1" applyBorder="1" applyAlignment="1">
      <alignment vertical="top" wrapText="1"/>
    </xf>
    <xf numFmtId="0" fontId="75" fillId="0" borderId="50" xfId="0" applyFont="1" applyFill="1" applyBorder="1"/>
    <xf numFmtId="0" fontId="62" fillId="0" borderId="50" xfId="0" applyFont="1" applyBorder="1" applyAlignment="1">
      <alignment horizontal="left" vertical="top" wrapText="1" indent="1"/>
    </xf>
    <xf numFmtId="0" fontId="64" fillId="0" borderId="50" xfId="0" applyFont="1" applyFill="1" applyBorder="1" applyAlignment="1">
      <alignment vertical="top" wrapText="1"/>
    </xf>
    <xf numFmtId="1" fontId="64" fillId="0" borderId="50" xfId="0" applyNumberFormat="1" applyFont="1" applyFill="1" applyBorder="1" applyAlignment="1">
      <alignment horizontal="center" vertical="top" wrapText="1"/>
    </xf>
    <xf numFmtId="0" fontId="64" fillId="0" borderId="50" xfId="0" applyFont="1" applyFill="1" applyBorder="1" applyAlignment="1">
      <alignment horizontal="center" vertical="top" wrapText="1"/>
    </xf>
    <xf numFmtId="0" fontId="68" fillId="0" borderId="50" xfId="0" applyFont="1" applyFill="1" applyBorder="1" applyAlignment="1">
      <alignment horizontal="center"/>
    </xf>
    <xf numFmtId="0" fontId="63" fillId="0" borderId="50" xfId="0" applyFont="1" applyBorder="1" applyAlignment="1">
      <alignment vertical="top" wrapText="1"/>
    </xf>
    <xf numFmtId="0" fontId="18" fillId="0" borderId="50" xfId="0" applyFont="1" applyBorder="1" applyAlignment="1" applyProtection="1">
      <alignment vertical="center"/>
    </xf>
    <xf numFmtId="0" fontId="68" fillId="0" borderId="50" xfId="0" applyFont="1" applyFill="1" applyBorder="1" applyAlignment="1">
      <alignment horizontal="center" vertical="top"/>
    </xf>
    <xf numFmtId="0" fontId="68" fillId="0" borderId="50" xfId="0" applyFont="1" applyFill="1" applyBorder="1"/>
    <xf numFmtId="0" fontId="22"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xf>
    <xf numFmtId="0" fontId="22" fillId="0" borderId="0" xfId="0" applyFont="1" applyFill="1" applyBorder="1" applyAlignment="1" applyProtection="1">
      <alignment horizontal="center" vertical="center" wrapText="1"/>
    </xf>
    <xf numFmtId="4" fontId="18" fillId="0" borderId="0" xfId="0" applyNumberFormat="1" applyFont="1" applyFill="1" applyBorder="1" applyAlignment="1" applyProtection="1">
      <alignment horizontal="center" vertical="center" wrapText="1"/>
      <protection locked="0"/>
    </xf>
    <xf numFmtId="0" fontId="18" fillId="0" borderId="0" xfId="0" applyFont="1" applyFill="1" applyBorder="1" applyAlignment="1" applyProtection="1">
      <alignment horizontal="center" vertical="center" wrapText="1"/>
    </xf>
    <xf numFmtId="2" fontId="18" fillId="0" borderId="0" xfId="0" applyNumberFormat="1" applyFont="1" applyFill="1" applyBorder="1" applyAlignment="1" applyProtection="1">
      <alignment horizontal="center" vertical="center" wrapText="1"/>
    </xf>
    <xf numFmtId="1" fontId="18" fillId="0" borderId="0" xfId="0" applyNumberFormat="1" applyFont="1" applyFill="1" applyBorder="1" applyAlignment="1" applyProtection="1">
      <alignment horizontal="center" vertical="center" wrapText="1"/>
    </xf>
    <xf numFmtId="4" fontId="18" fillId="0" borderId="0" xfId="0" applyNumberFormat="1" applyFont="1" applyFill="1" applyBorder="1" applyAlignment="1" applyProtection="1">
      <alignment horizontal="center" vertical="center" wrapText="1"/>
    </xf>
    <xf numFmtId="4" fontId="18" fillId="0" borderId="0" xfId="0" applyNumberFormat="1" applyFont="1" applyFill="1" applyBorder="1" applyAlignment="1" applyProtection="1">
      <alignment horizontal="center" vertical="center" wrapText="1"/>
      <protection locked="0"/>
    </xf>
    <xf numFmtId="2" fontId="18" fillId="0" borderId="0" xfId="0" applyNumberFormat="1" applyFont="1" applyFill="1" applyBorder="1" applyAlignment="1" applyProtection="1">
      <alignment horizontal="center" vertical="center"/>
    </xf>
    <xf numFmtId="1" fontId="18" fillId="0" borderId="0" xfId="0" applyNumberFormat="1" applyFont="1" applyFill="1" applyBorder="1" applyAlignment="1" applyProtection="1">
      <alignment horizontal="center" vertical="center"/>
    </xf>
    <xf numFmtId="4" fontId="18" fillId="0" borderId="0" xfId="0" applyNumberFormat="1" applyFont="1" applyFill="1" applyBorder="1" applyAlignment="1" applyProtection="1">
      <alignment horizontal="center" vertical="center"/>
    </xf>
    <xf numFmtId="0" fontId="18" fillId="0" borderId="0" xfId="0" applyFont="1" applyFill="1" applyBorder="1" applyAlignment="1" applyProtection="1">
      <alignment horizontal="justify" vertical="center" wrapText="1"/>
    </xf>
    <xf numFmtId="0" fontId="18" fillId="0" borderId="0" xfId="0" applyFont="1" applyFill="1" applyBorder="1" applyAlignment="1" applyProtection="1">
      <alignment horizontal="center" vertical="center" wrapText="1"/>
      <protection locked="0"/>
    </xf>
    <xf numFmtId="0" fontId="18" fillId="0" borderId="0" xfId="0" applyFont="1" applyFill="1" applyBorder="1" applyAlignment="1" applyProtection="1">
      <alignment horizontal="center" vertical="center" wrapText="1"/>
      <protection locked="0"/>
    </xf>
    <xf numFmtId="4" fontId="22" fillId="0" borderId="0" xfId="0" applyNumberFormat="1" applyFont="1" applyFill="1" applyBorder="1" applyAlignment="1" applyProtection="1">
      <alignment horizontal="center" vertical="center"/>
    </xf>
    <xf numFmtId="0" fontId="18" fillId="0" borderId="0" xfId="0" applyFont="1" applyFill="1" applyBorder="1" applyAlignment="1" applyProtection="1">
      <alignment horizontal="justify" vertical="center"/>
    </xf>
    <xf numFmtId="4" fontId="22" fillId="0" borderId="0" xfId="0" applyNumberFormat="1" applyFont="1" applyFill="1" applyBorder="1" applyAlignment="1" applyProtection="1">
      <alignment horizontal="center" vertical="center" wrapText="1"/>
    </xf>
    <xf numFmtId="0" fontId="18" fillId="0" borderId="50" xfId="0" applyFont="1" applyFill="1" applyBorder="1" applyAlignment="1" applyProtection="1">
      <alignment horizontal="center" vertical="center" wrapText="1"/>
    </xf>
    <xf numFmtId="4" fontId="18" fillId="0" borderId="0" xfId="0" applyNumberFormat="1" applyFont="1" applyFill="1" applyBorder="1" applyAlignment="1" applyProtection="1">
      <alignment horizontal="center" vertical="center"/>
      <protection locked="0"/>
    </xf>
    <xf numFmtId="0" fontId="18" fillId="0" borderId="0" xfId="0" applyFont="1" applyFill="1" applyBorder="1" applyAlignment="1" applyProtection="1">
      <alignment horizontal="center" vertical="center" wrapText="1"/>
    </xf>
    <xf numFmtId="4" fontId="31" fillId="0" borderId="0" xfId="0" applyNumberFormat="1" applyFont="1" applyFill="1" applyBorder="1" applyAlignment="1" applyProtection="1">
      <alignment horizontal="center" vertical="center"/>
    </xf>
    <xf numFmtId="0" fontId="76" fillId="0" borderId="0" xfId="0" applyFont="1" applyFill="1" applyBorder="1" applyAlignment="1" applyProtection="1">
      <alignment horizontal="center" vertical="center" wrapText="1"/>
    </xf>
    <xf numFmtId="3" fontId="18" fillId="0" borderId="0" xfId="0" applyNumberFormat="1" applyFont="1" applyFill="1" applyBorder="1" applyAlignment="1" applyProtection="1">
      <alignment vertical="center" wrapText="1"/>
    </xf>
    <xf numFmtId="10" fontId="18" fillId="0" borderId="0" xfId="0" applyNumberFormat="1" applyFont="1" applyFill="1" applyBorder="1" applyAlignment="1" applyProtection="1">
      <alignment wrapText="1"/>
    </xf>
    <xf numFmtId="0" fontId="77" fillId="0" borderId="0" xfId="0" applyFont="1" applyBorder="1" applyAlignment="1">
      <alignment vertical="center" wrapText="1"/>
    </xf>
    <xf numFmtId="3" fontId="0" fillId="0" borderId="0" xfId="0" applyNumberFormat="1" applyFill="1" applyBorder="1" applyAlignment="1" applyProtection="1">
      <alignment wrapText="1"/>
    </xf>
    <xf numFmtId="0" fontId="18" fillId="0" borderId="0" xfId="0" applyFont="1" applyBorder="1" applyAlignment="1" applyProtection="1">
      <alignment wrapText="1"/>
    </xf>
    <xf numFmtId="0" fontId="33" fillId="35" borderId="50" xfId="0" applyNumberFormat="1" applyFont="1" applyFill="1" applyBorder="1" applyAlignment="1" applyProtection="1">
      <alignment horizontal="left" vertical="center" wrapText="1"/>
    </xf>
    <xf numFmtId="0" fontId="18" fillId="2" borderId="51" xfId="0" applyFont="1" applyFill="1" applyBorder="1" applyAlignment="1" applyProtection="1">
      <alignment vertical="center" wrapText="1"/>
    </xf>
    <xf numFmtId="0" fontId="18" fillId="2" borderId="30" xfId="0" applyFont="1" applyFill="1" applyBorder="1" applyAlignment="1" applyProtection="1">
      <alignment vertical="center" wrapText="1"/>
    </xf>
    <xf numFmtId="0" fontId="18" fillId="2" borderId="27" xfId="0" applyFont="1" applyFill="1" applyBorder="1" applyAlignment="1" applyProtection="1">
      <alignment vertical="center" wrapText="1"/>
    </xf>
    <xf numFmtId="0" fontId="18" fillId="0" borderId="55" xfId="0" applyFont="1" applyFill="1" applyBorder="1" applyAlignment="1" applyProtection="1">
      <alignment horizontal="center" vertical="center" wrapText="1"/>
      <protection locked="0"/>
    </xf>
    <xf numFmtId="0" fontId="18" fillId="2" borderId="50" xfId="0" applyFont="1" applyFill="1" applyBorder="1" applyAlignment="1" applyProtection="1">
      <alignment horizontal="center" vertical="center" wrapText="1"/>
    </xf>
    <xf numFmtId="4" fontId="23" fillId="3" borderId="50" xfId="0" applyNumberFormat="1" applyFont="1" applyFill="1" applyBorder="1" applyAlignment="1" applyProtection="1">
      <alignment horizontal="center" vertical="center" wrapText="1"/>
      <protection locked="0"/>
    </xf>
    <xf numFmtId="4" fontId="18" fillId="12" borderId="50" xfId="0" applyNumberFormat="1" applyFont="1" applyFill="1" applyBorder="1" applyAlignment="1" applyProtection="1">
      <alignment horizontal="center" vertical="center" wrapText="1"/>
    </xf>
    <xf numFmtId="0" fontId="18" fillId="12" borderId="50" xfId="0" applyFont="1" applyFill="1" applyBorder="1" applyAlignment="1" applyProtection="1">
      <alignment horizontal="center" vertical="center" wrapText="1"/>
    </xf>
    <xf numFmtId="10" fontId="23" fillId="3" borderId="50" xfId="0" applyNumberFormat="1" applyFont="1" applyFill="1" applyBorder="1" applyAlignment="1" applyProtection="1">
      <alignment horizontal="center" vertical="center" wrapText="1"/>
      <protection locked="0"/>
    </xf>
    <xf numFmtId="166" fontId="0" fillId="12" borderId="50" xfId="0" applyNumberFormat="1" applyFont="1" applyFill="1" applyBorder="1" applyAlignment="1" applyProtection="1">
      <alignment horizontal="center" vertical="center" wrapText="1"/>
    </xf>
    <xf numFmtId="4" fontId="18" fillId="0" borderId="50" xfId="0" applyNumberFormat="1" applyFont="1" applyFill="1" applyBorder="1" applyAlignment="1" applyProtection="1">
      <alignment horizontal="center" vertical="center" wrapText="1"/>
      <protection locked="0"/>
    </xf>
    <xf numFmtId="3" fontId="14" fillId="0" borderId="50" xfId="14" applyNumberFormat="1" applyFont="1" applyBorder="1" applyAlignment="1" applyProtection="1">
      <alignment horizontal="center" readingOrder="1"/>
      <protection locked="0"/>
    </xf>
    <xf numFmtId="3" fontId="14" fillId="0" borderId="50" xfId="14" applyNumberFormat="1" applyBorder="1" applyAlignment="1" applyProtection="1">
      <alignment horizontal="center" vertical="center"/>
      <protection locked="0"/>
    </xf>
    <xf numFmtId="3" fontId="36" fillId="0" borderId="50" xfId="0" applyNumberFormat="1" applyFont="1" applyBorder="1" applyAlignment="1" applyProtection="1">
      <alignment horizontal="center"/>
      <protection locked="0"/>
    </xf>
    <xf numFmtId="0" fontId="2" fillId="0" borderId="0" xfId="0" applyFont="1" applyBorder="1" applyAlignment="1" applyProtection="1">
      <alignment horizontal="center" vertical="center"/>
    </xf>
    <xf numFmtId="0" fontId="2" fillId="3" borderId="0"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46" fillId="0" borderId="0" xfId="0" applyNumberFormat="1" applyFont="1" applyBorder="1" applyAlignment="1" applyProtection="1">
      <alignment horizontal="center" vertical="center"/>
    </xf>
    <xf numFmtId="166" fontId="0" fillId="2" borderId="19" xfId="0" applyNumberFormat="1" applyFont="1" applyFill="1" applyBorder="1" applyAlignment="1" applyProtection="1">
      <alignment horizontal="center" vertical="center" wrapText="1"/>
    </xf>
    <xf numFmtId="0" fontId="3" fillId="0" borderId="0" xfId="0" applyFont="1" applyBorder="1" applyAlignment="1" applyProtection="1">
      <alignment horizontal="center" vertical="center"/>
    </xf>
    <xf numFmtId="0" fontId="0" fillId="0" borderId="0" xfId="0" applyFont="1" applyBorder="1" applyAlignment="1" applyProtection="1">
      <alignment horizontal="left" vertical="center"/>
    </xf>
    <xf numFmtId="0" fontId="0" fillId="0" borderId="0" xfId="0" applyFont="1" applyBorder="1" applyAlignment="1" applyProtection="1">
      <alignment horizontal="center" vertical="center" wrapText="1"/>
    </xf>
    <xf numFmtId="2" fontId="18" fillId="36" borderId="50" xfId="0" applyNumberFormat="1" applyFont="1" applyFill="1" applyBorder="1" applyAlignment="1">
      <alignment horizontal="center" vertical="center"/>
    </xf>
    <xf numFmtId="0" fontId="78" fillId="0" borderId="0" xfId="0" applyFont="1" applyBorder="1" applyAlignment="1">
      <alignment horizontal="center" vertical="center" wrapText="1"/>
    </xf>
    <xf numFmtId="0" fontId="61" fillId="0" borderId="0" xfId="0" applyFont="1" applyBorder="1" applyAlignment="1">
      <alignment vertical="center"/>
    </xf>
    <xf numFmtId="0" fontId="61" fillId="0" borderId="0" xfId="0" applyFont="1" applyBorder="1" applyAlignment="1">
      <alignment horizontal="center" vertical="center"/>
    </xf>
    <xf numFmtId="169" fontId="18" fillId="36" borderId="50" xfId="0" applyNumberFormat="1" applyFont="1" applyFill="1" applyBorder="1" applyAlignment="1">
      <alignment horizontal="center" vertical="center"/>
    </xf>
    <xf numFmtId="166" fontId="0" fillId="3" borderId="19" xfId="0" applyNumberFormat="1" applyFont="1" applyFill="1" applyBorder="1" applyAlignment="1" applyProtection="1">
      <alignment horizontal="center" vertical="center" wrapText="1"/>
    </xf>
    <xf numFmtId="166" fontId="0" fillId="3" borderId="0" xfId="0" applyNumberFormat="1" applyFont="1" applyFill="1" applyBorder="1" applyAlignment="1" applyProtection="1">
      <alignment horizontal="center" vertical="center" wrapText="1"/>
    </xf>
    <xf numFmtId="4" fontId="18" fillId="36" borderId="50" xfId="16" applyNumberFormat="1" applyFont="1" applyFill="1" applyBorder="1" applyAlignment="1">
      <alignment vertical="center"/>
    </xf>
    <xf numFmtId="2" fontId="18" fillId="36" borderId="50" xfId="16" applyNumberFormat="1" applyFont="1" applyFill="1" applyBorder="1" applyAlignment="1">
      <alignment horizontal="center" vertical="center"/>
    </xf>
    <xf numFmtId="166" fontId="0" fillId="36" borderId="50" xfId="0" applyNumberFormat="1" applyFont="1" applyFill="1" applyBorder="1" applyAlignment="1" applyProtection="1">
      <alignment horizontal="center" vertical="center" wrapText="1"/>
    </xf>
    <xf numFmtId="166" fontId="3" fillId="23" borderId="50" xfId="0" applyNumberFormat="1" applyFont="1" applyFill="1" applyBorder="1" applyAlignment="1" applyProtection="1">
      <alignment horizontal="center" vertical="center" wrapText="1"/>
    </xf>
    <xf numFmtId="0" fontId="18" fillId="24" borderId="0" xfId="0" applyFont="1" applyFill="1" applyBorder="1" applyAlignment="1">
      <alignment horizontal="left" vertical="top"/>
    </xf>
    <xf numFmtId="3" fontId="18" fillId="24" borderId="0" xfId="0" applyNumberFormat="1" applyFont="1" applyFill="1" applyBorder="1" applyAlignment="1">
      <alignment horizontal="left" vertical="top"/>
    </xf>
    <xf numFmtId="0" fontId="18" fillId="24" borderId="0" xfId="0" applyNumberFormat="1" applyFont="1" applyFill="1" applyBorder="1" applyAlignment="1">
      <alignment horizontal="left" vertical="top"/>
    </xf>
    <xf numFmtId="4" fontId="22" fillId="3" borderId="50" xfId="0" applyNumberFormat="1" applyFont="1" applyFill="1" applyBorder="1" applyAlignment="1">
      <alignment vertical="center"/>
    </xf>
    <xf numFmtId="4" fontId="22" fillId="3" borderId="50" xfId="0" applyNumberFormat="1" applyFont="1" applyFill="1" applyBorder="1" applyAlignment="1">
      <alignment horizontal="right" vertical="center"/>
    </xf>
    <xf numFmtId="4" fontId="22" fillId="3" borderId="50" xfId="0" applyNumberFormat="1" applyFont="1" applyFill="1" applyBorder="1" applyAlignment="1">
      <alignment horizontal="center" vertical="center"/>
    </xf>
    <xf numFmtId="166" fontId="3" fillId="3" borderId="50" xfId="0" applyNumberFormat="1" applyFont="1" applyFill="1" applyBorder="1" applyAlignment="1" applyProtection="1">
      <alignment horizontal="center" vertical="center" wrapText="1"/>
    </xf>
    <xf numFmtId="4" fontId="22" fillId="3" borderId="0" xfId="0" applyNumberFormat="1" applyFont="1" applyFill="1" applyBorder="1" applyAlignment="1">
      <alignment vertical="center" wrapText="1"/>
    </xf>
    <xf numFmtId="4" fontId="22" fillId="3" borderId="0" xfId="0" applyNumberFormat="1" applyFont="1" applyFill="1" applyBorder="1" applyAlignment="1">
      <alignment vertical="center"/>
    </xf>
    <xf numFmtId="4" fontId="22" fillId="3" borderId="0" xfId="0" applyNumberFormat="1" applyFont="1" applyFill="1" applyBorder="1" applyAlignment="1">
      <alignment horizontal="right" vertical="center"/>
    </xf>
    <xf numFmtId="4" fontId="22" fillId="3" borderId="0" xfId="0" applyNumberFormat="1" applyFont="1" applyFill="1" applyBorder="1" applyAlignment="1">
      <alignment horizontal="center" vertical="center"/>
    </xf>
    <xf numFmtId="166" fontId="3" fillId="3" borderId="0" xfId="0" applyNumberFormat="1" applyFont="1" applyFill="1" applyBorder="1" applyAlignment="1" applyProtection="1">
      <alignment horizontal="center" vertical="center" wrapText="1"/>
    </xf>
    <xf numFmtId="4" fontId="22" fillId="20" borderId="50" xfId="0" applyNumberFormat="1" applyFont="1" applyFill="1" applyBorder="1" applyAlignment="1">
      <alignment vertical="center" wrapText="1"/>
    </xf>
    <xf numFmtId="170" fontId="18" fillId="2" borderId="1" xfId="0" applyNumberFormat="1" applyFont="1" applyFill="1" applyBorder="1" applyAlignment="1" applyProtection="1">
      <alignment horizontal="center" vertical="center" wrapText="1"/>
    </xf>
    <xf numFmtId="1" fontId="18" fillId="2" borderId="1" xfId="0" applyNumberFormat="1" applyFont="1" applyFill="1" applyBorder="1" applyAlignment="1" applyProtection="1">
      <alignment horizontal="center" vertical="center" wrapText="1"/>
    </xf>
    <xf numFmtId="166" fontId="0" fillId="2" borderId="1" xfId="0" applyNumberFormat="1" applyFont="1" applyFill="1" applyBorder="1" applyAlignment="1" applyProtection="1">
      <alignment horizontal="center" vertical="center" wrapText="1"/>
    </xf>
    <xf numFmtId="2" fontId="0" fillId="2" borderId="1" xfId="0" applyNumberFormat="1" applyFont="1" applyFill="1" applyBorder="1" applyAlignment="1" applyProtection="1">
      <alignment horizontal="center" vertical="center" wrapText="1"/>
    </xf>
    <xf numFmtId="169" fontId="18" fillId="2" borderId="1" xfId="0" applyNumberFormat="1" applyFont="1" applyFill="1" applyBorder="1" applyAlignment="1" applyProtection="1">
      <alignment horizontal="center" vertical="center" wrapText="1"/>
    </xf>
    <xf numFmtId="168" fontId="0" fillId="2" borderId="1" xfId="0" applyNumberFormat="1" applyFont="1" applyFill="1" applyBorder="1" applyAlignment="1" applyProtection="1">
      <alignment horizontal="center" vertical="center" wrapText="1"/>
    </xf>
    <xf numFmtId="2" fontId="18" fillId="2" borderId="1" xfId="0" applyNumberFormat="1" applyFont="1" applyFill="1" applyBorder="1" applyAlignment="1" applyProtection="1">
      <alignment horizontal="center" vertical="center" wrapText="1"/>
    </xf>
    <xf numFmtId="4" fontId="18" fillId="2" borderId="1" xfId="0" applyNumberFormat="1" applyFont="1" applyFill="1" applyBorder="1" applyAlignment="1" applyProtection="1">
      <alignment horizontal="center" vertical="center" wrapText="1"/>
    </xf>
    <xf numFmtId="0" fontId="4" fillId="34" borderId="0" xfId="0" applyFont="1" applyFill="1" applyBorder="1" applyAlignment="1" applyProtection="1">
      <alignment vertical="center" wrapText="1"/>
    </xf>
    <xf numFmtId="0" fontId="6" fillId="34" borderId="0" xfId="0" applyFont="1" applyFill="1" applyBorder="1" applyAlignment="1" applyProtection="1">
      <alignment vertical="center" wrapText="1"/>
    </xf>
    <xf numFmtId="0" fontId="22" fillId="35" borderId="21" xfId="0" applyFont="1" applyFill="1" applyBorder="1" applyAlignment="1" applyProtection="1">
      <alignment vertical="center"/>
    </xf>
    <xf numFmtId="0" fontId="22" fillId="35" borderId="1" xfId="0" applyFont="1" applyFill="1" applyBorder="1" applyAlignment="1" applyProtection="1">
      <alignment vertical="center"/>
    </xf>
    <xf numFmtId="2" fontId="22" fillId="35" borderId="1" xfId="0" applyNumberFormat="1" applyFont="1" applyFill="1" applyBorder="1" applyAlignment="1" applyProtection="1">
      <alignment vertical="center"/>
    </xf>
    <xf numFmtId="4" fontId="22" fillId="35" borderId="1" xfId="0" applyNumberFormat="1" applyFont="1" applyFill="1" applyBorder="1" applyAlignment="1" applyProtection="1">
      <alignment horizontal="center" vertical="center"/>
    </xf>
    <xf numFmtId="166" fontId="3" fillId="35" borderId="1" xfId="0" applyNumberFormat="1" applyFont="1" applyFill="1" applyBorder="1" applyAlignment="1" applyProtection="1">
      <alignment horizontal="center" vertical="center" wrapText="1"/>
    </xf>
    <xf numFmtId="2" fontId="22" fillId="35" borderId="1" xfId="0" applyNumberFormat="1" applyFont="1" applyFill="1" applyBorder="1" applyAlignment="1" applyProtection="1">
      <alignment horizontal="center" vertical="center"/>
    </xf>
    <xf numFmtId="169" fontId="22" fillId="35" borderId="1" xfId="0" applyNumberFormat="1" applyFont="1" applyFill="1" applyBorder="1" applyAlignment="1" applyProtection="1">
      <alignment vertical="center"/>
    </xf>
    <xf numFmtId="168" fontId="22" fillId="35" borderId="1" xfId="0" applyNumberFormat="1" applyFont="1" applyFill="1" applyBorder="1" applyAlignment="1" applyProtection="1">
      <alignment vertical="center"/>
    </xf>
    <xf numFmtId="10" fontId="22" fillId="35" borderId="1" xfId="0" applyNumberFormat="1" applyFont="1" applyFill="1" applyBorder="1" applyAlignment="1" applyProtection="1">
      <alignment horizontal="center" vertical="center"/>
    </xf>
    <xf numFmtId="166" fontId="3" fillId="35" borderId="19" xfId="0" applyNumberFormat="1" applyFont="1" applyFill="1" applyBorder="1" applyAlignment="1" applyProtection="1">
      <alignment horizontal="center" vertical="center" wrapText="1"/>
    </xf>
    <xf numFmtId="166" fontId="3" fillId="2" borderId="19" xfId="0" applyNumberFormat="1" applyFont="1" applyFill="1" applyBorder="1" applyAlignment="1" applyProtection="1">
      <alignment horizontal="center" vertical="center" wrapText="1"/>
    </xf>
    <xf numFmtId="0" fontId="8" fillId="31" borderId="21" xfId="0" applyFont="1" applyFill="1" applyBorder="1" applyAlignment="1" applyProtection="1">
      <alignment vertical="center" wrapText="1"/>
    </xf>
    <xf numFmtId="0" fontId="22" fillId="31" borderId="1" xfId="0" applyFont="1" applyFill="1" applyBorder="1" applyAlignment="1" applyProtection="1">
      <alignment vertical="center"/>
    </xf>
    <xf numFmtId="2" fontId="22" fillId="31" borderId="1" xfId="0" applyNumberFormat="1" applyFont="1" applyFill="1" applyBorder="1" applyAlignment="1" applyProtection="1">
      <alignment vertical="center"/>
    </xf>
    <xf numFmtId="4" fontId="22" fillId="31" borderId="1" xfId="0" applyNumberFormat="1" applyFont="1" applyFill="1" applyBorder="1" applyAlignment="1" applyProtection="1">
      <alignment horizontal="center" vertical="center"/>
    </xf>
    <xf numFmtId="166" fontId="3" fillId="31" borderId="1" xfId="0" applyNumberFormat="1" applyFont="1" applyFill="1" applyBorder="1" applyAlignment="1" applyProtection="1">
      <alignment horizontal="center" vertical="center" wrapText="1"/>
    </xf>
    <xf numFmtId="169" fontId="22" fillId="31" borderId="1" xfId="0" applyNumberFormat="1" applyFont="1" applyFill="1" applyBorder="1" applyAlignment="1" applyProtection="1">
      <alignment vertical="center"/>
    </xf>
    <xf numFmtId="168" fontId="22" fillId="31" borderId="1" xfId="0" applyNumberFormat="1" applyFont="1" applyFill="1" applyBorder="1" applyAlignment="1" applyProtection="1">
      <alignment vertical="center"/>
    </xf>
    <xf numFmtId="10" fontId="22" fillId="31" borderId="1" xfId="0" applyNumberFormat="1" applyFont="1" applyFill="1" applyBorder="1" applyAlignment="1" applyProtection="1">
      <alignment horizontal="center" vertical="center"/>
    </xf>
    <xf numFmtId="2" fontId="22" fillId="31" borderId="1" xfId="0" applyNumberFormat="1" applyFont="1" applyFill="1" applyBorder="1" applyAlignment="1" applyProtection="1">
      <alignment horizontal="center" vertical="center"/>
    </xf>
    <xf numFmtId="166" fontId="3" fillId="31" borderId="19" xfId="0" applyNumberFormat="1" applyFont="1" applyFill="1" applyBorder="1" applyAlignment="1" applyProtection="1">
      <alignment horizontal="center" vertical="center" wrapText="1"/>
    </xf>
    <xf numFmtId="0" fontId="8" fillId="29" borderId="1" xfId="0" applyFont="1" applyFill="1" applyBorder="1" applyAlignment="1" applyProtection="1">
      <alignment vertical="center" wrapText="1"/>
    </xf>
    <xf numFmtId="2" fontId="8" fillId="29" borderId="1" xfId="0" applyNumberFormat="1" applyFont="1" applyFill="1" applyBorder="1" applyAlignment="1" applyProtection="1">
      <alignment vertical="center" wrapText="1"/>
    </xf>
    <xf numFmtId="4" fontId="8" fillId="29" borderId="1" xfId="0" applyNumberFormat="1" applyFont="1" applyFill="1" applyBorder="1" applyAlignment="1" applyProtection="1">
      <alignment horizontal="center" vertical="center" wrapText="1"/>
    </xf>
    <xf numFmtId="166" fontId="13" fillId="29" borderId="1" xfId="0" applyNumberFormat="1" applyFont="1" applyFill="1" applyBorder="1" applyAlignment="1" applyProtection="1">
      <alignment horizontal="center" vertical="center" wrapText="1"/>
    </xf>
    <xf numFmtId="169" fontId="8" fillId="29" borderId="1" xfId="0" applyNumberFormat="1" applyFont="1" applyFill="1" applyBorder="1" applyAlignment="1" applyProtection="1">
      <alignment vertical="center" wrapText="1"/>
    </xf>
    <xf numFmtId="168" fontId="8" fillId="29" borderId="1" xfId="0" applyNumberFormat="1" applyFont="1" applyFill="1" applyBorder="1" applyAlignment="1" applyProtection="1">
      <alignment vertical="center" wrapText="1"/>
    </xf>
    <xf numFmtId="10" fontId="8" fillId="29" borderId="1" xfId="0" applyNumberFormat="1" applyFont="1" applyFill="1" applyBorder="1" applyAlignment="1" applyProtection="1">
      <alignment horizontal="center" vertical="center" wrapText="1"/>
    </xf>
    <xf numFmtId="2" fontId="8" fillId="29" borderId="1" xfId="0" applyNumberFormat="1" applyFont="1" applyFill="1" applyBorder="1" applyAlignment="1" applyProtection="1">
      <alignment horizontal="center" vertical="center" wrapText="1"/>
    </xf>
    <xf numFmtId="166" fontId="13" fillId="29" borderId="19" xfId="0" applyNumberFormat="1" applyFont="1" applyFill="1" applyBorder="1" applyAlignment="1" applyProtection="1">
      <alignment horizontal="center" vertical="center" wrapText="1"/>
    </xf>
    <xf numFmtId="0" fontId="8" fillId="2" borderId="37" xfId="0" applyFont="1" applyFill="1" applyBorder="1" applyAlignment="1" applyProtection="1">
      <alignment vertical="center"/>
    </xf>
    <xf numFmtId="0" fontId="8" fillId="2" borderId="5" xfId="0" applyFont="1" applyFill="1" applyBorder="1" applyAlignment="1" applyProtection="1">
      <alignment vertical="center" wrapText="1"/>
    </xf>
    <xf numFmtId="2" fontId="8" fillId="2" borderId="5" xfId="0" applyNumberFormat="1" applyFont="1" applyFill="1" applyBorder="1" applyAlignment="1" applyProtection="1">
      <alignment vertical="center" wrapText="1"/>
    </xf>
    <xf numFmtId="4" fontId="8" fillId="2" borderId="5" xfId="0" applyNumberFormat="1" applyFont="1" applyFill="1" applyBorder="1" applyAlignment="1" applyProtection="1">
      <alignment horizontal="center" vertical="center" wrapText="1"/>
    </xf>
    <xf numFmtId="166" fontId="13" fillId="2" borderId="5" xfId="0" applyNumberFormat="1" applyFont="1" applyFill="1" applyBorder="1" applyAlignment="1" applyProtection="1">
      <alignment horizontal="center" vertical="center" wrapText="1"/>
    </xf>
    <xf numFmtId="169" fontId="8" fillId="2" borderId="5" xfId="0" applyNumberFormat="1" applyFont="1" applyFill="1" applyBorder="1" applyAlignment="1" applyProtection="1">
      <alignment vertical="center" wrapText="1"/>
    </xf>
    <xf numFmtId="168" fontId="8" fillId="2" borderId="5" xfId="0" applyNumberFormat="1" applyFont="1" applyFill="1" applyBorder="1" applyAlignment="1" applyProtection="1">
      <alignment vertical="center" wrapText="1"/>
    </xf>
    <xf numFmtId="10" fontId="8" fillId="2" borderId="5" xfId="0" applyNumberFormat="1" applyFont="1" applyFill="1" applyBorder="1" applyAlignment="1" applyProtection="1">
      <alignment horizontal="center" vertical="center" wrapText="1"/>
    </xf>
    <xf numFmtId="2" fontId="8" fillId="2" borderId="5" xfId="0" applyNumberFormat="1" applyFont="1" applyFill="1" applyBorder="1" applyAlignment="1" applyProtection="1">
      <alignment horizontal="center" vertical="center" wrapText="1"/>
    </xf>
    <xf numFmtId="166" fontId="13" fillId="2" borderId="24" xfId="0" applyNumberFormat="1" applyFont="1" applyFill="1" applyBorder="1" applyAlignment="1" applyProtection="1">
      <alignment horizontal="center" vertical="center" wrapText="1"/>
    </xf>
    <xf numFmtId="0" fontId="8" fillId="2" borderId="26" xfId="0" applyFont="1" applyFill="1" applyBorder="1" applyAlignment="1" applyProtection="1">
      <alignment vertical="center" wrapText="1"/>
    </xf>
    <xf numFmtId="0" fontId="8" fillId="2" borderId="7" xfId="0" applyFont="1" applyFill="1" applyBorder="1" applyAlignment="1" applyProtection="1">
      <alignment vertical="center" wrapText="1"/>
    </xf>
    <xf numFmtId="2" fontId="8" fillId="2" borderId="7" xfId="0" applyNumberFormat="1" applyFont="1" applyFill="1" applyBorder="1" applyAlignment="1" applyProtection="1">
      <alignment vertical="center" wrapText="1"/>
    </xf>
    <xf numFmtId="4" fontId="8" fillId="2" borderId="7" xfId="0" applyNumberFormat="1" applyFont="1" applyFill="1" applyBorder="1" applyAlignment="1" applyProtection="1">
      <alignment horizontal="center" vertical="center" wrapText="1"/>
    </xf>
    <xf numFmtId="166" fontId="13" fillId="2" borderId="7" xfId="0" applyNumberFormat="1" applyFont="1" applyFill="1" applyBorder="1" applyAlignment="1" applyProtection="1">
      <alignment horizontal="center" vertical="center" wrapText="1"/>
    </xf>
    <xf numFmtId="169" fontId="8" fillId="2" borderId="7" xfId="0" applyNumberFormat="1" applyFont="1" applyFill="1" applyBorder="1" applyAlignment="1" applyProtection="1">
      <alignment vertical="center" wrapText="1"/>
    </xf>
    <xf numFmtId="168" fontId="8" fillId="2" borderId="7" xfId="0" applyNumberFormat="1" applyFont="1" applyFill="1" applyBorder="1" applyAlignment="1" applyProtection="1">
      <alignment vertical="center" wrapText="1"/>
    </xf>
    <xf numFmtId="10" fontId="8" fillId="2" borderId="7" xfId="0" applyNumberFormat="1" applyFont="1" applyFill="1" applyBorder="1" applyAlignment="1" applyProtection="1">
      <alignment horizontal="center" vertical="center" wrapText="1"/>
    </xf>
    <xf numFmtId="2" fontId="8" fillId="2" borderId="7" xfId="0" applyNumberFormat="1" applyFont="1" applyFill="1" applyBorder="1" applyAlignment="1" applyProtection="1">
      <alignment horizontal="center" vertical="center" wrapText="1"/>
    </xf>
    <xf numFmtId="166" fontId="13" fillId="2" borderId="25" xfId="0" applyNumberFormat="1"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wrapText="1"/>
    </xf>
    <xf numFmtId="0" fontId="18" fillId="2" borderId="21" xfId="0" applyFont="1" applyFill="1" applyBorder="1" applyAlignment="1" applyProtection="1">
      <alignment vertical="center" wrapText="1"/>
    </xf>
    <xf numFmtId="169" fontId="0" fillId="2" borderId="1" xfId="0" applyNumberFormat="1" applyFont="1" applyFill="1" applyBorder="1" applyAlignment="1" applyProtection="1">
      <alignment horizontal="center" vertical="center" wrapText="1"/>
    </xf>
    <xf numFmtId="0" fontId="26" fillId="2" borderId="39" xfId="0" applyFont="1" applyFill="1" applyBorder="1" applyAlignment="1" applyProtection="1">
      <alignment horizontal="center" vertical="center"/>
    </xf>
    <xf numFmtId="4" fontId="26" fillId="2" borderId="39" xfId="0" applyNumberFormat="1" applyFont="1" applyFill="1" applyBorder="1" applyAlignment="1" applyProtection="1">
      <alignment horizontal="center" vertical="center"/>
    </xf>
    <xf numFmtId="1" fontId="26" fillId="2" borderId="39" xfId="0" applyNumberFormat="1" applyFont="1" applyFill="1" applyBorder="1" applyAlignment="1" applyProtection="1">
      <alignment horizontal="center" vertical="center"/>
    </xf>
    <xf numFmtId="10" fontId="26" fillId="2" borderId="39" xfId="0" applyNumberFormat="1" applyFont="1" applyFill="1" applyBorder="1" applyAlignment="1" applyProtection="1">
      <alignment horizontal="center" vertical="center"/>
    </xf>
    <xf numFmtId="2" fontId="26" fillId="2" borderId="39" xfId="0" applyNumberFormat="1" applyFont="1" applyFill="1" applyBorder="1" applyAlignment="1" applyProtection="1">
      <alignment horizontal="center" vertical="center"/>
    </xf>
    <xf numFmtId="169" fontId="26" fillId="2" borderId="39" xfId="0" applyNumberFormat="1" applyFont="1" applyFill="1" applyBorder="1" applyAlignment="1" applyProtection="1">
      <alignment horizontal="center" vertical="center"/>
    </xf>
    <xf numFmtId="168" fontId="26" fillId="2" borderId="39" xfId="0" applyNumberFormat="1"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4" fontId="22" fillId="2" borderId="8" xfId="0" applyNumberFormat="1" applyFont="1" applyFill="1" applyBorder="1" applyAlignment="1" applyProtection="1">
      <alignment horizontal="center" vertical="center"/>
    </xf>
    <xf numFmtId="1" fontId="22" fillId="2" borderId="8" xfId="0" applyNumberFormat="1" applyFont="1" applyFill="1" applyBorder="1" applyAlignment="1" applyProtection="1">
      <alignment horizontal="center" vertical="center"/>
    </xf>
    <xf numFmtId="10" fontId="22" fillId="2" borderId="8" xfId="0" applyNumberFormat="1" applyFont="1" applyFill="1" applyBorder="1" applyAlignment="1" applyProtection="1">
      <alignment horizontal="center" vertical="center"/>
    </xf>
    <xf numFmtId="2" fontId="22" fillId="2" borderId="8" xfId="0" applyNumberFormat="1" applyFont="1" applyFill="1" applyBorder="1" applyAlignment="1" applyProtection="1">
      <alignment horizontal="center" vertical="center"/>
    </xf>
    <xf numFmtId="169" fontId="22" fillId="2" borderId="8" xfId="0" applyNumberFormat="1" applyFont="1" applyFill="1" applyBorder="1" applyAlignment="1" applyProtection="1">
      <alignment horizontal="center" vertical="center"/>
    </xf>
    <xf numFmtId="168" fontId="22" fillId="2" borderId="8" xfId="0" applyNumberFormat="1" applyFont="1" applyFill="1" applyBorder="1" applyAlignment="1" applyProtection="1">
      <alignment horizontal="center" vertical="center"/>
    </xf>
    <xf numFmtId="0" fontId="8" fillId="10" borderId="53" xfId="0" applyFont="1" applyFill="1" applyBorder="1" applyAlignment="1" applyProtection="1">
      <alignment vertical="center" wrapText="1"/>
    </xf>
    <xf numFmtId="2" fontId="8" fillId="10" borderId="53" xfId="0" applyNumberFormat="1" applyFont="1" applyFill="1" applyBorder="1" applyAlignment="1" applyProtection="1">
      <alignment vertical="center" wrapText="1"/>
    </xf>
    <xf numFmtId="4" fontId="8" fillId="10" borderId="53" xfId="0" applyNumberFormat="1" applyFont="1" applyFill="1" applyBorder="1" applyAlignment="1" applyProtection="1">
      <alignment horizontal="center" vertical="center" wrapText="1"/>
    </xf>
    <xf numFmtId="166" fontId="13" fillId="10" borderId="53" xfId="0" applyNumberFormat="1" applyFont="1" applyFill="1" applyBorder="1" applyAlignment="1" applyProtection="1">
      <alignment horizontal="center" vertical="center" wrapText="1"/>
    </xf>
    <xf numFmtId="169" fontId="8" fillId="10" borderId="53" xfId="0" applyNumberFormat="1" applyFont="1" applyFill="1" applyBorder="1" applyAlignment="1" applyProtection="1">
      <alignment vertical="center" wrapText="1"/>
    </xf>
    <xf numFmtId="168" fontId="8" fillId="10" borderId="53" xfId="0" applyNumberFormat="1" applyFont="1" applyFill="1" applyBorder="1" applyAlignment="1" applyProtection="1">
      <alignment vertical="center" wrapText="1"/>
    </xf>
    <xf numFmtId="10" fontId="8" fillId="10" borderId="53" xfId="0" applyNumberFormat="1" applyFont="1" applyFill="1" applyBorder="1" applyAlignment="1" applyProtection="1">
      <alignment horizontal="center" vertical="center" wrapText="1"/>
    </xf>
    <xf numFmtId="2" fontId="8" fillId="10" borderId="53" xfId="0" applyNumberFormat="1" applyFont="1" applyFill="1" applyBorder="1" applyAlignment="1" applyProtection="1">
      <alignment horizontal="center" vertical="center" wrapText="1"/>
    </xf>
    <xf numFmtId="4" fontId="22" fillId="9" borderId="50" xfId="0" applyNumberFormat="1" applyFont="1" applyFill="1" applyBorder="1" applyAlignment="1" applyProtection="1">
      <alignment horizontal="center" vertical="center" wrapText="1"/>
    </xf>
    <xf numFmtId="10" fontId="22" fillId="9" borderId="50" xfId="0" applyNumberFormat="1" applyFont="1" applyFill="1" applyBorder="1" applyAlignment="1" applyProtection="1">
      <alignment horizontal="center" vertical="center" wrapText="1"/>
    </xf>
    <xf numFmtId="4" fontId="12" fillId="9" borderId="50" xfId="0" applyNumberFormat="1" applyFont="1" applyFill="1" applyBorder="1" applyAlignment="1" applyProtection="1">
      <alignment horizontal="center" vertical="center" wrapText="1"/>
    </xf>
    <xf numFmtId="2" fontId="22" fillId="9" borderId="50" xfId="0" applyNumberFormat="1" applyFont="1" applyFill="1" applyBorder="1" applyAlignment="1" applyProtection="1">
      <alignment horizontal="center" vertical="center" wrapText="1"/>
    </xf>
    <xf numFmtId="168" fontId="22" fillId="9" borderId="50" xfId="0" applyNumberFormat="1" applyFont="1" applyFill="1" applyBorder="1" applyAlignment="1" applyProtection="1">
      <alignment horizontal="center" vertical="center" wrapText="1"/>
    </xf>
    <xf numFmtId="0" fontId="18" fillId="0" borderId="50" xfId="0" applyFont="1" applyFill="1" applyBorder="1" applyAlignment="1" applyProtection="1">
      <alignment horizontal="center" vertical="center" wrapText="1"/>
      <protection locked="0"/>
    </xf>
    <xf numFmtId="170" fontId="18" fillId="12" borderId="50" xfId="0" applyNumberFormat="1" applyFont="1" applyFill="1" applyBorder="1" applyAlignment="1" applyProtection="1">
      <alignment horizontal="center" vertical="center" wrapText="1"/>
    </xf>
    <xf numFmtId="1" fontId="18" fillId="12" borderId="50" xfId="0" applyNumberFormat="1" applyFont="1" applyFill="1" applyBorder="1" applyAlignment="1" applyProtection="1">
      <alignment horizontal="center" vertical="center" wrapText="1"/>
    </xf>
    <xf numFmtId="2" fontId="0" fillId="12" borderId="50" xfId="0" applyNumberFormat="1" applyFont="1" applyFill="1" applyBorder="1" applyAlignment="1" applyProtection="1">
      <alignment horizontal="center" vertical="center" wrapText="1"/>
    </xf>
    <xf numFmtId="169" fontId="18" fillId="12" borderId="50" xfId="0" applyNumberFormat="1" applyFont="1" applyFill="1" applyBorder="1" applyAlignment="1" applyProtection="1">
      <alignment horizontal="center" vertical="center" wrapText="1"/>
    </xf>
    <xf numFmtId="168" fontId="0" fillId="12" borderId="50" xfId="0" applyNumberFormat="1" applyFont="1" applyFill="1" applyBorder="1" applyAlignment="1" applyProtection="1">
      <alignment horizontal="center" vertical="center" wrapText="1"/>
    </xf>
    <xf numFmtId="2" fontId="18" fillId="12" borderId="50" xfId="0" applyNumberFormat="1" applyFont="1" applyFill="1" applyBorder="1" applyAlignment="1" applyProtection="1">
      <alignment horizontal="center" vertical="center" wrapText="1"/>
    </xf>
    <xf numFmtId="0" fontId="18" fillId="3" borderId="50" xfId="0" applyFont="1" applyFill="1" applyBorder="1" applyAlignment="1" applyProtection="1">
      <alignment horizontal="center" vertical="center" wrapText="1"/>
      <protection locked="0"/>
    </xf>
    <xf numFmtId="174" fontId="0" fillId="12" borderId="50" xfId="0" applyNumberFormat="1" applyFont="1" applyFill="1" applyBorder="1" applyAlignment="1" applyProtection="1">
      <alignment horizontal="center" vertical="center" wrapText="1"/>
    </xf>
    <xf numFmtId="173" fontId="18" fillId="12" borderId="50" xfId="0" applyNumberFormat="1" applyFont="1" applyFill="1" applyBorder="1" applyAlignment="1" applyProtection="1">
      <alignment horizontal="center" vertical="center" wrapText="1"/>
    </xf>
    <xf numFmtId="173" fontId="0" fillId="12" borderId="50" xfId="0" applyNumberFormat="1" applyFont="1" applyFill="1" applyBorder="1" applyAlignment="1" applyProtection="1">
      <alignment horizontal="center" vertical="center" wrapText="1"/>
    </xf>
    <xf numFmtId="168" fontId="18" fillId="12" borderId="50" xfId="0" applyNumberFormat="1" applyFont="1" applyFill="1" applyBorder="1" applyAlignment="1" applyProtection="1">
      <alignment horizontal="center" vertical="center" wrapText="1"/>
    </xf>
    <xf numFmtId="0" fontId="22" fillId="9" borderId="50" xfId="0" applyFont="1" applyFill="1" applyBorder="1" applyAlignment="1" applyProtection="1">
      <alignment vertical="center"/>
    </xf>
    <xf numFmtId="2" fontId="22" fillId="9" borderId="50" xfId="0" applyNumberFormat="1" applyFont="1" applyFill="1" applyBorder="1" applyAlignment="1" applyProtection="1">
      <alignment vertical="center"/>
    </xf>
    <xf numFmtId="4" fontId="22" fillId="9" borderId="50" xfId="0" applyNumberFormat="1" applyFont="1" applyFill="1" applyBorder="1" applyAlignment="1" applyProtection="1">
      <alignment horizontal="center" vertical="center"/>
    </xf>
    <xf numFmtId="166" fontId="3" fillId="9" borderId="50" xfId="0" applyNumberFormat="1" applyFont="1" applyFill="1" applyBorder="1" applyAlignment="1" applyProtection="1">
      <alignment horizontal="center" vertical="center" wrapText="1"/>
    </xf>
    <xf numFmtId="2" fontId="22" fillId="9" borderId="50" xfId="0" applyNumberFormat="1" applyFont="1" applyFill="1" applyBorder="1" applyAlignment="1" applyProtection="1">
      <alignment horizontal="center" vertical="center"/>
    </xf>
    <xf numFmtId="169" fontId="22" fillId="9" borderId="50" xfId="0" applyNumberFormat="1" applyFont="1" applyFill="1" applyBorder="1" applyAlignment="1" applyProtection="1">
      <alignment vertical="center"/>
    </xf>
    <xf numFmtId="168" fontId="22" fillId="9" borderId="50" xfId="0" applyNumberFormat="1" applyFont="1" applyFill="1" applyBorder="1" applyAlignment="1" applyProtection="1">
      <alignment vertical="center"/>
    </xf>
    <xf numFmtId="10" fontId="22" fillId="9" borderId="50" xfId="0" applyNumberFormat="1" applyFont="1" applyFill="1" applyBorder="1" applyAlignment="1" applyProtection="1">
      <alignment horizontal="center" vertical="center"/>
    </xf>
    <xf numFmtId="0" fontId="8" fillId="8" borderId="50" xfId="0" applyFont="1" applyFill="1" applyBorder="1" applyAlignment="1" applyProtection="1">
      <alignment vertical="center" wrapText="1"/>
    </xf>
    <xf numFmtId="2" fontId="8" fillId="8" borderId="50" xfId="0" applyNumberFormat="1" applyFont="1" applyFill="1" applyBorder="1" applyAlignment="1" applyProtection="1">
      <alignment vertical="center" wrapText="1"/>
    </xf>
    <xf numFmtId="4" fontId="8" fillId="8" borderId="50" xfId="0" applyNumberFormat="1" applyFont="1" applyFill="1" applyBorder="1" applyAlignment="1" applyProtection="1">
      <alignment horizontal="center" vertical="center" wrapText="1"/>
    </xf>
    <xf numFmtId="166" fontId="13" fillId="8" borderId="50" xfId="0" applyNumberFormat="1" applyFont="1" applyFill="1" applyBorder="1" applyAlignment="1" applyProtection="1">
      <alignment horizontal="center" vertical="center" wrapText="1"/>
    </xf>
    <xf numFmtId="169" fontId="8" fillId="8" borderId="50" xfId="0" applyNumberFormat="1" applyFont="1" applyFill="1" applyBorder="1" applyAlignment="1" applyProtection="1">
      <alignment vertical="center" wrapText="1"/>
    </xf>
    <xf numFmtId="168" fontId="8" fillId="8" borderId="50" xfId="0" applyNumberFormat="1" applyFont="1" applyFill="1" applyBorder="1" applyAlignment="1" applyProtection="1">
      <alignment vertical="center" wrapText="1"/>
    </xf>
    <xf numFmtId="10" fontId="8" fillId="8" borderId="50" xfId="0" applyNumberFormat="1" applyFont="1" applyFill="1" applyBorder="1" applyAlignment="1" applyProtection="1">
      <alignment horizontal="center" vertical="center" wrapText="1"/>
    </xf>
    <xf numFmtId="2" fontId="8" fillId="8" borderId="50" xfId="0" applyNumberFormat="1" applyFont="1" applyFill="1" applyBorder="1" applyAlignment="1" applyProtection="1">
      <alignment horizontal="center" vertical="center" wrapText="1"/>
    </xf>
    <xf numFmtId="0" fontId="8" fillId="10" borderId="51" xfId="0" applyFont="1" applyFill="1" applyBorder="1" applyAlignment="1" applyProtection="1">
      <alignment vertical="center" wrapText="1"/>
    </xf>
    <xf numFmtId="0" fontId="8" fillId="10" borderId="45" xfId="0" applyFont="1" applyFill="1" applyBorder="1" applyAlignment="1" applyProtection="1">
      <alignment vertical="center" wrapText="1"/>
    </xf>
    <xf numFmtId="2" fontId="8" fillId="10" borderId="45" xfId="0" applyNumberFormat="1" applyFont="1" applyFill="1" applyBorder="1" applyAlignment="1" applyProtection="1">
      <alignment vertical="center" wrapText="1"/>
    </xf>
    <xf numFmtId="4" fontId="8" fillId="10" borderId="45" xfId="0" applyNumberFormat="1" applyFont="1" applyFill="1" applyBorder="1" applyAlignment="1" applyProtection="1">
      <alignment horizontal="center" vertical="center" wrapText="1"/>
    </xf>
    <xf numFmtId="166" fontId="13" fillId="10" borderId="45" xfId="0" applyNumberFormat="1" applyFont="1" applyFill="1" applyBorder="1" applyAlignment="1" applyProtection="1">
      <alignment horizontal="center" vertical="center" wrapText="1"/>
    </xf>
    <xf numFmtId="169" fontId="8" fillId="10" borderId="45" xfId="0" applyNumberFormat="1" applyFont="1" applyFill="1" applyBorder="1" applyAlignment="1" applyProtection="1">
      <alignment vertical="center" wrapText="1"/>
    </xf>
    <xf numFmtId="168" fontId="8" fillId="10" borderId="45" xfId="0" applyNumberFormat="1" applyFont="1" applyFill="1" applyBorder="1" applyAlignment="1" applyProtection="1">
      <alignment vertical="center" wrapText="1"/>
    </xf>
    <xf numFmtId="10" fontId="8" fillId="10" borderId="45" xfId="0" applyNumberFormat="1" applyFont="1" applyFill="1" applyBorder="1" applyAlignment="1" applyProtection="1">
      <alignment horizontal="center" vertical="center" wrapText="1"/>
    </xf>
    <xf numFmtId="2" fontId="8" fillId="10" borderId="45" xfId="0" applyNumberFormat="1" applyFont="1" applyFill="1" applyBorder="1" applyAlignment="1" applyProtection="1">
      <alignment horizontal="center" vertical="center" wrapText="1"/>
    </xf>
    <xf numFmtId="166" fontId="13" fillId="10" borderId="60" xfId="0" applyNumberFormat="1" applyFont="1" applyFill="1" applyBorder="1" applyAlignment="1" applyProtection="1">
      <alignment horizontal="center" vertical="center" wrapText="1"/>
    </xf>
    <xf numFmtId="0" fontId="26" fillId="3" borderId="30" xfId="0" applyFont="1" applyFill="1" applyBorder="1" applyAlignment="1" applyProtection="1">
      <alignment horizontal="center" vertical="center"/>
    </xf>
    <xf numFmtId="10" fontId="26" fillId="3" borderId="59" xfId="0" applyNumberFormat="1" applyFont="1" applyFill="1" applyBorder="1" applyAlignment="1" applyProtection="1">
      <alignment horizontal="center" vertical="center"/>
    </xf>
    <xf numFmtId="169" fontId="0" fillId="12" borderId="50" xfId="0" applyNumberFormat="1" applyFont="1" applyFill="1" applyBorder="1" applyAlignment="1" applyProtection="1">
      <alignment horizontal="center" vertical="center" wrapText="1"/>
    </xf>
    <xf numFmtId="0" fontId="24" fillId="3" borderId="21" xfId="0" applyFont="1" applyFill="1" applyBorder="1" applyAlignment="1" applyProtection="1">
      <alignment horizontal="center" vertical="center"/>
    </xf>
    <xf numFmtId="0" fontId="24" fillId="3" borderId="50" xfId="0" applyFont="1" applyFill="1" applyBorder="1" applyAlignment="1" applyProtection="1">
      <alignment horizontal="center" vertical="center"/>
    </xf>
    <xf numFmtId="4" fontId="24" fillId="3" borderId="50" xfId="0" applyNumberFormat="1" applyFont="1" applyFill="1" applyBorder="1" applyAlignment="1" applyProtection="1">
      <alignment horizontal="center" vertical="center"/>
    </xf>
    <xf numFmtId="1" fontId="24" fillId="3" borderId="50" xfId="0" applyNumberFormat="1" applyFont="1" applyFill="1" applyBorder="1" applyAlignment="1" applyProtection="1">
      <alignment horizontal="center" vertical="center"/>
    </xf>
    <xf numFmtId="10" fontId="24" fillId="3" borderId="50" xfId="0" applyNumberFormat="1" applyFont="1" applyFill="1" applyBorder="1" applyAlignment="1" applyProtection="1">
      <alignment horizontal="center" vertical="center"/>
    </xf>
    <xf numFmtId="10" fontId="24" fillId="3" borderId="19" xfId="0" applyNumberFormat="1" applyFont="1" applyFill="1" applyBorder="1" applyAlignment="1" applyProtection="1">
      <alignment horizontal="center" vertical="center"/>
    </xf>
    <xf numFmtId="0" fontId="27" fillId="11" borderId="23" xfId="0" applyFont="1" applyFill="1" applyBorder="1" applyAlignment="1" applyProtection="1">
      <alignment vertical="center"/>
    </xf>
    <xf numFmtId="2" fontId="27" fillId="11" borderId="23" xfId="0" applyNumberFormat="1" applyFont="1" applyFill="1" applyBorder="1" applyAlignment="1" applyProtection="1">
      <alignment horizontal="center" vertical="center"/>
    </xf>
    <xf numFmtId="0" fontId="4" fillId="10" borderId="63" xfId="0" applyFont="1" applyFill="1" applyBorder="1" applyAlignment="1" applyProtection="1">
      <alignment vertical="center"/>
    </xf>
    <xf numFmtId="0" fontId="31" fillId="10" borderId="65" xfId="0" applyFont="1" applyFill="1" applyBorder="1" applyAlignment="1" applyProtection="1">
      <alignment vertical="center"/>
    </xf>
    <xf numFmtId="0" fontId="31" fillId="10" borderId="65" xfId="0" applyFont="1" applyFill="1" applyBorder="1" applyAlignment="1" applyProtection="1">
      <alignment horizontal="center" vertical="center"/>
    </xf>
    <xf numFmtId="0" fontId="31" fillId="10" borderId="62" xfId="0" applyFont="1" applyFill="1" applyBorder="1" applyAlignment="1" applyProtection="1">
      <alignment vertical="center"/>
    </xf>
    <xf numFmtId="0" fontId="7" fillId="29" borderId="21" xfId="0" applyFont="1" applyFill="1" applyBorder="1" applyAlignment="1" applyProtection="1">
      <alignment vertical="center"/>
    </xf>
    <xf numFmtId="0" fontId="4" fillId="39" borderId="0" xfId="0" applyFont="1" applyFill="1" applyBorder="1" applyAlignment="1" applyProtection="1">
      <alignment vertical="center" wrapText="1"/>
    </xf>
    <xf numFmtId="0" fontId="6" fillId="39" borderId="0" xfId="0" applyFont="1" applyFill="1" applyBorder="1" applyAlignment="1" applyProtection="1">
      <alignment vertical="center" wrapText="1"/>
    </xf>
    <xf numFmtId="0" fontId="0" fillId="39" borderId="0" xfId="0" applyFill="1" applyAlignment="1">
      <alignment vertical="center" wrapText="1"/>
    </xf>
    <xf numFmtId="0" fontId="33" fillId="31" borderId="1" xfId="0" applyNumberFormat="1" applyFont="1" applyFill="1" applyBorder="1" applyAlignment="1" applyProtection="1">
      <alignment horizontal="center" vertical="center" wrapText="1"/>
    </xf>
    <xf numFmtId="0" fontId="4" fillId="39" borderId="0" xfId="0" applyFont="1" applyFill="1" applyBorder="1" applyAlignment="1" applyProtection="1">
      <alignment vertical="center"/>
    </xf>
    <xf numFmtId="2" fontId="3" fillId="31" borderId="1" xfId="0" applyNumberFormat="1" applyFont="1" applyFill="1" applyBorder="1" applyAlignment="1" applyProtection="1">
      <alignment horizontal="center" vertical="center"/>
    </xf>
    <xf numFmtId="171" fontId="3" fillId="31" borderId="1" xfId="0" applyNumberFormat="1" applyFont="1" applyFill="1" applyBorder="1" applyAlignment="1" applyProtection="1">
      <alignment horizontal="center" vertical="center"/>
    </xf>
    <xf numFmtId="171" fontId="3" fillId="31" borderId="19" xfId="0" applyNumberFormat="1" applyFont="1" applyFill="1" applyBorder="1" applyAlignment="1" applyProtection="1">
      <alignment horizontal="center" vertical="center"/>
    </xf>
    <xf numFmtId="166" fontId="7" fillId="2" borderId="33" xfId="0" applyNumberFormat="1" applyFont="1" applyFill="1" applyBorder="1" applyAlignment="1" applyProtection="1">
      <alignment vertical="center" wrapText="1"/>
    </xf>
    <xf numFmtId="166" fontId="7" fillId="2" borderId="34" xfId="0" applyNumberFormat="1" applyFont="1" applyFill="1" applyBorder="1" applyAlignment="1" applyProtection="1">
      <alignment vertical="center" wrapText="1"/>
    </xf>
    <xf numFmtId="166" fontId="7" fillId="2" borderId="35" xfId="0" applyNumberFormat="1" applyFont="1" applyFill="1" applyBorder="1" applyAlignment="1" applyProtection="1">
      <alignment vertical="center" wrapText="1"/>
    </xf>
    <xf numFmtId="0" fontId="0" fillId="2" borderId="1" xfId="0" applyFill="1" applyBorder="1" applyAlignment="1" applyProtection="1">
      <alignment horizontal="center" vertical="center" wrapText="1"/>
    </xf>
    <xf numFmtId="2" fontId="31" fillId="39" borderId="31" xfId="0" applyNumberFormat="1" applyFont="1" applyFill="1" applyBorder="1" applyAlignment="1" applyProtection="1">
      <alignment horizontal="center" vertical="center"/>
    </xf>
    <xf numFmtId="171" fontId="31" fillId="39" borderId="31" xfId="0" applyNumberFormat="1" applyFont="1" applyFill="1" applyBorder="1" applyAlignment="1" applyProtection="1">
      <alignment horizontal="center" vertical="center"/>
    </xf>
    <xf numFmtId="171" fontId="31" fillId="39" borderId="32" xfId="0" applyNumberFormat="1" applyFont="1" applyFill="1" applyBorder="1" applyAlignment="1" applyProtection="1">
      <alignment horizontal="center" vertical="center"/>
    </xf>
    <xf numFmtId="0" fontId="4" fillId="42" borderId="22" xfId="0" applyFont="1" applyFill="1" applyBorder="1" applyAlignment="1" applyProtection="1">
      <alignment vertical="center"/>
    </xf>
    <xf numFmtId="0" fontId="24" fillId="42" borderId="23" xfId="0" applyFont="1" applyFill="1" applyBorder="1" applyAlignment="1" applyProtection="1">
      <alignment vertical="center"/>
    </xf>
    <xf numFmtId="2" fontId="24" fillId="42" borderId="23" xfId="0" applyNumberFormat="1" applyFont="1" applyFill="1" applyBorder="1" applyAlignment="1" applyProtection="1">
      <alignment vertical="center"/>
    </xf>
    <xf numFmtId="4" fontId="7" fillId="42" borderId="23" xfId="0" applyNumberFormat="1" applyFont="1" applyFill="1" applyBorder="1" applyAlignment="1" applyProtection="1">
      <alignment horizontal="center" vertical="center"/>
    </xf>
    <xf numFmtId="166" fontId="32" fillId="42" borderId="23" xfId="0" applyNumberFormat="1" applyFont="1" applyFill="1" applyBorder="1" applyAlignment="1" applyProtection="1">
      <alignment horizontal="center" vertical="center" wrapText="1"/>
    </xf>
    <xf numFmtId="169" fontId="24" fillId="42" borderId="23" xfId="0" applyNumberFormat="1" applyFont="1" applyFill="1" applyBorder="1" applyAlignment="1" applyProtection="1">
      <alignment vertical="center"/>
    </xf>
    <xf numFmtId="168" fontId="24" fillId="42" borderId="23" xfId="0" applyNumberFormat="1" applyFont="1" applyFill="1" applyBorder="1" applyAlignment="1" applyProtection="1">
      <alignment vertical="center"/>
    </xf>
    <xf numFmtId="10" fontId="24" fillId="42" borderId="23" xfId="0" applyNumberFormat="1" applyFont="1" applyFill="1" applyBorder="1" applyAlignment="1" applyProtection="1">
      <alignment horizontal="center" vertical="center"/>
    </xf>
    <xf numFmtId="2" fontId="24" fillId="42" borderId="23" xfId="0" applyNumberFormat="1" applyFont="1" applyFill="1" applyBorder="1" applyAlignment="1" applyProtection="1">
      <alignment horizontal="center" vertical="center"/>
    </xf>
    <xf numFmtId="166" fontId="25" fillId="42" borderId="20" xfId="0" applyNumberFormat="1" applyFont="1" applyFill="1" applyBorder="1" applyAlignment="1" applyProtection="1">
      <alignment horizontal="center" vertical="center" wrapText="1"/>
    </xf>
    <xf numFmtId="0" fontId="4" fillId="42" borderId="15" xfId="0" applyFont="1" applyFill="1" applyBorder="1" applyAlignment="1" applyProtection="1">
      <alignment vertical="center"/>
    </xf>
    <xf numFmtId="0" fontId="31" fillId="42" borderId="14" xfId="0" applyFont="1" applyFill="1" applyBorder="1" applyAlignment="1" applyProtection="1">
      <alignment vertical="center"/>
    </xf>
    <xf numFmtId="0" fontId="31" fillId="42" borderId="65" xfId="0" applyFont="1" applyFill="1" applyBorder="1" applyAlignment="1" applyProtection="1">
      <alignment horizontal="center" vertical="center"/>
    </xf>
    <xf numFmtId="0" fontId="31" fillId="42" borderId="62" xfId="0" applyFont="1" applyFill="1" applyBorder="1" applyAlignment="1" applyProtection="1">
      <alignment vertical="center"/>
    </xf>
    <xf numFmtId="2" fontId="31" fillId="42" borderId="31" xfId="0" applyNumberFormat="1" applyFont="1" applyFill="1" applyBorder="1" applyAlignment="1" applyProtection="1">
      <alignment horizontal="center" vertical="center"/>
    </xf>
    <xf numFmtId="171" fontId="31" fillId="42" borderId="31" xfId="0" applyNumberFormat="1" applyFont="1" applyFill="1" applyBorder="1" applyAlignment="1" applyProtection="1">
      <alignment horizontal="center" vertical="center"/>
    </xf>
    <xf numFmtId="0" fontId="33" fillId="6" borderId="50" xfId="0" applyNumberFormat="1" applyFont="1" applyFill="1" applyBorder="1" applyAlignment="1" applyProtection="1">
      <alignment horizontal="left" vertical="center" wrapText="1"/>
    </xf>
    <xf numFmtId="0" fontId="8" fillId="6" borderId="21" xfId="0" applyFont="1" applyFill="1" applyBorder="1" applyAlignment="1" applyProtection="1">
      <alignment vertical="center"/>
    </xf>
    <xf numFmtId="166" fontId="13" fillId="6" borderId="19" xfId="0" applyNumberFormat="1" applyFont="1" applyFill="1" applyBorder="1" applyAlignment="1" applyProtection="1">
      <alignment horizontal="center" vertical="center" wrapText="1"/>
    </xf>
    <xf numFmtId="0" fontId="31" fillId="6" borderId="16" xfId="0" applyNumberFormat="1" applyFont="1" applyFill="1" applyBorder="1" applyAlignment="1" applyProtection="1">
      <alignment vertical="center" wrapText="1"/>
    </xf>
    <xf numFmtId="0" fontId="31" fillId="6" borderId="17" xfId="0" applyNumberFormat="1" applyFont="1" applyFill="1" applyBorder="1" applyAlignment="1" applyProtection="1">
      <alignment vertical="center" wrapText="1"/>
    </xf>
    <xf numFmtId="0" fontId="31" fillId="6" borderId="18" xfId="0" applyNumberFormat="1" applyFont="1" applyFill="1" applyBorder="1" applyAlignment="1" applyProtection="1">
      <alignment vertical="center" wrapText="1"/>
    </xf>
    <xf numFmtId="0" fontId="3" fillId="6" borderId="37" xfId="0" applyFont="1" applyFill="1" applyBorder="1" applyAlignment="1" applyProtection="1">
      <alignment vertical="center"/>
    </xf>
    <xf numFmtId="0" fontId="3" fillId="6" borderId="53" xfId="0" applyFont="1" applyFill="1" applyBorder="1" applyAlignment="1" applyProtection="1">
      <alignment vertical="center"/>
    </xf>
    <xf numFmtId="0" fontId="3" fillId="6" borderId="54" xfId="0" applyFont="1" applyFill="1" applyBorder="1" applyAlignment="1" applyProtection="1">
      <alignment vertical="center"/>
    </xf>
    <xf numFmtId="171" fontId="3" fillId="6" borderId="19" xfId="0" applyNumberFormat="1" applyFont="1" applyFill="1" applyBorder="1" applyAlignment="1" applyProtection="1">
      <alignment horizontal="center" vertical="center"/>
    </xf>
    <xf numFmtId="0" fontId="22" fillId="43" borderId="21" xfId="0" applyFont="1" applyFill="1" applyBorder="1" applyAlignment="1" applyProtection="1">
      <alignment vertical="center"/>
    </xf>
    <xf numFmtId="166" fontId="3" fillId="43" borderId="19" xfId="0" applyNumberFormat="1" applyFont="1" applyFill="1" applyBorder="1" applyAlignment="1" applyProtection="1">
      <alignment horizontal="center" vertical="center" wrapText="1"/>
    </xf>
    <xf numFmtId="0" fontId="18" fillId="44" borderId="51" xfId="0" applyFont="1" applyFill="1" applyBorder="1" applyAlignment="1" applyProtection="1">
      <alignment vertical="center" wrapText="1"/>
    </xf>
    <xf numFmtId="0" fontId="18" fillId="44" borderId="30" xfId="0" applyFont="1" applyFill="1" applyBorder="1" applyAlignment="1" applyProtection="1">
      <alignment vertical="center" wrapText="1"/>
    </xf>
    <xf numFmtId="0" fontId="18" fillId="44" borderId="27" xfId="0" applyFont="1" applyFill="1" applyBorder="1" applyAlignment="1" applyProtection="1">
      <alignment vertical="center" wrapText="1"/>
    </xf>
    <xf numFmtId="0" fontId="18" fillId="44" borderId="30" xfId="0" applyFont="1" applyFill="1" applyBorder="1" applyAlignment="1" applyProtection="1">
      <alignment vertical="center"/>
    </xf>
    <xf numFmtId="0" fontId="18" fillId="44" borderId="27" xfId="0" applyFont="1" applyFill="1" applyBorder="1" applyAlignment="1" applyProtection="1">
      <alignment vertical="center"/>
    </xf>
    <xf numFmtId="166" fontId="0" fillId="44" borderId="19" xfId="0" applyNumberFormat="1" applyFont="1" applyFill="1" applyBorder="1" applyAlignment="1" applyProtection="1">
      <alignment horizontal="center" vertical="center" wrapText="1"/>
    </xf>
    <xf numFmtId="0" fontId="8" fillId="44" borderId="37" xfId="0" applyFont="1" applyFill="1" applyBorder="1" applyAlignment="1" applyProtection="1">
      <alignment vertical="center"/>
    </xf>
    <xf numFmtId="166" fontId="13" fillId="44" borderId="24" xfId="0" applyNumberFormat="1" applyFont="1" applyFill="1" applyBorder="1" applyAlignment="1" applyProtection="1">
      <alignment horizontal="center" vertical="center" wrapText="1"/>
    </xf>
    <xf numFmtId="0" fontId="21" fillId="0" borderId="0" xfId="0" applyFont="1" applyBorder="1" applyAlignment="1" applyProtection="1">
      <alignment horizontal="center"/>
    </xf>
    <xf numFmtId="10" fontId="21" fillId="0" borderId="0" xfId="0" applyNumberFormat="1" applyFont="1" applyBorder="1" applyAlignment="1" applyProtection="1">
      <alignment horizontal="center"/>
    </xf>
    <xf numFmtId="166" fontId="13" fillId="44" borderId="15" xfId="0" applyNumberFormat="1" applyFont="1" applyFill="1" applyBorder="1" applyAlignment="1" applyProtection="1">
      <alignment vertical="center" wrapText="1"/>
    </xf>
    <xf numFmtId="166" fontId="13" fillId="44" borderId="14" xfId="0" applyNumberFormat="1" applyFont="1" applyFill="1" applyBorder="1" applyAlignment="1" applyProtection="1">
      <alignment vertical="center" wrapText="1"/>
    </xf>
    <xf numFmtId="0" fontId="0" fillId="44" borderId="0" xfId="0" applyFill="1" applyBorder="1" applyProtection="1"/>
    <xf numFmtId="0" fontId="33" fillId="43" borderId="50" xfId="0" applyNumberFormat="1" applyFont="1" applyFill="1" applyBorder="1" applyAlignment="1" applyProtection="1">
      <alignment horizontal="center" vertical="center" wrapText="1"/>
    </xf>
    <xf numFmtId="0" fontId="0" fillId="44" borderId="50" xfId="0" applyFill="1" applyBorder="1" applyAlignment="1" applyProtection="1">
      <alignment horizontal="center" vertical="center" wrapText="1"/>
    </xf>
    <xf numFmtId="4" fontId="0" fillId="10" borderId="50" xfId="0" applyNumberFormat="1" applyFill="1" applyBorder="1" applyAlignment="1" applyProtection="1">
      <alignment horizontal="center" vertical="center" wrapText="1"/>
    </xf>
    <xf numFmtId="166" fontId="0" fillId="10" borderId="50" xfId="0" applyNumberFormat="1" applyFont="1" applyFill="1" applyBorder="1" applyAlignment="1" applyProtection="1">
      <alignment horizontal="center" vertical="center" wrapText="1"/>
    </xf>
    <xf numFmtId="2" fontId="18" fillId="44" borderId="50" xfId="0" applyNumberFormat="1" applyFont="1" applyFill="1" applyBorder="1" applyAlignment="1" applyProtection="1">
      <alignment horizontal="center" vertical="center" wrapText="1"/>
    </xf>
    <xf numFmtId="1" fontId="18" fillId="44" borderId="50" xfId="0" applyNumberFormat="1" applyFont="1" applyFill="1" applyBorder="1" applyAlignment="1" applyProtection="1">
      <alignment horizontal="center" vertical="center" wrapText="1"/>
    </xf>
    <xf numFmtId="166" fontId="0" fillId="44" borderId="50" xfId="0" applyNumberFormat="1" applyFont="1" applyFill="1" applyBorder="1" applyAlignment="1" applyProtection="1">
      <alignment horizontal="center" vertical="center" wrapText="1"/>
    </xf>
    <xf numFmtId="2" fontId="0" fillId="44" borderId="50" xfId="0" applyNumberFormat="1" applyFont="1" applyFill="1" applyBorder="1" applyAlignment="1" applyProtection="1">
      <alignment horizontal="center" vertical="center" wrapText="1"/>
    </xf>
    <xf numFmtId="4" fontId="18" fillId="44" borderId="50" xfId="0" applyNumberFormat="1" applyFont="1" applyFill="1" applyBorder="1" applyAlignment="1" applyProtection="1">
      <alignment horizontal="center" vertical="center" wrapText="1"/>
    </xf>
    <xf numFmtId="2" fontId="3" fillId="6" borderId="50" xfId="0" applyNumberFormat="1" applyFont="1" applyFill="1" applyBorder="1" applyAlignment="1" applyProtection="1">
      <alignment horizontal="center" vertical="center"/>
    </xf>
    <xf numFmtId="171" fontId="3" fillId="6" borderId="50" xfId="0" applyNumberFormat="1" applyFont="1" applyFill="1" applyBorder="1" applyAlignment="1" applyProtection="1">
      <alignment horizontal="center" vertical="center"/>
    </xf>
    <xf numFmtId="0" fontId="0" fillId="44" borderId="61" xfId="0" applyFill="1" applyBorder="1" applyProtection="1"/>
    <xf numFmtId="171" fontId="31" fillId="42" borderId="20" xfId="0" applyNumberFormat="1" applyFont="1" applyFill="1" applyBorder="1" applyAlignment="1" applyProtection="1">
      <alignment horizontal="center" vertical="center"/>
    </xf>
    <xf numFmtId="4" fontId="22" fillId="43" borderId="50" xfId="0" applyNumberFormat="1" applyFont="1" applyFill="1" applyBorder="1" applyAlignment="1" applyProtection="1">
      <alignment horizontal="center" vertical="center" wrapText="1"/>
    </xf>
    <xf numFmtId="10" fontId="22" fillId="43" borderId="50" xfId="0" applyNumberFormat="1" applyFont="1" applyFill="1" applyBorder="1" applyAlignment="1" applyProtection="1">
      <alignment horizontal="center" vertical="center" wrapText="1"/>
    </xf>
    <xf numFmtId="4" fontId="12" fillId="43" borderId="50" xfId="0" applyNumberFormat="1" applyFont="1" applyFill="1" applyBorder="1" applyAlignment="1" applyProtection="1">
      <alignment horizontal="center" vertical="center" wrapText="1"/>
    </xf>
    <xf numFmtId="2" fontId="22" fillId="43" borderId="50" xfId="0" applyNumberFormat="1" applyFont="1" applyFill="1" applyBorder="1" applyAlignment="1" applyProtection="1">
      <alignment horizontal="center" vertical="center" wrapText="1"/>
    </xf>
    <xf numFmtId="168" fontId="22" fillId="43" borderId="50" xfId="0" applyNumberFormat="1" applyFont="1" applyFill="1" applyBorder="1" applyAlignment="1" applyProtection="1">
      <alignment horizontal="center" vertical="center" wrapText="1"/>
    </xf>
    <xf numFmtId="0" fontId="18" fillId="44" borderId="50" xfId="0" applyFont="1" applyFill="1" applyBorder="1" applyAlignment="1" applyProtection="1">
      <alignment horizontal="center" vertical="center" wrapText="1"/>
    </xf>
    <xf numFmtId="170" fontId="18" fillId="44" borderId="50" xfId="0" applyNumberFormat="1" applyFont="1" applyFill="1" applyBorder="1" applyAlignment="1" applyProtection="1">
      <alignment horizontal="center" vertical="center" wrapText="1"/>
    </xf>
    <xf numFmtId="169" fontId="18" fillId="44" borderId="50" xfId="0" applyNumberFormat="1" applyFont="1" applyFill="1" applyBorder="1" applyAlignment="1" applyProtection="1">
      <alignment horizontal="center" vertical="center" wrapText="1"/>
    </xf>
    <xf numFmtId="168" fontId="0" fillId="44" borderId="50" xfId="0" applyNumberFormat="1" applyFont="1" applyFill="1" applyBorder="1" applyAlignment="1" applyProtection="1">
      <alignment horizontal="center" vertical="center" wrapText="1"/>
    </xf>
    <xf numFmtId="0" fontId="22" fillId="43" borderId="50" xfId="0" applyFont="1" applyFill="1" applyBorder="1" applyAlignment="1" applyProtection="1">
      <alignment vertical="center"/>
    </xf>
    <xf numFmtId="170" fontId="22" fillId="43" borderId="50" xfId="0" applyNumberFormat="1" applyFont="1" applyFill="1" applyBorder="1" applyAlignment="1" applyProtection="1">
      <alignment vertical="center"/>
    </xf>
    <xf numFmtId="2" fontId="22" fillId="43" borderId="50" xfId="0" applyNumberFormat="1" applyFont="1" applyFill="1" applyBorder="1" applyAlignment="1" applyProtection="1">
      <alignment vertical="center"/>
    </xf>
    <xf numFmtId="4" fontId="22" fillId="43" borderId="50" xfId="0" applyNumberFormat="1" applyFont="1" applyFill="1" applyBorder="1" applyAlignment="1" applyProtection="1">
      <alignment horizontal="center" vertical="center"/>
    </xf>
    <xf numFmtId="166" fontId="3" fillId="43" borderId="50" xfId="0" applyNumberFormat="1" applyFont="1" applyFill="1" applyBorder="1" applyAlignment="1" applyProtection="1">
      <alignment horizontal="center" vertical="center" wrapText="1"/>
    </xf>
    <xf numFmtId="169" fontId="22" fillId="43" borderId="50" xfId="0" applyNumberFormat="1" applyFont="1" applyFill="1" applyBorder="1" applyAlignment="1" applyProtection="1">
      <alignment vertical="center"/>
    </xf>
    <xf numFmtId="168" fontId="22" fillId="43" borderId="50" xfId="0" applyNumberFormat="1" applyFont="1" applyFill="1" applyBorder="1" applyAlignment="1" applyProtection="1">
      <alignment vertical="center"/>
    </xf>
    <xf numFmtId="10" fontId="22" fillId="43" borderId="50" xfId="0" applyNumberFormat="1" applyFont="1" applyFill="1" applyBorder="1" applyAlignment="1" applyProtection="1">
      <alignment horizontal="center" vertical="center"/>
    </xf>
    <xf numFmtId="2" fontId="22" fillId="43" borderId="50" xfId="0" applyNumberFormat="1" applyFont="1" applyFill="1" applyBorder="1" applyAlignment="1" applyProtection="1">
      <alignment horizontal="center" vertical="center"/>
    </xf>
    <xf numFmtId="0" fontId="8" fillId="6" borderId="50" xfId="0" applyFont="1" applyFill="1" applyBorder="1" applyAlignment="1" applyProtection="1">
      <alignment vertical="center" wrapText="1"/>
    </xf>
    <xf numFmtId="2" fontId="8" fillId="6" borderId="50" xfId="0" applyNumberFormat="1" applyFont="1" applyFill="1" applyBorder="1" applyAlignment="1" applyProtection="1">
      <alignment vertical="center" wrapText="1"/>
    </xf>
    <xf numFmtId="4" fontId="8" fillId="6" borderId="50" xfId="0" applyNumberFormat="1" applyFont="1" applyFill="1" applyBorder="1" applyAlignment="1" applyProtection="1">
      <alignment horizontal="center" vertical="center" wrapText="1"/>
    </xf>
    <xf numFmtId="166" fontId="13" fillId="6" borderId="50" xfId="0" applyNumberFormat="1" applyFont="1" applyFill="1" applyBorder="1" applyAlignment="1" applyProtection="1">
      <alignment horizontal="center" vertical="center" wrapText="1"/>
    </xf>
    <xf numFmtId="169" fontId="8" fillId="6" borderId="50" xfId="0" applyNumberFormat="1" applyFont="1" applyFill="1" applyBorder="1" applyAlignment="1" applyProtection="1">
      <alignment vertical="center" wrapText="1"/>
    </xf>
    <xf numFmtId="168" fontId="8" fillId="6" borderId="50" xfId="0" applyNumberFormat="1" applyFont="1" applyFill="1" applyBorder="1" applyAlignment="1" applyProtection="1">
      <alignment vertical="center" wrapText="1"/>
    </xf>
    <xf numFmtId="10" fontId="8" fillId="6" borderId="50" xfId="0" applyNumberFormat="1" applyFont="1" applyFill="1" applyBorder="1" applyAlignment="1" applyProtection="1">
      <alignment horizontal="center" vertical="center" wrapText="1"/>
    </xf>
    <xf numFmtId="2" fontId="8" fillId="6" borderId="50" xfId="0" applyNumberFormat="1" applyFont="1" applyFill="1" applyBorder="1" applyAlignment="1" applyProtection="1">
      <alignment horizontal="center" vertical="center" wrapText="1"/>
    </xf>
    <xf numFmtId="0" fontId="8" fillId="44" borderId="53" xfId="0" applyFont="1" applyFill="1" applyBorder="1" applyAlignment="1" applyProtection="1">
      <alignment vertical="center" wrapText="1"/>
    </xf>
    <xf numFmtId="2" fontId="8" fillId="44" borderId="53" xfId="0" applyNumberFormat="1" applyFont="1" applyFill="1" applyBorder="1" applyAlignment="1" applyProtection="1">
      <alignment vertical="center" wrapText="1"/>
    </xf>
    <xf numFmtId="4" fontId="8" fillId="44" borderId="53" xfId="0" applyNumberFormat="1" applyFont="1" applyFill="1" applyBorder="1" applyAlignment="1" applyProtection="1">
      <alignment horizontal="center" vertical="center" wrapText="1"/>
    </xf>
    <xf numFmtId="166" fontId="13" fillId="44" borderId="53" xfId="0" applyNumberFormat="1" applyFont="1" applyFill="1" applyBorder="1" applyAlignment="1" applyProtection="1">
      <alignment horizontal="center" vertical="center" wrapText="1"/>
    </xf>
    <xf numFmtId="169" fontId="8" fillId="44" borderId="53" xfId="0" applyNumberFormat="1" applyFont="1" applyFill="1" applyBorder="1" applyAlignment="1" applyProtection="1">
      <alignment vertical="center" wrapText="1"/>
    </xf>
    <xf numFmtId="168" fontId="8" fillId="44" borderId="53" xfId="0" applyNumberFormat="1" applyFont="1" applyFill="1" applyBorder="1" applyAlignment="1" applyProtection="1">
      <alignment vertical="center" wrapText="1"/>
    </xf>
    <xf numFmtId="10" fontId="8" fillId="44" borderId="53" xfId="0" applyNumberFormat="1" applyFont="1" applyFill="1" applyBorder="1" applyAlignment="1" applyProtection="1">
      <alignment horizontal="center" vertical="center" wrapText="1"/>
    </xf>
    <xf numFmtId="2" fontId="8" fillId="44" borderId="53" xfId="0" applyNumberFormat="1" applyFont="1" applyFill="1" applyBorder="1" applyAlignment="1" applyProtection="1">
      <alignment horizontal="center" vertical="center" wrapText="1"/>
    </xf>
    <xf numFmtId="0" fontId="24" fillId="44" borderId="21" xfId="0" applyFont="1" applyFill="1" applyBorder="1" applyAlignment="1" applyProtection="1">
      <alignment horizontal="center" vertical="center"/>
    </xf>
    <xf numFmtId="0" fontId="24" fillId="44" borderId="50" xfId="0" applyFont="1" applyFill="1" applyBorder="1" applyAlignment="1" applyProtection="1">
      <alignment horizontal="center" vertical="center"/>
    </xf>
    <xf numFmtId="4" fontId="24" fillId="44" borderId="50" xfId="0" applyNumberFormat="1" applyFont="1" applyFill="1" applyBorder="1" applyAlignment="1" applyProtection="1">
      <alignment horizontal="center" vertical="center"/>
    </xf>
    <xf numFmtId="1" fontId="24" fillId="44" borderId="50" xfId="0" applyNumberFormat="1" applyFont="1" applyFill="1" applyBorder="1" applyAlignment="1" applyProtection="1">
      <alignment horizontal="center" vertical="center"/>
    </xf>
    <xf numFmtId="10" fontId="24" fillId="44" borderId="50" xfId="0" applyNumberFormat="1" applyFont="1" applyFill="1" applyBorder="1" applyAlignment="1" applyProtection="1">
      <alignment horizontal="center" vertical="center"/>
    </xf>
    <xf numFmtId="2" fontId="24" fillId="44" borderId="50" xfId="0" applyNumberFormat="1" applyFont="1" applyFill="1" applyBorder="1" applyAlignment="1" applyProtection="1">
      <alignment horizontal="center" vertical="center"/>
    </xf>
    <xf numFmtId="169" fontId="24" fillId="44" borderId="50" xfId="0" applyNumberFormat="1" applyFont="1" applyFill="1" applyBorder="1" applyAlignment="1" applyProtection="1">
      <alignment horizontal="center" vertical="center"/>
    </xf>
    <xf numFmtId="168" fontId="24" fillId="44" borderId="50" xfId="0" applyNumberFormat="1" applyFont="1" applyFill="1" applyBorder="1" applyAlignment="1" applyProtection="1">
      <alignment horizontal="center" vertical="center"/>
    </xf>
    <xf numFmtId="10" fontId="24" fillId="44" borderId="19" xfId="0" applyNumberFormat="1" applyFont="1" applyFill="1" applyBorder="1" applyAlignment="1" applyProtection="1">
      <alignment horizontal="center" vertical="center"/>
    </xf>
    <xf numFmtId="0" fontId="27" fillId="42" borderId="23" xfId="0" applyFont="1" applyFill="1" applyBorder="1" applyAlignment="1" applyProtection="1">
      <alignment vertical="center"/>
    </xf>
    <xf numFmtId="166" fontId="7" fillId="42" borderId="23" xfId="0" applyNumberFormat="1" applyFont="1" applyFill="1" applyBorder="1" applyAlignment="1" applyProtection="1">
      <alignment horizontal="center" vertical="center" wrapText="1"/>
    </xf>
    <xf numFmtId="2" fontId="27" fillId="42" borderId="23" xfId="0" applyNumberFormat="1" applyFont="1" applyFill="1" applyBorder="1" applyAlignment="1" applyProtection="1">
      <alignment horizontal="center" vertical="center"/>
    </xf>
    <xf numFmtId="166" fontId="80" fillId="42" borderId="20" xfId="0" applyNumberFormat="1" applyFont="1" applyFill="1" applyBorder="1" applyAlignment="1" applyProtection="1">
      <alignment horizontal="center" vertical="center" wrapText="1"/>
    </xf>
    <xf numFmtId="0" fontId="4" fillId="46" borderId="22" xfId="0" applyFont="1" applyFill="1" applyBorder="1" applyAlignment="1" applyProtection="1">
      <alignment vertical="center"/>
    </xf>
    <xf numFmtId="0" fontId="24" fillId="46" borderId="23" xfId="0" applyFont="1" applyFill="1" applyBorder="1" applyAlignment="1" applyProtection="1">
      <alignment vertical="center"/>
    </xf>
    <xf numFmtId="2" fontId="24" fillId="46" borderId="23" xfId="0" applyNumberFormat="1" applyFont="1" applyFill="1" applyBorder="1" applyAlignment="1" applyProtection="1">
      <alignment vertical="center"/>
    </xf>
    <xf numFmtId="4" fontId="7" fillId="46" borderId="23" xfId="0" applyNumberFormat="1" applyFont="1" applyFill="1" applyBorder="1" applyAlignment="1" applyProtection="1">
      <alignment horizontal="center" vertical="center"/>
    </xf>
    <xf numFmtId="166" fontId="32" fillId="46" borderId="23" xfId="0" applyNumberFormat="1" applyFont="1" applyFill="1" applyBorder="1" applyAlignment="1" applyProtection="1">
      <alignment horizontal="center" vertical="center" wrapText="1"/>
    </xf>
    <xf numFmtId="169" fontId="24" fillId="46" borderId="23" xfId="0" applyNumberFormat="1" applyFont="1" applyFill="1" applyBorder="1" applyAlignment="1" applyProtection="1">
      <alignment vertical="center"/>
    </xf>
    <xf numFmtId="168" fontId="24" fillId="46" borderId="23" xfId="0" applyNumberFormat="1" applyFont="1" applyFill="1" applyBorder="1" applyAlignment="1" applyProtection="1">
      <alignment vertical="center"/>
    </xf>
    <xf numFmtId="10" fontId="24" fillId="46" borderId="23" xfId="0" applyNumberFormat="1" applyFont="1" applyFill="1" applyBorder="1" applyAlignment="1" applyProtection="1">
      <alignment horizontal="center" vertical="center"/>
    </xf>
    <xf numFmtId="2" fontId="24" fillId="46" borderId="23" xfId="0" applyNumberFormat="1" applyFont="1" applyFill="1" applyBorder="1" applyAlignment="1" applyProtection="1">
      <alignment horizontal="center" vertical="center"/>
    </xf>
    <xf numFmtId="166" fontId="25" fillId="46" borderId="20" xfId="0" applyNumberFormat="1" applyFont="1" applyFill="1" applyBorder="1" applyAlignment="1" applyProtection="1">
      <alignment horizontal="center" vertical="center" wrapText="1"/>
    </xf>
    <xf numFmtId="0" fontId="24" fillId="46" borderId="22" xfId="0" applyFont="1" applyFill="1" applyBorder="1" applyAlignment="1" applyProtection="1">
      <alignment vertical="center"/>
    </xf>
    <xf numFmtId="2" fontId="7" fillId="46" borderId="23" xfId="0" applyNumberFormat="1" applyFont="1" applyFill="1" applyBorder="1" applyAlignment="1" applyProtection="1">
      <alignment horizontal="center" vertical="center"/>
    </xf>
    <xf numFmtId="10" fontId="7" fillId="46" borderId="23" xfId="0" applyNumberFormat="1" applyFont="1" applyFill="1" applyBorder="1" applyAlignment="1" applyProtection="1">
      <alignment horizontal="center" vertical="center"/>
    </xf>
    <xf numFmtId="0" fontId="7" fillId="46" borderId="23" xfId="0" applyFont="1" applyFill="1" applyBorder="1" applyAlignment="1" applyProtection="1">
      <alignment vertical="center"/>
    </xf>
    <xf numFmtId="2" fontId="7" fillId="46" borderId="23" xfId="0" applyNumberFormat="1" applyFont="1" applyFill="1" applyBorder="1" applyAlignment="1" applyProtection="1">
      <alignment vertical="center"/>
    </xf>
    <xf numFmtId="4" fontId="24" fillId="46" borderId="23" xfId="0" applyNumberFormat="1" applyFont="1" applyFill="1" applyBorder="1" applyAlignment="1" applyProtection="1">
      <alignment horizontal="center" vertical="center"/>
    </xf>
    <xf numFmtId="0" fontId="4" fillId="46" borderId="15" xfId="0" applyFont="1" applyFill="1" applyBorder="1" applyAlignment="1" applyProtection="1">
      <alignment vertical="center"/>
    </xf>
    <xf numFmtId="0" fontId="31" fillId="46" borderId="14" xfId="0" applyFont="1" applyFill="1" applyBorder="1" applyAlignment="1" applyProtection="1">
      <alignment vertical="center"/>
    </xf>
    <xf numFmtId="2" fontId="31" fillId="46" borderId="31" xfId="0" applyNumberFormat="1" applyFont="1" applyFill="1" applyBorder="1" applyAlignment="1" applyProtection="1">
      <alignment horizontal="center" vertical="center"/>
    </xf>
    <xf numFmtId="171" fontId="31" fillId="46" borderId="31" xfId="0" applyNumberFormat="1" applyFont="1" applyFill="1" applyBorder="1" applyAlignment="1" applyProtection="1">
      <alignment horizontal="center" vertical="center"/>
    </xf>
    <xf numFmtId="171" fontId="31" fillId="46" borderId="32" xfId="0" applyNumberFormat="1" applyFont="1" applyFill="1" applyBorder="1" applyAlignment="1" applyProtection="1">
      <alignment horizontal="center" vertical="center"/>
    </xf>
    <xf numFmtId="0" fontId="33" fillId="48" borderId="50" xfId="0" applyNumberFormat="1" applyFont="1" applyFill="1" applyBorder="1" applyAlignment="1" applyProtection="1">
      <alignment horizontal="left" vertical="center" wrapText="1"/>
    </xf>
    <xf numFmtId="166" fontId="13" fillId="48" borderId="19" xfId="0" applyNumberFormat="1" applyFont="1" applyFill="1" applyBorder="1" applyAlignment="1" applyProtection="1">
      <alignment horizontal="center" vertical="center" wrapText="1"/>
    </xf>
    <xf numFmtId="0" fontId="31" fillId="47" borderId="16" xfId="0" applyNumberFormat="1" applyFont="1" applyFill="1" applyBorder="1" applyAlignment="1" applyProtection="1">
      <alignment vertical="center" wrapText="1"/>
    </xf>
    <xf numFmtId="0" fontId="31" fillId="47" borderId="17" xfId="0" applyNumberFormat="1" applyFont="1" applyFill="1" applyBorder="1" applyAlignment="1" applyProtection="1">
      <alignment vertical="center" wrapText="1"/>
    </xf>
    <xf numFmtId="0" fontId="33" fillId="47" borderId="45" xfId="0" applyNumberFormat="1" applyFont="1" applyFill="1" applyBorder="1" applyAlignment="1" applyProtection="1">
      <alignment vertical="center" wrapText="1"/>
    </xf>
    <xf numFmtId="0" fontId="33" fillId="47" borderId="60" xfId="0" applyNumberFormat="1" applyFont="1" applyFill="1" applyBorder="1" applyAlignment="1" applyProtection="1">
      <alignment vertical="center" wrapText="1"/>
    </xf>
    <xf numFmtId="0" fontId="7" fillId="47" borderId="21" xfId="0" applyFont="1" applyFill="1" applyBorder="1" applyAlignment="1" applyProtection="1">
      <alignment vertical="center"/>
    </xf>
    <xf numFmtId="166" fontId="7" fillId="47" borderId="19" xfId="0" applyNumberFormat="1" applyFont="1" applyFill="1" applyBorder="1" applyAlignment="1" applyProtection="1">
      <alignment horizontal="center" vertical="center" wrapText="1"/>
    </xf>
    <xf numFmtId="0" fontId="22" fillId="48" borderId="21" xfId="0" applyFont="1" applyFill="1" applyBorder="1" applyAlignment="1" applyProtection="1">
      <alignment vertical="center"/>
    </xf>
    <xf numFmtId="166" fontId="3" fillId="48" borderId="19" xfId="0" applyNumberFormat="1" applyFont="1" applyFill="1" applyBorder="1" applyAlignment="1" applyProtection="1">
      <alignment horizontal="center" vertical="center" wrapText="1"/>
    </xf>
    <xf numFmtId="0" fontId="8" fillId="48" borderId="21" xfId="0" applyFont="1" applyFill="1" applyBorder="1" applyAlignment="1" applyProtection="1">
      <alignment vertical="center" wrapText="1"/>
    </xf>
    <xf numFmtId="0" fontId="18" fillId="50" borderId="51" xfId="0" applyFont="1" applyFill="1" applyBorder="1" applyAlignment="1" applyProtection="1">
      <alignment vertical="center" wrapText="1"/>
    </xf>
    <xf numFmtId="0" fontId="18" fillId="50" borderId="30" xfId="0" applyFont="1" applyFill="1" applyBorder="1" applyAlignment="1" applyProtection="1">
      <alignment vertical="center" wrapText="1"/>
    </xf>
    <xf numFmtId="0" fontId="18" fillId="50" borderId="27" xfId="0" applyFont="1" applyFill="1" applyBorder="1" applyAlignment="1" applyProtection="1">
      <alignment vertical="center" wrapText="1"/>
    </xf>
    <xf numFmtId="0" fontId="18" fillId="49" borderId="51" xfId="0" applyFont="1" applyFill="1" applyBorder="1" applyAlignment="1" applyProtection="1">
      <alignment vertical="center" wrapText="1"/>
    </xf>
    <xf numFmtId="0" fontId="18" fillId="49" borderId="30" xfId="0" applyFont="1" applyFill="1" applyBorder="1" applyAlignment="1" applyProtection="1">
      <alignment vertical="center" wrapText="1"/>
    </xf>
    <xf numFmtId="0" fontId="18" fillId="49" borderId="27" xfId="0" applyFont="1" applyFill="1" applyBorder="1" applyAlignment="1" applyProtection="1">
      <alignment vertical="center" wrapText="1"/>
    </xf>
    <xf numFmtId="166" fontId="0" fillId="49" borderId="19" xfId="0" applyNumberFormat="1" applyFont="1" applyFill="1" applyBorder="1" applyAlignment="1" applyProtection="1">
      <alignment horizontal="center" vertical="center" wrapText="1"/>
    </xf>
    <xf numFmtId="0" fontId="18" fillId="49" borderId="21" xfId="0" applyFont="1" applyFill="1" applyBorder="1" applyAlignment="1" applyProtection="1">
      <alignment horizontal="left" vertical="center"/>
    </xf>
    <xf numFmtId="0" fontId="8" fillId="49" borderId="37" xfId="0" applyFont="1" applyFill="1" applyBorder="1" applyAlignment="1" applyProtection="1">
      <alignment vertical="center"/>
    </xf>
    <xf numFmtId="166" fontId="13" fillId="49" borderId="24" xfId="0" applyNumberFormat="1" applyFont="1" applyFill="1" applyBorder="1" applyAlignment="1" applyProtection="1">
      <alignment horizontal="center" vertical="center" wrapText="1"/>
    </xf>
    <xf numFmtId="0" fontId="26" fillId="49" borderId="39" xfId="0" applyFont="1" applyFill="1" applyBorder="1" applyAlignment="1" applyProtection="1">
      <alignment horizontal="center" vertical="center"/>
    </xf>
    <xf numFmtId="4" fontId="26" fillId="49" borderId="39" xfId="0" applyNumberFormat="1" applyFont="1" applyFill="1" applyBorder="1" applyAlignment="1" applyProtection="1">
      <alignment horizontal="center" vertical="center"/>
    </xf>
    <xf numFmtId="1" fontId="26" fillId="49" borderId="39" xfId="0" applyNumberFormat="1" applyFont="1" applyFill="1" applyBorder="1" applyAlignment="1" applyProtection="1">
      <alignment horizontal="center" vertical="center"/>
    </xf>
    <xf numFmtId="10" fontId="26" fillId="49" borderId="39" xfId="0" applyNumberFormat="1" applyFont="1" applyFill="1" applyBorder="1" applyAlignment="1" applyProtection="1">
      <alignment horizontal="center" vertical="center"/>
    </xf>
    <xf numFmtId="2" fontId="26" fillId="49" borderId="39" xfId="0" applyNumberFormat="1" applyFont="1" applyFill="1" applyBorder="1" applyAlignment="1" applyProtection="1">
      <alignment horizontal="center" vertical="center"/>
    </xf>
    <xf numFmtId="169" fontId="26" fillId="49" borderId="39" xfId="0" applyNumberFormat="1" applyFont="1" applyFill="1" applyBorder="1" applyAlignment="1" applyProtection="1">
      <alignment horizontal="center" vertical="center"/>
    </xf>
    <xf numFmtId="168" fontId="26" fillId="49" borderId="39" xfId="0" applyNumberFormat="1" applyFont="1" applyFill="1" applyBorder="1" applyAlignment="1" applyProtection="1">
      <alignment horizontal="center" vertical="center"/>
    </xf>
    <xf numFmtId="0" fontId="18" fillId="49" borderId="21" xfId="0" applyFont="1" applyFill="1" applyBorder="1" applyAlignment="1" applyProtection="1">
      <alignment vertical="center" wrapText="1"/>
    </xf>
    <xf numFmtId="0" fontId="22" fillId="49" borderId="8" xfId="0" applyFont="1" applyFill="1" applyBorder="1" applyAlignment="1" applyProtection="1">
      <alignment horizontal="center" vertical="center"/>
    </xf>
    <xf numFmtId="4" fontId="22" fillId="49" borderId="8" xfId="0" applyNumberFormat="1" applyFont="1" applyFill="1" applyBorder="1" applyAlignment="1" applyProtection="1">
      <alignment horizontal="center" vertical="center"/>
    </xf>
    <xf numFmtId="1" fontId="22" fillId="49" borderId="8" xfId="0" applyNumberFormat="1" applyFont="1" applyFill="1" applyBorder="1" applyAlignment="1" applyProtection="1">
      <alignment horizontal="center" vertical="center"/>
    </xf>
    <xf numFmtId="10" fontId="22" fillId="49" borderId="8" xfId="0" applyNumberFormat="1" applyFont="1" applyFill="1" applyBorder="1" applyAlignment="1" applyProtection="1">
      <alignment horizontal="center" vertical="center"/>
    </xf>
    <xf numFmtId="2" fontId="22" fillId="49" borderId="8" xfId="0" applyNumberFormat="1" applyFont="1" applyFill="1" applyBorder="1" applyAlignment="1" applyProtection="1">
      <alignment horizontal="center" vertical="center"/>
    </xf>
    <xf numFmtId="169" fontId="22" fillId="49" borderId="8" xfId="0" applyNumberFormat="1" applyFont="1" applyFill="1" applyBorder="1" applyAlignment="1" applyProtection="1">
      <alignment horizontal="center" vertical="center"/>
    </xf>
    <xf numFmtId="168" fontId="22" fillId="49" borderId="8" xfId="0" applyNumberFormat="1" applyFont="1" applyFill="1" applyBorder="1" applyAlignment="1" applyProtection="1">
      <alignment horizontal="center" vertical="center"/>
    </xf>
    <xf numFmtId="171" fontId="31" fillId="47" borderId="19" xfId="0" applyNumberFormat="1" applyFont="1" applyFill="1" applyBorder="1" applyAlignment="1" applyProtection="1">
      <alignment horizontal="center" vertical="center"/>
    </xf>
    <xf numFmtId="166" fontId="7" fillId="49" borderId="33" xfId="0" applyNumberFormat="1" applyFont="1" applyFill="1" applyBorder="1" applyAlignment="1" applyProtection="1">
      <alignment vertical="center" wrapText="1"/>
    </xf>
    <xf numFmtId="166" fontId="7" fillId="49" borderId="34" xfId="0" applyNumberFormat="1" applyFont="1" applyFill="1" applyBorder="1" applyAlignment="1" applyProtection="1">
      <alignment vertical="center" wrapText="1"/>
    </xf>
    <xf numFmtId="166" fontId="7" fillId="49" borderId="35" xfId="0" applyNumberFormat="1" applyFont="1" applyFill="1" applyBorder="1" applyAlignment="1" applyProtection="1">
      <alignment vertical="center" wrapText="1"/>
    </xf>
    <xf numFmtId="166" fontId="13" fillId="49" borderId="33" xfId="0" applyNumberFormat="1" applyFont="1" applyFill="1" applyBorder="1" applyAlignment="1" applyProtection="1">
      <alignment vertical="center" wrapText="1"/>
    </xf>
    <xf numFmtId="166" fontId="13" fillId="49" borderId="34" xfId="0" applyNumberFormat="1" applyFont="1" applyFill="1" applyBorder="1" applyAlignment="1" applyProtection="1">
      <alignment vertical="center" wrapText="1"/>
    </xf>
    <xf numFmtId="0" fontId="0" fillId="49" borderId="0" xfId="0" applyFill="1" applyBorder="1" applyProtection="1"/>
    <xf numFmtId="0" fontId="18" fillId="46" borderId="65" xfId="0" applyFont="1" applyFill="1" applyBorder="1" applyProtection="1"/>
    <xf numFmtId="0" fontId="18" fillId="46" borderId="62" xfId="0" applyFont="1" applyFill="1" applyBorder="1" applyProtection="1"/>
    <xf numFmtId="0" fontId="0" fillId="49" borderId="61" xfId="0" applyFill="1" applyBorder="1" applyProtection="1"/>
    <xf numFmtId="0" fontId="33" fillId="48" borderId="50" xfId="0" applyNumberFormat="1" applyFont="1" applyFill="1" applyBorder="1" applyAlignment="1" applyProtection="1">
      <alignment horizontal="center" vertical="center" wrapText="1"/>
    </xf>
    <xf numFmtId="0" fontId="0" fillId="49" borderId="50" xfId="0" applyFill="1" applyBorder="1" applyAlignment="1" applyProtection="1">
      <alignment horizontal="center" vertical="center" wrapText="1"/>
    </xf>
    <xf numFmtId="2" fontId="18" fillId="49" borderId="50" xfId="0" applyNumberFormat="1" applyFont="1" applyFill="1" applyBorder="1" applyAlignment="1" applyProtection="1">
      <alignment horizontal="center" vertical="center" wrapText="1"/>
    </xf>
    <xf numFmtId="1" fontId="18" fillId="49" borderId="50" xfId="0" applyNumberFormat="1" applyFont="1" applyFill="1" applyBorder="1" applyAlignment="1" applyProtection="1">
      <alignment horizontal="center" vertical="center" wrapText="1"/>
    </xf>
    <xf numFmtId="166" fontId="0" fillId="49" borderId="50" xfId="0" applyNumberFormat="1" applyFont="1" applyFill="1" applyBorder="1" applyAlignment="1" applyProtection="1">
      <alignment horizontal="center" vertical="center" wrapText="1"/>
    </xf>
    <xf numFmtId="2" fontId="0" fillId="49" borderId="50" xfId="0" applyNumberFormat="1" applyFont="1" applyFill="1" applyBorder="1" applyAlignment="1" applyProtection="1">
      <alignment horizontal="center" vertical="center" wrapText="1"/>
    </xf>
    <xf numFmtId="4" fontId="18" fillId="49" borderId="50" xfId="0" applyNumberFormat="1" applyFont="1" applyFill="1" applyBorder="1" applyAlignment="1" applyProtection="1">
      <alignment horizontal="center" vertical="center" wrapText="1"/>
    </xf>
    <xf numFmtId="2" fontId="31" fillId="47" borderId="50" xfId="0" applyNumberFormat="1" applyFont="1" applyFill="1" applyBorder="1" applyAlignment="1" applyProtection="1">
      <alignment horizontal="center" vertical="center"/>
    </xf>
    <xf numFmtId="171" fontId="31" fillId="47" borderId="50" xfId="0" applyNumberFormat="1" applyFont="1" applyFill="1" applyBorder="1" applyAlignment="1" applyProtection="1">
      <alignment horizontal="center" vertical="center"/>
    </xf>
    <xf numFmtId="4" fontId="22" fillId="48" borderId="50" xfId="0" applyNumberFormat="1" applyFont="1" applyFill="1" applyBorder="1" applyAlignment="1" applyProtection="1">
      <alignment horizontal="center" vertical="center" wrapText="1"/>
    </xf>
    <xf numFmtId="10" fontId="22" fillId="48" borderId="50" xfId="0" applyNumberFormat="1" applyFont="1" applyFill="1" applyBorder="1" applyAlignment="1" applyProtection="1">
      <alignment horizontal="center" vertical="center" wrapText="1"/>
    </xf>
    <xf numFmtId="4" fontId="12" fillId="48" borderId="50" xfId="0" applyNumberFormat="1" applyFont="1" applyFill="1" applyBorder="1" applyAlignment="1" applyProtection="1">
      <alignment horizontal="center" vertical="center" wrapText="1"/>
    </xf>
    <xf numFmtId="2" fontId="22" fillId="48" borderId="50" xfId="0" applyNumberFormat="1" applyFont="1" applyFill="1" applyBorder="1" applyAlignment="1" applyProtection="1">
      <alignment horizontal="center" vertical="center" wrapText="1"/>
    </xf>
    <xf numFmtId="168" fontId="22" fillId="48" borderId="50" xfId="0" applyNumberFormat="1" applyFont="1" applyFill="1" applyBorder="1" applyAlignment="1" applyProtection="1">
      <alignment horizontal="center" vertical="center" wrapText="1"/>
    </xf>
    <xf numFmtId="0" fontId="18" fillId="49" borderId="50" xfId="0" applyFont="1" applyFill="1" applyBorder="1" applyAlignment="1" applyProtection="1">
      <alignment horizontal="center" vertical="center" wrapText="1"/>
    </xf>
    <xf numFmtId="170" fontId="18" fillId="49" borderId="50" xfId="0" applyNumberFormat="1" applyFont="1" applyFill="1" applyBorder="1" applyAlignment="1" applyProtection="1">
      <alignment horizontal="center" vertical="center" wrapText="1"/>
    </xf>
    <xf numFmtId="169" fontId="18" fillId="49" borderId="50" xfId="0" applyNumberFormat="1" applyFont="1" applyFill="1" applyBorder="1" applyAlignment="1" applyProtection="1">
      <alignment horizontal="center" vertical="center" wrapText="1"/>
    </xf>
    <xf numFmtId="168" fontId="0" fillId="49" borderId="50" xfId="0" applyNumberFormat="1" applyFont="1" applyFill="1" applyBorder="1" applyAlignment="1" applyProtection="1">
      <alignment horizontal="center" vertical="center" wrapText="1"/>
    </xf>
    <xf numFmtId="169" fontId="0" fillId="49" borderId="50" xfId="0" applyNumberFormat="1" applyFont="1" applyFill="1" applyBorder="1" applyAlignment="1" applyProtection="1">
      <alignment horizontal="center" vertical="center" wrapText="1"/>
    </xf>
    <xf numFmtId="173" fontId="18" fillId="49" borderId="50" xfId="0" applyNumberFormat="1" applyFont="1" applyFill="1" applyBorder="1" applyAlignment="1" applyProtection="1">
      <alignment horizontal="center" vertical="center" wrapText="1"/>
    </xf>
    <xf numFmtId="174" fontId="0" fillId="49" borderId="50" xfId="0" applyNumberFormat="1" applyFont="1" applyFill="1" applyBorder="1" applyAlignment="1" applyProtection="1">
      <alignment horizontal="center" vertical="center" wrapText="1"/>
    </xf>
    <xf numFmtId="168" fontId="18" fillId="49" borderId="50" xfId="0" applyNumberFormat="1" applyFont="1" applyFill="1" applyBorder="1" applyAlignment="1" applyProtection="1">
      <alignment horizontal="center" vertical="center" wrapText="1"/>
    </xf>
    <xf numFmtId="173" fontId="0" fillId="49" borderId="50" xfId="0" applyNumberFormat="1" applyFont="1" applyFill="1" applyBorder="1" applyAlignment="1" applyProtection="1">
      <alignment horizontal="center" vertical="center" wrapText="1"/>
    </xf>
    <xf numFmtId="0" fontId="22" fillId="48" borderId="50" xfId="0" applyFont="1" applyFill="1" applyBorder="1" applyAlignment="1" applyProtection="1">
      <alignment vertical="center"/>
    </xf>
    <xf numFmtId="2" fontId="22" fillId="48" borderId="50" xfId="0" applyNumberFormat="1" applyFont="1" applyFill="1" applyBorder="1" applyAlignment="1" applyProtection="1">
      <alignment vertical="center"/>
    </xf>
    <xf numFmtId="4" fontId="22" fillId="48" borderId="50" xfId="0" applyNumberFormat="1" applyFont="1" applyFill="1" applyBorder="1" applyAlignment="1" applyProtection="1">
      <alignment horizontal="center" vertical="center"/>
    </xf>
    <xf numFmtId="166" fontId="3" fillId="48" borderId="50" xfId="0" applyNumberFormat="1" applyFont="1" applyFill="1" applyBorder="1" applyAlignment="1" applyProtection="1">
      <alignment horizontal="center" vertical="center" wrapText="1"/>
    </xf>
    <xf numFmtId="2" fontId="22" fillId="48" borderId="50" xfId="0" applyNumberFormat="1" applyFont="1" applyFill="1" applyBorder="1" applyAlignment="1" applyProtection="1">
      <alignment horizontal="center" vertical="center"/>
    </xf>
    <xf numFmtId="169" fontId="22" fillId="48" borderId="50" xfId="0" applyNumberFormat="1" applyFont="1" applyFill="1" applyBorder="1" applyAlignment="1" applyProtection="1">
      <alignment vertical="center"/>
    </xf>
    <xf numFmtId="168" fontId="22" fillId="48" borderId="50" xfId="0" applyNumberFormat="1" applyFont="1" applyFill="1" applyBorder="1" applyAlignment="1" applyProtection="1">
      <alignment vertical="center"/>
    </xf>
    <xf numFmtId="10" fontId="22" fillId="48" borderId="50" xfId="0" applyNumberFormat="1" applyFont="1" applyFill="1" applyBorder="1" applyAlignment="1" applyProtection="1">
      <alignment horizontal="center" vertical="center"/>
    </xf>
    <xf numFmtId="0" fontId="7" fillId="47" borderId="50" xfId="0" applyFont="1" applyFill="1" applyBorder="1" applyAlignment="1" applyProtection="1">
      <alignment vertical="center" wrapText="1"/>
    </xf>
    <xf numFmtId="2" fontId="7" fillId="47" borderId="50" xfId="0" applyNumberFormat="1" applyFont="1" applyFill="1" applyBorder="1" applyAlignment="1" applyProtection="1">
      <alignment vertical="center" wrapText="1"/>
    </xf>
    <xf numFmtId="4" fontId="7" fillId="47" borderId="50" xfId="0" applyNumberFormat="1" applyFont="1" applyFill="1" applyBorder="1" applyAlignment="1" applyProtection="1">
      <alignment horizontal="center" vertical="center" wrapText="1"/>
    </xf>
    <xf numFmtId="166" fontId="7" fillId="47" borderId="50" xfId="0" applyNumberFormat="1" applyFont="1" applyFill="1" applyBorder="1" applyAlignment="1" applyProtection="1">
      <alignment horizontal="center" vertical="center" wrapText="1"/>
    </xf>
    <xf numFmtId="169" fontId="7" fillId="47" borderId="50" xfId="0" applyNumberFormat="1" applyFont="1" applyFill="1" applyBorder="1" applyAlignment="1" applyProtection="1">
      <alignment vertical="center" wrapText="1"/>
    </xf>
    <xf numFmtId="168" fontId="7" fillId="47" borderId="50" xfId="0" applyNumberFormat="1" applyFont="1" applyFill="1" applyBorder="1" applyAlignment="1" applyProtection="1">
      <alignment vertical="center" wrapText="1"/>
    </xf>
    <xf numFmtId="10" fontId="7" fillId="47" borderId="50" xfId="0" applyNumberFormat="1" applyFont="1" applyFill="1" applyBorder="1" applyAlignment="1" applyProtection="1">
      <alignment horizontal="center" vertical="center" wrapText="1"/>
    </xf>
    <xf numFmtId="2" fontId="7" fillId="47" borderId="50" xfId="0" applyNumberFormat="1" applyFont="1" applyFill="1" applyBorder="1" applyAlignment="1" applyProtection="1">
      <alignment horizontal="center" vertical="center" wrapText="1"/>
    </xf>
    <xf numFmtId="0" fontId="8" fillId="49" borderId="53" xfId="0" applyFont="1" applyFill="1" applyBorder="1" applyAlignment="1" applyProtection="1">
      <alignment vertical="center" wrapText="1"/>
    </xf>
    <xf numFmtId="2" fontId="8" fillId="49" borderId="53" xfId="0" applyNumberFormat="1" applyFont="1" applyFill="1" applyBorder="1" applyAlignment="1" applyProtection="1">
      <alignment vertical="center" wrapText="1"/>
    </xf>
    <xf numFmtId="4" fontId="8" fillId="49" borderId="53" xfId="0" applyNumberFormat="1" applyFont="1" applyFill="1" applyBorder="1" applyAlignment="1" applyProtection="1">
      <alignment horizontal="center" vertical="center" wrapText="1"/>
    </xf>
    <xf numFmtId="166" fontId="13" fillId="49" borderId="53" xfId="0" applyNumberFormat="1" applyFont="1" applyFill="1" applyBorder="1" applyAlignment="1" applyProtection="1">
      <alignment horizontal="center" vertical="center" wrapText="1"/>
    </xf>
    <xf numFmtId="169" fontId="8" fillId="49" borderId="53" xfId="0" applyNumberFormat="1" applyFont="1" applyFill="1" applyBorder="1" applyAlignment="1" applyProtection="1">
      <alignment vertical="center" wrapText="1"/>
    </xf>
    <xf numFmtId="168" fontId="8" fillId="49" borderId="53" xfId="0" applyNumberFormat="1" applyFont="1" applyFill="1" applyBorder="1" applyAlignment="1" applyProtection="1">
      <alignment vertical="center" wrapText="1"/>
    </xf>
    <xf numFmtId="10" fontId="8" fillId="49" borderId="53" xfId="0" applyNumberFormat="1" applyFont="1" applyFill="1" applyBorder="1" applyAlignment="1" applyProtection="1">
      <alignment horizontal="center" vertical="center" wrapText="1"/>
    </xf>
    <xf numFmtId="2" fontId="8" fillId="49" borderId="53" xfId="0" applyNumberFormat="1" applyFont="1" applyFill="1" applyBorder="1" applyAlignment="1" applyProtection="1">
      <alignment horizontal="center" vertical="center" wrapText="1"/>
    </xf>
    <xf numFmtId="0" fontId="8" fillId="49" borderId="51" xfId="0" applyFont="1" applyFill="1" applyBorder="1" applyAlignment="1" applyProtection="1">
      <alignment vertical="center" wrapText="1"/>
    </xf>
    <xf numFmtId="0" fontId="8" fillId="49" borderId="45" xfId="0" applyFont="1" applyFill="1" applyBorder="1" applyAlignment="1" applyProtection="1">
      <alignment vertical="center" wrapText="1"/>
    </xf>
    <xf numFmtId="2" fontId="8" fillId="49" borderId="45" xfId="0" applyNumberFormat="1" applyFont="1" applyFill="1" applyBorder="1" applyAlignment="1" applyProtection="1">
      <alignment vertical="center" wrapText="1"/>
    </xf>
    <xf numFmtId="4" fontId="8" fillId="49" borderId="45" xfId="0" applyNumberFormat="1" applyFont="1" applyFill="1" applyBorder="1" applyAlignment="1" applyProtection="1">
      <alignment horizontal="center" vertical="center" wrapText="1"/>
    </xf>
    <xf numFmtId="166" fontId="13" fillId="49" borderId="45" xfId="0" applyNumberFormat="1" applyFont="1" applyFill="1" applyBorder="1" applyAlignment="1" applyProtection="1">
      <alignment horizontal="center" vertical="center" wrapText="1"/>
    </xf>
    <xf numFmtId="169" fontId="8" fillId="49" borderId="45" xfId="0" applyNumberFormat="1" applyFont="1" applyFill="1" applyBorder="1" applyAlignment="1" applyProtection="1">
      <alignment vertical="center" wrapText="1"/>
    </xf>
    <xf numFmtId="168" fontId="8" fillId="49" borderId="45" xfId="0" applyNumberFormat="1" applyFont="1" applyFill="1" applyBorder="1" applyAlignment="1" applyProtection="1">
      <alignment vertical="center" wrapText="1"/>
    </xf>
    <xf numFmtId="10" fontId="8" fillId="49" borderId="45" xfId="0" applyNumberFormat="1" applyFont="1" applyFill="1" applyBorder="1" applyAlignment="1" applyProtection="1">
      <alignment horizontal="center" vertical="center" wrapText="1"/>
    </xf>
    <xf numFmtId="2" fontId="8" fillId="49" borderId="45" xfId="0" applyNumberFormat="1" applyFont="1" applyFill="1" applyBorder="1" applyAlignment="1" applyProtection="1">
      <alignment horizontal="center" vertical="center" wrapText="1"/>
    </xf>
    <xf numFmtId="166" fontId="13" fillId="49" borderId="60" xfId="0" applyNumberFormat="1" applyFont="1" applyFill="1" applyBorder="1" applyAlignment="1" applyProtection="1">
      <alignment horizontal="center" vertical="center" wrapText="1"/>
    </xf>
    <xf numFmtId="0" fontId="26" fillId="49" borderId="30" xfId="0" applyFont="1" applyFill="1" applyBorder="1" applyAlignment="1" applyProtection="1">
      <alignment horizontal="center" vertical="center"/>
    </xf>
    <xf numFmtId="10" fontId="26" fillId="49" borderId="59" xfId="0" applyNumberFormat="1" applyFont="1" applyFill="1" applyBorder="1" applyAlignment="1" applyProtection="1">
      <alignment horizontal="center" vertical="center"/>
    </xf>
    <xf numFmtId="0" fontId="22" fillId="49" borderId="27" xfId="0" applyFont="1" applyFill="1" applyBorder="1" applyAlignment="1" applyProtection="1">
      <alignment horizontal="center" vertical="center"/>
    </xf>
    <xf numFmtId="10" fontId="22" fillId="49" borderId="28" xfId="0" applyNumberFormat="1" applyFont="1" applyFill="1" applyBorder="1" applyAlignment="1" applyProtection="1">
      <alignment horizontal="center" vertical="center"/>
    </xf>
    <xf numFmtId="0" fontId="27" fillId="46" borderId="23" xfId="0" applyFont="1" applyFill="1" applyBorder="1" applyAlignment="1" applyProtection="1">
      <alignment vertical="center"/>
    </xf>
    <xf numFmtId="166" fontId="7" fillId="46" borderId="23" xfId="0" applyNumberFormat="1" applyFont="1" applyFill="1" applyBorder="1" applyAlignment="1" applyProtection="1">
      <alignment horizontal="center" vertical="center" wrapText="1"/>
    </xf>
    <xf numFmtId="2" fontId="27" fillId="46" borderId="23" xfId="0" applyNumberFormat="1" applyFont="1" applyFill="1" applyBorder="1" applyAlignment="1" applyProtection="1">
      <alignment horizontal="center" vertical="center"/>
    </xf>
    <xf numFmtId="4" fontId="80" fillId="46" borderId="23" xfId="0" applyNumberFormat="1" applyFont="1" applyFill="1" applyBorder="1" applyAlignment="1" applyProtection="1">
      <alignment horizontal="center" vertical="center"/>
    </xf>
    <xf numFmtId="166" fontId="80" fillId="46" borderId="20" xfId="0" applyNumberFormat="1" applyFont="1" applyFill="1" applyBorder="1" applyAlignment="1" applyProtection="1">
      <alignment horizontal="center" vertical="center" wrapText="1"/>
    </xf>
    <xf numFmtId="0" fontId="8" fillId="50" borderId="37" xfId="0" applyFont="1" applyFill="1" applyBorder="1" applyAlignment="1" applyProtection="1">
      <alignment vertical="center"/>
    </xf>
    <xf numFmtId="0" fontId="8" fillId="50" borderId="53" xfId="0" applyFont="1" applyFill="1" applyBorder="1" applyAlignment="1" applyProtection="1">
      <alignment vertical="center" wrapText="1"/>
    </xf>
    <xf numFmtId="2" fontId="8" fillId="50" borderId="53" xfId="0" applyNumberFormat="1" applyFont="1" applyFill="1" applyBorder="1" applyAlignment="1" applyProtection="1">
      <alignment vertical="center" wrapText="1"/>
    </xf>
    <xf numFmtId="4" fontId="8" fillId="50" borderId="53" xfId="0" applyNumberFormat="1" applyFont="1" applyFill="1" applyBorder="1" applyAlignment="1" applyProtection="1">
      <alignment horizontal="center" vertical="center" wrapText="1"/>
    </xf>
    <xf numFmtId="166" fontId="13" fillId="50" borderId="53" xfId="0" applyNumberFormat="1" applyFont="1" applyFill="1" applyBorder="1" applyAlignment="1" applyProtection="1">
      <alignment horizontal="center" vertical="center" wrapText="1"/>
    </xf>
    <xf numFmtId="169" fontId="8" fillId="50" borderId="53" xfId="0" applyNumberFormat="1" applyFont="1" applyFill="1" applyBorder="1" applyAlignment="1" applyProtection="1">
      <alignment vertical="center" wrapText="1"/>
    </xf>
    <xf numFmtId="168" fontId="8" fillId="50" borderId="53" xfId="0" applyNumberFormat="1" applyFont="1" applyFill="1" applyBorder="1" applyAlignment="1" applyProtection="1">
      <alignment vertical="center" wrapText="1"/>
    </xf>
    <xf numFmtId="10" fontId="8" fillId="50" borderId="53" xfId="0" applyNumberFormat="1" applyFont="1" applyFill="1" applyBorder="1" applyAlignment="1" applyProtection="1">
      <alignment horizontal="center" vertical="center" wrapText="1"/>
    </xf>
    <xf numFmtId="2" fontId="8" fillId="50" borderId="53" xfId="0" applyNumberFormat="1" applyFont="1" applyFill="1" applyBorder="1" applyAlignment="1" applyProtection="1">
      <alignment horizontal="center" vertical="center" wrapText="1"/>
    </xf>
    <xf numFmtId="166" fontId="13" fillId="50" borderId="24" xfId="0" applyNumberFormat="1" applyFont="1" applyFill="1" applyBorder="1" applyAlignment="1" applyProtection="1">
      <alignment horizontal="center" vertical="center" wrapText="1"/>
    </xf>
    <xf numFmtId="0" fontId="4" fillId="45" borderId="22" xfId="0" applyFont="1" applyFill="1" applyBorder="1" applyAlignment="1" applyProtection="1">
      <alignment vertical="center"/>
    </xf>
    <xf numFmtId="0" fontId="24" fillId="45" borderId="23" xfId="0" applyFont="1" applyFill="1" applyBorder="1" applyAlignment="1" applyProtection="1">
      <alignment vertical="center"/>
    </xf>
    <xf numFmtId="2" fontId="24" fillId="45" borderId="23" xfId="0" applyNumberFormat="1" applyFont="1" applyFill="1" applyBorder="1" applyAlignment="1" applyProtection="1">
      <alignment vertical="center"/>
    </xf>
    <xf numFmtId="4" fontId="7" fillId="45" borderId="23" xfId="0" applyNumberFormat="1" applyFont="1" applyFill="1" applyBorder="1" applyAlignment="1" applyProtection="1">
      <alignment horizontal="center" vertical="center"/>
    </xf>
    <xf numFmtId="166" fontId="32" fillId="45" borderId="23" xfId="0" applyNumberFormat="1" applyFont="1" applyFill="1" applyBorder="1" applyAlignment="1" applyProtection="1">
      <alignment horizontal="center" vertical="center" wrapText="1"/>
    </xf>
    <xf numFmtId="169" fontId="24" fillId="45" borderId="23" xfId="0" applyNumberFormat="1" applyFont="1" applyFill="1" applyBorder="1" applyAlignment="1" applyProtection="1">
      <alignment vertical="center"/>
    </xf>
    <xf numFmtId="168" fontId="24" fillId="45" borderId="23" xfId="0" applyNumberFormat="1" applyFont="1" applyFill="1" applyBorder="1" applyAlignment="1" applyProtection="1">
      <alignment vertical="center"/>
    </xf>
    <xf numFmtId="10" fontId="24" fillId="45" borderId="23" xfId="0" applyNumberFormat="1" applyFont="1" applyFill="1" applyBorder="1" applyAlignment="1" applyProtection="1">
      <alignment horizontal="center" vertical="center"/>
    </xf>
    <xf numFmtId="2" fontId="24" fillId="45" borderId="23" xfId="0" applyNumberFormat="1" applyFont="1" applyFill="1" applyBorder="1" applyAlignment="1" applyProtection="1">
      <alignment horizontal="center" vertical="center"/>
    </xf>
    <xf numFmtId="166" fontId="25" fillId="45" borderId="20" xfId="0" applyNumberFormat="1" applyFont="1" applyFill="1" applyBorder="1" applyAlignment="1" applyProtection="1">
      <alignment horizontal="center" vertical="center" wrapText="1"/>
    </xf>
    <xf numFmtId="0" fontId="4" fillId="45" borderId="15" xfId="0" applyFont="1" applyFill="1" applyBorder="1" applyAlignment="1" applyProtection="1">
      <alignment vertical="center"/>
    </xf>
    <xf numFmtId="0" fontId="31" fillId="45" borderId="14" xfId="0" applyFont="1" applyFill="1" applyBorder="1" applyAlignment="1" applyProtection="1">
      <alignment vertical="center"/>
    </xf>
    <xf numFmtId="0" fontId="82" fillId="32" borderId="50" xfId="0" applyNumberFormat="1" applyFont="1" applyFill="1" applyBorder="1" applyAlignment="1" applyProtection="1">
      <alignment horizontal="left" vertical="center" wrapText="1"/>
    </xf>
    <xf numFmtId="0" fontId="7" fillId="32" borderId="21" xfId="0" applyFont="1" applyFill="1" applyBorder="1" applyAlignment="1" applyProtection="1">
      <alignment vertical="center"/>
    </xf>
    <xf numFmtId="0" fontId="7" fillId="32" borderId="50" xfId="0" applyFont="1" applyFill="1" applyBorder="1" applyAlignment="1" applyProtection="1">
      <alignment vertical="center" wrapText="1"/>
    </xf>
    <xf numFmtId="2" fontId="7" fillId="32" borderId="50" xfId="0" applyNumberFormat="1" applyFont="1" applyFill="1" applyBorder="1" applyAlignment="1" applyProtection="1">
      <alignment vertical="center" wrapText="1"/>
    </xf>
    <xf numFmtId="4" fontId="7" fillId="32" borderId="50" xfId="0" applyNumberFormat="1" applyFont="1" applyFill="1" applyBorder="1" applyAlignment="1" applyProtection="1">
      <alignment horizontal="center" vertical="center" wrapText="1"/>
    </xf>
    <xf numFmtId="166" fontId="7" fillId="32" borderId="50" xfId="0" applyNumberFormat="1" applyFont="1" applyFill="1" applyBorder="1" applyAlignment="1" applyProtection="1">
      <alignment horizontal="center" vertical="center" wrapText="1"/>
    </xf>
    <xf numFmtId="169" fontId="7" fillId="32" borderId="50" xfId="0" applyNumberFormat="1" applyFont="1" applyFill="1" applyBorder="1" applyAlignment="1" applyProtection="1">
      <alignment vertical="center" wrapText="1"/>
    </xf>
    <xf numFmtId="168" fontId="7" fillId="32" borderId="50" xfId="0" applyNumberFormat="1" applyFont="1" applyFill="1" applyBorder="1" applyAlignment="1" applyProtection="1">
      <alignment vertical="center" wrapText="1"/>
    </xf>
    <xf numFmtId="10" fontId="7" fillId="32" borderId="50" xfId="0" applyNumberFormat="1" applyFont="1" applyFill="1" applyBorder="1" applyAlignment="1" applyProtection="1">
      <alignment horizontal="center" vertical="center" wrapText="1"/>
    </xf>
    <xf numFmtId="2" fontId="7" fillId="32" borderId="50" xfId="0" applyNumberFormat="1" applyFont="1" applyFill="1" applyBorder="1" applyAlignment="1" applyProtection="1">
      <alignment horizontal="center" vertical="center" wrapText="1"/>
    </xf>
    <xf numFmtId="166" fontId="7" fillId="32" borderId="19" xfId="0" applyNumberFormat="1" applyFont="1" applyFill="1" applyBorder="1" applyAlignment="1" applyProtection="1">
      <alignment horizontal="center" vertical="center" wrapText="1"/>
    </xf>
    <xf numFmtId="166" fontId="13" fillId="32" borderId="19" xfId="0" applyNumberFormat="1" applyFont="1" applyFill="1" applyBorder="1" applyAlignment="1" applyProtection="1">
      <alignment horizontal="center" vertical="center" wrapText="1"/>
    </xf>
    <xf numFmtId="0" fontId="31" fillId="32" borderId="16" xfId="0" applyNumberFormat="1" applyFont="1" applyFill="1" applyBorder="1" applyAlignment="1" applyProtection="1">
      <alignment vertical="center" wrapText="1"/>
    </xf>
    <xf numFmtId="0" fontId="31" fillId="32" borderId="17" xfId="0" applyNumberFormat="1" applyFont="1" applyFill="1" applyBorder="1" applyAlignment="1" applyProtection="1">
      <alignment vertical="center" wrapText="1"/>
    </xf>
    <xf numFmtId="2" fontId="3" fillId="32" borderId="23" xfId="0" applyNumberFormat="1" applyFont="1" applyFill="1" applyBorder="1" applyAlignment="1" applyProtection="1">
      <alignment horizontal="center" vertical="center"/>
    </xf>
    <xf numFmtId="171" fontId="3" fillId="32" borderId="23" xfId="0" applyNumberFormat="1" applyFont="1" applyFill="1" applyBorder="1" applyAlignment="1" applyProtection="1">
      <alignment horizontal="center" vertical="center"/>
    </xf>
    <xf numFmtId="4" fontId="22" fillId="41" borderId="50" xfId="0" applyNumberFormat="1" applyFont="1" applyFill="1" applyBorder="1" applyAlignment="1" applyProtection="1">
      <alignment horizontal="center" vertical="center" wrapText="1"/>
    </xf>
    <xf numFmtId="10" fontId="22" fillId="41" borderId="50" xfId="0" applyNumberFormat="1" applyFont="1" applyFill="1" applyBorder="1" applyAlignment="1" applyProtection="1">
      <alignment horizontal="center" vertical="center" wrapText="1"/>
    </xf>
    <xf numFmtId="4" fontId="22" fillId="33" borderId="50" xfId="0" applyNumberFormat="1" applyFont="1" applyFill="1" applyBorder="1" applyAlignment="1" applyProtection="1">
      <alignment horizontal="center" vertical="center" wrapText="1"/>
    </xf>
    <xf numFmtId="10" fontId="22" fillId="33" borderId="50" xfId="0" applyNumberFormat="1" applyFont="1" applyFill="1" applyBorder="1" applyAlignment="1" applyProtection="1">
      <alignment horizontal="center" vertical="center" wrapText="1"/>
    </xf>
    <xf numFmtId="4" fontId="12" fillId="33" borderId="50" xfId="0" applyNumberFormat="1" applyFont="1" applyFill="1" applyBorder="1" applyAlignment="1" applyProtection="1">
      <alignment horizontal="center" vertical="center" wrapText="1"/>
    </xf>
    <xf numFmtId="2" fontId="22" fillId="33" borderId="50" xfId="0" applyNumberFormat="1" applyFont="1" applyFill="1" applyBorder="1" applyAlignment="1" applyProtection="1">
      <alignment horizontal="center" vertical="center" wrapText="1"/>
    </xf>
    <xf numFmtId="168" fontId="22" fillId="33" borderId="50" xfId="0" applyNumberFormat="1" applyFont="1" applyFill="1" applyBorder="1" applyAlignment="1" applyProtection="1">
      <alignment horizontal="center" vertical="center" wrapText="1"/>
    </xf>
    <xf numFmtId="0" fontId="22" fillId="33" borderId="21" xfId="0" applyFont="1" applyFill="1" applyBorder="1" applyAlignment="1" applyProtection="1">
      <alignment vertical="center"/>
    </xf>
    <xf numFmtId="0" fontId="22" fillId="33" borderId="50" xfId="0" applyFont="1" applyFill="1" applyBorder="1" applyAlignment="1" applyProtection="1">
      <alignment vertical="center"/>
    </xf>
    <xf numFmtId="2" fontId="22" fillId="33" borderId="50" xfId="0" applyNumberFormat="1" applyFont="1" applyFill="1" applyBorder="1" applyAlignment="1" applyProtection="1">
      <alignment vertical="center"/>
    </xf>
    <xf numFmtId="4" fontId="22" fillId="33" borderId="50" xfId="0" applyNumberFormat="1" applyFont="1" applyFill="1" applyBorder="1" applyAlignment="1" applyProtection="1">
      <alignment horizontal="center" vertical="center"/>
    </xf>
    <xf numFmtId="166" fontId="3" fillId="33" borderId="50" xfId="0" applyNumberFormat="1" applyFont="1" applyFill="1" applyBorder="1" applyAlignment="1" applyProtection="1">
      <alignment horizontal="center" vertical="center" wrapText="1"/>
    </xf>
    <xf numFmtId="2" fontId="22" fillId="33" borderId="50" xfId="0" applyNumberFormat="1" applyFont="1" applyFill="1" applyBorder="1" applyAlignment="1" applyProtection="1">
      <alignment horizontal="center" vertical="center"/>
    </xf>
    <xf numFmtId="169" fontId="22" fillId="33" borderId="50" xfId="0" applyNumberFormat="1" applyFont="1" applyFill="1" applyBorder="1" applyAlignment="1" applyProtection="1">
      <alignment vertical="center"/>
    </xf>
    <xf numFmtId="168" fontId="22" fillId="33" borderId="50" xfId="0" applyNumberFormat="1" applyFont="1" applyFill="1" applyBorder="1" applyAlignment="1" applyProtection="1">
      <alignment vertical="center"/>
    </xf>
    <xf numFmtId="10" fontId="22" fillId="33" borderId="50" xfId="0" applyNumberFormat="1" applyFont="1" applyFill="1" applyBorder="1" applyAlignment="1" applyProtection="1">
      <alignment horizontal="center" vertical="center"/>
    </xf>
    <xf numFmtId="166" fontId="3" fillId="33" borderId="19" xfId="0" applyNumberFormat="1" applyFont="1" applyFill="1" applyBorder="1" applyAlignment="1" applyProtection="1">
      <alignment horizontal="center" vertical="center" wrapText="1"/>
    </xf>
    <xf numFmtId="0" fontId="8" fillId="33" borderId="21" xfId="0" applyFont="1" applyFill="1" applyBorder="1" applyAlignment="1" applyProtection="1">
      <alignment vertical="center" wrapText="1"/>
    </xf>
    <xf numFmtId="0" fontId="18" fillId="50" borderId="50" xfId="0" applyFont="1" applyFill="1" applyBorder="1" applyAlignment="1" applyProtection="1">
      <alignment horizontal="center" vertical="center" wrapText="1"/>
    </xf>
    <xf numFmtId="170" fontId="18" fillId="50" borderId="50" xfId="0" applyNumberFormat="1" applyFont="1" applyFill="1" applyBorder="1" applyAlignment="1" applyProtection="1">
      <alignment horizontal="center" vertical="center" wrapText="1"/>
    </xf>
    <xf numFmtId="1" fontId="18" fillId="50" borderId="50" xfId="0" applyNumberFormat="1" applyFont="1" applyFill="1" applyBorder="1" applyAlignment="1" applyProtection="1">
      <alignment horizontal="center" vertical="center" wrapText="1"/>
    </xf>
    <xf numFmtId="166" fontId="0" fillId="50" borderId="50" xfId="0" applyNumberFormat="1" applyFont="1" applyFill="1" applyBorder="1" applyAlignment="1" applyProtection="1">
      <alignment horizontal="center" vertical="center" wrapText="1"/>
    </xf>
    <xf numFmtId="2" fontId="0" fillId="50" borderId="50" xfId="0" applyNumberFormat="1" applyFont="1" applyFill="1" applyBorder="1" applyAlignment="1" applyProtection="1">
      <alignment horizontal="center" vertical="center" wrapText="1"/>
    </xf>
    <xf numFmtId="169" fontId="18" fillId="50" borderId="50" xfId="0" applyNumberFormat="1" applyFont="1" applyFill="1" applyBorder="1" applyAlignment="1" applyProtection="1">
      <alignment horizontal="center" vertical="center" wrapText="1"/>
    </xf>
    <xf numFmtId="168" fontId="0" fillId="50" borderId="50" xfId="0" applyNumberFormat="1" applyFont="1" applyFill="1" applyBorder="1" applyAlignment="1" applyProtection="1">
      <alignment horizontal="center" vertical="center" wrapText="1"/>
    </xf>
    <xf numFmtId="2" fontId="18" fillId="50" borderId="50" xfId="0" applyNumberFormat="1" applyFont="1" applyFill="1" applyBorder="1" applyAlignment="1" applyProtection="1">
      <alignment horizontal="center" vertical="center" wrapText="1"/>
    </xf>
    <xf numFmtId="4" fontId="18" fillId="50" borderId="50" xfId="0" applyNumberFormat="1" applyFont="1" applyFill="1" applyBorder="1" applyAlignment="1" applyProtection="1">
      <alignment horizontal="center" vertical="center" wrapText="1"/>
    </xf>
    <xf numFmtId="166" fontId="0" fillId="50" borderId="19" xfId="0" applyNumberFormat="1" applyFont="1" applyFill="1" applyBorder="1" applyAlignment="1" applyProtection="1">
      <alignment horizontal="center" vertical="center" wrapText="1"/>
    </xf>
    <xf numFmtId="169" fontId="0" fillId="50" borderId="50" xfId="0" applyNumberFormat="1" applyFont="1" applyFill="1" applyBorder="1" applyAlignment="1" applyProtection="1">
      <alignment horizontal="center" vertical="center" wrapText="1"/>
    </xf>
    <xf numFmtId="173" fontId="18" fillId="50" borderId="50" xfId="0" applyNumberFormat="1" applyFont="1" applyFill="1" applyBorder="1" applyAlignment="1" applyProtection="1">
      <alignment horizontal="center" vertical="center" wrapText="1"/>
    </xf>
    <xf numFmtId="174" fontId="0" fillId="50" borderId="50" xfId="0" applyNumberFormat="1" applyFont="1" applyFill="1" applyBorder="1" applyAlignment="1" applyProtection="1">
      <alignment horizontal="center" vertical="center" wrapText="1"/>
    </xf>
    <xf numFmtId="168" fontId="18" fillId="50" borderId="50" xfId="0" applyNumberFormat="1" applyFont="1" applyFill="1" applyBorder="1" applyAlignment="1" applyProtection="1">
      <alignment horizontal="center" vertical="center" wrapText="1"/>
    </xf>
    <xf numFmtId="173" fontId="0" fillId="50" borderId="50" xfId="0" applyNumberFormat="1" applyFont="1" applyFill="1" applyBorder="1" applyAlignment="1" applyProtection="1">
      <alignment horizontal="center" vertical="center" wrapText="1"/>
    </xf>
    <xf numFmtId="0" fontId="7" fillId="50" borderId="37" xfId="0" applyFont="1" applyFill="1" applyBorder="1" applyAlignment="1" applyProtection="1">
      <alignment vertical="center"/>
    </xf>
    <xf numFmtId="0" fontId="7" fillId="50" borderId="53" xfId="0" applyFont="1" applyFill="1" applyBorder="1" applyAlignment="1" applyProtection="1">
      <alignment vertical="center" wrapText="1"/>
    </xf>
    <xf numFmtId="2" fontId="7" fillId="50" borderId="53" xfId="0" applyNumberFormat="1" applyFont="1" applyFill="1" applyBorder="1" applyAlignment="1" applyProtection="1">
      <alignment vertical="center" wrapText="1"/>
    </xf>
    <xf numFmtId="4" fontId="7" fillId="50" borderId="53" xfId="0" applyNumberFormat="1" applyFont="1" applyFill="1" applyBorder="1" applyAlignment="1" applyProtection="1">
      <alignment horizontal="center" vertical="center" wrapText="1"/>
    </xf>
    <xf numFmtId="166" fontId="7" fillId="50" borderId="53" xfId="0" applyNumberFormat="1" applyFont="1" applyFill="1" applyBorder="1" applyAlignment="1" applyProtection="1">
      <alignment horizontal="center" vertical="center" wrapText="1"/>
    </xf>
    <xf numFmtId="169" fontId="7" fillId="50" borderId="53" xfId="0" applyNumberFormat="1" applyFont="1" applyFill="1" applyBorder="1" applyAlignment="1" applyProtection="1">
      <alignment vertical="center" wrapText="1"/>
    </xf>
    <xf numFmtId="168" fontId="7" fillId="50" borderId="53" xfId="0" applyNumberFormat="1" applyFont="1" applyFill="1" applyBorder="1" applyAlignment="1" applyProtection="1">
      <alignment vertical="center" wrapText="1"/>
    </xf>
    <xf numFmtId="10" fontId="7" fillId="50" borderId="53" xfId="0" applyNumberFormat="1" applyFont="1" applyFill="1" applyBorder="1" applyAlignment="1" applyProtection="1">
      <alignment horizontal="center" vertical="center" wrapText="1"/>
    </xf>
    <xf numFmtId="2" fontId="7" fillId="50" borderId="53" xfId="0" applyNumberFormat="1" applyFont="1" applyFill="1" applyBorder="1" applyAlignment="1" applyProtection="1">
      <alignment horizontal="center" vertical="center" wrapText="1"/>
    </xf>
    <xf numFmtId="166" fontId="7" fillId="50" borderId="24" xfId="0" applyNumberFormat="1" applyFont="1" applyFill="1" applyBorder="1" applyAlignment="1" applyProtection="1">
      <alignment horizontal="center" vertical="center" wrapText="1"/>
    </xf>
    <xf numFmtId="0" fontId="0" fillId="50" borderId="0" xfId="0" applyFill="1" applyBorder="1" applyProtection="1"/>
    <xf numFmtId="0" fontId="0" fillId="50" borderId="21" xfId="0" applyFill="1" applyBorder="1" applyAlignment="1" applyProtection="1">
      <alignment vertical="center" wrapText="1"/>
    </xf>
    <xf numFmtId="0" fontId="0" fillId="50" borderId="61" xfId="0" applyFill="1" applyBorder="1" applyProtection="1"/>
    <xf numFmtId="0" fontId="33" fillId="33" borderId="50" xfId="0" applyNumberFormat="1" applyFont="1" applyFill="1" applyBorder="1" applyAlignment="1" applyProtection="1">
      <alignment horizontal="center" vertical="center" wrapText="1"/>
    </xf>
    <xf numFmtId="0" fontId="0" fillId="50" borderId="50" xfId="0" applyFill="1" applyBorder="1" applyAlignment="1" applyProtection="1">
      <alignment horizontal="center" vertical="center" wrapText="1"/>
    </xf>
    <xf numFmtId="2" fontId="18" fillId="10" borderId="50" xfId="0" applyNumberFormat="1" applyFont="1" applyFill="1" applyBorder="1" applyAlignment="1" applyProtection="1">
      <alignment horizontal="center" vertical="center" wrapText="1"/>
    </xf>
    <xf numFmtId="1" fontId="18" fillId="10" borderId="50" xfId="0" applyNumberFormat="1" applyFont="1" applyFill="1" applyBorder="1" applyAlignment="1" applyProtection="1">
      <alignment horizontal="center" vertical="center" wrapText="1"/>
    </xf>
    <xf numFmtId="2" fontId="0" fillId="10" borderId="50" xfId="0" applyNumberFormat="1" applyFont="1" applyFill="1" applyBorder="1" applyAlignment="1" applyProtection="1">
      <alignment horizontal="center" vertical="center" wrapText="1"/>
    </xf>
    <xf numFmtId="2" fontId="31" fillId="45" borderId="66" xfId="0" applyNumberFormat="1" applyFont="1" applyFill="1" applyBorder="1" applyAlignment="1" applyProtection="1">
      <alignment horizontal="center" vertical="center"/>
    </xf>
    <xf numFmtId="171" fontId="31" fillId="45" borderId="66" xfId="0" applyNumberFormat="1" applyFont="1" applyFill="1" applyBorder="1" applyAlignment="1" applyProtection="1">
      <alignment horizontal="center" vertical="center"/>
    </xf>
    <xf numFmtId="171" fontId="31" fillId="45" borderId="29" xfId="0" applyNumberFormat="1" applyFont="1" applyFill="1" applyBorder="1" applyAlignment="1" applyProtection="1">
      <alignment horizontal="center" vertical="center"/>
    </xf>
    <xf numFmtId="166" fontId="13" fillId="50" borderId="46" xfId="0" applyNumberFormat="1" applyFont="1" applyFill="1" applyBorder="1" applyAlignment="1" applyProtection="1">
      <alignment vertical="center" wrapText="1"/>
    </xf>
    <xf numFmtId="166" fontId="13" fillId="50" borderId="0" xfId="0" applyNumberFormat="1" applyFont="1" applyFill="1" applyBorder="1" applyAlignment="1" applyProtection="1">
      <alignment vertical="center" wrapText="1"/>
    </xf>
    <xf numFmtId="0" fontId="0" fillId="32" borderId="65" xfId="0" applyFill="1" applyBorder="1" applyProtection="1"/>
    <xf numFmtId="0" fontId="0" fillId="32" borderId="62" xfId="0" applyFill="1" applyBorder="1" applyProtection="1"/>
    <xf numFmtId="2" fontId="22" fillId="32" borderId="23" xfId="0" applyNumberFormat="1" applyFont="1" applyFill="1" applyBorder="1" applyAlignment="1" applyProtection="1">
      <alignment horizontal="center" vertical="center"/>
    </xf>
    <xf numFmtId="171" fontId="22" fillId="32" borderId="20" xfId="0" applyNumberFormat="1" applyFont="1" applyFill="1" applyBorder="1" applyAlignment="1" applyProtection="1">
      <alignment horizontal="center" vertical="center"/>
    </xf>
    <xf numFmtId="166" fontId="7" fillId="50" borderId="46" xfId="0" applyNumberFormat="1" applyFont="1" applyFill="1" applyBorder="1" applyAlignment="1" applyProtection="1">
      <alignment vertical="center" wrapText="1"/>
    </xf>
    <xf numFmtId="166" fontId="7" fillId="50" borderId="0" xfId="0" applyNumberFormat="1" applyFont="1" applyFill="1" applyBorder="1" applyAlignment="1" applyProtection="1">
      <alignment vertical="center" wrapText="1"/>
    </xf>
    <xf numFmtId="0" fontId="21" fillId="32" borderId="65" xfId="0" applyFont="1" applyFill="1" applyBorder="1" applyProtection="1"/>
    <xf numFmtId="0" fontId="21" fillId="32" borderId="62" xfId="0" applyFont="1" applyFill="1" applyBorder="1" applyProtection="1"/>
    <xf numFmtId="0" fontId="18" fillId="45" borderId="14" xfId="0" applyFont="1" applyFill="1" applyBorder="1" applyProtection="1"/>
    <xf numFmtId="0" fontId="18" fillId="45" borderId="10" xfId="0" applyFont="1" applyFill="1" applyBorder="1" applyProtection="1"/>
    <xf numFmtId="10" fontId="23" fillId="0" borderId="50" xfId="0" applyNumberFormat="1" applyFont="1" applyFill="1" applyBorder="1" applyAlignment="1" applyProtection="1">
      <alignment horizontal="center" vertical="center" wrapText="1"/>
      <protection locked="0"/>
    </xf>
    <xf numFmtId="0" fontId="8" fillId="32" borderId="50" xfId="0" applyFont="1" applyFill="1" applyBorder="1" applyAlignment="1" applyProtection="1">
      <alignment vertical="center" wrapText="1"/>
    </xf>
    <xf numFmtId="2" fontId="8" fillId="32" borderId="50" xfId="0" applyNumberFormat="1" applyFont="1" applyFill="1" applyBorder="1" applyAlignment="1" applyProtection="1">
      <alignment vertical="center" wrapText="1"/>
    </xf>
    <xf numFmtId="4" fontId="8" fillId="32" borderId="50" xfId="0" applyNumberFormat="1" applyFont="1" applyFill="1" applyBorder="1" applyAlignment="1" applyProtection="1">
      <alignment horizontal="center" vertical="center" wrapText="1"/>
    </xf>
    <xf numFmtId="166" fontId="13" fillId="32" borderId="50" xfId="0" applyNumberFormat="1" applyFont="1" applyFill="1" applyBorder="1" applyAlignment="1" applyProtection="1">
      <alignment horizontal="center" vertical="center" wrapText="1"/>
    </xf>
    <xf numFmtId="169" fontId="8" fillId="32" borderId="50" xfId="0" applyNumberFormat="1" applyFont="1" applyFill="1" applyBorder="1" applyAlignment="1" applyProtection="1">
      <alignment vertical="center" wrapText="1"/>
    </xf>
    <xf numFmtId="168" fontId="8" fillId="32" borderId="50" xfId="0" applyNumberFormat="1" applyFont="1" applyFill="1" applyBorder="1" applyAlignment="1" applyProtection="1">
      <alignment vertical="center" wrapText="1"/>
    </xf>
    <xf numFmtId="10" fontId="8" fillId="32" borderId="50" xfId="0" applyNumberFormat="1" applyFont="1" applyFill="1" applyBorder="1" applyAlignment="1" applyProtection="1">
      <alignment horizontal="center" vertical="center" wrapText="1"/>
    </xf>
    <xf numFmtId="2" fontId="8" fillId="32" borderId="50" xfId="0" applyNumberFormat="1" applyFont="1" applyFill="1" applyBorder="1" applyAlignment="1" applyProtection="1">
      <alignment horizontal="center" vertical="center" wrapText="1"/>
    </xf>
    <xf numFmtId="0" fontId="8" fillId="50" borderId="51" xfId="0" applyFont="1" applyFill="1" applyBorder="1" applyAlignment="1" applyProtection="1">
      <alignment vertical="center" wrapText="1"/>
    </xf>
    <xf numFmtId="0" fontId="8" fillId="50" borderId="45" xfId="0" applyFont="1" applyFill="1" applyBorder="1" applyAlignment="1" applyProtection="1">
      <alignment vertical="center" wrapText="1"/>
    </xf>
    <xf numFmtId="2" fontId="8" fillId="50" borderId="45" xfId="0" applyNumberFormat="1" applyFont="1" applyFill="1" applyBorder="1" applyAlignment="1" applyProtection="1">
      <alignment vertical="center" wrapText="1"/>
    </xf>
    <xf numFmtId="4" fontId="8" fillId="50" borderId="45" xfId="0" applyNumberFormat="1" applyFont="1" applyFill="1" applyBorder="1" applyAlignment="1" applyProtection="1">
      <alignment horizontal="center" vertical="center" wrapText="1"/>
    </xf>
    <xf numFmtId="166" fontId="13" fillId="50" borderId="45" xfId="0" applyNumberFormat="1" applyFont="1" applyFill="1" applyBorder="1" applyAlignment="1" applyProtection="1">
      <alignment horizontal="center" vertical="center" wrapText="1"/>
    </xf>
    <xf numFmtId="169" fontId="8" fillId="50" borderId="45" xfId="0" applyNumberFormat="1" applyFont="1" applyFill="1" applyBorder="1" applyAlignment="1" applyProtection="1">
      <alignment vertical="center" wrapText="1"/>
    </xf>
    <xf numFmtId="168" fontId="8" fillId="50" borderId="45" xfId="0" applyNumberFormat="1" applyFont="1" applyFill="1" applyBorder="1" applyAlignment="1" applyProtection="1">
      <alignment vertical="center" wrapText="1"/>
    </xf>
    <xf numFmtId="10" fontId="8" fillId="50" borderId="45" xfId="0" applyNumberFormat="1" applyFont="1" applyFill="1" applyBorder="1" applyAlignment="1" applyProtection="1">
      <alignment horizontal="center" vertical="center" wrapText="1"/>
    </xf>
    <xf numFmtId="2" fontId="8" fillId="50" borderId="45" xfId="0" applyNumberFormat="1" applyFont="1" applyFill="1" applyBorder="1" applyAlignment="1" applyProtection="1">
      <alignment horizontal="center" vertical="center" wrapText="1"/>
    </xf>
    <xf numFmtId="166" fontId="13" fillId="50" borderId="60" xfId="0" applyNumberFormat="1" applyFont="1" applyFill="1" applyBorder="1" applyAlignment="1" applyProtection="1">
      <alignment horizontal="center" vertical="center" wrapText="1"/>
    </xf>
    <xf numFmtId="0" fontId="27" fillId="45" borderId="23" xfId="0" applyFont="1" applyFill="1" applyBorder="1" applyAlignment="1" applyProtection="1">
      <alignment vertical="center"/>
    </xf>
    <xf numFmtId="166" fontId="7" fillId="45" borderId="23" xfId="0" applyNumberFormat="1" applyFont="1" applyFill="1" applyBorder="1" applyAlignment="1" applyProtection="1">
      <alignment horizontal="center" vertical="center" wrapText="1"/>
    </xf>
    <xf numFmtId="2" fontId="27" fillId="45" borderId="23" xfId="0" applyNumberFormat="1" applyFont="1" applyFill="1" applyBorder="1" applyAlignment="1" applyProtection="1">
      <alignment horizontal="center" vertical="center"/>
    </xf>
    <xf numFmtId="166" fontId="80" fillId="45" borderId="20" xfId="0" applyNumberFormat="1" applyFont="1" applyFill="1" applyBorder="1" applyAlignment="1" applyProtection="1">
      <alignment horizontal="center" vertical="center" wrapText="1"/>
    </xf>
    <xf numFmtId="0" fontId="4" fillId="16" borderId="22" xfId="0" applyFont="1" applyFill="1" applyBorder="1" applyAlignment="1" applyProtection="1">
      <alignment vertical="center"/>
    </xf>
    <xf numFmtId="0" fontId="24" fillId="16" borderId="23" xfId="0" applyFont="1" applyFill="1" applyBorder="1" applyAlignment="1" applyProtection="1">
      <alignment vertical="center"/>
    </xf>
    <xf numFmtId="2" fontId="24" fillId="16" borderId="23" xfId="0" applyNumberFormat="1" applyFont="1" applyFill="1" applyBorder="1" applyAlignment="1" applyProtection="1">
      <alignment vertical="center"/>
    </xf>
    <xf numFmtId="4" fontId="7" fillId="16" borderId="23" xfId="0" applyNumberFormat="1" applyFont="1" applyFill="1" applyBorder="1" applyAlignment="1" applyProtection="1">
      <alignment horizontal="center" vertical="center"/>
    </xf>
    <xf numFmtId="166" fontId="32" fillId="16" borderId="23" xfId="0" applyNumberFormat="1" applyFont="1" applyFill="1" applyBorder="1" applyAlignment="1" applyProtection="1">
      <alignment horizontal="center" vertical="center" wrapText="1"/>
    </xf>
    <xf numFmtId="169" fontId="24" fillId="16" borderId="23" xfId="0" applyNumberFormat="1" applyFont="1" applyFill="1" applyBorder="1" applyAlignment="1" applyProtection="1">
      <alignment vertical="center"/>
    </xf>
    <xf numFmtId="168" fontId="24" fillId="16" borderId="23" xfId="0" applyNumberFormat="1" applyFont="1" applyFill="1" applyBorder="1" applyAlignment="1" applyProtection="1">
      <alignment vertical="center"/>
    </xf>
    <xf numFmtId="10" fontId="24" fillId="16" borderId="23" xfId="0" applyNumberFormat="1" applyFont="1" applyFill="1" applyBorder="1" applyAlignment="1" applyProtection="1">
      <alignment horizontal="center" vertical="center"/>
    </xf>
    <xf numFmtId="2" fontId="24" fillId="16" borderId="23" xfId="0" applyNumberFormat="1" applyFont="1" applyFill="1" applyBorder="1" applyAlignment="1" applyProtection="1">
      <alignment horizontal="center" vertical="center"/>
    </xf>
    <xf numFmtId="166" fontId="25" fillId="16" borderId="20" xfId="0" applyNumberFormat="1" applyFont="1" applyFill="1" applyBorder="1" applyAlignment="1" applyProtection="1">
      <alignment horizontal="center" vertical="center" wrapText="1"/>
    </xf>
    <xf numFmtId="0" fontId="4" fillId="16" borderId="15" xfId="0" applyFont="1" applyFill="1" applyBorder="1" applyAlignment="1" applyProtection="1">
      <alignment vertical="center"/>
    </xf>
    <xf numFmtId="0" fontId="31" fillId="16" borderId="14" xfId="0" applyFont="1" applyFill="1" applyBorder="1" applyAlignment="1" applyProtection="1">
      <alignment vertical="center"/>
    </xf>
    <xf numFmtId="2" fontId="31" fillId="16" borderId="31" xfId="0" applyNumberFormat="1" applyFont="1" applyFill="1" applyBorder="1" applyAlignment="1" applyProtection="1">
      <alignment horizontal="center" vertical="center"/>
    </xf>
    <xf numFmtId="171" fontId="31" fillId="16" borderId="31" xfId="0" applyNumberFormat="1" applyFont="1" applyFill="1" applyBorder="1" applyAlignment="1" applyProtection="1">
      <alignment horizontal="center" vertical="center"/>
    </xf>
    <xf numFmtId="2" fontId="31" fillId="16" borderId="66" xfId="0" applyNumberFormat="1" applyFont="1" applyFill="1" applyBorder="1" applyAlignment="1" applyProtection="1">
      <alignment horizontal="center" vertical="center"/>
    </xf>
    <xf numFmtId="171" fontId="31" fillId="16" borderId="29" xfId="0" applyNumberFormat="1" applyFont="1" applyFill="1" applyBorder="1" applyAlignment="1" applyProtection="1">
      <alignment horizontal="center" vertical="center"/>
    </xf>
    <xf numFmtId="0" fontId="33" fillId="14" borderId="50" xfId="0" applyNumberFormat="1" applyFont="1" applyFill="1" applyBorder="1" applyAlignment="1" applyProtection="1">
      <alignment horizontal="left" vertical="center" wrapText="1"/>
    </xf>
    <xf numFmtId="0" fontId="31" fillId="14" borderId="16" xfId="0" applyNumberFormat="1" applyFont="1" applyFill="1" applyBorder="1" applyAlignment="1" applyProtection="1">
      <alignment vertical="center" wrapText="1"/>
    </xf>
    <xf numFmtId="0" fontId="31" fillId="14" borderId="17" xfId="0" applyNumberFormat="1" applyFont="1" applyFill="1" applyBorder="1" applyAlignment="1" applyProtection="1">
      <alignment vertical="center" wrapText="1"/>
    </xf>
    <xf numFmtId="166" fontId="13" fillId="17" borderId="15" xfId="0" applyNumberFormat="1" applyFont="1" applyFill="1" applyBorder="1" applyAlignment="1" applyProtection="1">
      <alignment vertical="center" wrapText="1"/>
    </xf>
    <xf numFmtId="166" fontId="13" fillId="17" borderId="14" xfId="0" applyNumberFormat="1" applyFont="1" applyFill="1" applyBorder="1" applyAlignment="1" applyProtection="1">
      <alignment vertical="center" wrapText="1"/>
    </xf>
    <xf numFmtId="0" fontId="0" fillId="17" borderId="0" xfId="0" applyFill="1" applyBorder="1" applyProtection="1"/>
    <xf numFmtId="0" fontId="0" fillId="17" borderId="21" xfId="0" applyFill="1" applyBorder="1" applyAlignment="1" applyProtection="1">
      <alignment vertical="center" wrapText="1"/>
    </xf>
    <xf numFmtId="4" fontId="18" fillId="17" borderId="50" xfId="0" applyNumberFormat="1" applyFont="1" applyFill="1" applyBorder="1" applyAlignment="1" applyProtection="1">
      <alignment horizontal="center" vertical="center" wrapText="1"/>
    </xf>
    <xf numFmtId="166" fontId="0" fillId="17" borderId="19" xfId="0" applyNumberFormat="1" applyFont="1" applyFill="1" applyBorder="1" applyAlignment="1" applyProtection="1">
      <alignment horizontal="center" vertical="center" wrapText="1"/>
    </xf>
    <xf numFmtId="0" fontId="8" fillId="17" borderId="37" xfId="0" applyFont="1" applyFill="1" applyBorder="1" applyAlignment="1" applyProtection="1">
      <alignment vertical="center"/>
    </xf>
    <xf numFmtId="166" fontId="13" fillId="17" borderId="24" xfId="0" applyNumberFormat="1" applyFont="1" applyFill="1" applyBorder="1" applyAlignment="1" applyProtection="1">
      <alignment horizontal="center" vertical="center" wrapText="1"/>
    </xf>
    <xf numFmtId="0" fontId="26" fillId="17" borderId="39" xfId="0" applyFont="1" applyFill="1" applyBorder="1" applyAlignment="1" applyProtection="1">
      <alignment horizontal="center" vertical="center"/>
    </xf>
    <xf numFmtId="4" fontId="26" fillId="17" borderId="39" xfId="0" applyNumberFormat="1" applyFont="1" applyFill="1" applyBorder="1" applyAlignment="1" applyProtection="1">
      <alignment horizontal="center" vertical="center"/>
    </xf>
    <xf numFmtId="1" fontId="26" fillId="17" borderId="39" xfId="0" applyNumberFormat="1" applyFont="1" applyFill="1" applyBorder="1" applyAlignment="1" applyProtection="1">
      <alignment horizontal="center" vertical="center"/>
    </xf>
    <xf numFmtId="10" fontId="26" fillId="17" borderId="39" xfId="0" applyNumberFormat="1" applyFont="1" applyFill="1" applyBorder="1" applyAlignment="1" applyProtection="1">
      <alignment horizontal="center" vertical="center"/>
    </xf>
    <xf numFmtId="2" fontId="26" fillId="17" borderId="39" xfId="0" applyNumberFormat="1" applyFont="1" applyFill="1" applyBorder="1" applyAlignment="1" applyProtection="1">
      <alignment horizontal="center" vertical="center"/>
    </xf>
    <xf numFmtId="169" fontId="26" fillId="17" borderId="39" xfId="0" applyNumberFormat="1" applyFont="1" applyFill="1" applyBorder="1" applyAlignment="1" applyProtection="1">
      <alignment horizontal="center" vertical="center"/>
    </xf>
    <xf numFmtId="168" fontId="26" fillId="17" borderId="39" xfId="0" applyNumberFormat="1" applyFont="1" applyFill="1" applyBorder="1" applyAlignment="1" applyProtection="1">
      <alignment horizontal="center" vertical="center"/>
    </xf>
    <xf numFmtId="0" fontId="7" fillId="14" borderId="21" xfId="0" applyFont="1" applyFill="1" applyBorder="1" applyAlignment="1" applyProtection="1">
      <alignment vertical="center"/>
    </xf>
    <xf numFmtId="166" fontId="7" fillId="14" borderId="19" xfId="0" applyNumberFormat="1" applyFont="1" applyFill="1" applyBorder="1" applyAlignment="1" applyProtection="1">
      <alignment horizontal="center" vertical="center" wrapText="1"/>
    </xf>
    <xf numFmtId="2" fontId="31" fillId="14" borderId="23" xfId="0" applyNumberFormat="1" applyFont="1" applyFill="1" applyBorder="1" applyAlignment="1" applyProtection="1">
      <alignment horizontal="center" vertical="center"/>
    </xf>
    <xf numFmtId="171" fontId="31" fillId="14" borderId="23" xfId="0" applyNumberFormat="1" applyFont="1" applyFill="1" applyBorder="1" applyAlignment="1" applyProtection="1">
      <alignment horizontal="center" vertical="center"/>
    </xf>
    <xf numFmtId="171" fontId="31" fillId="14" borderId="20" xfId="0" applyNumberFormat="1" applyFont="1" applyFill="1" applyBorder="1" applyAlignment="1" applyProtection="1">
      <alignment horizontal="center" vertical="center"/>
    </xf>
    <xf numFmtId="0" fontId="18" fillId="16" borderId="14" xfId="0" applyFont="1" applyFill="1" applyBorder="1" applyProtection="1"/>
    <xf numFmtId="0" fontId="18" fillId="16" borderId="10" xfId="0" applyFont="1" applyFill="1" applyBorder="1" applyProtection="1"/>
    <xf numFmtId="166" fontId="7" fillId="17" borderId="46" xfId="0" applyNumberFormat="1" applyFont="1" applyFill="1" applyBorder="1" applyAlignment="1" applyProtection="1">
      <alignment vertical="center" wrapText="1"/>
    </xf>
    <xf numFmtId="166" fontId="7" fillId="17" borderId="0" xfId="0" applyNumberFormat="1" applyFont="1" applyFill="1" applyBorder="1" applyAlignment="1" applyProtection="1">
      <alignment vertical="center" wrapText="1"/>
    </xf>
    <xf numFmtId="0" fontId="0" fillId="14" borderId="65" xfId="0" applyFill="1" applyBorder="1" applyProtection="1"/>
    <xf numFmtId="0" fontId="0" fillId="14" borderId="62" xfId="0" applyFill="1" applyBorder="1" applyProtection="1"/>
    <xf numFmtId="0" fontId="33" fillId="18" borderId="50" xfId="0" applyNumberFormat="1" applyFont="1" applyFill="1" applyBorder="1" applyAlignment="1" applyProtection="1">
      <alignment horizontal="center" vertical="center" wrapText="1"/>
    </xf>
    <xf numFmtId="0" fontId="0" fillId="17" borderId="50" xfId="0" applyFill="1" applyBorder="1" applyAlignment="1" applyProtection="1">
      <alignment horizontal="center" vertical="center" wrapText="1"/>
    </xf>
    <xf numFmtId="2" fontId="18" fillId="17" borderId="50" xfId="0" applyNumberFormat="1" applyFont="1" applyFill="1" applyBorder="1" applyAlignment="1" applyProtection="1">
      <alignment horizontal="center" vertical="center" wrapText="1"/>
    </xf>
    <xf numFmtId="1" fontId="18" fillId="17" borderId="50" xfId="0" applyNumberFormat="1" applyFont="1" applyFill="1" applyBorder="1" applyAlignment="1" applyProtection="1">
      <alignment horizontal="center" vertical="center" wrapText="1"/>
    </xf>
    <xf numFmtId="166" fontId="0" fillId="17" borderId="50" xfId="0" applyNumberFormat="1" applyFont="1" applyFill="1" applyBorder="1" applyAlignment="1" applyProtection="1">
      <alignment horizontal="center" vertical="center" wrapText="1"/>
    </xf>
    <xf numFmtId="2" fontId="0" fillId="17" borderId="50" xfId="0" applyNumberFormat="1" applyFont="1" applyFill="1" applyBorder="1" applyAlignment="1" applyProtection="1">
      <alignment horizontal="center" vertical="center" wrapText="1"/>
    </xf>
    <xf numFmtId="0" fontId="0" fillId="17" borderId="61" xfId="0" applyFill="1" applyBorder="1" applyProtection="1"/>
    <xf numFmtId="0" fontId="8" fillId="17" borderId="67" xfId="0" applyFont="1" applyFill="1" applyBorder="1" applyAlignment="1" applyProtection="1">
      <alignment vertical="center"/>
    </xf>
    <xf numFmtId="0" fontId="8" fillId="17" borderId="56" xfId="0" applyFont="1" applyFill="1" applyBorder="1" applyAlignment="1" applyProtection="1">
      <alignment vertical="center" wrapText="1"/>
    </xf>
    <xf numFmtId="2" fontId="8" fillId="17" borderId="56" xfId="0" applyNumberFormat="1" applyFont="1" applyFill="1" applyBorder="1" applyAlignment="1" applyProtection="1">
      <alignment vertical="center" wrapText="1"/>
    </xf>
    <xf numFmtId="4" fontId="8" fillId="17" borderId="56" xfId="0" applyNumberFormat="1" applyFont="1" applyFill="1" applyBorder="1" applyAlignment="1" applyProtection="1">
      <alignment horizontal="center" vertical="center" wrapText="1"/>
    </xf>
    <xf numFmtId="166" fontId="13" fillId="17" borderId="56" xfId="0" applyNumberFormat="1" applyFont="1" applyFill="1" applyBorder="1" applyAlignment="1" applyProtection="1">
      <alignment horizontal="center" vertical="center" wrapText="1"/>
    </xf>
    <xf numFmtId="169" fontId="8" fillId="17" borderId="56" xfId="0" applyNumberFormat="1" applyFont="1" applyFill="1" applyBorder="1" applyAlignment="1" applyProtection="1">
      <alignment vertical="center" wrapText="1"/>
    </xf>
    <xf numFmtId="168" fontId="8" fillId="17" borderId="56" xfId="0" applyNumberFormat="1" applyFont="1" applyFill="1" applyBorder="1" applyAlignment="1" applyProtection="1">
      <alignment vertical="center" wrapText="1"/>
    </xf>
    <xf numFmtId="10" fontId="8" fillId="17" borderId="56" xfId="0" applyNumberFormat="1" applyFont="1" applyFill="1" applyBorder="1" applyAlignment="1" applyProtection="1">
      <alignment horizontal="center" vertical="center" wrapText="1"/>
    </xf>
    <xf numFmtId="2" fontId="8" fillId="17" borderId="56" xfId="0" applyNumberFormat="1" applyFont="1" applyFill="1" applyBorder="1" applyAlignment="1" applyProtection="1">
      <alignment horizontal="center" vertical="center" wrapText="1"/>
    </xf>
    <xf numFmtId="166" fontId="13" fillId="17" borderId="68" xfId="0" applyNumberFormat="1" applyFont="1" applyFill="1" applyBorder="1" applyAlignment="1" applyProtection="1">
      <alignment horizontal="center" vertical="center" wrapText="1"/>
    </xf>
    <xf numFmtId="4" fontId="22" fillId="18" borderId="50" xfId="0" applyNumberFormat="1" applyFont="1" applyFill="1" applyBorder="1" applyAlignment="1" applyProtection="1">
      <alignment horizontal="center" vertical="center" wrapText="1"/>
    </xf>
    <xf numFmtId="10" fontId="22" fillId="18" borderId="50" xfId="0" applyNumberFormat="1" applyFont="1" applyFill="1" applyBorder="1" applyAlignment="1" applyProtection="1">
      <alignment horizontal="center" vertical="center" wrapText="1"/>
    </xf>
    <xf numFmtId="4" fontId="12" fillId="18" borderId="50" xfId="0" applyNumberFormat="1" applyFont="1" applyFill="1" applyBorder="1" applyAlignment="1" applyProtection="1">
      <alignment horizontal="center" vertical="center" wrapText="1"/>
    </xf>
    <xf numFmtId="2" fontId="22" fillId="18" borderId="50" xfId="0" applyNumberFormat="1" applyFont="1" applyFill="1" applyBorder="1" applyAlignment="1" applyProtection="1">
      <alignment horizontal="center" vertical="center" wrapText="1"/>
    </xf>
    <xf numFmtId="168" fontId="22" fillId="18" borderId="50" xfId="0" applyNumberFormat="1" applyFont="1" applyFill="1" applyBorder="1" applyAlignment="1" applyProtection="1">
      <alignment horizontal="center" vertical="center" wrapText="1"/>
    </xf>
    <xf numFmtId="0" fontId="18" fillId="17" borderId="50" xfId="0" applyFont="1" applyFill="1" applyBorder="1" applyAlignment="1" applyProtection="1">
      <alignment horizontal="center" vertical="center" wrapText="1"/>
    </xf>
    <xf numFmtId="168" fontId="18" fillId="17" borderId="50" xfId="0" applyNumberFormat="1" applyFont="1" applyFill="1" applyBorder="1" applyAlignment="1" applyProtection="1">
      <alignment horizontal="center" vertical="center" wrapText="1"/>
    </xf>
    <xf numFmtId="168" fontId="0" fillId="17" borderId="50" xfId="0" applyNumberFormat="1" applyFont="1" applyFill="1" applyBorder="1" applyAlignment="1" applyProtection="1">
      <alignment horizontal="center" vertical="center" wrapText="1"/>
    </xf>
    <xf numFmtId="169" fontId="18" fillId="17" borderId="50" xfId="0" applyNumberFormat="1" applyFont="1" applyFill="1" applyBorder="1" applyAlignment="1" applyProtection="1">
      <alignment horizontal="center" vertical="center" wrapText="1"/>
    </xf>
    <xf numFmtId="0" fontId="7" fillId="14" borderId="50" xfId="0" applyFont="1" applyFill="1" applyBorder="1" applyAlignment="1" applyProtection="1">
      <alignment vertical="center" wrapText="1"/>
    </xf>
    <xf numFmtId="2" fontId="7" fillId="14" borderId="50" xfId="0" applyNumberFormat="1" applyFont="1" applyFill="1" applyBorder="1" applyAlignment="1" applyProtection="1">
      <alignment vertical="center" wrapText="1"/>
    </xf>
    <xf numFmtId="4" fontId="7" fillId="14" borderId="50" xfId="0" applyNumberFormat="1" applyFont="1" applyFill="1" applyBorder="1" applyAlignment="1" applyProtection="1">
      <alignment horizontal="center" vertical="center" wrapText="1"/>
    </xf>
    <xf numFmtId="166" fontId="7" fillId="14" borderId="50" xfId="0" applyNumberFormat="1" applyFont="1" applyFill="1" applyBorder="1" applyAlignment="1" applyProtection="1">
      <alignment horizontal="center" vertical="center" wrapText="1"/>
    </xf>
    <xf numFmtId="169" fontId="7" fillId="14" borderId="50" xfId="0" applyNumberFormat="1" applyFont="1" applyFill="1" applyBorder="1" applyAlignment="1" applyProtection="1">
      <alignment vertical="center" wrapText="1"/>
    </xf>
    <xf numFmtId="168" fontId="7" fillId="14" borderId="50" xfId="0" applyNumberFormat="1" applyFont="1" applyFill="1" applyBorder="1" applyAlignment="1" applyProtection="1">
      <alignment vertical="center" wrapText="1"/>
    </xf>
    <xf numFmtId="10" fontId="7" fillId="14" borderId="50" xfId="0" applyNumberFormat="1" applyFont="1" applyFill="1" applyBorder="1" applyAlignment="1" applyProtection="1">
      <alignment horizontal="center" vertical="center" wrapText="1"/>
    </xf>
    <xf numFmtId="2" fontId="7" fillId="14" borderId="50" xfId="0" applyNumberFormat="1" applyFont="1" applyFill="1" applyBorder="1" applyAlignment="1" applyProtection="1">
      <alignment horizontal="center" vertical="center" wrapText="1"/>
    </xf>
    <xf numFmtId="0" fontId="8" fillId="17" borderId="51" xfId="0" applyFont="1" applyFill="1" applyBorder="1" applyAlignment="1" applyProtection="1">
      <alignment vertical="center" wrapText="1"/>
    </xf>
    <xf numFmtId="0" fontId="8" fillId="17" borderId="45" xfId="0" applyFont="1" applyFill="1" applyBorder="1" applyAlignment="1" applyProtection="1">
      <alignment vertical="center" wrapText="1"/>
    </xf>
    <xf numFmtId="2" fontId="8" fillId="17" borderId="45" xfId="0" applyNumberFormat="1" applyFont="1" applyFill="1" applyBorder="1" applyAlignment="1" applyProtection="1">
      <alignment vertical="center" wrapText="1"/>
    </xf>
    <xf numFmtId="4" fontId="8" fillId="17" borderId="45" xfId="0" applyNumberFormat="1" applyFont="1" applyFill="1" applyBorder="1" applyAlignment="1" applyProtection="1">
      <alignment horizontal="center" vertical="center" wrapText="1"/>
    </xf>
    <xf numFmtId="166" fontId="13" fillId="17" borderId="45" xfId="0" applyNumberFormat="1" applyFont="1" applyFill="1" applyBorder="1" applyAlignment="1" applyProtection="1">
      <alignment horizontal="center" vertical="center" wrapText="1"/>
    </xf>
    <xf numFmtId="169" fontId="8" fillId="17" borderId="45" xfId="0" applyNumberFormat="1" applyFont="1" applyFill="1" applyBorder="1" applyAlignment="1" applyProtection="1">
      <alignment vertical="center" wrapText="1"/>
    </xf>
    <xf numFmtId="168" fontId="8" fillId="17" borderId="45" xfId="0" applyNumberFormat="1" applyFont="1" applyFill="1" applyBorder="1" applyAlignment="1" applyProtection="1">
      <alignment vertical="center" wrapText="1"/>
    </xf>
    <xf numFmtId="10" fontId="8" fillId="17" borderId="45" xfId="0" applyNumberFormat="1" applyFont="1" applyFill="1" applyBorder="1" applyAlignment="1" applyProtection="1">
      <alignment horizontal="center" vertical="center" wrapText="1"/>
    </xf>
    <xf numFmtId="2" fontId="8" fillId="17" borderId="45" xfId="0" applyNumberFormat="1" applyFont="1" applyFill="1" applyBorder="1" applyAlignment="1" applyProtection="1">
      <alignment horizontal="center" vertical="center" wrapText="1"/>
    </xf>
    <xf numFmtId="166" fontId="13" fillId="17" borderId="60" xfId="0" applyNumberFormat="1" applyFont="1" applyFill="1" applyBorder="1" applyAlignment="1" applyProtection="1">
      <alignment horizontal="center" vertical="center" wrapText="1"/>
    </xf>
    <xf numFmtId="0" fontId="26" fillId="17" borderId="30" xfId="0" applyFont="1" applyFill="1" applyBorder="1" applyAlignment="1" applyProtection="1">
      <alignment horizontal="center" vertical="center"/>
    </xf>
    <xf numFmtId="10" fontId="26" fillId="17" borderId="59" xfId="0" applyNumberFormat="1" applyFont="1" applyFill="1" applyBorder="1" applyAlignment="1" applyProtection="1">
      <alignment horizontal="center" vertical="center"/>
    </xf>
    <xf numFmtId="0" fontId="8" fillId="17" borderId="53" xfId="0" applyFont="1" applyFill="1" applyBorder="1" applyAlignment="1" applyProtection="1">
      <alignment vertical="center" wrapText="1"/>
    </xf>
    <xf numFmtId="2" fontId="8" fillId="17" borderId="53" xfId="0" applyNumberFormat="1" applyFont="1" applyFill="1" applyBorder="1" applyAlignment="1" applyProtection="1">
      <alignment vertical="center" wrapText="1"/>
    </xf>
    <xf numFmtId="4" fontId="8" fillId="17" borderId="53" xfId="0" applyNumberFormat="1" applyFont="1" applyFill="1" applyBorder="1" applyAlignment="1" applyProtection="1">
      <alignment horizontal="center" vertical="center" wrapText="1"/>
    </xf>
    <xf numFmtId="166" fontId="13" fillId="17" borderId="53" xfId="0" applyNumberFormat="1" applyFont="1" applyFill="1" applyBorder="1" applyAlignment="1" applyProtection="1">
      <alignment horizontal="center" vertical="center" wrapText="1"/>
    </xf>
    <xf numFmtId="169" fontId="8" fillId="17" borderId="53" xfId="0" applyNumberFormat="1" applyFont="1" applyFill="1" applyBorder="1" applyAlignment="1" applyProtection="1">
      <alignment vertical="center" wrapText="1"/>
    </xf>
    <xf numFmtId="168" fontId="8" fillId="17" borderId="53" xfId="0" applyNumberFormat="1" applyFont="1" applyFill="1" applyBorder="1" applyAlignment="1" applyProtection="1">
      <alignment vertical="center" wrapText="1"/>
    </xf>
    <xf numFmtId="10" fontId="8" fillId="17" borderId="53" xfId="0" applyNumberFormat="1" applyFont="1" applyFill="1" applyBorder="1" applyAlignment="1" applyProtection="1">
      <alignment horizontal="center" vertical="center" wrapText="1"/>
    </xf>
    <xf numFmtId="2" fontId="8" fillId="17" borderId="53" xfId="0" applyNumberFormat="1" applyFont="1" applyFill="1" applyBorder="1" applyAlignment="1" applyProtection="1">
      <alignment horizontal="center" vertical="center" wrapText="1"/>
    </xf>
    <xf numFmtId="0" fontId="27" fillId="16" borderId="23" xfId="0" applyFont="1" applyFill="1" applyBorder="1" applyAlignment="1" applyProtection="1">
      <alignment vertical="center"/>
    </xf>
    <xf numFmtId="166" fontId="7" fillId="16" borderId="23" xfId="0" applyNumberFormat="1" applyFont="1" applyFill="1" applyBorder="1" applyAlignment="1" applyProtection="1">
      <alignment horizontal="center" vertical="center" wrapText="1"/>
    </xf>
    <xf numFmtId="2" fontId="27" fillId="16" borderId="23" xfId="0" applyNumberFormat="1" applyFont="1" applyFill="1" applyBorder="1" applyAlignment="1" applyProtection="1">
      <alignment horizontal="center" vertical="center"/>
    </xf>
    <xf numFmtId="4" fontId="80" fillId="16" borderId="23" xfId="0" applyNumberFormat="1" applyFont="1" applyFill="1" applyBorder="1" applyAlignment="1" applyProtection="1">
      <alignment horizontal="center" vertical="center"/>
    </xf>
    <xf numFmtId="166" fontId="80" fillId="16" borderId="20" xfId="0" applyNumberFormat="1" applyFont="1" applyFill="1" applyBorder="1" applyAlignment="1" applyProtection="1">
      <alignment horizontal="center" vertical="center" wrapText="1"/>
    </xf>
    <xf numFmtId="0" fontId="0" fillId="3" borderId="0" xfId="0" applyFont="1" applyFill="1" applyAlignment="1" applyProtection="1">
      <alignment vertical="center"/>
    </xf>
    <xf numFmtId="0" fontId="3" fillId="3" borderId="0" xfId="0" applyFont="1" applyFill="1" applyAlignment="1" applyProtection="1">
      <alignment vertical="center" wrapText="1"/>
    </xf>
    <xf numFmtId="0" fontId="31" fillId="3" borderId="0" xfId="0" applyFont="1" applyFill="1" applyAlignment="1" applyProtection="1">
      <alignment horizontal="center" vertical="center" wrapText="1"/>
    </xf>
    <xf numFmtId="0" fontId="3" fillId="3" borderId="0" xfId="0" applyFont="1" applyFill="1" applyAlignment="1" applyProtection="1">
      <alignment horizontal="center" vertical="center" wrapText="1"/>
    </xf>
    <xf numFmtId="0" fontId="0" fillId="3" borderId="0" xfId="0" applyFill="1" applyProtection="1"/>
    <xf numFmtId="0" fontId="28" fillId="0" borderId="0" xfId="1" applyFont="1" applyFill="1" applyBorder="1" applyAlignment="1" applyProtection="1">
      <alignment vertical="center"/>
    </xf>
    <xf numFmtId="0" fontId="0" fillId="3" borderId="23" xfId="0" applyFont="1" applyFill="1" applyBorder="1" applyAlignment="1" applyProtection="1">
      <alignment vertical="center"/>
      <protection locked="0"/>
    </xf>
    <xf numFmtId="0" fontId="33" fillId="14" borderId="23" xfId="0" applyNumberFormat="1" applyFont="1" applyFill="1" applyBorder="1" applyAlignment="1" applyProtection="1">
      <alignment horizontal="left" vertical="center" wrapText="1"/>
    </xf>
    <xf numFmtId="4" fontId="81" fillId="20" borderId="50" xfId="0" applyNumberFormat="1" applyFont="1" applyFill="1" applyBorder="1" applyAlignment="1">
      <alignment vertical="center" wrapText="1"/>
    </xf>
    <xf numFmtId="4" fontId="81" fillId="20" borderId="21" xfId="0" applyNumberFormat="1" applyFont="1" applyFill="1" applyBorder="1" applyAlignment="1">
      <alignment vertical="center" wrapText="1"/>
    </xf>
    <xf numFmtId="4" fontId="81" fillId="20" borderId="22" xfId="0" applyNumberFormat="1" applyFont="1" applyFill="1" applyBorder="1" applyAlignment="1">
      <alignment vertical="center" wrapText="1"/>
    </xf>
    <xf numFmtId="4" fontId="81" fillId="20" borderId="23" xfId="0" applyNumberFormat="1" applyFont="1" applyFill="1" applyBorder="1" applyAlignment="1">
      <alignment vertical="center" wrapText="1"/>
    </xf>
    <xf numFmtId="0" fontId="0" fillId="0" borderId="0" xfId="0" applyBorder="1" applyAlignment="1" applyProtection="1">
      <alignment horizontal="center"/>
    </xf>
    <xf numFmtId="0" fontId="4" fillId="19" borderId="0" xfId="0" applyFont="1" applyFill="1" applyBorder="1" applyAlignment="1" applyProtection="1">
      <alignment vertical="center" wrapText="1"/>
    </xf>
    <xf numFmtId="4" fontId="22" fillId="3" borderId="55" xfId="0" applyNumberFormat="1" applyFont="1" applyFill="1" applyBorder="1" applyAlignment="1">
      <alignment horizontal="center" vertical="center"/>
    </xf>
    <xf numFmtId="4" fontId="22" fillId="3" borderId="54" xfId="0" applyNumberFormat="1" applyFont="1" applyFill="1" applyBorder="1" applyAlignment="1">
      <alignment horizontal="center" vertical="center"/>
    </xf>
    <xf numFmtId="0" fontId="18" fillId="3" borderId="0" xfId="0" applyFont="1" applyFill="1" applyBorder="1" applyAlignment="1">
      <alignment horizontal="left" vertical="top"/>
    </xf>
    <xf numFmtId="0" fontId="18" fillId="3" borderId="0" xfId="0" applyNumberFormat="1" applyFont="1" applyFill="1" applyBorder="1" applyAlignment="1">
      <alignment horizontal="left" vertical="top"/>
    </xf>
    <xf numFmtId="0" fontId="2" fillId="3" borderId="0" xfId="0" applyNumberFormat="1" applyFont="1" applyFill="1" applyBorder="1" applyAlignment="1">
      <alignment horizontal="left" vertical="top"/>
    </xf>
    <xf numFmtId="3" fontId="18" fillId="3" borderId="0" xfId="0" applyNumberFormat="1" applyFont="1" applyFill="1" applyBorder="1" applyAlignment="1">
      <alignment horizontal="left" vertical="top"/>
    </xf>
    <xf numFmtId="0" fontId="64" fillId="3" borderId="50" xfId="0" applyFont="1" applyFill="1" applyBorder="1" applyAlignment="1">
      <alignment horizontal="left" vertical="top" wrapText="1" indent="2"/>
    </xf>
    <xf numFmtId="0" fontId="59" fillId="3" borderId="50" xfId="0" applyFont="1" applyFill="1" applyBorder="1" applyAlignment="1">
      <alignment horizontal="right" vertical="top" wrapText="1"/>
    </xf>
    <xf numFmtId="0" fontId="64" fillId="3" borderId="50" xfId="0" applyFont="1" applyFill="1" applyBorder="1" applyAlignment="1">
      <alignment horizontal="center" vertical="top" wrapText="1"/>
    </xf>
    <xf numFmtId="4" fontId="22" fillId="3" borderId="2" xfId="0" applyNumberFormat="1" applyFont="1" applyFill="1" applyBorder="1" applyAlignment="1">
      <alignment horizontal="center" vertical="center"/>
    </xf>
    <xf numFmtId="4" fontId="22" fillId="3" borderId="3" xfId="0" applyNumberFormat="1" applyFont="1" applyFill="1" applyBorder="1" applyAlignment="1">
      <alignment horizontal="center" vertical="center"/>
    </xf>
    <xf numFmtId="4" fontId="24" fillId="19" borderId="50" xfId="0" applyNumberFormat="1" applyFont="1" applyFill="1" applyBorder="1" applyAlignment="1">
      <alignment horizontal="right" vertical="center"/>
    </xf>
    <xf numFmtId="166" fontId="24" fillId="19" borderId="50" xfId="0" applyNumberFormat="1" applyFont="1" applyFill="1" applyBorder="1" applyAlignment="1" applyProtection="1">
      <alignment horizontal="center" vertical="center" wrapText="1"/>
    </xf>
    <xf numFmtId="0" fontId="31" fillId="19" borderId="17" xfId="0" applyFont="1" applyFill="1" applyBorder="1" applyAlignment="1" applyProtection="1">
      <alignment vertical="center"/>
    </xf>
    <xf numFmtId="0" fontId="31" fillId="19" borderId="18" xfId="0" applyFont="1" applyFill="1" applyBorder="1" applyAlignment="1" applyProtection="1">
      <alignment vertical="center"/>
    </xf>
    <xf numFmtId="0" fontId="0" fillId="3" borderId="19" xfId="0" applyFont="1" applyFill="1" applyBorder="1" applyAlignment="1" applyProtection="1">
      <alignment vertical="center"/>
      <protection locked="0"/>
    </xf>
    <xf numFmtId="0" fontId="0" fillId="3" borderId="20" xfId="0" applyFont="1" applyFill="1" applyBorder="1" applyAlignment="1" applyProtection="1">
      <alignment vertical="center"/>
      <protection locked="0"/>
    </xf>
    <xf numFmtId="4" fontId="81" fillId="30" borderId="21" xfId="0" applyNumberFormat="1" applyFont="1" applyFill="1" applyBorder="1" applyAlignment="1">
      <alignment vertical="center" wrapText="1"/>
    </xf>
    <xf numFmtId="4" fontId="81" fillId="30" borderId="22" xfId="0" applyNumberFormat="1" applyFont="1" applyFill="1" applyBorder="1" applyAlignment="1">
      <alignment vertical="center" wrapText="1"/>
    </xf>
    <xf numFmtId="4" fontId="22" fillId="52" borderId="50" xfId="0" applyNumberFormat="1" applyFont="1" applyFill="1" applyBorder="1" applyAlignment="1">
      <alignment vertical="center"/>
    </xf>
    <xf numFmtId="4" fontId="22" fillId="52" borderId="50" xfId="0" applyNumberFormat="1" applyFont="1" applyFill="1" applyBorder="1" applyAlignment="1">
      <alignment horizontal="right" vertical="center"/>
    </xf>
    <xf numFmtId="4" fontId="22" fillId="52" borderId="50" xfId="0" applyNumberFormat="1" applyFont="1" applyFill="1" applyBorder="1" applyAlignment="1">
      <alignment horizontal="center" vertical="center"/>
    </xf>
    <xf numFmtId="166" fontId="3" fillId="52" borderId="50" xfId="0" applyNumberFormat="1" applyFont="1" applyFill="1" applyBorder="1" applyAlignment="1" applyProtection="1">
      <alignment horizontal="center" vertical="center" wrapText="1"/>
    </xf>
    <xf numFmtId="4" fontId="18" fillId="40" borderId="50" xfId="16" applyNumberFormat="1" applyFont="1" applyFill="1" applyBorder="1" applyAlignment="1">
      <alignment vertical="center"/>
    </xf>
    <xf numFmtId="2" fontId="18" fillId="40" borderId="50" xfId="16" applyNumberFormat="1" applyFont="1" applyFill="1" applyBorder="1" applyAlignment="1">
      <alignment horizontal="center" vertical="center"/>
    </xf>
    <xf numFmtId="169" fontId="18" fillId="40" borderId="50" xfId="0" applyNumberFormat="1" applyFont="1" applyFill="1" applyBorder="1" applyAlignment="1">
      <alignment horizontal="center" vertical="center"/>
    </xf>
    <xf numFmtId="2" fontId="18" fillId="40" borderId="50" xfId="0" applyNumberFormat="1" applyFont="1" applyFill="1" applyBorder="1" applyAlignment="1">
      <alignment horizontal="center" vertical="center"/>
    </xf>
    <xf numFmtId="166" fontId="0" fillId="40" borderId="50" xfId="0" applyNumberFormat="1" applyFont="1" applyFill="1" applyBorder="1" applyAlignment="1" applyProtection="1">
      <alignment horizontal="center" vertical="center" wrapText="1"/>
    </xf>
    <xf numFmtId="4" fontId="82" fillId="53" borderId="21" xfId="0" applyNumberFormat="1" applyFont="1" applyFill="1" applyBorder="1" applyAlignment="1">
      <alignment vertical="center" wrapText="1"/>
    </xf>
    <xf numFmtId="4" fontId="82" fillId="53" borderId="22" xfId="0" applyNumberFormat="1" applyFont="1" applyFill="1" applyBorder="1" applyAlignment="1">
      <alignment vertical="center" wrapText="1"/>
    </xf>
    <xf numFmtId="4" fontId="82" fillId="53" borderId="50" xfId="0" applyNumberFormat="1" applyFont="1" applyFill="1" applyBorder="1" applyAlignment="1">
      <alignment vertical="center" wrapText="1"/>
    </xf>
    <xf numFmtId="4" fontId="82" fillId="53" borderId="23" xfId="0" applyNumberFormat="1" applyFont="1" applyFill="1" applyBorder="1" applyAlignment="1">
      <alignment vertical="center" wrapText="1"/>
    </xf>
    <xf numFmtId="4" fontId="18" fillId="0" borderId="50" xfId="0" applyNumberFormat="1" applyFont="1" applyFill="1" applyBorder="1" applyAlignment="1" applyProtection="1">
      <alignment horizontal="center" vertical="center" wrapText="1"/>
    </xf>
    <xf numFmtId="0" fontId="31" fillId="53" borderId="43" xfId="0" applyFont="1" applyFill="1" applyBorder="1" applyAlignment="1" applyProtection="1">
      <alignment horizontal="center" vertical="center" wrapText="1"/>
    </xf>
    <xf numFmtId="4" fontId="22" fillId="10" borderId="55" xfId="0" applyNumberFormat="1" applyFont="1" applyFill="1" applyBorder="1" applyAlignment="1" applyProtection="1">
      <alignment horizontal="center" vertical="center" wrapText="1"/>
    </xf>
    <xf numFmtId="166" fontId="3" fillId="10" borderId="19" xfId="0" applyNumberFormat="1" applyFont="1" applyFill="1" applyBorder="1" applyAlignment="1" applyProtection="1">
      <alignment horizontal="center" vertical="center" wrapText="1"/>
    </xf>
    <xf numFmtId="166" fontId="7" fillId="11" borderId="23" xfId="0" applyNumberFormat="1" applyFont="1" applyFill="1" applyBorder="1" applyAlignment="1" applyProtection="1">
      <alignment horizontal="center" vertical="center" wrapText="1"/>
    </xf>
    <xf numFmtId="2" fontId="80" fillId="11" borderId="23" xfId="0" applyNumberFormat="1" applyFont="1" applyFill="1" applyBorder="1" applyAlignment="1" applyProtection="1">
      <alignment horizontal="center" vertical="center" wrapText="1"/>
    </xf>
    <xf numFmtId="166" fontId="80" fillId="11" borderId="20" xfId="0" applyNumberFormat="1" applyFont="1" applyFill="1" applyBorder="1" applyAlignment="1" applyProtection="1">
      <alignment horizontal="center" vertical="center" wrapText="1"/>
    </xf>
    <xf numFmtId="0" fontId="24" fillId="11" borderId="23" xfId="0" applyFont="1" applyFill="1" applyBorder="1" applyAlignment="1" applyProtection="1">
      <alignment horizontal="center" vertical="center"/>
    </xf>
    <xf numFmtId="0" fontId="0" fillId="3" borderId="0" xfId="0" applyFill="1" applyBorder="1" applyAlignment="1" applyProtection="1">
      <alignment horizontal="center"/>
    </xf>
    <xf numFmtId="0" fontId="24" fillId="11" borderId="22" xfId="0" applyFont="1" applyFill="1" applyBorder="1" applyAlignment="1" applyProtection="1">
      <alignment horizontal="center" vertical="center"/>
    </xf>
    <xf numFmtId="0" fontId="21" fillId="3" borderId="0" xfId="0" applyFont="1" applyFill="1" applyBorder="1" applyAlignment="1" applyProtection="1">
      <alignment horizontal="center"/>
    </xf>
    <xf numFmtId="0" fontId="2" fillId="0" borderId="0" xfId="0" applyFont="1" applyBorder="1" applyAlignment="1" applyProtection="1">
      <alignment horizontal="center"/>
    </xf>
    <xf numFmtId="0" fontId="79" fillId="11" borderId="23" xfId="0" applyFont="1" applyFill="1" applyBorder="1" applyAlignment="1" applyProtection="1">
      <alignment vertical="center"/>
    </xf>
    <xf numFmtId="4" fontId="79" fillId="11" borderId="23" xfId="0" applyNumberFormat="1" applyFont="1" applyFill="1" applyBorder="1" applyAlignment="1" applyProtection="1">
      <alignment horizontal="center" vertical="center"/>
    </xf>
    <xf numFmtId="166" fontId="79" fillId="11" borderId="23" xfId="0" applyNumberFormat="1" applyFont="1" applyFill="1" applyBorder="1" applyAlignment="1" applyProtection="1">
      <alignment horizontal="center" vertical="center" wrapText="1"/>
    </xf>
    <xf numFmtId="2" fontId="79" fillId="11" borderId="23" xfId="0" applyNumberFormat="1" applyFont="1" applyFill="1" applyBorder="1" applyAlignment="1" applyProtection="1">
      <alignment horizontal="center" vertical="center"/>
    </xf>
    <xf numFmtId="4" fontId="8" fillId="28" borderId="55" xfId="0" applyNumberFormat="1" applyFont="1" applyFill="1" applyBorder="1" applyAlignment="1" applyProtection="1">
      <alignment horizontal="center" vertical="center" wrapText="1"/>
    </xf>
    <xf numFmtId="166" fontId="13" fillId="28" borderId="19" xfId="0" applyNumberFormat="1" applyFont="1" applyFill="1" applyBorder="1" applyAlignment="1" applyProtection="1">
      <alignment horizontal="center" vertical="center" wrapText="1"/>
    </xf>
    <xf numFmtId="4" fontId="22" fillId="2" borderId="55" xfId="0" applyNumberFormat="1" applyFont="1" applyFill="1" applyBorder="1" applyAlignment="1" applyProtection="1">
      <alignment horizontal="center" vertical="center" wrapText="1"/>
    </xf>
    <xf numFmtId="0" fontId="4" fillId="39" borderId="56" xfId="0" applyFont="1" applyFill="1" applyBorder="1" applyAlignment="1" applyProtection="1">
      <alignment vertical="center" wrapText="1"/>
    </xf>
    <xf numFmtId="0" fontId="0" fillId="0" borderId="56" xfId="0" applyBorder="1" applyAlignment="1">
      <alignment vertical="center" wrapText="1"/>
    </xf>
    <xf numFmtId="4" fontId="80" fillId="39" borderId="56" xfId="0" applyNumberFormat="1" applyFont="1" applyFill="1" applyBorder="1" applyAlignment="1" applyProtection="1">
      <alignment vertical="center" wrapText="1"/>
    </xf>
    <xf numFmtId="166" fontId="80" fillId="39" borderId="56" xfId="0" applyNumberFormat="1" applyFont="1" applyFill="1" applyBorder="1" applyAlignment="1" applyProtection="1">
      <alignment vertical="center" wrapText="1"/>
    </xf>
    <xf numFmtId="4" fontId="80" fillId="39" borderId="0" xfId="0" applyNumberFormat="1" applyFont="1" applyFill="1" applyBorder="1" applyAlignment="1" applyProtection="1">
      <alignment vertical="center" wrapText="1"/>
    </xf>
    <xf numFmtId="166" fontId="80" fillId="39" borderId="0" xfId="0" applyNumberFormat="1" applyFont="1" applyFill="1" applyBorder="1" applyAlignment="1" applyProtection="1">
      <alignment vertical="center" wrapText="1"/>
    </xf>
    <xf numFmtId="2" fontId="27" fillId="39" borderId="56" xfId="0" applyNumberFormat="1" applyFont="1" applyFill="1" applyBorder="1" applyAlignment="1" applyProtection="1">
      <alignment horizontal="center" vertical="center" wrapText="1"/>
    </xf>
    <xf numFmtId="166" fontId="13" fillId="38" borderId="19" xfId="0" applyNumberFormat="1" applyFont="1" applyFill="1" applyBorder="1" applyAlignment="1" applyProtection="1">
      <alignment horizontal="center" vertical="center" wrapText="1"/>
    </xf>
    <xf numFmtId="4" fontId="4" fillId="42" borderId="23" xfId="0" applyNumberFormat="1" applyFont="1" applyFill="1" applyBorder="1" applyAlignment="1" applyProtection="1">
      <alignment horizontal="center" vertical="center"/>
    </xf>
    <xf numFmtId="166" fontId="3" fillId="41" borderId="19" xfId="0" applyNumberFormat="1" applyFont="1" applyFill="1" applyBorder="1" applyAlignment="1" applyProtection="1">
      <alignment horizontal="center" vertical="center" wrapText="1"/>
    </xf>
    <xf numFmtId="4" fontId="8" fillId="43" borderId="50" xfId="0" applyNumberFormat="1" applyFont="1" applyFill="1" applyBorder="1" applyAlignment="1" applyProtection="1">
      <alignment horizontal="center" vertical="center" wrapText="1"/>
    </xf>
    <xf numFmtId="166" fontId="13" fillId="43" borderId="19" xfId="0" applyNumberFormat="1" applyFont="1" applyFill="1" applyBorder="1" applyAlignment="1" applyProtection="1">
      <alignment horizontal="center" vertical="center" wrapText="1"/>
    </xf>
    <xf numFmtId="4" fontId="8" fillId="48" borderId="50" xfId="0" applyNumberFormat="1" applyFont="1" applyFill="1" applyBorder="1" applyAlignment="1" applyProtection="1">
      <alignment horizontal="center" vertical="center" wrapText="1"/>
    </xf>
    <xf numFmtId="4" fontId="22" fillId="49" borderId="50" xfId="0" applyNumberFormat="1" applyFont="1" applyFill="1" applyBorder="1" applyAlignment="1" applyProtection="1">
      <alignment horizontal="center" vertical="center" wrapText="1"/>
    </xf>
    <xf numFmtId="166" fontId="3" fillId="49" borderId="19" xfId="0" applyNumberFormat="1" applyFont="1" applyFill="1" applyBorder="1" applyAlignment="1" applyProtection="1">
      <alignment horizontal="center" vertical="center" wrapText="1"/>
    </xf>
    <xf numFmtId="0" fontId="22" fillId="32" borderId="50" xfId="0" applyFont="1" applyFill="1" applyBorder="1" applyAlignment="1" applyProtection="1">
      <alignment vertical="center" wrapText="1"/>
    </xf>
    <xf numFmtId="2" fontId="22" fillId="32" borderId="50" xfId="0" applyNumberFormat="1" applyFont="1" applyFill="1" applyBorder="1" applyAlignment="1" applyProtection="1">
      <alignment vertical="center" wrapText="1"/>
    </xf>
    <xf numFmtId="4" fontId="22" fillId="32" borderId="50" xfId="0" applyNumberFormat="1" applyFont="1" applyFill="1" applyBorder="1" applyAlignment="1" applyProtection="1">
      <alignment horizontal="center" vertical="center" wrapText="1"/>
    </xf>
    <xf numFmtId="166" fontId="3" fillId="32" borderId="50" xfId="0" applyNumberFormat="1" applyFont="1" applyFill="1" applyBorder="1" applyAlignment="1" applyProtection="1">
      <alignment horizontal="center" vertical="center" wrapText="1"/>
    </xf>
    <xf numFmtId="169" fontId="22" fillId="32" borderId="50" xfId="0" applyNumberFormat="1" applyFont="1" applyFill="1" applyBorder="1" applyAlignment="1" applyProtection="1">
      <alignment vertical="center" wrapText="1"/>
    </xf>
    <xf numFmtId="168" fontId="22" fillId="32" borderId="50" xfId="0" applyNumberFormat="1" applyFont="1" applyFill="1" applyBorder="1" applyAlignment="1" applyProtection="1">
      <alignment vertical="center" wrapText="1"/>
    </xf>
    <xf numFmtId="10" fontId="22" fillId="32" borderId="50" xfId="0" applyNumberFormat="1" applyFont="1" applyFill="1" applyBorder="1" applyAlignment="1" applyProtection="1">
      <alignment horizontal="center" vertical="center" wrapText="1"/>
    </xf>
    <xf numFmtId="2" fontId="22" fillId="32" borderId="50" xfId="0" applyNumberFormat="1" applyFont="1" applyFill="1" applyBorder="1" applyAlignment="1" applyProtection="1">
      <alignment horizontal="center" vertical="center" wrapText="1"/>
    </xf>
    <xf numFmtId="166" fontId="3" fillId="32" borderId="19" xfId="0" applyNumberFormat="1" applyFont="1" applyFill="1" applyBorder="1" applyAlignment="1" applyProtection="1">
      <alignment horizontal="center" vertical="center" wrapText="1"/>
    </xf>
    <xf numFmtId="175" fontId="22" fillId="32" borderId="50" xfId="0" applyNumberFormat="1" applyFont="1" applyFill="1" applyBorder="1" applyAlignment="1" applyProtection="1">
      <alignment horizontal="center" vertical="center" wrapText="1"/>
    </xf>
    <xf numFmtId="4" fontId="8" fillId="51" borderId="50" xfId="0" applyNumberFormat="1" applyFont="1" applyFill="1" applyBorder="1" applyAlignment="1" applyProtection="1">
      <alignment horizontal="center" vertical="center" wrapText="1"/>
    </xf>
    <xf numFmtId="166" fontId="13" fillId="51" borderId="19" xfId="0" applyNumberFormat="1" applyFont="1" applyFill="1" applyBorder="1" applyAlignment="1" applyProtection="1">
      <alignment horizontal="center" vertical="center" wrapText="1"/>
    </xf>
    <xf numFmtId="4" fontId="22" fillId="50" borderId="50" xfId="0" applyNumberFormat="1" applyFont="1" applyFill="1" applyBorder="1" applyAlignment="1" applyProtection="1">
      <alignment horizontal="center" vertical="center" wrapText="1"/>
    </xf>
    <xf numFmtId="166" fontId="3" fillId="50" borderId="19" xfId="0" applyNumberFormat="1" applyFont="1" applyFill="1" applyBorder="1" applyAlignment="1" applyProtection="1">
      <alignment horizontal="center" vertical="center" wrapText="1"/>
    </xf>
    <xf numFmtId="4" fontId="8" fillId="15" borderId="50" xfId="0" applyNumberFormat="1" applyFont="1" applyFill="1" applyBorder="1" applyAlignment="1" applyProtection="1">
      <alignment horizontal="center" vertical="center" wrapText="1"/>
    </xf>
    <xf numFmtId="166" fontId="13" fillId="15" borderId="19" xfId="0" applyNumberFormat="1" applyFont="1" applyFill="1" applyBorder="1" applyAlignment="1" applyProtection="1">
      <alignment horizontal="center" vertical="center" wrapText="1"/>
    </xf>
    <xf numFmtId="4" fontId="22" fillId="17" borderId="50" xfId="0" applyNumberFormat="1" applyFont="1" applyFill="1" applyBorder="1" applyAlignment="1" applyProtection="1">
      <alignment horizontal="center" vertical="center" wrapText="1"/>
    </xf>
    <xf numFmtId="166" fontId="3" fillId="17" borderId="19" xfId="0" applyNumberFormat="1" applyFont="1" applyFill="1" applyBorder="1" applyAlignment="1" applyProtection="1">
      <alignment horizontal="center" vertical="center" wrapText="1"/>
    </xf>
    <xf numFmtId="4" fontId="61" fillId="0" borderId="50" xfId="0" applyNumberFormat="1" applyFont="1" applyBorder="1" applyAlignment="1">
      <alignment horizontal="center" vertical="center" wrapText="1"/>
    </xf>
    <xf numFmtId="2" fontId="61" fillId="0" borderId="50" xfId="0" applyNumberFormat="1" applyFont="1" applyBorder="1" applyAlignment="1">
      <alignment horizontal="center" vertical="center" wrapText="1"/>
    </xf>
    <xf numFmtId="4" fontId="8" fillId="36" borderId="23" xfId="0" applyNumberFormat="1" applyFont="1" applyFill="1" applyBorder="1" applyAlignment="1" applyProtection="1">
      <alignment horizontal="center" vertical="center" wrapText="1"/>
    </xf>
    <xf numFmtId="166" fontId="13" fillId="36" borderId="19" xfId="0" applyNumberFormat="1" applyFont="1" applyFill="1" applyBorder="1" applyAlignment="1" applyProtection="1">
      <alignment horizontal="center" vertical="center" wrapText="1"/>
    </xf>
    <xf numFmtId="4" fontId="22" fillId="37" borderId="50" xfId="0" applyNumberFormat="1" applyFont="1" applyFill="1" applyBorder="1" applyAlignment="1" applyProtection="1">
      <alignment horizontal="center" vertical="center" wrapText="1"/>
    </xf>
    <xf numFmtId="166" fontId="3" fillId="37" borderId="19" xfId="0" applyNumberFormat="1" applyFont="1" applyFill="1" applyBorder="1" applyAlignment="1" applyProtection="1">
      <alignment horizontal="center" vertical="center" wrapText="1"/>
    </xf>
    <xf numFmtId="4" fontId="31" fillId="4" borderId="50" xfId="0" applyNumberFormat="1" applyFont="1" applyFill="1" applyBorder="1" applyAlignment="1">
      <alignment horizontal="right" vertical="center"/>
    </xf>
    <xf numFmtId="166" fontId="31" fillId="4" borderId="50" xfId="0" applyNumberFormat="1" applyFont="1" applyFill="1" applyBorder="1" applyAlignment="1" applyProtection="1">
      <alignment horizontal="center" vertical="center" wrapText="1"/>
    </xf>
    <xf numFmtId="4" fontId="7" fillId="4" borderId="50" xfId="0" applyNumberFormat="1" applyFont="1" applyFill="1" applyBorder="1" applyAlignment="1">
      <alignment horizontal="right" vertical="center"/>
    </xf>
    <xf numFmtId="166" fontId="7" fillId="4" borderId="50" xfId="0" applyNumberFormat="1" applyFont="1" applyFill="1" applyBorder="1" applyAlignment="1" applyProtection="1">
      <alignment horizontal="center" vertical="center" wrapText="1"/>
    </xf>
    <xf numFmtId="4" fontId="8" fillId="30" borderId="50" xfId="0" applyNumberFormat="1" applyFont="1" applyFill="1" applyBorder="1" applyAlignment="1" applyProtection="1">
      <alignment horizontal="center" vertical="center" wrapText="1"/>
    </xf>
    <xf numFmtId="2" fontId="85" fillId="30" borderId="50" xfId="0" applyNumberFormat="1" applyFont="1" applyFill="1" applyBorder="1" applyAlignment="1">
      <alignment horizontal="center" vertical="center" wrapText="1"/>
    </xf>
    <xf numFmtId="166" fontId="13" fillId="30" borderId="19" xfId="0" applyNumberFormat="1" applyFont="1" applyFill="1" applyBorder="1" applyAlignment="1" applyProtection="1">
      <alignment horizontal="center" vertical="center" wrapText="1"/>
    </xf>
    <xf numFmtId="4" fontId="22" fillId="52" borderId="50" xfId="0" applyNumberFormat="1" applyFont="1" applyFill="1" applyBorder="1" applyAlignment="1" applyProtection="1">
      <alignment horizontal="center" vertical="center" wrapText="1"/>
    </xf>
    <xf numFmtId="2" fontId="78" fillId="52" borderId="50" xfId="0" applyNumberFormat="1" applyFont="1" applyFill="1" applyBorder="1" applyAlignment="1">
      <alignment horizontal="center" vertical="center" wrapText="1"/>
    </xf>
    <xf numFmtId="166" fontId="3" fillId="52" borderId="19" xfId="0" applyNumberFormat="1" applyFont="1" applyFill="1" applyBorder="1" applyAlignment="1" applyProtection="1">
      <alignment horizontal="center" vertical="center" wrapText="1"/>
    </xf>
    <xf numFmtId="10" fontId="18" fillId="0" borderId="55" xfId="17" applyNumberFormat="1" applyFont="1" applyFill="1" applyBorder="1" applyAlignment="1" applyProtection="1">
      <alignment horizontal="center" vertical="center" wrapText="1"/>
    </xf>
    <xf numFmtId="10" fontId="22" fillId="52" borderId="50" xfId="17" applyNumberFormat="1" applyFont="1" applyFill="1" applyBorder="1" applyAlignment="1" applyProtection="1">
      <alignment horizontal="center" vertical="center" wrapText="1"/>
    </xf>
    <xf numFmtId="10" fontId="8" fillId="30" borderId="50" xfId="17" applyNumberFormat="1" applyFont="1" applyFill="1" applyBorder="1" applyAlignment="1" applyProtection="1">
      <alignment horizontal="center" vertical="center" wrapText="1"/>
    </xf>
    <xf numFmtId="10" fontId="31" fillId="3" borderId="0" xfId="0" applyNumberFormat="1" applyFont="1" applyFill="1" applyAlignment="1" applyProtection="1">
      <alignment horizontal="center" vertical="center" wrapText="1"/>
    </xf>
    <xf numFmtId="10" fontId="31" fillId="53" borderId="71" xfId="0" applyNumberFormat="1" applyFont="1" applyFill="1" applyBorder="1" applyAlignment="1" applyProtection="1">
      <alignment horizontal="center" vertical="center" wrapText="1"/>
    </xf>
    <xf numFmtId="10" fontId="18" fillId="0" borderId="55" xfId="0" applyNumberFormat="1" applyFont="1" applyFill="1" applyBorder="1" applyAlignment="1" applyProtection="1">
      <alignment horizontal="center" vertical="center" wrapText="1"/>
    </xf>
    <xf numFmtId="10" fontId="22" fillId="10" borderId="55" xfId="0" applyNumberFormat="1" applyFont="1" applyFill="1" applyBorder="1" applyAlignment="1" applyProtection="1">
      <alignment horizontal="center" vertical="center" wrapText="1"/>
    </xf>
    <xf numFmtId="10" fontId="8" fillId="28" borderId="55" xfId="0" applyNumberFormat="1" applyFont="1" applyFill="1" applyBorder="1" applyAlignment="1" applyProtection="1">
      <alignment horizontal="center" vertical="center" wrapText="1"/>
    </xf>
    <xf numFmtId="10" fontId="22" fillId="2" borderId="55" xfId="0" applyNumberFormat="1" applyFont="1" applyFill="1" applyBorder="1" applyAlignment="1" applyProtection="1">
      <alignment horizontal="center" vertical="center" wrapText="1"/>
    </xf>
    <xf numFmtId="10" fontId="0" fillId="0" borderId="0" xfId="0" applyNumberFormat="1" applyProtection="1"/>
    <xf numFmtId="0" fontId="31" fillId="3" borderId="0" xfId="0" applyFont="1" applyFill="1" applyAlignment="1" applyProtection="1">
      <alignment vertical="center" wrapText="1"/>
    </xf>
    <xf numFmtId="4" fontId="4" fillId="53" borderId="23" xfId="0" applyNumberFormat="1" applyFont="1" applyFill="1" applyBorder="1" applyAlignment="1" applyProtection="1">
      <alignment horizontal="center" vertical="center"/>
    </xf>
    <xf numFmtId="166" fontId="4" fillId="53" borderId="19" xfId="0" applyNumberFormat="1" applyFont="1" applyFill="1" applyBorder="1" applyAlignment="1" applyProtection="1">
      <alignment horizontal="center" vertical="center" wrapText="1"/>
    </xf>
    <xf numFmtId="10" fontId="4" fillId="53" borderId="23" xfId="0" applyNumberFormat="1" applyFont="1" applyFill="1" applyBorder="1" applyAlignment="1" applyProtection="1">
      <alignment horizontal="center" vertical="center"/>
    </xf>
    <xf numFmtId="10" fontId="4" fillId="53" borderId="70" xfId="0" applyNumberFormat="1" applyFont="1" applyFill="1" applyBorder="1" applyAlignment="1" applyProtection="1">
      <alignment horizontal="center" vertical="center"/>
    </xf>
    <xf numFmtId="4" fontId="8" fillId="38" borderId="55" xfId="0" applyNumberFormat="1" applyFont="1" applyFill="1" applyBorder="1" applyAlignment="1" applyProtection="1">
      <alignment horizontal="center" vertical="center" wrapText="1"/>
    </xf>
    <xf numFmtId="10" fontId="18" fillId="0" borderId="50" xfId="0" applyNumberFormat="1" applyFont="1" applyFill="1" applyBorder="1" applyAlignment="1" applyProtection="1">
      <alignment horizontal="center" vertical="center" wrapText="1"/>
    </xf>
    <xf numFmtId="10" fontId="8" fillId="38" borderId="55" xfId="0" applyNumberFormat="1" applyFont="1" applyFill="1" applyBorder="1" applyAlignment="1" applyProtection="1">
      <alignment horizontal="center" vertical="center" wrapText="1"/>
    </xf>
    <xf numFmtId="10" fontId="8" fillId="43" borderId="50" xfId="0" applyNumberFormat="1" applyFont="1" applyFill="1" applyBorder="1" applyAlignment="1" applyProtection="1">
      <alignment horizontal="center" vertical="center" wrapText="1"/>
    </xf>
    <xf numFmtId="10" fontId="22" fillId="49" borderId="50" xfId="0" applyNumberFormat="1" applyFont="1" applyFill="1" applyBorder="1" applyAlignment="1" applyProtection="1">
      <alignment horizontal="center" vertical="center" wrapText="1"/>
    </xf>
    <xf numFmtId="10" fontId="8" fillId="48" borderId="50" xfId="0" applyNumberFormat="1" applyFont="1" applyFill="1" applyBorder="1" applyAlignment="1" applyProtection="1">
      <alignment horizontal="center" vertical="center" wrapText="1"/>
    </xf>
    <xf numFmtId="10" fontId="22" fillId="50" borderId="50" xfId="0" applyNumberFormat="1" applyFont="1" applyFill="1" applyBorder="1" applyAlignment="1" applyProtection="1">
      <alignment horizontal="center" vertical="center" wrapText="1"/>
    </xf>
    <xf numFmtId="10" fontId="8" fillId="51" borderId="50" xfId="0" applyNumberFormat="1" applyFont="1" applyFill="1" applyBorder="1" applyAlignment="1" applyProtection="1">
      <alignment horizontal="center" vertical="center" wrapText="1"/>
    </xf>
    <xf numFmtId="10" fontId="22" fillId="17" borderId="50" xfId="0" applyNumberFormat="1" applyFont="1" applyFill="1" applyBorder="1" applyAlignment="1" applyProtection="1">
      <alignment horizontal="center" vertical="center" wrapText="1"/>
    </xf>
    <xf numFmtId="10" fontId="8" fillId="15" borderId="50" xfId="0" applyNumberFormat="1" applyFont="1" applyFill="1" applyBorder="1" applyAlignment="1" applyProtection="1">
      <alignment horizontal="center" vertical="center" wrapText="1"/>
    </xf>
    <xf numFmtId="10" fontId="22" fillId="37" borderId="50" xfId="0" applyNumberFormat="1" applyFont="1" applyFill="1" applyBorder="1" applyAlignment="1" applyProtection="1">
      <alignment horizontal="center" vertical="center" wrapText="1"/>
    </xf>
    <xf numFmtId="10" fontId="8" fillId="36" borderId="23" xfId="0" applyNumberFormat="1" applyFont="1" applyFill="1" applyBorder="1" applyAlignment="1" applyProtection="1">
      <alignment horizontal="center" vertical="center" wrapText="1"/>
    </xf>
    <xf numFmtId="2" fontId="86" fillId="0" borderId="50" xfId="0" applyNumberFormat="1" applyFont="1" applyBorder="1" applyAlignment="1" applyProtection="1">
      <alignment horizontal="center"/>
    </xf>
    <xf numFmtId="2" fontId="86" fillId="0" borderId="23" xfId="0" applyNumberFormat="1" applyFont="1" applyBorder="1" applyAlignment="1" applyProtection="1">
      <alignment horizontal="center"/>
    </xf>
    <xf numFmtId="4" fontId="4" fillId="53" borderId="73" xfId="0" applyNumberFormat="1" applyFont="1" applyFill="1" applyBorder="1" applyAlignment="1" applyProtection="1">
      <alignment horizontal="center" vertical="center"/>
    </xf>
    <xf numFmtId="4" fontId="4" fillId="53" borderId="31" xfId="0" applyNumberFormat="1" applyFont="1" applyFill="1" applyBorder="1" applyAlignment="1" applyProtection="1">
      <alignment horizontal="center" vertical="center"/>
    </xf>
    <xf numFmtId="2" fontId="86" fillId="0" borderId="69" xfId="0" applyNumberFormat="1" applyFont="1" applyBorder="1" applyAlignment="1" applyProtection="1">
      <alignment horizontal="center"/>
    </xf>
    <xf numFmtId="0" fontId="3" fillId="0" borderId="0" xfId="0" applyFont="1"/>
    <xf numFmtId="0" fontId="59" fillId="0" borderId="50" xfId="0" applyFont="1" applyBorder="1" applyAlignment="1">
      <alignment horizontal="left" vertical="top" wrapText="1"/>
    </xf>
    <xf numFmtId="0" fontId="22" fillId="0" borderId="0" xfId="0" applyFont="1" applyFill="1" applyBorder="1" applyAlignment="1" applyProtection="1">
      <alignment horizontal="center" vertical="center" wrapText="1"/>
    </xf>
    <xf numFmtId="0" fontId="3" fillId="0" borderId="0" xfId="0" applyFont="1" applyBorder="1"/>
    <xf numFmtId="0" fontId="22" fillId="25" borderId="0" xfId="0" applyFont="1" applyFill="1" applyBorder="1" applyAlignment="1">
      <alignment horizontal="left" vertical="top" wrapText="1"/>
    </xf>
    <xf numFmtId="0" fontId="22" fillId="25" borderId="0" xfId="0" applyFont="1" applyFill="1" applyBorder="1" applyAlignment="1">
      <alignment horizontal="right" vertical="top" wrapText="1"/>
    </xf>
    <xf numFmtId="0" fontId="22" fillId="25" borderId="0" xfId="0" applyFont="1" applyFill="1" applyBorder="1" applyAlignment="1">
      <alignment horizontal="right" vertical="top"/>
    </xf>
    <xf numFmtId="10" fontId="31" fillId="53" borderId="43" xfId="0" applyNumberFormat="1" applyFont="1" applyFill="1" applyBorder="1" applyAlignment="1" applyProtection="1">
      <alignment horizontal="center" vertical="center" wrapText="1"/>
    </xf>
    <xf numFmtId="10" fontId="0" fillId="0" borderId="19" xfId="0" applyNumberFormat="1" applyBorder="1"/>
    <xf numFmtId="10" fontId="0" fillId="0" borderId="0" xfId="0" applyNumberFormat="1"/>
    <xf numFmtId="10" fontId="0" fillId="0" borderId="0" xfId="0" applyNumberFormat="1" applyBorder="1"/>
    <xf numFmtId="10" fontId="31" fillId="57" borderId="43" xfId="0" applyNumberFormat="1" applyFont="1" applyFill="1" applyBorder="1" applyAlignment="1" applyProtection="1">
      <alignment horizontal="center" vertical="center" wrapText="1"/>
    </xf>
    <xf numFmtId="10" fontId="79" fillId="57" borderId="29" xfId="0" applyNumberFormat="1" applyFont="1" applyFill="1" applyBorder="1" applyAlignment="1" applyProtection="1">
      <alignment horizontal="right" vertical="center" wrapText="1"/>
    </xf>
    <xf numFmtId="4" fontId="0" fillId="0" borderId="0" xfId="0" applyNumberFormat="1"/>
    <xf numFmtId="4" fontId="3" fillId="0" borderId="0" xfId="0" applyNumberFormat="1" applyFont="1" applyBorder="1"/>
    <xf numFmtId="10" fontId="31" fillId="54" borderId="43" xfId="0" applyNumberFormat="1" applyFont="1" applyFill="1" applyBorder="1" applyAlignment="1" applyProtection="1">
      <alignment horizontal="center" vertical="center" wrapText="1"/>
    </xf>
    <xf numFmtId="10" fontId="31" fillId="54" borderId="60" xfId="0" applyNumberFormat="1" applyFont="1" applyFill="1" applyBorder="1" applyAlignment="1" applyProtection="1">
      <alignment horizontal="right" vertical="center" wrapText="1"/>
    </xf>
    <xf numFmtId="10" fontId="0" fillId="0" borderId="43" xfId="0" applyNumberFormat="1" applyBorder="1"/>
    <xf numFmtId="10" fontId="31" fillId="54" borderId="20" xfId="0" applyNumberFormat="1" applyFont="1" applyFill="1" applyBorder="1" applyAlignment="1" applyProtection="1">
      <alignment horizontal="right" vertical="center" wrapText="1"/>
    </xf>
    <xf numFmtId="10" fontId="79" fillId="54" borderId="32" xfId="0" applyNumberFormat="1" applyFont="1" applyFill="1" applyBorder="1" applyAlignment="1" applyProtection="1">
      <alignment horizontal="right" vertical="center" wrapText="1"/>
    </xf>
    <xf numFmtId="10" fontId="31" fillId="53" borderId="20" xfId="0" applyNumberFormat="1" applyFont="1" applyFill="1" applyBorder="1" applyAlignment="1" applyProtection="1">
      <alignment horizontal="right" vertical="center" wrapText="1"/>
    </xf>
    <xf numFmtId="10" fontId="0" fillId="0" borderId="19" xfId="0" applyNumberFormat="1" applyBorder="1" applyAlignment="1">
      <alignment horizontal="right"/>
    </xf>
    <xf numFmtId="10" fontId="79" fillId="53" borderId="29" xfId="0" applyNumberFormat="1" applyFont="1" applyFill="1" applyBorder="1" applyAlignment="1" applyProtection="1">
      <alignment horizontal="right" vertical="center" wrapText="1"/>
    </xf>
    <xf numFmtId="10" fontId="31" fillId="56" borderId="43" xfId="0" applyNumberFormat="1" applyFont="1" applyFill="1" applyBorder="1" applyAlignment="1" applyProtection="1">
      <alignment horizontal="center" vertical="center" wrapText="1"/>
    </xf>
    <xf numFmtId="10" fontId="31" fillId="56" borderId="20" xfId="0" applyNumberFormat="1" applyFont="1" applyFill="1" applyBorder="1" applyAlignment="1" applyProtection="1">
      <alignment horizontal="right" vertical="center" wrapText="1"/>
    </xf>
    <xf numFmtId="10" fontId="79" fillId="56" borderId="32" xfId="0" applyNumberFormat="1" applyFont="1" applyFill="1" applyBorder="1" applyAlignment="1" applyProtection="1">
      <alignment horizontal="right" vertical="center" wrapText="1"/>
    </xf>
    <xf numFmtId="10" fontId="31" fillId="55" borderId="29" xfId="0" applyNumberFormat="1" applyFont="1" applyFill="1" applyBorder="1" applyAlignment="1" applyProtection="1">
      <alignment horizontal="center" vertical="center" wrapText="1"/>
    </xf>
    <xf numFmtId="10" fontId="0" fillId="0" borderId="20" xfId="0" applyNumberFormat="1" applyBorder="1"/>
    <xf numFmtId="10" fontId="79" fillId="55" borderId="29" xfId="0" applyNumberFormat="1" applyFont="1" applyFill="1" applyBorder="1" applyAlignment="1" applyProtection="1">
      <alignment horizontal="right" vertical="center" wrapText="1"/>
    </xf>
    <xf numFmtId="10" fontId="31" fillId="14" borderId="29" xfId="0" applyNumberFormat="1" applyFont="1" applyFill="1" applyBorder="1" applyAlignment="1" applyProtection="1">
      <alignment horizontal="center" vertical="center" wrapText="1"/>
    </xf>
    <xf numFmtId="10" fontId="79" fillId="14" borderId="29" xfId="0" applyNumberFormat="1" applyFont="1" applyFill="1" applyBorder="1" applyAlignment="1" applyProtection="1">
      <alignment horizontal="right" vertical="center" wrapText="1"/>
    </xf>
    <xf numFmtId="0" fontId="3" fillId="0" borderId="81" xfId="0" applyFont="1" applyBorder="1"/>
    <xf numFmtId="0" fontId="3" fillId="0" borderId="82" xfId="0" applyFont="1" applyBorder="1"/>
    <xf numFmtId="0" fontId="3" fillId="0" borderId="52" xfId="0" applyFont="1" applyBorder="1"/>
    <xf numFmtId="4" fontId="0" fillId="0" borderId="24" xfId="0" applyNumberFormat="1" applyBorder="1"/>
    <xf numFmtId="3" fontId="3" fillId="0" borderId="82" xfId="0" applyNumberFormat="1" applyFont="1" applyBorder="1"/>
    <xf numFmtId="3" fontId="3" fillId="0" borderId="52" xfId="0" applyNumberFormat="1" applyFont="1" applyBorder="1"/>
    <xf numFmtId="10" fontId="31" fillId="57" borderId="81" xfId="0" applyNumberFormat="1" applyFont="1" applyFill="1" applyBorder="1" applyAlignment="1" applyProtection="1">
      <alignment horizontal="center" vertical="center" wrapText="1"/>
    </xf>
    <xf numFmtId="4" fontId="0" fillId="0" borderId="82" xfId="0" applyNumberFormat="1" applyBorder="1"/>
    <xf numFmtId="4" fontId="79" fillId="57" borderId="9" xfId="0" applyNumberFormat="1" applyFont="1" applyFill="1" applyBorder="1" applyAlignment="1" applyProtection="1">
      <alignment horizontal="right" vertical="center" wrapText="1"/>
    </xf>
    <xf numFmtId="4" fontId="31" fillId="57" borderId="81" xfId="0" applyNumberFormat="1" applyFont="1" applyFill="1" applyBorder="1" applyAlignment="1" applyProtection="1">
      <alignment horizontal="center" vertical="center" wrapText="1"/>
    </xf>
    <xf numFmtId="0" fontId="31" fillId="57" borderId="81" xfId="0" applyFont="1" applyFill="1" applyBorder="1" applyAlignment="1" applyProtection="1">
      <alignment horizontal="center" vertical="center" wrapText="1"/>
    </xf>
    <xf numFmtId="0" fontId="31" fillId="4" borderId="81" xfId="0" applyFont="1" applyFill="1" applyBorder="1" applyAlignment="1" applyProtection="1">
      <alignment horizontal="center" vertical="center" wrapText="1"/>
    </xf>
    <xf numFmtId="4" fontId="31" fillId="4" borderId="81" xfId="0" applyNumberFormat="1" applyFont="1" applyFill="1" applyBorder="1" applyAlignment="1" applyProtection="1">
      <alignment horizontal="center" vertical="center" wrapText="1"/>
    </xf>
    <xf numFmtId="4" fontId="31" fillId="4" borderId="16" xfId="0" applyNumberFormat="1" applyFont="1" applyFill="1" applyBorder="1" applyAlignment="1" applyProtection="1">
      <alignment horizontal="center" vertical="center" wrapText="1"/>
    </xf>
    <xf numFmtId="3" fontId="3" fillId="0" borderId="37" xfId="0" applyNumberFormat="1" applyFont="1" applyBorder="1"/>
    <xf numFmtId="3" fontId="3" fillId="0" borderId="33" xfId="0" applyNumberFormat="1" applyFont="1" applyBorder="1"/>
    <xf numFmtId="10" fontId="31" fillId="4" borderId="18" xfId="0" applyNumberFormat="1" applyFont="1" applyFill="1" applyBorder="1" applyAlignment="1" applyProtection="1">
      <alignment horizontal="center" vertical="center" wrapText="1"/>
    </xf>
    <xf numFmtId="10" fontId="0" fillId="0" borderId="24" xfId="0" applyNumberFormat="1" applyBorder="1"/>
    <xf numFmtId="10" fontId="0" fillId="0" borderId="68" xfId="0" applyNumberFormat="1" applyBorder="1"/>
    <xf numFmtId="10" fontId="79" fillId="4" borderId="10" xfId="0" applyNumberFormat="1" applyFont="1" applyFill="1" applyBorder="1" applyAlignment="1" applyProtection="1">
      <alignment horizontal="right" vertical="center" wrapText="1"/>
    </xf>
    <xf numFmtId="10" fontId="3" fillId="0" borderId="80" xfId="0" applyNumberFormat="1" applyFont="1" applyBorder="1"/>
    <xf numFmtId="4" fontId="0" fillId="0" borderId="84" xfId="0" applyNumberFormat="1" applyBorder="1"/>
    <xf numFmtId="4" fontId="79" fillId="4" borderId="9" xfId="0" applyNumberFormat="1" applyFont="1" applyFill="1" applyBorder="1" applyAlignment="1" applyProtection="1">
      <alignment horizontal="right" vertical="center" wrapText="1"/>
    </xf>
    <xf numFmtId="4" fontId="3" fillId="0" borderId="85" xfId="0" applyNumberFormat="1" applyFont="1" applyBorder="1"/>
    <xf numFmtId="4" fontId="31" fillId="14" borderId="10" xfId="0" applyNumberFormat="1" applyFont="1" applyFill="1" applyBorder="1" applyAlignment="1" applyProtection="1">
      <alignment horizontal="center" vertical="center" wrapText="1"/>
    </xf>
    <xf numFmtId="4" fontId="0" fillId="0" borderId="35" xfId="0" applyNumberFormat="1" applyBorder="1"/>
    <xf numFmtId="4" fontId="79" fillId="14" borderId="10" xfId="0" applyNumberFormat="1" applyFont="1" applyFill="1" applyBorder="1" applyAlignment="1" applyProtection="1">
      <alignment horizontal="right" vertical="center" wrapText="1"/>
    </xf>
    <xf numFmtId="0" fontId="31" fillId="14" borderId="9" xfId="0" applyFont="1" applyFill="1" applyBorder="1" applyAlignment="1" applyProtection="1">
      <alignment horizontal="center" vertical="center" wrapText="1"/>
    </xf>
    <xf numFmtId="0" fontId="79" fillId="14" borderId="9" xfId="0" applyFont="1" applyFill="1" applyBorder="1" applyAlignment="1" applyProtection="1">
      <alignment horizontal="left" vertical="center" wrapText="1"/>
    </xf>
    <xf numFmtId="4" fontId="31" fillId="55" borderId="10" xfId="0" applyNumberFormat="1" applyFont="1" applyFill="1" applyBorder="1" applyAlignment="1" applyProtection="1">
      <alignment horizontal="center" vertical="center" wrapText="1"/>
    </xf>
    <xf numFmtId="4" fontId="0" fillId="0" borderId="18" xfId="0" applyNumberFormat="1" applyBorder="1"/>
    <xf numFmtId="4" fontId="79" fillId="55" borderId="10" xfId="0" applyNumberFormat="1" applyFont="1" applyFill="1" applyBorder="1" applyAlignment="1" applyProtection="1">
      <alignment horizontal="right" vertical="center" wrapText="1"/>
    </xf>
    <xf numFmtId="0" fontId="31" fillId="55" borderId="9" xfId="0" applyFont="1" applyFill="1" applyBorder="1" applyAlignment="1" applyProtection="1">
      <alignment horizontal="center" vertical="center" wrapText="1"/>
    </xf>
    <xf numFmtId="0" fontId="79" fillId="55" borderId="9" xfId="0" applyFont="1" applyFill="1" applyBorder="1" applyAlignment="1" applyProtection="1">
      <alignment horizontal="left" vertical="center" wrapText="1"/>
    </xf>
    <xf numFmtId="4" fontId="31" fillId="56" borderId="18" xfId="0" applyNumberFormat="1" applyFont="1" applyFill="1" applyBorder="1" applyAlignment="1" applyProtection="1">
      <alignment horizontal="center" vertical="center" wrapText="1"/>
    </xf>
    <xf numFmtId="4" fontId="31" fillId="56" borderId="35" xfId="0" applyNumberFormat="1" applyFont="1" applyFill="1" applyBorder="1" applyAlignment="1" applyProtection="1">
      <alignment horizontal="right" vertical="center" wrapText="1"/>
    </xf>
    <xf numFmtId="4" fontId="79" fillId="56" borderId="12" xfId="0" applyNumberFormat="1" applyFont="1" applyFill="1" applyBorder="1" applyAlignment="1" applyProtection="1">
      <alignment horizontal="right" vertical="center" wrapText="1"/>
    </xf>
    <xf numFmtId="0" fontId="31" fillId="56" borderId="81" xfId="0" applyFont="1" applyFill="1" applyBorder="1" applyAlignment="1" applyProtection="1">
      <alignment horizontal="center" vertical="center" wrapText="1"/>
    </xf>
    <xf numFmtId="0" fontId="31" fillId="56" borderId="52" xfId="0" applyFont="1" applyFill="1" applyBorder="1" applyAlignment="1" applyProtection="1">
      <alignment horizontal="left" vertical="center" wrapText="1"/>
    </xf>
    <xf numFmtId="0" fontId="79" fillId="56" borderId="11" xfId="0" applyFont="1" applyFill="1" applyBorder="1" applyAlignment="1" applyProtection="1">
      <alignment horizontal="left" vertical="center" wrapText="1"/>
    </xf>
    <xf numFmtId="4" fontId="31" fillId="54" borderId="18" xfId="0" applyNumberFormat="1" applyFont="1" applyFill="1" applyBorder="1" applyAlignment="1" applyProtection="1">
      <alignment horizontal="center" vertical="center" wrapText="1"/>
    </xf>
    <xf numFmtId="4" fontId="31" fillId="54" borderId="68" xfId="0" applyNumberFormat="1" applyFont="1" applyFill="1" applyBorder="1" applyAlignment="1" applyProtection="1">
      <alignment horizontal="right" vertical="center" wrapText="1"/>
    </xf>
    <xf numFmtId="4" fontId="31" fillId="54" borderId="35" xfId="0" applyNumberFormat="1" applyFont="1" applyFill="1" applyBorder="1" applyAlignment="1" applyProtection="1">
      <alignment horizontal="right" vertical="center" wrapText="1"/>
    </xf>
    <xf numFmtId="4" fontId="79" fillId="54" borderId="12" xfId="0" applyNumberFormat="1" applyFont="1" applyFill="1" applyBorder="1" applyAlignment="1" applyProtection="1">
      <alignment horizontal="right" vertical="center" wrapText="1"/>
    </xf>
    <xf numFmtId="0" fontId="31" fillId="54" borderId="81" xfId="0" applyFont="1" applyFill="1" applyBorder="1" applyAlignment="1" applyProtection="1">
      <alignment horizontal="center" vertical="center" wrapText="1"/>
    </xf>
    <xf numFmtId="0" fontId="31" fillId="54" borderId="84" xfId="0" applyFont="1" applyFill="1" applyBorder="1" applyAlignment="1" applyProtection="1">
      <alignment horizontal="left" vertical="center" wrapText="1"/>
    </xf>
    <xf numFmtId="0" fontId="31" fillId="54" borderId="52" xfId="0" applyFont="1" applyFill="1" applyBorder="1" applyAlignment="1" applyProtection="1">
      <alignment horizontal="left" vertical="center" wrapText="1"/>
    </xf>
    <xf numFmtId="0" fontId="79" fillId="54" borderId="11" xfId="0" applyFont="1" applyFill="1" applyBorder="1" applyAlignment="1" applyProtection="1">
      <alignment horizontal="left" vertical="center" wrapText="1"/>
    </xf>
    <xf numFmtId="4" fontId="31" fillId="53" borderId="18" xfId="0" applyNumberFormat="1" applyFont="1" applyFill="1" applyBorder="1" applyAlignment="1" applyProtection="1">
      <alignment horizontal="center" vertical="center" wrapText="1"/>
    </xf>
    <xf numFmtId="4" fontId="31" fillId="53" borderId="35" xfId="0" applyNumberFormat="1" applyFont="1" applyFill="1" applyBorder="1" applyAlignment="1" applyProtection="1">
      <alignment horizontal="right" vertical="center" wrapText="1"/>
    </xf>
    <xf numFmtId="4" fontId="0" fillId="0" borderId="18" xfId="0" applyNumberFormat="1" applyFont="1" applyBorder="1"/>
    <xf numFmtId="4" fontId="79" fillId="53" borderId="10" xfId="0" applyNumberFormat="1" applyFont="1" applyFill="1" applyBorder="1" applyAlignment="1" applyProtection="1">
      <alignment horizontal="right" vertical="center" wrapText="1"/>
    </xf>
    <xf numFmtId="0" fontId="31" fillId="53" borderId="81" xfId="0" applyFont="1" applyFill="1" applyBorder="1" applyAlignment="1" applyProtection="1">
      <alignment horizontal="center" vertical="center" wrapText="1"/>
    </xf>
    <xf numFmtId="0" fontId="31" fillId="53" borderId="52" xfId="0" applyFont="1" applyFill="1" applyBorder="1" applyAlignment="1" applyProtection="1">
      <alignment horizontal="left" vertical="center" wrapText="1"/>
    </xf>
    <xf numFmtId="0" fontId="79" fillId="53" borderId="9" xfId="0" applyFont="1" applyFill="1" applyBorder="1" applyAlignment="1" applyProtection="1">
      <alignment horizontal="left" vertical="center" wrapText="1"/>
    </xf>
    <xf numFmtId="0" fontId="88" fillId="53" borderId="46" xfId="0" applyFont="1" applyFill="1" applyBorder="1" applyAlignment="1" applyProtection="1">
      <alignment horizontal="left" vertical="center"/>
    </xf>
    <xf numFmtId="0" fontId="89" fillId="53" borderId="0" xfId="0" applyFont="1" applyFill="1" applyBorder="1" applyProtection="1"/>
    <xf numFmtId="10" fontId="89" fillId="53" borderId="0" xfId="0" applyNumberFormat="1" applyFont="1" applyFill="1" applyBorder="1" applyProtection="1"/>
    <xf numFmtId="0" fontId="90" fillId="53" borderId="46" xfId="0" applyFont="1" applyFill="1" applyBorder="1" applyAlignment="1" applyProtection="1">
      <alignment horizontal="left" vertical="center"/>
    </xf>
    <xf numFmtId="0" fontId="88" fillId="53" borderId="78" xfId="0" applyFont="1" applyFill="1" applyBorder="1" applyAlignment="1" applyProtection="1">
      <alignment horizontal="left" vertical="center"/>
    </xf>
    <xf numFmtId="0" fontId="89" fillId="53" borderId="79" xfId="0" applyFont="1" applyFill="1" applyBorder="1" applyProtection="1"/>
    <xf numFmtId="10" fontId="89" fillId="53" borderId="79" xfId="0" applyNumberFormat="1" applyFont="1" applyFill="1" applyBorder="1" applyProtection="1"/>
    <xf numFmtId="0" fontId="88" fillId="53" borderId="63" xfId="0" applyFont="1" applyFill="1" applyBorder="1" applyAlignment="1" applyProtection="1">
      <alignment horizontal="left" vertical="center"/>
    </xf>
    <xf numFmtId="0" fontId="89" fillId="53" borderId="65" xfId="0" applyFont="1" applyFill="1" applyBorder="1" applyAlignment="1" applyProtection="1">
      <alignment horizontal="center" vertical="center"/>
    </xf>
    <xf numFmtId="10" fontId="89" fillId="53" borderId="65" xfId="0" applyNumberFormat="1" applyFont="1" applyFill="1" applyBorder="1" applyAlignment="1" applyProtection="1">
      <alignment horizontal="center" vertical="center"/>
    </xf>
    <xf numFmtId="0" fontId="89" fillId="53" borderId="62" xfId="0" applyFont="1" applyFill="1" applyBorder="1" applyAlignment="1" applyProtection="1">
      <alignment horizontal="center" vertical="center"/>
    </xf>
    <xf numFmtId="0" fontId="89" fillId="53" borderId="61" xfId="0" applyFont="1" applyFill="1" applyBorder="1" applyProtection="1"/>
    <xf numFmtId="0" fontId="89" fillId="53" borderId="12" xfId="0" applyFont="1" applyFill="1" applyBorder="1" applyProtection="1"/>
    <xf numFmtId="4" fontId="18" fillId="0" borderId="50" xfId="16" applyNumberFormat="1" applyFont="1" applyFill="1" applyBorder="1" applyAlignment="1" applyProtection="1">
      <alignment vertical="center"/>
      <protection locked="0"/>
    </xf>
    <xf numFmtId="4" fontId="18" fillId="0" borderId="50" xfId="0" applyNumberFormat="1" applyFont="1" applyFill="1" applyBorder="1" applyAlignment="1" applyProtection="1">
      <alignment vertical="center" wrapText="1"/>
      <protection locked="0"/>
    </xf>
    <xf numFmtId="0" fontId="18" fillId="0" borderId="50" xfId="16" applyFont="1" applyFill="1" applyBorder="1" applyAlignment="1" applyProtection="1">
      <alignment vertical="center"/>
      <protection locked="0"/>
    </xf>
    <xf numFmtId="4" fontId="18" fillId="0" borderId="50" xfId="0" applyNumberFormat="1" applyFont="1" applyFill="1" applyBorder="1" applyAlignment="1" applyProtection="1">
      <alignment horizontal="right" vertical="center"/>
      <protection locked="0"/>
    </xf>
    <xf numFmtId="172" fontId="51" fillId="0" borderId="0" xfId="0" applyNumberFormat="1" applyFont="1" applyBorder="1" applyProtection="1"/>
    <xf numFmtId="172" fontId="38" fillId="0" borderId="11" xfId="0" applyNumberFormat="1" applyFont="1" applyBorder="1" applyAlignment="1" applyProtection="1">
      <alignment horizontal="center" vertical="center" wrapText="1"/>
    </xf>
    <xf numFmtId="0" fontId="82" fillId="45" borderId="50" xfId="0" applyNumberFormat="1" applyFont="1" applyFill="1" applyBorder="1" applyAlignment="1" applyProtection="1">
      <alignment horizontal="left" vertical="center" wrapText="1"/>
    </xf>
    <xf numFmtId="0" fontId="18" fillId="3" borderId="86" xfId="0" applyFont="1" applyFill="1" applyBorder="1" applyAlignment="1" applyProtection="1">
      <alignment horizontal="center" vertical="center" wrapText="1"/>
      <protection locked="0"/>
    </xf>
    <xf numFmtId="3" fontId="0" fillId="0" borderId="0" xfId="0" applyNumberFormat="1" applyProtection="1">
      <protection locked="0"/>
    </xf>
    <xf numFmtId="3" fontId="14" fillId="3" borderId="47" xfId="14" applyNumberFormat="1" applyFont="1" applyFill="1" applyBorder="1" applyAlignment="1" applyProtection="1">
      <alignment horizontal="center" readingOrder="1"/>
      <protection locked="0"/>
    </xf>
    <xf numFmtId="0" fontId="22" fillId="43" borderId="21" xfId="0" applyFont="1" applyFill="1" applyBorder="1" applyAlignment="1" applyProtection="1">
      <alignment horizontal="center" vertical="center" wrapText="1"/>
    </xf>
    <xf numFmtId="0" fontId="22" fillId="43" borderId="50" xfId="0" applyFont="1" applyFill="1" applyBorder="1" applyAlignment="1" applyProtection="1">
      <alignment horizontal="center" vertical="center" wrapText="1"/>
    </xf>
    <xf numFmtId="0" fontId="22" fillId="48" borderId="21" xfId="0" applyFont="1" applyFill="1" applyBorder="1" applyAlignment="1" applyProtection="1">
      <alignment horizontal="center" vertical="center" wrapText="1"/>
    </xf>
    <xf numFmtId="0" fontId="22" fillId="48" borderId="50" xfId="0" applyFont="1" applyFill="1" applyBorder="1" applyAlignment="1" applyProtection="1">
      <alignment horizontal="center" vertical="center" wrapText="1"/>
    </xf>
    <xf numFmtId="0" fontId="22" fillId="30" borderId="21" xfId="0" applyFont="1" applyFill="1" applyBorder="1" applyAlignment="1" applyProtection="1">
      <alignment horizontal="center" vertical="center" wrapText="1"/>
    </xf>
    <xf numFmtId="0" fontId="22" fillId="36" borderId="21" xfId="0" applyFont="1" applyFill="1" applyBorder="1" applyAlignment="1" applyProtection="1">
      <alignment horizontal="center" vertical="center" wrapText="1"/>
    </xf>
    <xf numFmtId="0" fontId="22" fillId="38" borderId="21" xfId="0" applyFont="1" applyFill="1" applyBorder="1" applyAlignment="1" applyProtection="1">
      <alignment horizontal="center" vertical="center" wrapText="1"/>
    </xf>
    <xf numFmtId="0" fontId="22" fillId="15" borderId="21" xfId="0" applyFont="1" applyFill="1" applyBorder="1" applyAlignment="1" applyProtection="1">
      <alignment horizontal="center" vertical="center" wrapText="1"/>
    </xf>
    <xf numFmtId="0" fontId="22" fillId="28" borderId="21" xfId="0" applyFont="1" applyFill="1" applyBorder="1" applyAlignment="1" applyProtection="1">
      <alignment horizontal="center" vertical="center" wrapText="1"/>
    </xf>
    <xf numFmtId="0" fontId="22" fillId="28" borderId="50" xfId="0" applyFont="1" applyFill="1" applyBorder="1" applyAlignment="1" applyProtection="1">
      <alignment horizontal="center" vertical="center" wrapText="1"/>
    </xf>
    <xf numFmtId="10" fontId="22" fillId="28" borderId="55" xfId="0" applyNumberFormat="1" applyFont="1" applyFill="1" applyBorder="1" applyAlignment="1" applyProtection="1">
      <alignment horizontal="center" vertical="center" wrapText="1"/>
    </xf>
    <xf numFmtId="0" fontId="22" fillId="28" borderId="19" xfId="0" applyFont="1" applyFill="1" applyBorder="1" applyAlignment="1" applyProtection="1">
      <alignment horizontal="center" vertical="center" wrapText="1"/>
    </xf>
    <xf numFmtId="0" fontId="22" fillId="38" borderId="50" xfId="0" applyFont="1" applyFill="1" applyBorder="1" applyAlignment="1" applyProtection="1">
      <alignment horizontal="center" vertical="center" wrapText="1"/>
    </xf>
    <xf numFmtId="10" fontId="22" fillId="38" borderId="55" xfId="0" applyNumberFormat="1" applyFont="1" applyFill="1" applyBorder="1" applyAlignment="1" applyProtection="1">
      <alignment horizontal="center" vertical="center" wrapText="1"/>
    </xf>
    <xf numFmtId="0" fontId="22" fillId="38" borderId="19" xfId="0" applyFont="1" applyFill="1" applyBorder="1" applyAlignment="1" applyProtection="1">
      <alignment horizontal="center" vertical="center" wrapText="1"/>
    </xf>
    <xf numFmtId="10" fontId="22" fillId="43" borderId="55" xfId="0" applyNumberFormat="1" applyFont="1" applyFill="1" applyBorder="1" applyAlignment="1" applyProtection="1">
      <alignment horizontal="center" vertical="center" wrapText="1"/>
    </xf>
    <xf numFmtId="0" fontId="22" fillId="43" borderId="19" xfId="0" applyFont="1" applyFill="1" applyBorder="1" applyAlignment="1" applyProtection="1">
      <alignment horizontal="center" vertical="center" wrapText="1"/>
    </xf>
    <xf numFmtId="10" fontId="22" fillId="48" borderId="55" xfId="0" applyNumberFormat="1" applyFont="1" applyFill="1" applyBorder="1" applyAlignment="1" applyProtection="1">
      <alignment horizontal="center" vertical="center" wrapText="1"/>
    </xf>
    <xf numFmtId="0" fontId="22" fillId="48" borderId="19" xfId="0" applyFont="1" applyFill="1" applyBorder="1" applyAlignment="1" applyProtection="1">
      <alignment horizontal="center" vertical="center" wrapText="1"/>
    </xf>
    <xf numFmtId="0" fontId="22" fillId="51" borderId="21" xfId="0" applyFont="1" applyFill="1" applyBorder="1" applyAlignment="1" applyProtection="1">
      <alignment horizontal="center" vertical="center" wrapText="1"/>
    </xf>
    <xf numFmtId="0" fontId="22" fillId="51" borderId="50" xfId="0" applyFont="1" applyFill="1" applyBorder="1" applyAlignment="1" applyProtection="1">
      <alignment horizontal="center" vertical="center" wrapText="1"/>
    </xf>
    <xf numFmtId="10" fontId="22" fillId="51" borderId="55" xfId="0" applyNumberFormat="1" applyFont="1" applyFill="1" applyBorder="1" applyAlignment="1" applyProtection="1">
      <alignment horizontal="center" vertical="center" wrapText="1"/>
    </xf>
    <xf numFmtId="0" fontId="22" fillId="51" borderId="19" xfId="0" applyFont="1" applyFill="1" applyBorder="1" applyAlignment="1" applyProtection="1">
      <alignment horizontal="center" vertical="center" wrapText="1"/>
    </xf>
    <xf numFmtId="0" fontId="22" fillId="15" borderId="50" xfId="0" applyFont="1" applyFill="1" applyBorder="1" applyAlignment="1" applyProtection="1">
      <alignment horizontal="center" vertical="center" wrapText="1"/>
    </xf>
    <xf numFmtId="10" fontId="22" fillId="15" borderId="55" xfId="0" applyNumberFormat="1" applyFont="1" applyFill="1" applyBorder="1" applyAlignment="1" applyProtection="1">
      <alignment horizontal="center" vertical="center" wrapText="1"/>
    </xf>
    <xf numFmtId="0" fontId="22" fillId="15" borderId="19" xfId="0" applyFont="1" applyFill="1" applyBorder="1" applyAlignment="1" applyProtection="1">
      <alignment horizontal="center" vertical="center" wrapText="1"/>
    </xf>
    <xf numFmtId="0" fontId="22" fillId="36" borderId="50" xfId="0" applyFont="1" applyFill="1" applyBorder="1" applyAlignment="1" applyProtection="1">
      <alignment horizontal="center" vertical="center" wrapText="1"/>
    </xf>
    <xf numFmtId="10" fontId="22" fillId="36" borderId="55" xfId="0" applyNumberFormat="1" applyFont="1" applyFill="1" applyBorder="1" applyAlignment="1" applyProtection="1">
      <alignment horizontal="center" vertical="center" wrapText="1"/>
    </xf>
    <xf numFmtId="0" fontId="22" fillId="36" borderId="19" xfId="0" applyFont="1" applyFill="1" applyBorder="1" applyAlignment="1" applyProtection="1">
      <alignment horizontal="center" vertical="center" wrapText="1"/>
    </xf>
    <xf numFmtId="0" fontId="22" fillId="30" borderId="50" xfId="0" applyFont="1" applyFill="1" applyBorder="1" applyAlignment="1" applyProtection="1">
      <alignment horizontal="center" vertical="center" wrapText="1"/>
    </xf>
    <xf numFmtId="10" fontId="22" fillId="30" borderId="55" xfId="0" applyNumberFormat="1" applyFont="1" applyFill="1" applyBorder="1" applyAlignment="1" applyProtection="1">
      <alignment horizontal="center" vertical="center" wrapText="1"/>
    </xf>
    <xf numFmtId="0" fontId="22" fillId="30" borderId="19" xfId="0" applyFont="1" applyFill="1" applyBorder="1" applyAlignment="1" applyProtection="1">
      <alignment horizontal="center" vertical="center" wrapText="1"/>
    </xf>
    <xf numFmtId="0" fontId="0" fillId="3" borderId="0" xfId="0" applyFill="1"/>
    <xf numFmtId="0" fontId="0" fillId="3" borderId="0" xfId="0" applyFill="1" applyBorder="1"/>
    <xf numFmtId="0" fontId="0" fillId="3" borderId="0" xfId="0" applyFill="1" applyBorder="1" applyAlignment="1">
      <alignment horizontal="right"/>
    </xf>
    <xf numFmtId="49" fontId="0" fillId="3" borderId="0" xfId="0" applyNumberFormat="1" applyFill="1" applyBorder="1" applyAlignment="1">
      <alignment vertical="center" wrapText="1"/>
    </xf>
    <xf numFmtId="0" fontId="0" fillId="3" borderId="0" xfId="0" applyFill="1" applyAlignment="1">
      <alignment horizontal="right"/>
    </xf>
    <xf numFmtId="0" fontId="11" fillId="3" borderId="0" xfId="0" applyFont="1" applyFill="1" applyAlignment="1">
      <alignment vertical="center"/>
    </xf>
    <xf numFmtId="0" fontId="11" fillId="3" borderId="0" xfId="0" applyFont="1" applyFill="1" applyAlignment="1">
      <alignment horizontal="center" vertical="center"/>
    </xf>
    <xf numFmtId="49" fontId="0" fillId="3" borderId="0" xfId="0" applyNumberFormat="1" applyFill="1" applyAlignment="1">
      <alignment vertical="center" wrapText="1"/>
    </xf>
    <xf numFmtId="49" fontId="0" fillId="3" borderId="0" xfId="0" applyNumberFormat="1" applyFill="1" applyAlignment="1">
      <alignment horizontal="right" vertical="center" wrapText="1"/>
    </xf>
    <xf numFmtId="49" fontId="12" fillId="3" borderId="0" xfId="0" applyNumberFormat="1" applyFont="1" applyFill="1" applyAlignment="1">
      <alignment horizontal="right" vertical="center" wrapText="1"/>
    </xf>
    <xf numFmtId="0" fontId="0" fillId="3" borderId="0" xfId="0" applyFill="1" applyAlignment="1">
      <alignment horizontal="center" vertical="center"/>
    </xf>
    <xf numFmtId="49" fontId="0" fillId="3" borderId="0" xfId="0" applyNumberFormat="1" applyFill="1" applyAlignment="1">
      <alignment horizontal="center" vertical="center" wrapText="1"/>
    </xf>
    <xf numFmtId="0" fontId="9" fillId="3" borderId="0" xfId="1" applyFill="1" applyAlignment="1" applyProtection="1">
      <alignment horizontal="center" vertical="center"/>
    </xf>
    <xf numFmtId="0" fontId="54" fillId="3" borderId="0" xfId="0" applyFont="1" applyFill="1"/>
    <xf numFmtId="0" fontId="55" fillId="3" borderId="0" xfId="0" applyFont="1" applyFill="1" applyAlignment="1">
      <alignment horizontal="right" vertical="top" indent="1"/>
    </xf>
    <xf numFmtId="0" fontId="56" fillId="3" borderId="0" xfId="0" applyFont="1" applyFill="1" applyAlignment="1">
      <alignment horizontal="justify" vertical="top" wrapText="1"/>
    </xf>
    <xf numFmtId="49" fontId="0" fillId="3" borderId="0" xfId="0" applyNumberFormat="1" applyFill="1" applyAlignment="1">
      <alignment horizontal="justify" vertical="center" wrapText="1"/>
    </xf>
    <xf numFmtId="0" fontId="9" fillId="3" borderId="0" xfId="1" applyFill="1" applyAlignment="1" applyProtection="1">
      <alignment horizontal="center"/>
    </xf>
    <xf numFmtId="4" fontId="23" fillId="0" borderId="1" xfId="0" applyNumberFormat="1" applyFont="1" applyFill="1" applyBorder="1" applyAlignment="1" applyProtection="1">
      <alignment horizontal="center" vertical="center" wrapText="1"/>
      <protection locked="0"/>
    </xf>
    <xf numFmtId="4" fontId="23" fillId="0" borderId="50" xfId="0" applyNumberFormat="1" applyFont="1" applyFill="1" applyBorder="1" applyAlignment="1" applyProtection="1">
      <alignment horizontal="center" vertical="center" wrapText="1"/>
      <protection locked="0"/>
    </xf>
    <xf numFmtId="0" fontId="18" fillId="0" borderId="86" xfId="0" applyFont="1" applyFill="1" applyBorder="1" applyAlignment="1" applyProtection="1">
      <alignment horizontal="center" vertical="center" wrapText="1"/>
      <protection locked="0"/>
    </xf>
    <xf numFmtId="3" fontId="14" fillId="0" borderId="47" xfId="14" applyNumberFormat="1" applyFont="1" applyFill="1" applyBorder="1" applyAlignment="1" applyProtection="1">
      <alignment horizontal="center" readingOrder="1"/>
      <protection locked="0"/>
    </xf>
    <xf numFmtId="0" fontId="0" fillId="0" borderId="0" xfId="0" applyAlignment="1">
      <alignment horizontal="center" vertical="center"/>
    </xf>
    <xf numFmtId="0" fontId="0" fillId="0" borderId="0" xfId="0" applyAlignment="1">
      <alignment vertical="center"/>
    </xf>
    <xf numFmtId="0" fontId="0" fillId="0" borderId="87" xfId="0" applyFill="1" applyBorder="1" applyAlignment="1">
      <alignment vertical="center"/>
    </xf>
    <xf numFmtId="0" fontId="0" fillId="0" borderId="88" xfId="0" applyFill="1" applyBorder="1" applyAlignment="1">
      <alignment vertical="center"/>
    </xf>
    <xf numFmtId="0" fontId="0" fillId="0" borderId="88" xfId="0" applyFill="1" applyBorder="1" applyAlignment="1">
      <alignment horizontal="center" vertical="center"/>
    </xf>
    <xf numFmtId="0" fontId="0" fillId="0" borderId="89" xfId="0" applyFill="1" applyBorder="1" applyAlignment="1">
      <alignment horizontal="center" vertical="center"/>
    </xf>
    <xf numFmtId="0" fontId="0" fillId="0" borderId="90" xfId="0" applyFill="1" applyBorder="1" applyAlignment="1">
      <alignment vertical="center"/>
    </xf>
    <xf numFmtId="0" fontId="0" fillId="0" borderId="91" xfId="0" applyFill="1" applyBorder="1" applyAlignment="1">
      <alignment vertical="center"/>
    </xf>
    <xf numFmtId="0" fontId="0" fillId="0" borderId="91" xfId="0" applyFill="1" applyBorder="1" applyAlignment="1">
      <alignment horizontal="center" vertical="center"/>
    </xf>
    <xf numFmtId="0" fontId="0" fillId="0" borderId="92" xfId="0" applyFill="1" applyBorder="1" applyAlignment="1">
      <alignment horizontal="center" vertical="center"/>
    </xf>
    <xf numFmtId="0" fontId="0" fillId="0" borderId="93" xfId="0" applyFill="1" applyBorder="1" applyAlignment="1">
      <alignment vertical="center"/>
    </xf>
    <xf numFmtId="0" fontId="0" fillId="0" borderId="94" xfId="0" applyFill="1" applyBorder="1" applyAlignment="1">
      <alignment vertical="center"/>
    </xf>
    <xf numFmtId="0" fontId="0" fillId="0" borderId="94" xfId="0" applyFill="1" applyBorder="1" applyAlignment="1">
      <alignment horizontal="center" vertical="center"/>
    </xf>
    <xf numFmtId="0" fontId="0" fillId="0" borderId="95" xfId="0" applyFill="1" applyBorder="1" applyAlignment="1">
      <alignment horizontal="center" vertical="center"/>
    </xf>
    <xf numFmtId="0" fontId="0" fillId="58" borderId="96" xfId="0" applyFill="1" applyBorder="1" applyAlignment="1">
      <alignment horizontal="center" vertical="center"/>
    </xf>
    <xf numFmtId="0" fontId="18" fillId="58" borderId="97" xfId="0" applyFont="1" applyFill="1" applyBorder="1" applyAlignment="1">
      <alignment horizontal="justify" vertical="center"/>
    </xf>
    <xf numFmtId="0" fontId="0" fillId="58" borderId="97" xfId="0" applyFill="1" applyBorder="1" applyAlignment="1">
      <alignment horizontal="center" vertical="center"/>
    </xf>
    <xf numFmtId="0" fontId="0" fillId="0" borderId="97" xfId="0" applyFill="1" applyBorder="1" applyAlignment="1">
      <alignment horizontal="center" vertical="center"/>
    </xf>
    <xf numFmtId="0" fontId="31" fillId="59" borderId="98" xfId="0" applyFont="1" applyFill="1" applyBorder="1" applyAlignment="1">
      <alignment horizontal="center" vertical="center"/>
    </xf>
    <xf numFmtId="0" fontId="0" fillId="36" borderId="99" xfId="0" applyFill="1" applyBorder="1" applyAlignment="1">
      <alignment horizontal="center" vertical="center" wrapText="1"/>
    </xf>
    <xf numFmtId="0" fontId="18" fillId="36" borderId="100" xfId="0" applyFont="1" applyFill="1" applyBorder="1" applyAlignment="1">
      <alignment horizontal="justify" vertical="center" wrapText="1"/>
    </xf>
    <xf numFmtId="0" fontId="0" fillId="36" borderId="100" xfId="0" applyFill="1" applyBorder="1" applyAlignment="1">
      <alignment horizontal="center" vertical="center"/>
    </xf>
    <xf numFmtId="0" fontId="0" fillId="36" borderId="100" xfId="0" applyFill="1" applyBorder="1" applyAlignment="1">
      <alignment horizontal="center" vertical="center" wrapText="1"/>
    </xf>
    <xf numFmtId="0" fontId="0" fillId="0" borderId="100" xfId="0" applyFill="1" applyBorder="1" applyAlignment="1">
      <alignment horizontal="center" vertical="center"/>
    </xf>
    <xf numFmtId="0" fontId="3" fillId="19" borderId="101" xfId="0" applyFont="1" applyFill="1" applyBorder="1" applyAlignment="1">
      <alignment horizontal="center" vertical="center"/>
    </xf>
    <xf numFmtId="0" fontId="18" fillId="0" borderId="103" xfId="0" applyFont="1" applyFill="1" applyBorder="1" applyAlignment="1">
      <alignment horizontal="justify" vertical="center" wrapText="1"/>
    </xf>
    <xf numFmtId="0" fontId="0" fillId="0" borderId="103" xfId="0" applyFill="1" applyBorder="1" applyAlignment="1">
      <alignment horizontal="center" vertical="center"/>
    </xf>
    <xf numFmtId="0" fontId="18" fillId="0" borderId="106" xfId="0" applyFont="1" applyFill="1" applyBorder="1" applyAlignment="1">
      <alignment horizontal="justify" vertical="center" wrapText="1"/>
    </xf>
    <xf numFmtId="0" fontId="0" fillId="0" borderId="106" xfId="0" applyFill="1" applyBorder="1" applyAlignment="1">
      <alignment horizontal="center" vertical="center"/>
    </xf>
    <xf numFmtId="0" fontId="0" fillId="0" borderId="106" xfId="0" applyFill="1" applyBorder="1" applyAlignment="1">
      <alignment horizontal="center" vertical="center" wrapText="1"/>
    </xf>
    <xf numFmtId="0" fontId="18" fillId="2" borderId="106" xfId="0" applyFont="1" applyFill="1" applyBorder="1" applyAlignment="1">
      <alignment horizontal="justify" vertical="center" wrapText="1"/>
    </xf>
    <xf numFmtId="0" fontId="0" fillId="2" borderId="106" xfId="0" applyFill="1" applyBorder="1" applyAlignment="1">
      <alignment horizontal="center" vertical="center"/>
    </xf>
    <xf numFmtId="0" fontId="0" fillId="2" borderId="106" xfId="0" applyFill="1" applyBorder="1" applyAlignment="1">
      <alignment horizontal="center" vertical="center" wrapText="1"/>
    </xf>
    <xf numFmtId="0" fontId="18" fillId="2" borderId="106" xfId="0" applyFont="1" applyFill="1" applyBorder="1" applyAlignment="1">
      <alignment horizontal="justify" vertical="center"/>
    </xf>
    <xf numFmtId="0" fontId="0" fillId="0" borderId="105" xfId="0" applyFill="1" applyBorder="1" applyAlignment="1">
      <alignment horizontal="center" vertical="center" wrapText="1"/>
    </xf>
    <xf numFmtId="0" fontId="0" fillId="2" borderId="108" xfId="0" applyFill="1" applyBorder="1" applyAlignment="1">
      <alignment horizontal="center" vertical="center" wrapText="1"/>
    </xf>
    <xf numFmtId="0" fontId="18" fillId="2" borderId="109" xfId="0" applyFont="1" applyFill="1" applyBorder="1" applyAlignment="1">
      <alignment horizontal="justify" vertical="center"/>
    </xf>
    <xf numFmtId="0" fontId="0" fillId="2" borderId="109" xfId="0" applyFill="1" applyBorder="1" applyAlignment="1">
      <alignment horizontal="center" vertical="center"/>
    </xf>
    <xf numFmtId="0" fontId="0" fillId="2" borderId="109" xfId="0" applyFill="1" applyBorder="1" applyAlignment="1">
      <alignment horizontal="center" vertical="center" wrapText="1"/>
    </xf>
    <xf numFmtId="0" fontId="0" fillId="61" borderId="111" xfId="0" applyFill="1" applyBorder="1" applyAlignment="1">
      <alignment horizontal="center" vertical="center" wrapText="1"/>
    </xf>
    <xf numFmtId="0" fontId="18" fillId="61" borderId="112" xfId="0" applyFont="1" applyFill="1" applyBorder="1" applyAlignment="1">
      <alignment horizontal="justify" vertical="center"/>
    </xf>
    <xf numFmtId="0" fontId="0" fillId="61" borderId="112" xfId="0" applyFill="1" applyBorder="1" applyAlignment="1">
      <alignment horizontal="center" vertical="center"/>
    </xf>
    <xf numFmtId="0" fontId="0" fillId="61" borderId="112" xfId="0" applyFill="1" applyBorder="1" applyAlignment="1">
      <alignment horizontal="center" vertical="center" wrapText="1"/>
    </xf>
    <xf numFmtId="0" fontId="0" fillId="0" borderId="114" xfId="0" applyFill="1" applyBorder="1" applyAlignment="1">
      <alignment horizontal="center" vertical="center" wrapText="1"/>
    </xf>
    <xf numFmtId="0" fontId="18" fillId="0" borderId="115" xfId="0" applyFont="1" applyFill="1" applyBorder="1" applyAlignment="1">
      <alignment horizontal="justify" vertical="center"/>
    </xf>
    <xf numFmtId="0" fontId="0" fillId="0" borderId="115" xfId="0" applyFill="1" applyBorder="1" applyAlignment="1">
      <alignment horizontal="center" vertical="center"/>
    </xf>
    <xf numFmtId="0" fontId="0" fillId="0" borderId="115" xfId="0" applyFill="1" applyBorder="1" applyAlignment="1">
      <alignment horizontal="center" vertical="center" wrapText="1"/>
    </xf>
    <xf numFmtId="0" fontId="56" fillId="61" borderId="114" xfId="0" applyFont="1" applyFill="1" applyBorder="1" applyAlignment="1">
      <alignment horizontal="center" vertical="center" wrapText="1"/>
    </xf>
    <xf numFmtId="0" fontId="18" fillId="61" borderId="115" xfId="0" applyFont="1" applyFill="1" applyBorder="1" applyAlignment="1">
      <alignment horizontal="justify" vertical="center"/>
    </xf>
    <xf numFmtId="0" fontId="0" fillId="61" borderId="115" xfId="0" applyFill="1" applyBorder="1" applyAlignment="1">
      <alignment horizontal="center" vertical="center"/>
    </xf>
    <xf numFmtId="0" fontId="0" fillId="61" borderId="115" xfId="0" applyFill="1" applyBorder="1" applyAlignment="1">
      <alignment horizontal="center" vertical="center" wrapText="1"/>
    </xf>
    <xf numFmtId="0" fontId="56" fillId="0" borderId="114" xfId="0" applyFont="1" applyFill="1" applyBorder="1" applyAlignment="1">
      <alignment horizontal="center" vertical="center" wrapText="1"/>
    </xf>
    <xf numFmtId="0" fontId="18" fillId="61" borderId="115" xfId="0" applyFont="1" applyFill="1" applyBorder="1" applyAlignment="1">
      <alignment horizontal="justify" vertical="center" wrapText="1"/>
    </xf>
    <xf numFmtId="0" fontId="94" fillId="0" borderId="114" xfId="0" applyFont="1" applyFill="1" applyBorder="1" applyAlignment="1">
      <alignment horizontal="center" vertical="center" wrapText="1"/>
    </xf>
    <xf numFmtId="0" fontId="18" fillId="0" borderId="115" xfId="0" applyFont="1" applyFill="1" applyBorder="1" applyAlignment="1">
      <alignment horizontal="justify" vertical="center" wrapText="1"/>
    </xf>
    <xf numFmtId="0" fontId="56" fillId="61" borderId="117" xfId="0" applyFont="1" applyFill="1" applyBorder="1" applyAlignment="1">
      <alignment horizontal="center" vertical="center" wrapText="1"/>
    </xf>
    <xf numFmtId="0" fontId="18" fillId="61" borderId="118" xfId="0" applyFont="1" applyFill="1" applyBorder="1" applyAlignment="1">
      <alignment horizontal="justify" vertical="center" wrapText="1"/>
    </xf>
    <xf numFmtId="0" fontId="0" fillId="61" borderId="118" xfId="0" applyFill="1" applyBorder="1" applyAlignment="1">
      <alignment horizontal="center" vertical="center"/>
    </xf>
    <xf numFmtId="0" fontId="56" fillId="63" borderId="120" xfId="0" applyFont="1" applyFill="1" applyBorder="1" applyAlignment="1">
      <alignment horizontal="center" vertical="center" wrapText="1"/>
    </xf>
    <xf numFmtId="0" fontId="18" fillId="63" borderId="121" xfId="0" applyFont="1" applyFill="1" applyBorder="1" applyAlignment="1">
      <alignment horizontal="justify" vertical="center" wrapText="1"/>
    </xf>
    <xf numFmtId="0" fontId="0" fillId="63" borderId="121" xfId="0" applyFill="1" applyBorder="1" applyAlignment="1">
      <alignment horizontal="center" vertical="center"/>
    </xf>
    <xf numFmtId="0" fontId="56" fillId="0" borderId="123" xfId="0" applyFont="1" applyFill="1" applyBorder="1" applyAlignment="1">
      <alignment horizontal="center" vertical="center" wrapText="1"/>
    </xf>
    <xf numFmtId="0" fontId="18" fillId="0" borderId="124" xfId="0" applyFont="1" applyFill="1" applyBorder="1" applyAlignment="1">
      <alignment horizontal="justify" vertical="center"/>
    </xf>
    <xf numFmtId="0" fontId="0" fillId="0" borderId="124" xfId="0" applyFill="1" applyBorder="1" applyAlignment="1">
      <alignment horizontal="center" vertical="center"/>
    </xf>
    <xf numFmtId="0" fontId="56" fillId="63" borderId="123" xfId="0" applyFont="1" applyFill="1" applyBorder="1" applyAlignment="1">
      <alignment horizontal="center" vertical="center" wrapText="1"/>
    </xf>
    <xf numFmtId="0" fontId="18" fillId="63" borderId="124" xfId="0" applyFont="1" applyFill="1" applyBorder="1" applyAlignment="1">
      <alignment horizontal="justify" vertical="center"/>
    </xf>
    <xf numFmtId="0" fontId="0" fillId="63" borderId="124" xfId="0" applyFill="1" applyBorder="1" applyAlignment="1">
      <alignment horizontal="center" vertical="center"/>
    </xf>
    <xf numFmtId="0" fontId="18" fillId="63" borderId="124" xfId="0" applyFont="1" applyFill="1" applyBorder="1" applyAlignment="1">
      <alignment horizontal="justify" vertical="center" wrapText="1"/>
    </xf>
    <xf numFmtId="0" fontId="94" fillId="63" borderId="123" xfId="0" applyFont="1" applyFill="1" applyBorder="1" applyAlignment="1">
      <alignment horizontal="center" vertical="center" wrapText="1"/>
    </xf>
    <xf numFmtId="0" fontId="18" fillId="0" borderId="124" xfId="0" applyFont="1" applyFill="1" applyBorder="1" applyAlignment="1">
      <alignment horizontal="justify" vertical="center" wrapText="1"/>
    </xf>
    <xf numFmtId="0" fontId="94" fillId="0" borderId="123" xfId="0" applyFont="1" applyFill="1" applyBorder="1" applyAlignment="1">
      <alignment horizontal="center" vertical="center" wrapText="1"/>
    </xf>
    <xf numFmtId="0" fontId="56" fillId="63" borderId="129" xfId="0" applyFont="1" applyFill="1" applyBorder="1" applyAlignment="1">
      <alignment horizontal="center" vertical="center" wrapText="1"/>
    </xf>
    <xf numFmtId="0" fontId="18" fillId="63" borderId="130" xfId="0" applyFont="1" applyFill="1" applyBorder="1" applyAlignment="1">
      <alignment horizontal="justify" vertical="center" wrapText="1"/>
    </xf>
    <xf numFmtId="0" fontId="0" fillId="63" borderId="130" xfId="0" applyFill="1" applyBorder="1" applyAlignment="1">
      <alignment horizontal="center" vertical="center"/>
    </xf>
    <xf numFmtId="0" fontId="56" fillId="17" borderId="133" xfId="0" applyFont="1" applyFill="1" applyBorder="1" applyAlignment="1">
      <alignment horizontal="center" vertical="center" wrapText="1"/>
    </xf>
    <xf numFmtId="0" fontId="18" fillId="17" borderId="134" xfId="0" applyFont="1" applyFill="1" applyBorder="1" applyAlignment="1">
      <alignment horizontal="justify" vertical="center" wrapText="1"/>
    </xf>
    <xf numFmtId="0" fontId="56" fillId="17" borderId="137" xfId="0" applyFont="1" applyFill="1" applyBorder="1" applyAlignment="1">
      <alignment horizontal="center" vertical="center" wrapText="1"/>
    </xf>
    <xf numFmtId="0" fontId="18" fillId="17" borderId="138" xfId="0" applyFont="1" applyFill="1" applyBorder="1" applyAlignment="1">
      <alignment horizontal="justify" vertical="center"/>
    </xf>
    <xf numFmtId="0" fontId="56" fillId="0" borderId="137" xfId="0" applyFont="1" applyFill="1" applyBorder="1" applyAlignment="1">
      <alignment horizontal="center" vertical="center" wrapText="1"/>
    </xf>
    <xf numFmtId="0" fontId="18" fillId="0" borderId="138" xfId="0" applyFont="1" applyFill="1" applyBorder="1" applyAlignment="1">
      <alignment horizontal="justify" vertical="center" wrapText="1"/>
    </xf>
    <xf numFmtId="0" fontId="94" fillId="0" borderId="137" xfId="0" applyFont="1" applyFill="1" applyBorder="1" applyAlignment="1">
      <alignment horizontal="center" vertical="center" wrapText="1"/>
    </xf>
    <xf numFmtId="0" fontId="18" fillId="17" borderId="138" xfId="0" applyFont="1" applyFill="1" applyBorder="1" applyAlignment="1">
      <alignment horizontal="justify" vertical="center" wrapText="1"/>
    </xf>
    <xf numFmtId="0" fontId="94" fillId="17" borderId="140" xfId="0" applyFont="1" applyFill="1" applyBorder="1" applyAlignment="1">
      <alignment horizontal="center" vertical="center" wrapText="1"/>
    </xf>
    <xf numFmtId="0" fontId="18" fillId="17" borderId="141" xfId="0" applyFont="1" applyFill="1" applyBorder="1" applyAlignment="1">
      <alignment horizontal="justify" vertical="center" wrapText="1"/>
    </xf>
    <xf numFmtId="0" fontId="56" fillId="66" borderId="143" xfId="0" applyFont="1" applyFill="1" applyBorder="1" applyAlignment="1">
      <alignment horizontal="center" vertical="center" wrapText="1"/>
    </xf>
    <xf numFmtId="0" fontId="18" fillId="66" borderId="144" xfId="0" applyFont="1" applyFill="1" applyBorder="1" applyAlignment="1">
      <alignment horizontal="justify" vertical="center" wrapText="1"/>
    </xf>
    <xf numFmtId="0" fontId="0" fillId="66" borderId="144" xfId="0" applyFill="1" applyBorder="1" applyAlignment="1">
      <alignment horizontal="center" vertical="center"/>
    </xf>
    <xf numFmtId="0" fontId="0" fillId="66" borderId="144" xfId="0" applyFill="1" applyBorder="1" applyAlignment="1">
      <alignment horizontal="justify" vertical="center" wrapText="1"/>
    </xf>
    <xf numFmtId="0" fontId="56" fillId="0" borderId="146" xfId="0" applyFont="1" applyFill="1" applyBorder="1" applyAlignment="1">
      <alignment horizontal="center" vertical="center" wrapText="1"/>
    </xf>
    <xf numFmtId="0" fontId="18" fillId="0" borderId="147" xfId="0" applyFont="1" applyFill="1" applyBorder="1" applyAlignment="1">
      <alignment horizontal="justify" vertical="center"/>
    </xf>
    <xf numFmtId="0" fontId="0" fillId="0" borderId="147" xfId="0" applyFill="1" applyBorder="1" applyAlignment="1">
      <alignment horizontal="center" vertical="center"/>
    </xf>
    <xf numFmtId="0" fontId="0" fillId="0" borderId="147" xfId="0" applyFill="1" applyBorder="1" applyAlignment="1">
      <alignment horizontal="center" vertical="center" wrapText="1"/>
    </xf>
    <xf numFmtId="0" fontId="56" fillId="66" borderId="146" xfId="0" applyFont="1" applyFill="1" applyBorder="1" applyAlignment="1">
      <alignment horizontal="center" vertical="center" wrapText="1"/>
    </xf>
    <xf numFmtId="0" fontId="18" fillId="66" borderId="147" xfId="0" applyFont="1" applyFill="1" applyBorder="1" applyAlignment="1">
      <alignment horizontal="justify" vertical="center" wrapText="1"/>
    </xf>
    <xf numFmtId="0" fontId="94" fillId="66" borderId="146" xfId="0" applyFont="1" applyFill="1" applyBorder="1" applyAlignment="1">
      <alignment horizontal="center" vertical="center" wrapText="1"/>
    </xf>
    <xf numFmtId="0" fontId="18" fillId="0" borderId="147" xfId="0" applyFont="1" applyFill="1" applyBorder="1" applyAlignment="1">
      <alignment horizontal="justify" vertical="center" wrapText="1"/>
    </xf>
    <xf numFmtId="0" fontId="94" fillId="0" borderId="146" xfId="0" applyFont="1" applyFill="1" applyBorder="1" applyAlignment="1">
      <alignment horizontal="center" vertical="center" wrapText="1"/>
    </xf>
    <xf numFmtId="0" fontId="0" fillId="66" borderId="147" xfId="0" applyFill="1" applyBorder="1" applyAlignment="1">
      <alignment horizontal="center" vertical="center"/>
    </xf>
    <xf numFmtId="0" fontId="0" fillId="66" borderId="147" xfId="0" applyFill="1" applyBorder="1" applyAlignment="1">
      <alignment horizontal="center" vertical="center" wrapText="1"/>
    </xf>
    <xf numFmtId="0" fontId="56" fillId="66" borderId="149" xfId="0" applyFont="1" applyFill="1" applyBorder="1" applyAlignment="1">
      <alignment horizontal="center" vertical="center" wrapText="1"/>
    </xf>
    <xf numFmtId="0" fontId="18" fillId="66" borderId="150" xfId="0" applyFont="1" applyFill="1" applyBorder="1" applyAlignment="1">
      <alignment horizontal="justify" vertical="center" wrapText="1"/>
    </xf>
    <xf numFmtId="0" fontId="0" fillId="66" borderId="150" xfId="0" applyFill="1" applyBorder="1" applyAlignment="1">
      <alignment horizontal="center" vertical="center"/>
    </xf>
    <xf numFmtId="0" fontId="0" fillId="66" borderId="150" xfId="0" applyFill="1" applyBorder="1" applyAlignment="1">
      <alignment horizontal="center" vertical="center" wrapText="1"/>
    </xf>
    <xf numFmtId="0" fontId="56" fillId="10" borderId="152" xfId="0" applyFont="1" applyFill="1" applyBorder="1" applyAlignment="1">
      <alignment horizontal="center" vertical="center" wrapText="1"/>
    </xf>
    <xf numFmtId="0" fontId="18" fillId="10" borderId="153" xfId="0" applyFont="1" applyFill="1" applyBorder="1" applyAlignment="1">
      <alignment horizontal="justify" vertical="center" wrapText="1"/>
    </xf>
    <xf numFmtId="0" fontId="0" fillId="10" borderId="153" xfId="0" applyFill="1" applyBorder="1" applyAlignment="1">
      <alignment horizontal="center" vertical="center"/>
    </xf>
    <xf numFmtId="0" fontId="0" fillId="10" borderId="153" xfId="0" applyFill="1" applyBorder="1" applyAlignment="1">
      <alignment horizontal="justify" vertical="center" wrapText="1"/>
    </xf>
    <xf numFmtId="0" fontId="56" fillId="0" borderId="90" xfId="0" applyFont="1" applyFill="1" applyBorder="1" applyAlignment="1">
      <alignment horizontal="center" vertical="center" wrapText="1"/>
    </xf>
    <xf numFmtId="0" fontId="56" fillId="10" borderId="90" xfId="0" applyFont="1" applyFill="1" applyBorder="1" applyAlignment="1">
      <alignment horizontal="center" vertical="center" wrapText="1"/>
    </xf>
    <xf numFmtId="0" fontId="18" fillId="10" borderId="91" xfId="0" applyFont="1" applyFill="1" applyBorder="1" applyAlignment="1">
      <alignment horizontal="justify" vertical="center" wrapText="1"/>
    </xf>
    <xf numFmtId="0" fontId="18" fillId="0" borderId="91" xfId="0" applyFont="1" applyFill="1" applyBorder="1" applyAlignment="1">
      <alignment horizontal="justify" vertical="center" wrapText="1"/>
    </xf>
    <xf numFmtId="0" fontId="0" fillId="10" borderId="91" xfId="0" applyFill="1" applyBorder="1" applyAlignment="1">
      <alignment horizontal="center" vertical="center"/>
    </xf>
    <xf numFmtId="0" fontId="0" fillId="10" borderId="91" xfId="0" applyFill="1" applyBorder="1" applyAlignment="1">
      <alignment horizontal="center" vertical="center" wrapText="1"/>
    </xf>
    <xf numFmtId="0" fontId="31" fillId="69" borderId="159" xfId="0" applyFont="1" applyFill="1" applyBorder="1" applyAlignment="1">
      <alignment horizontal="center" vertical="center" wrapText="1"/>
    </xf>
    <xf numFmtId="0" fontId="31" fillId="69" borderId="160" xfId="0" applyFont="1" applyFill="1" applyBorder="1" applyAlignment="1">
      <alignment horizontal="center" vertical="center" wrapText="1"/>
    </xf>
    <xf numFmtId="0" fontId="31" fillId="69" borderId="161" xfId="0" applyFont="1" applyFill="1" applyBorder="1" applyAlignment="1">
      <alignment horizontal="center" vertical="center" wrapText="1"/>
    </xf>
    <xf numFmtId="0" fontId="31" fillId="69" borderId="162" xfId="0" applyFont="1" applyFill="1" applyBorder="1" applyAlignment="1">
      <alignment horizontal="center" vertical="center" wrapText="1"/>
    </xf>
    <xf numFmtId="0" fontId="2" fillId="0" borderId="106" xfId="0" applyFont="1" applyFill="1" applyBorder="1" applyAlignment="1">
      <alignment horizontal="center" vertical="center" wrapText="1"/>
    </xf>
    <xf numFmtId="0" fontId="2" fillId="0" borderId="103" xfId="0" applyFont="1" applyFill="1" applyBorder="1" applyAlignment="1">
      <alignment horizontal="center" vertical="center" wrapText="1"/>
    </xf>
    <xf numFmtId="0" fontId="2" fillId="36" borderId="100" xfId="0" applyFont="1" applyFill="1" applyBorder="1" applyAlignment="1">
      <alignment horizontal="center" vertical="center" wrapText="1"/>
    </xf>
    <xf numFmtId="0" fontId="2" fillId="58" borderId="97" xfId="0" applyFont="1" applyFill="1" applyBorder="1" applyAlignment="1">
      <alignment horizontal="center" vertical="center" wrapText="1"/>
    </xf>
    <xf numFmtId="0" fontId="2" fillId="2" borderId="109" xfId="0" applyFont="1" applyFill="1" applyBorder="1" applyAlignment="1">
      <alignment horizontal="center" vertical="center" wrapText="1"/>
    </xf>
    <xf numFmtId="0" fontId="2" fillId="61" borderId="112" xfId="0" applyFont="1" applyFill="1" applyBorder="1" applyAlignment="1">
      <alignment horizontal="center" vertical="center" wrapText="1"/>
    </xf>
    <xf numFmtId="0" fontId="2" fillId="0" borderId="115" xfId="0" applyFont="1" applyFill="1" applyBorder="1" applyAlignment="1">
      <alignment horizontal="center" vertical="center" wrapText="1"/>
    </xf>
    <xf numFmtId="0" fontId="2" fillId="61" borderId="115" xfId="0" applyFont="1" applyFill="1" applyBorder="1" applyAlignment="1">
      <alignment horizontal="center" vertical="center" wrapText="1"/>
    </xf>
    <xf numFmtId="0" fontId="2" fillId="61" borderId="118" xfId="0" applyFont="1" applyFill="1" applyBorder="1" applyAlignment="1">
      <alignment horizontal="center" vertical="center" wrapText="1"/>
    </xf>
    <xf numFmtId="0" fontId="2" fillId="63" borderId="121" xfId="0" applyFont="1" applyFill="1" applyBorder="1" applyAlignment="1">
      <alignment horizontal="justify" vertical="center" wrapText="1"/>
    </xf>
    <xf numFmtId="0" fontId="2" fillId="0" borderId="124" xfId="0" applyFont="1" applyFill="1" applyBorder="1" applyAlignment="1">
      <alignment horizontal="center" vertical="center" wrapText="1"/>
    </xf>
    <xf numFmtId="0" fontId="2" fillId="63" borderId="124" xfId="0" applyFont="1" applyFill="1" applyBorder="1" applyAlignment="1">
      <alignment horizontal="center" vertical="center" wrapText="1"/>
    </xf>
    <xf numFmtId="0" fontId="2" fillId="63" borderId="130" xfId="0" applyFont="1" applyFill="1" applyBorder="1" applyAlignment="1">
      <alignment horizontal="center" vertical="center" wrapText="1"/>
    </xf>
    <xf numFmtId="49" fontId="12" fillId="3" borderId="0" xfId="0" applyNumberFormat="1" applyFont="1" applyFill="1" applyAlignment="1">
      <alignment horizontal="right" vertical="center" wrapText="1"/>
    </xf>
    <xf numFmtId="0" fontId="4" fillId="13" borderId="0" xfId="0" applyFont="1" applyFill="1" applyAlignment="1">
      <alignment horizontal="center" vertical="center" wrapText="1"/>
    </xf>
    <xf numFmtId="0" fontId="5" fillId="2" borderId="0" xfId="0" applyFont="1" applyFill="1" applyAlignment="1">
      <alignment horizontal="justify" vertical="center"/>
    </xf>
    <xf numFmtId="0" fontId="5" fillId="2" borderId="0" xfId="0" applyFont="1" applyFill="1" applyAlignment="1">
      <alignment horizontal="justify" vertical="center" wrapText="1"/>
    </xf>
    <xf numFmtId="0" fontId="53" fillId="13" borderId="0" xfId="0" applyFont="1" applyFill="1" applyBorder="1" applyAlignment="1">
      <alignment horizontal="center" vertical="center"/>
    </xf>
    <xf numFmtId="0" fontId="5" fillId="2" borderId="0" xfId="0" applyNumberFormat="1" applyFont="1" applyFill="1" applyAlignment="1">
      <alignment horizontal="justify" vertical="top" wrapText="1"/>
    </xf>
    <xf numFmtId="0" fontId="10" fillId="2" borderId="0" xfId="0" applyNumberFormat="1" applyFont="1" applyFill="1" applyAlignment="1">
      <alignment horizontal="justify" vertical="top" wrapText="1"/>
    </xf>
    <xf numFmtId="0" fontId="18" fillId="0" borderId="153" xfId="0" applyFont="1" applyFill="1" applyBorder="1" applyAlignment="1">
      <alignment horizontal="justify" vertical="center"/>
    </xf>
    <xf numFmtId="0" fontId="18" fillId="0" borderId="94" xfId="0" applyFont="1" applyFill="1" applyBorder="1" applyAlignment="1">
      <alignment horizontal="justify" vertical="center"/>
    </xf>
    <xf numFmtId="0" fontId="0" fillId="10" borderId="155" xfId="0" applyFill="1" applyBorder="1" applyAlignment="1">
      <alignment horizontal="center" vertical="center"/>
    </xf>
    <xf numFmtId="0" fontId="0" fillId="10" borderId="154" xfId="0" applyFill="1" applyBorder="1" applyAlignment="1">
      <alignment horizontal="center" vertical="center"/>
    </xf>
    <xf numFmtId="0" fontId="95" fillId="0" borderId="0" xfId="0" applyFont="1" applyAlignment="1">
      <alignment horizontal="center" vertical="center"/>
    </xf>
    <xf numFmtId="0" fontId="31" fillId="68" borderId="158" xfId="0" applyFont="1" applyFill="1" applyBorder="1" applyAlignment="1">
      <alignment horizontal="center" vertical="center"/>
    </xf>
    <xf numFmtId="0" fontId="31" fillId="68" borderId="156" xfId="0" applyFont="1" applyFill="1" applyBorder="1" applyAlignment="1">
      <alignment horizontal="center" vertical="center"/>
    </xf>
    <xf numFmtId="0" fontId="0" fillId="0" borderId="153" xfId="0" applyFill="1" applyBorder="1" applyAlignment="1">
      <alignment horizontal="center" vertical="center"/>
    </xf>
    <xf numFmtId="0" fontId="0" fillId="0" borderId="157" xfId="0" applyFill="1" applyBorder="1" applyAlignment="1">
      <alignment horizontal="center" vertical="center"/>
    </xf>
    <xf numFmtId="0" fontId="0" fillId="0" borderId="94" xfId="0" applyFill="1" applyBorder="1" applyAlignment="1">
      <alignment horizontal="center" vertical="center"/>
    </xf>
    <xf numFmtId="0" fontId="0" fillId="10" borderId="91" xfId="0" applyFill="1" applyBorder="1" applyAlignment="1">
      <alignment horizontal="center" vertical="center"/>
    </xf>
    <xf numFmtId="0" fontId="0" fillId="0" borderId="91" xfId="0" applyFill="1" applyBorder="1" applyAlignment="1">
      <alignment horizontal="center" vertical="center"/>
    </xf>
    <xf numFmtId="0" fontId="0" fillId="0" borderId="91" xfId="0" applyFill="1" applyBorder="1" applyAlignment="1">
      <alignment horizontal="center" vertical="center" wrapText="1"/>
    </xf>
    <xf numFmtId="0" fontId="0" fillId="10" borderId="91" xfId="0" applyFill="1" applyBorder="1" applyAlignment="1">
      <alignment horizontal="center" vertical="center" wrapText="1"/>
    </xf>
    <xf numFmtId="0" fontId="0" fillId="0" borderId="153" xfId="0" applyFill="1" applyBorder="1" applyAlignment="1">
      <alignment horizontal="center" vertical="center" wrapText="1"/>
    </xf>
    <xf numFmtId="0" fontId="0" fillId="0" borderId="94" xfId="0" applyFill="1" applyBorder="1" applyAlignment="1">
      <alignment horizontal="center" vertical="center" wrapText="1"/>
    </xf>
    <xf numFmtId="0" fontId="3" fillId="65" borderId="142" xfId="0" applyFont="1" applyFill="1" applyBorder="1" applyAlignment="1">
      <alignment horizontal="center" vertical="center" wrapText="1"/>
    </xf>
    <xf numFmtId="0" fontId="3" fillId="65" borderId="139" xfId="0" applyFont="1" applyFill="1" applyBorder="1" applyAlignment="1">
      <alignment horizontal="center" vertical="center" wrapText="1"/>
    </xf>
    <xf numFmtId="0" fontId="3" fillId="65" borderId="136" xfId="0" applyFont="1" applyFill="1" applyBorder="1" applyAlignment="1">
      <alignment horizontal="center" vertical="center" wrapText="1"/>
    </xf>
    <xf numFmtId="0" fontId="0" fillId="0" borderId="141" xfId="0" applyFill="1" applyBorder="1" applyAlignment="1">
      <alignment horizontal="center" vertical="center"/>
    </xf>
    <xf numFmtId="0" fontId="0" fillId="0" borderId="138" xfId="0" applyFill="1" applyBorder="1" applyAlignment="1">
      <alignment horizontal="center" vertical="center"/>
    </xf>
    <xf numFmtId="0" fontId="0" fillId="0" borderId="135" xfId="0" applyFill="1" applyBorder="1" applyAlignment="1">
      <alignment horizontal="center" vertical="center"/>
    </xf>
    <xf numFmtId="0" fontId="0" fillId="17" borderId="141" xfId="0" applyFill="1" applyBorder="1" applyAlignment="1">
      <alignment horizontal="center" vertical="center"/>
    </xf>
    <xf numFmtId="0" fontId="0" fillId="17" borderId="138" xfId="0" applyFill="1" applyBorder="1" applyAlignment="1">
      <alignment horizontal="center" vertical="center"/>
    </xf>
    <xf numFmtId="0" fontId="2" fillId="17" borderId="141" xfId="0" applyFont="1" applyFill="1" applyBorder="1" applyAlignment="1">
      <alignment horizontal="center" vertical="center" wrapText="1"/>
    </xf>
    <xf numFmtId="0" fontId="2" fillId="17" borderId="138" xfId="0" applyFont="1" applyFill="1" applyBorder="1" applyAlignment="1">
      <alignment horizontal="center" vertical="center" wrapText="1"/>
    </xf>
    <xf numFmtId="0" fontId="3" fillId="67" borderId="151" xfId="0" applyFont="1" applyFill="1" applyBorder="1" applyAlignment="1">
      <alignment horizontal="center" vertical="center" wrapText="1"/>
    </xf>
    <xf numFmtId="0" fontId="3" fillId="67" borderId="148" xfId="0" applyFont="1" applyFill="1" applyBorder="1" applyAlignment="1">
      <alignment horizontal="center" vertical="center" wrapText="1"/>
    </xf>
    <xf numFmtId="0" fontId="3" fillId="67" borderId="145" xfId="0" applyFont="1" applyFill="1" applyBorder="1" applyAlignment="1">
      <alignment horizontal="center" vertical="center" wrapText="1"/>
    </xf>
    <xf numFmtId="0" fontId="0" fillId="0" borderId="150" xfId="0" applyFill="1" applyBorder="1" applyAlignment="1">
      <alignment horizontal="center" vertical="center"/>
    </xf>
    <xf numFmtId="0" fontId="0" fillId="0" borderId="147" xfId="0" applyFill="1" applyBorder="1" applyAlignment="1">
      <alignment horizontal="center" vertical="center"/>
    </xf>
    <xf numFmtId="0" fontId="0" fillId="66" borderId="150" xfId="0" applyFill="1" applyBorder="1" applyAlignment="1">
      <alignment horizontal="center" vertical="center"/>
    </xf>
    <xf numFmtId="0" fontId="0" fillId="66" borderId="147" xfId="0" applyFill="1" applyBorder="1" applyAlignment="1">
      <alignment horizontal="center" vertical="center"/>
    </xf>
    <xf numFmtId="0" fontId="0" fillId="0" borderId="124" xfId="0" applyFill="1" applyBorder="1" applyAlignment="1">
      <alignment horizontal="center" vertical="center"/>
    </xf>
    <xf numFmtId="0" fontId="0" fillId="66" borderId="147" xfId="0" applyFill="1" applyBorder="1" applyAlignment="1">
      <alignment horizontal="center" vertical="center" wrapText="1"/>
    </xf>
    <xf numFmtId="0" fontId="0" fillId="66" borderId="144" xfId="0" applyFill="1" applyBorder="1" applyAlignment="1">
      <alignment horizontal="center" vertical="center"/>
    </xf>
    <xf numFmtId="0" fontId="0" fillId="0" borderId="147" xfId="0" applyFill="1" applyBorder="1" applyAlignment="1">
      <alignment horizontal="center" vertical="center" wrapText="1"/>
    </xf>
    <xf numFmtId="0" fontId="2" fillId="0" borderId="138" xfId="0" applyFont="1" applyFill="1" applyBorder="1" applyAlignment="1">
      <alignment horizontal="center" vertical="center" wrapText="1"/>
    </xf>
    <xf numFmtId="0" fontId="0" fillId="17" borderId="138" xfId="0" applyFill="1" applyBorder="1" applyAlignment="1">
      <alignment horizontal="center" vertical="center" wrapText="1"/>
    </xf>
    <xf numFmtId="0" fontId="0" fillId="17" borderId="135" xfId="0" applyFill="1" applyBorder="1" applyAlignment="1">
      <alignment horizontal="center" vertical="center" wrapText="1"/>
    </xf>
    <xf numFmtId="0" fontId="2" fillId="17" borderId="135" xfId="0" applyFont="1" applyFill="1" applyBorder="1" applyAlignment="1">
      <alignment horizontal="center" vertical="center" wrapText="1"/>
    </xf>
    <xf numFmtId="0" fontId="0" fillId="17" borderId="135" xfId="0" applyFill="1" applyBorder="1" applyAlignment="1">
      <alignment horizontal="center" vertical="center"/>
    </xf>
    <xf numFmtId="0" fontId="2" fillId="0" borderId="124" xfId="0" applyFont="1" applyFill="1" applyBorder="1" applyAlignment="1">
      <alignment horizontal="center" vertical="center" wrapText="1"/>
    </xf>
    <xf numFmtId="0" fontId="3" fillId="64" borderId="132" xfId="0" applyFont="1" applyFill="1" applyBorder="1" applyAlignment="1">
      <alignment horizontal="center" vertical="center" wrapText="1"/>
    </xf>
    <xf numFmtId="0" fontId="3" fillId="64" borderId="128" xfId="0" applyFont="1" applyFill="1" applyBorder="1" applyAlignment="1">
      <alignment horizontal="center" vertical="center" wrapText="1"/>
    </xf>
    <xf numFmtId="0" fontId="3" fillId="64" borderId="126" xfId="0" applyFont="1" applyFill="1" applyBorder="1" applyAlignment="1">
      <alignment horizontal="center" vertical="center" wrapText="1"/>
    </xf>
    <xf numFmtId="0" fontId="3" fillId="64" borderId="122" xfId="0" applyFont="1" applyFill="1" applyBorder="1" applyAlignment="1">
      <alignment horizontal="center" vertical="center" wrapText="1"/>
    </xf>
    <xf numFmtId="0" fontId="0" fillId="0" borderId="131" xfId="0" applyFill="1" applyBorder="1" applyAlignment="1">
      <alignment horizontal="center" vertical="center"/>
    </xf>
    <xf numFmtId="0" fontId="0" fillId="0" borderId="127" xfId="0" applyFill="1" applyBorder="1" applyAlignment="1">
      <alignment horizontal="center" vertical="center"/>
    </xf>
    <xf numFmtId="0" fontId="0" fillId="0" borderId="125" xfId="0" applyFill="1" applyBorder="1" applyAlignment="1">
      <alignment horizontal="center" vertical="center"/>
    </xf>
    <xf numFmtId="0" fontId="0" fillId="63" borderId="130" xfId="0" applyFill="1" applyBorder="1" applyAlignment="1">
      <alignment horizontal="center" vertical="center"/>
    </xf>
    <xf numFmtId="0" fontId="0" fillId="63" borderId="124" xfId="0" applyFill="1" applyBorder="1" applyAlignment="1">
      <alignment horizontal="center" vertical="center"/>
    </xf>
    <xf numFmtId="0" fontId="3" fillId="60" borderId="110" xfId="0" applyFont="1" applyFill="1" applyBorder="1" applyAlignment="1">
      <alignment horizontal="center" vertical="center"/>
    </xf>
    <xf numFmtId="0" fontId="3" fillId="60" borderId="107" xfId="0" applyFont="1" applyFill="1" applyBorder="1" applyAlignment="1">
      <alignment horizontal="center" vertical="center"/>
    </xf>
    <xf numFmtId="0" fontId="3" fillId="60" borderId="104" xfId="0" applyFont="1" applyFill="1" applyBorder="1" applyAlignment="1">
      <alignment horizontal="center" vertical="center"/>
    </xf>
    <xf numFmtId="0" fontId="0" fillId="0" borderId="109" xfId="0" applyFill="1" applyBorder="1" applyAlignment="1">
      <alignment horizontal="center" vertical="center"/>
    </xf>
    <xf numFmtId="0" fontId="0" fillId="0" borderId="106" xfId="0" applyFill="1" applyBorder="1" applyAlignment="1">
      <alignment horizontal="center" vertical="center"/>
    </xf>
    <xf numFmtId="0" fontId="0" fillId="0" borderId="103" xfId="0" applyFill="1" applyBorder="1" applyAlignment="1">
      <alignment horizontal="center" vertical="center"/>
    </xf>
    <xf numFmtId="0" fontId="0" fillId="2" borderId="106" xfId="0" applyFill="1" applyBorder="1" applyAlignment="1">
      <alignment horizontal="center" vertical="center" wrapText="1"/>
    </xf>
    <xf numFmtId="0" fontId="31" fillId="62" borderId="119" xfId="0" applyFont="1" applyFill="1" applyBorder="1" applyAlignment="1">
      <alignment horizontal="center" vertical="center" wrapText="1"/>
    </xf>
    <xf numFmtId="0" fontId="31" fillId="62" borderId="116" xfId="0" applyFont="1" applyFill="1" applyBorder="1" applyAlignment="1">
      <alignment horizontal="center" vertical="center" wrapText="1"/>
    </xf>
    <xf numFmtId="0" fontId="31" fillId="62" borderId="113" xfId="0" applyFont="1" applyFill="1" applyBorder="1" applyAlignment="1">
      <alignment horizontal="center" vertical="center" wrapText="1"/>
    </xf>
    <xf numFmtId="0" fontId="0" fillId="0" borderId="118" xfId="0" applyFill="1" applyBorder="1" applyAlignment="1">
      <alignment horizontal="center" vertical="center"/>
    </xf>
    <xf numFmtId="0" fontId="0" fillId="0" borderId="115" xfId="0" applyFill="1" applyBorder="1" applyAlignment="1">
      <alignment horizontal="center" vertical="center"/>
    </xf>
    <xf numFmtId="0" fontId="0" fillId="0" borderId="112" xfId="0" applyFill="1" applyBorder="1" applyAlignment="1">
      <alignment horizontal="center" vertical="center"/>
    </xf>
    <xf numFmtId="0" fontId="0" fillId="2" borderId="105" xfId="0" applyFill="1" applyBorder="1" applyAlignment="1">
      <alignment horizontal="center" vertical="center" wrapText="1"/>
    </xf>
    <xf numFmtId="0" fontId="0" fillId="0" borderId="106" xfId="0" applyFill="1" applyBorder="1" applyAlignment="1">
      <alignment horizontal="center" vertical="center" wrapText="1"/>
    </xf>
    <xf numFmtId="0" fontId="0" fillId="0" borderId="103" xfId="0" applyFill="1" applyBorder="1" applyAlignment="1">
      <alignment horizontal="center" vertical="center" wrapText="1"/>
    </xf>
    <xf numFmtId="0" fontId="0" fillId="0" borderId="105" xfId="0" applyFill="1" applyBorder="1" applyAlignment="1">
      <alignment horizontal="center" vertical="center" wrapText="1"/>
    </xf>
    <xf numFmtId="0" fontId="0" fillId="0" borderId="102" xfId="0" applyFill="1" applyBorder="1" applyAlignment="1">
      <alignment horizontal="center" vertical="center" wrapText="1"/>
    </xf>
    <xf numFmtId="0" fontId="2" fillId="63" borderId="124" xfId="0" applyFont="1" applyFill="1" applyBorder="1" applyAlignment="1">
      <alignment horizontal="center" vertical="center" wrapText="1"/>
    </xf>
    <xf numFmtId="0" fontId="0" fillId="63" borderId="121" xfId="0" applyFill="1" applyBorder="1" applyAlignment="1">
      <alignment horizontal="center" vertical="center"/>
    </xf>
    <xf numFmtId="0" fontId="4" fillId="11" borderId="0" xfId="0" applyFont="1" applyFill="1" applyBorder="1" applyAlignment="1" applyProtection="1">
      <alignment horizontal="center" vertical="center" wrapText="1"/>
    </xf>
    <xf numFmtId="0" fontId="37" fillId="0" borderId="13" xfId="0" applyFont="1" applyBorder="1" applyAlignment="1" applyProtection="1">
      <alignment horizontal="center" vertical="center" wrapText="1"/>
    </xf>
    <xf numFmtId="0" fontId="37" fillId="0" borderId="11" xfId="0" applyFont="1" applyBorder="1" applyAlignment="1" applyProtection="1">
      <alignment horizontal="center" vertical="center" wrapText="1"/>
    </xf>
    <xf numFmtId="0" fontId="37" fillId="0" borderId="15" xfId="0" applyFont="1" applyBorder="1" applyAlignment="1" applyProtection="1">
      <alignment horizontal="center" vertical="center" wrapText="1"/>
    </xf>
    <xf numFmtId="0" fontId="37" fillId="0" borderId="14" xfId="0" applyFont="1" applyBorder="1" applyAlignment="1" applyProtection="1">
      <alignment horizontal="center" vertical="center" wrapText="1"/>
    </xf>
    <xf numFmtId="0" fontId="37" fillId="0" borderId="10" xfId="0" applyFont="1" applyBorder="1" applyAlignment="1" applyProtection="1">
      <alignment horizontal="center" vertical="center" wrapText="1"/>
    </xf>
    <xf numFmtId="0" fontId="46" fillId="0" borderId="0" xfId="0" applyNumberFormat="1" applyFont="1" applyBorder="1" applyAlignment="1" applyProtection="1">
      <alignment horizontal="center"/>
    </xf>
    <xf numFmtId="0" fontId="0" fillId="0" borderId="50" xfId="0" applyFill="1" applyBorder="1" applyAlignment="1" applyProtection="1">
      <alignment horizontal="left" vertical="center"/>
      <protection locked="0"/>
    </xf>
    <xf numFmtId="0" fontId="9" fillId="0" borderId="50" xfId="1" applyFill="1" applyBorder="1" applyAlignment="1" applyProtection="1">
      <alignment horizontal="left" vertical="center"/>
      <protection locked="0"/>
    </xf>
    <xf numFmtId="0" fontId="4" fillId="11" borderId="16" xfId="0" applyFont="1" applyFill="1" applyBorder="1" applyAlignment="1" applyProtection="1">
      <alignment horizontal="left" vertical="center"/>
    </xf>
    <xf numFmtId="0" fontId="4" fillId="11" borderId="17" xfId="0" applyFont="1" applyFill="1" applyBorder="1" applyAlignment="1" applyProtection="1">
      <alignment horizontal="left" vertical="center"/>
    </xf>
    <xf numFmtId="0" fontId="4" fillId="11" borderId="18" xfId="0" applyFont="1" applyFill="1" applyBorder="1" applyAlignment="1" applyProtection="1">
      <alignment horizontal="left" vertical="center"/>
    </xf>
    <xf numFmtId="0" fontId="22" fillId="9" borderId="50" xfId="0" applyFont="1" applyFill="1" applyBorder="1" applyAlignment="1" applyProtection="1">
      <alignment horizontal="center" vertical="center"/>
    </xf>
    <xf numFmtId="0" fontId="21" fillId="0" borderId="0" xfId="0" applyFont="1" applyAlignment="1" applyProtection="1">
      <alignment horizontal="center" vertical="center" wrapText="1"/>
    </xf>
    <xf numFmtId="0" fontId="21" fillId="0" borderId="0" xfId="0" applyFont="1" applyAlignment="1" applyProtection="1">
      <alignment horizontal="center" vertical="center"/>
    </xf>
    <xf numFmtId="4" fontId="22" fillId="9" borderId="19" xfId="0" applyNumberFormat="1" applyFont="1" applyFill="1" applyBorder="1" applyAlignment="1" applyProtection="1">
      <alignment horizontal="center" vertical="center" wrapText="1"/>
    </xf>
    <xf numFmtId="4" fontId="22" fillId="9" borderId="50" xfId="0" applyNumberFormat="1" applyFont="1" applyFill="1" applyBorder="1" applyAlignment="1" applyProtection="1">
      <alignment horizontal="center" vertical="center" wrapText="1"/>
    </xf>
    <xf numFmtId="0" fontId="33" fillId="9" borderId="1" xfId="0" applyNumberFormat="1" applyFont="1" applyFill="1" applyBorder="1" applyAlignment="1" applyProtection="1">
      <alignment horizontal="center" vertical="center" wrapText="1"/>
    </xf>
    <xf numFmtId="0" fontId="33" fillId="9" borderId="19" xfId="0" applyNumberFormat="1" applyFont="1" applyFill="1" applyBorder="1" applyAlignment="1" applyProtection="1">
      <alignment horizontal="center" vertical="center" wrapText="1"/>
    </xf>
    <xf numFmtId="0" fontId="31" fillId="11" borderId="50" xfId="0" applyFont="1" applyFill="1" applyBorder="1" applyAlignment="1" applyProtection="1">
      <alignment horizontal="center" vertical="center"/>
    </xf>
    <xf numFmtId="0" fontId="0" fillId="3" borderId="50" xfId="0" applyFont="1" applyFill="1" applyBorder="1" applyAlignment="1" applyProtection="1">
      <alignment horizontal="left" vertical="center"/>
      <protection locked="0"/>
    </xf>
    <xf numFmtId="14" fontId="0" fillId="3" borderId="50" xfId="0" applyNumberFormat="1" applyFont="1" applyFill="1" applyBorder="1" applyAlignment="1" applyProtection="1">
      <alignment horizontal="left" vertical="center"/>
      <protection locked="0"/>
    </xf>
    <xf numFmtId="0" fontId="0" fillId="3" borderId="50" xfId="0" applyNumberFormat="1" applyFont="1" applyFill="1" applyBorder="1" applyAlignment="1" applyProtection="1">
      <alignment horizontal="left" vertical="center"/>
      <protection locked="0"/>
    </xf>
    <xf numFmtId="0" fontId="7" fillId="8" borderId="37" xfId="0" applyFont="1" applyFill="1" applyBorder="1" applyAlignment="1" applyProtection="1">
      <alignment horizontal="left" vertical="center"/>
    </xf>
    <xf numFmtId="0" fontId="7" fillId="8" borderId="53" xfId="0" applyFont="1" applyFill="1" applyBorder="1" applyAlignment="1" applyProtection="1">
      <alignment horizontal="left" vertical="center"/>
    </xf>
    <xf numFmtId="0" fontId="7" fillId="8" borderId="24" xfId="0" applyFont="1" applyFill="1" applyBorder="1" applyAlignment="1" applyProtection="1">
      <alignment horizontal="left" vertical="center"/>
    </xf>
    <xf numFmtId="0" fontId="22" fillId="9" borderId="21" xfId="0" applyFont="1" applyFill="1" applyBorder="1" applyAlignment="1" applyProtection="1">
      <alignment horizontal="center" vertical="center" wrapText="1"/>
    </xf>
    <xf numFmtId="0" fontId="22" fillId="9" borderId="21" xfId="0" applyFont="1" applyFill="1" applyBorder="1" applyAlignment="1" applyProtection="1">
      <alignment horizontal="center" vertical="center"/>
    </xf>
    <xf numFmtId="0" fontId="22" fillId="9" borderId="50" xfId="0" applyFont="1" applyFill="1" applyBorder="1" applyAlignment="1" applyProtection="1">
      <alignment horizontal="center" vertical="center" wrapText="1"/>
    </xf>
    <xf numFmtId="0" fontId="4" fillId="11" borderId="15" xfId="0" applyFont="1" applyFill="1" applyBorder="1" applyAlignment="1" applyProtection="1">
      <alignment horizontal="left" vertical="center"/>
    </xf>
    <xf numFmtId="0" fontId="4" fillId="11" borderId="14" xfId="0" applyFont="1" applyFill="1" applyBorder="1" applyAlignment="1" applyProtection="1">
      <alignment horizontal="left" vertical="center"/>
    </xf>
    <xf numFmtId="0" fontId="4" fillId="11" borderId="36" xfId="0" applyFont="1" applyFill="1" applyBorder="1" applyAlignment="1" applyProtection="1">
      <alignment horizontal="left" vertical="center"/>
    </xf>
    <xf numFmtId="0" fontId="0" fillId="10" borderId="21" xfId="0" applyFill="1" applyBorder="1" applyAlignment="1" applyProtection="1">
      <alignment horizontal="left" vertical="center" wrapText="1"/>
    </xf>
    <xf numFmtId="0" fontId="0" fillId="10" borderId="26" xfId="0" applyFill="1" applyBorder="1" applyAlignment="1" applyProtection="1">
      <alignment horizontal="center" vertical="center" wrapText="1"/>
    </xf>
    <xf numFmtId="0" fontId="0" fillId="10" borderId="27" xfId="0" applyFill="1" applyBorder="1" applyAlignment="1" applyProtection="1">
      <alignment horizontal="center" vertical="center" wrapText="1"/>
    </xf>
    <xf numFmtId="2" fontId="3" fillId="8" borderId="37" xfId="0" applyNumberFormat="1" applyFont="1" applyFill="1" applyBorder="1" applyAlignment="1" applyProtection="1">
      <alignment horizontal="left" vertical="center"/>
    </xf>
    <xf numFmtId="2" fontId="3" fillId="8" borderId="5" xfId="0" applyNumberFormat="1" applyFont="1" applyFill="1" applyBorder="1" applyAlignment="1" applyProtection="1">
      <alignment horizontal="left" vertical="center"/>
    </xf>
    <xf numFmtId="2" fontId="3" fillId="8" borderId="6" xfId="0" applyNumberFormat="1" applyFont="1" applyFill="1" applyBorder="1" applyAlignment="1" applyProtection="1">
      <alignment horizontal="left" vertical="center"/>
    </xf>
    <xf numFmtId="0" fontId="3" fillId="9" borderId="21" xfId="0" applyNumberFormat="1" applyFont="1" applyFill="1" applyBorder="1" applyAlignment="1" applyProtection="1">
      <alignment horizontal="center" vertical="center" wrapText="1"/>
    </xf>
    <xf numFmtId="0" fontId="3" fillId="9" borderId="1" xfId="0" applyNumberFormat="1" applyFont="1" applyFill="1" applyBorder="1" applyAlignment="1" applyProtection="1">
      <alignment horizontal="center" vertical="center" wrapText="1"/>
    </xf>
    <xf numFmtId="0" fontId="0" fillId="0" borderId="0" xfId="0" applyAlignment="1">
      <alignment horizontal="center" vertical="center" wrapText="1"/>
    </xf>
    <xf numFmtId="0" fontId="3" fillId="0" borderId="0" xfId="0" applyFont="1" applyAlignment="1">
      <alignment horizontal="center" vertical="center"/>
    </xf>
    <xf numFmtId="0" fontId="0" fillId="0" borderId="0" xfId="0" applyAlignment="1">
      <alignment horizontal="center" vertical="center"/>
    </xf>
    <xf numFmtId="0" fontId="4" fillId="39" borderId="0" xfId="0" applyFont="1" applyFill="1" applyBorder="1" applyAlignment="1" applyProtection="1">
      <alignment horizontal="center" vertical="center" wrapText="1"/>
    </xf>
    <xf numFmtId="0" fontId="4" fillId="39" borderId="56" xfId="0" applyFont="1" applyFill="1" applyBorder="1" applyAlignment="1" applyProtection="1">
      <alignment horizontal="left" vertical="center" wrapText="1"/>
    </xf>
    <xf numFmtId="0" fontId="0" fillId="0" borderId="55" xfId="0" applyFill="1" applyBorder="1" applyAlignment="1" applyProtection="1">
      <alignment horizontal="left" vertical="center"/>
    </xf>
    <xf numFmtId="0" fontId="0" fillId="0" borderId="53" xfId="0" applyFill="1" applyBorder="1" applyAlignment="1" applyProtection="1">
      <alignment horizontal="left" vertical="center"/>
    </xf>
    <xf numFmtId="0" fontId="0" fillId="0" borderId="54" xfId="0" applyFill="1" applyBorder="1" applyAlignment="1" applyProtection="1">
      <alignment horizontal="left" vertical="center"/>
    </xf>
    <xf numFmtId="0" fontId="0" fillId="3" borderId="50" xfId="0" applyFont="1" applyFill="1" applyBorder="1" applyAlignment="1" applyProtection="1">
      <alignment horizontal="left" vertical="center"/>
    </xf>
    <xf numFmtId="14" fontId="0" fillId="3" borderId="50" xfId="0" applyNumberFormat="1" applyFont="1" applyFill="1" applyBorder="1" applyAlignment="1" applyProtection="1">
      <alignment horizontal="left" vertical="center"/>
    </xf>
    <xf numFmtId="0" fontId="6" fillId="39" borderId="0" xfId="0" applyFont="1" applyFill="1" applyBorder="1" applyAlignment="1" applyProtection="1">
      <alignment horizontal="center" vertical="center" wrapText="1"/>
    </xf>
    <xf numFmtId="0" fontId="4" fillId="39" borderId="0" xfId="0" applyFont="1" applyFill="1" applyBorder="1" applyAlignment="1" applyProtection="1">
      <alignment horizontal="left" vertical="center" wrapText="1"/>
    </xf>
    <xf numFmtId="0" fontId="6" fillId="34" borderId="0" xfId="0" applyFont="1" applyFill="1" applyBorder="1" applyAlignment="1" applyProtection="1">
      <alignment horizontal="left" vertical="center" wrapText="1"/>
    </xf>
    <xf numFmtId="0" fontId="4" fillId="39" borderId="15" xfId="0" applyFont="1" applyFill="1" applyBorder="1" applyAlignment="1" applyProtection="1">
      <alignment horizontal="left" vertical="center"/>
    </xf>
    <xf numFmtId="0" fontId="4" fillId="39" borderId="14" xfId="0" applyFont="1" applyFill="1" applyBorder="1" applyAlignment="1" applyProtection="1">
      <alignment horizontal="left" vertical="center"/>
    </xf>
    <xf numFmtId="0" fontId="4" fillId="39" borderId="36" xfId="0" applyFont="1" applyFill="1" applyBorder="1" applyAlignment="1" applyProtection="1">
      <alignment horizontal="left" vertical="center"/>
    </xf>
    <xf numFmtId="0" fontId="33" fillId="31" borderId="1" xfId="0" applyNumberFormat="1" applyFont="1" applyFill="1" applyBorder="1" applyAlignment="1" applyProtection="1">
      <alignment horizontal="center" vertical="center" wrapText="1"/>
    </xf>
    <xf numFmtId="0" fontId="33" fillId="31" borderId="19" xfId="0" applyNumberFormat="1" applyFont="1" applyFill="1" applyBorder="1" applyAlignment="1" applyProtection="1">
      <alignment horizontal="center" vertical="center" wrapText="1"/>
    </xf>
    <xf numFmtId="0" fontId="33" fillId="35" borderId="55" xfId="0" applyNumberFormat="1" applyFont="1" applyFill="1" applyBorder="1" applyAlignment="1" applyProtection="1">
      <alignment horizontal="center" vertical="center" wrapText="1"/>
    </xf>
    <xf numFmtId="0" fontId="33" fillId="35" borderId="54" xfId="0" applyNumberFormat="1" applyFont="1" applyFill="1" applyBorder="1" applyAlignment="1" applyProtection="1">
      <alignment horizontal="center" vertical="center" wrapText="1"/>
    </xf>
    <xf numFmtId="0" fontId="33" fillId="35" borderId="53" xfId="0" applyNumberFormat="1" applyFont="1" applyFill="1" applyBorder="1" applyAlignment="1" applyProtection="1">
      <alignment horizontal="center" vertical="center" wrapText="1"/>
    </xf>
    <xf numFmtId="0" fontId="33" fillId="35" borderId="45" xfId="0" applyNumberFormat="1" applyFont="1" applyFill="1" applyBorder="1" applyAlignment="1" applyProtection="1">
      <alignment horizontal="center" vertical="center" wrapText="1"/>
    </xf>
    <xf numFmtId="0" fontId="33" fillId="35" borderId="8" xfId="0" applyNumberFormat="1" applyFont="1" applyFill="1" applyBorder="1" applyAlignment="1" applyProtection="1">
      <alignment horizontal="center" vertical="center" wrapText="1"/>
    </xf>
    <xf numFmtId="0" fontId="0" fillId="2" borderId="21" xfId="0" applyFill="1" applyBorder="1" applyAlignment="1" applyProtection="1">
      <alignment horizontal="left" vertical="center" wrapText="1"/>
    </xf>
    <xf numFmtId="0" fontId="0" fillId="2" borderId="26" xfId="0" applyFill="1" applyBorder="1" applyAlignment="1" applyProtection="1">
      <alignment horizontal="center" vertical="center" wrapText="1"/>
    </xf>
    <xf numFmtId="0" fontId="0" fillId="2" borderId="27" xfId="0" applyFill="1" applyBorder="1" applyAlignment="1" applyProtection="1">
      <alignment horizontal="center" vertical="center" wrapText="1"/>
    </xf>
    <xf numFmtId="2" fontId="3" fillId="31" borderId="37" xfId="0" applyNumberFormat="1" applyFont="1" applyFill="1" applyBorder="1" applyAlignment="1" applyProtection="1">
      <alignment horizontal="left" vertical="center"/>
    </xf>
    <xf numFmtId="2" fontId="3" fillId="31" borderId="5" xfId="0" applyNumberFormat="1" applyFont="1" applyFill="1" applyBorder="1" applyAlignment="1" applyProtection="1">
      <alignment horizontal="left" vertical="center"/>
    </xf>
    <xf numFmtId="2" fontId="3" fillId="31" borderId="6" xfId="0" applyNumberFormat="1" applyFont="1" applyFill="1" applyBorder="1" applyAlignment="1" applyProtection="1">
      <alignment horizontal="left" vertical="center"/>
    </xf>
    <xf numFmtId="0" fontId="3" fillId="31" borderId="21" xfId="0" applyNumberFormat="1" applyFont="1" applyFill="1" applyBorder="1" applyAlignment="1" applyProtection="1">
      <alignment horizontal="center" vertical="center" wrapText="1"/>
    </xf>
    <xf numFmtId="0" fontId="3" fillId="31" borderId="1" xfId="0" applyNumberFormat="1" applyFont="1" applyFill="1" applyBorder="1" applyAlignment="1" applyProtection="1">
      <alignment horizontal="center" vertical="center" wrapText="1"/>
    </xf>
    <xf numFmtId="0" fontId="22" fillId="43" borderId="50" xfId="0" applyFont="1" applyFill="1" applyBorder="1" applyAlignment="1" applyProtection="1">
      <alignment horizontal="center" vertical="center"/>
    </xf>
    <xf numFmtId="0" fontId="0" fillId="0" borderId="50" xfId="0" applyFill="1" applyBorder="1" applyAlignment="1" applyProtection="1">
      <alignment horizontal="left" vertical="center"/>
    </xf>
    <xf numFmtId="0" fontId="4" fillId="42" borderId="16" xfId="0" applyFont="1" applyFill="1" applyBorder="1" applyAlignment="1" applyProtection="1">
      <alignment horizontal="left" vertical="center"/>
    </xf>
    <xf numFmtId="0" fontId="4" fillId="42" borderId="17" xfId="0" applyFont="1" applyFill="1" applyBorder="1" applyAlignment="1" applyProtection="1">
      <alignment horizontal="left" vertical="center"/>
    </xf>
    <xf numFmtId="0" fontId="4" fillId="42" borderId="18" xfId="0" applyFont="1" applyFill="1" applyBorder="1" applyAlignment="1" applyProtection="1">
      <alignment horizontal="left" vertical="center"/>
    </xf>
    <xf numFmtId="0" fontId="7" fillId="6" borderId="37" xfId="0" applyFont="1" applyFill="1" applyBorder="1" applyAlignment="1" applyProtection="1">
      <alignment horizontal="left" vertical="center"/>
    </xf>
    <xf numFmtId="0" fontId="7" fillId="6" borderId="53" xfId="0" applyFont="1" applyFill="1" applyBorder="1" applyAlignment="1" applyProtection="1">
      <alignment horizontal="left" vertical="center"/>
    </xf>
    <xf numFmtId="0" fontId="7" fillId="6" borderId="24" xfId="0" applyFont="1" applyFill="1" applyBorder="1" applyAlignment="1" applyProtection="1">
      <alignment horizontal="left" vertical="center"/>
    </xf>
    <xf numFmtId="0" fontId="22" fillId="43" borderId="21" xfId="0" applyFont="1" applyFill="1" applyBorder="1" applyAlignment="1" applyProtection="1">
      <alignment horizontal="center" vertical="center" wrapText="1"/>
    </xf>
    <xf numFmtId="0" fontId="22" fillId="43" borderId="21" xfId="0" applyFont="1" applyFill="1" applyBorder="1" applyAlignment="1" applyProtection="1">
      <alignment horizontal="center" vertical="center"/>
    </xf>
    <xf numFmtId="0" fontId="22" fillId="43" borderId="50" xfId="0" applyFont="1" applyFill="1" applyBorder="1" applyAlignment="1" applyProtection="1">
      <alignment horizontal="center" vertical="center" wrapText="1"/>
    </xf>
    <xf numFmtId="4" fontId="22" fillId="43" borderId="50" xfId="0" applyNumberFormat="1" applyFont="1" applyFill="1" applyBorder="1" applyAlignment="1" applyProtection="1">
      <alignment horizontal="center" vertical="center" wrapText="1"/>
    </xf>
    <xf numFmtId="4" fontId="22" fillId="43" borderId="19" xfId="0" applyNumberFormat="1" applyFont="1" applyFill="1" applyBorder="1" applyAlignment="1" applyProtection="1">
      <alignment horizontal="center" vertical="center" wrapText="1"/>
    </xf>
    <xf numFmtId="0" fontId="4" fillId="42" borderId="0" xfId="0" applyFont="1" applyFill="1" applyBorder="1" applyAlignment="1" applyProtection="1">
      <alignment horizontal="center" vertical="center" wrapText="1"/>
    </xf>
    <xf numFmtId="0" fontId="31" fillId="42" borderId="50" xfId="0" applyFont="1" applyFill="1" applyBorder="1" applyAlignment="1" applyProtection="1">
      <alignment horizontal="center" vertical="center"/>
    </xf>
    <xf numFmtId="0" fontId="18" fillId="44" borderId="51" xfId="0" applyFont="1" applyFill="1" applyBorder="1" applyAlignment="1" applyProtection="1">
      <alignment horizontal="left" vertical="center"/>
    </xf>
    <xf numFmtId="0" fontId="18" fillId="44" borderId="27" xfId="0" applyFont="1" applyFill="1" applyBorder="1" applyAlignment="1" applyProtection="1">
      <alignment horizontal="left" vertical="center"/>
    </xf>
    <xf numFmtId="0" fontId="33" fillId="43" borderId="50" xfId="0" applyNumberFormat="1" applyFont="1" applyFill="1" applyBorder="1" applyAlignment="1" applyProtection="1">
      <alignment horizontal="center" vertical="center" wrapText="1"/>
    </xf>
    <xf numFmtId="0" fontId="33" fillId="43" borderId="19" xfId="0" applyNumberFormat="1" applyFont="1" applyFill="1" applyBorder="1" applyAlignment="1" applyProtection="1">
      <alignment horizontal="center" vertical="center" wrapText="1"/>
    </xf>
    <xf numFmtId="0" fontId="4" fillId="42" borderId="15" xfId="0" applyFont="1" applyFill="1" applyBorder="1" applyAlignment="1" applyProtection="1">
      <alignment horizontal="left" vertical="center"/>
    </xf>
    <xf numFmtId="0" fontId="4" fillId="42" borderId="14" xfId="0" applyFont="1" applyFill="1" applyBorder="1" applyAlignment="1" applyProtection="1">
      <alignment horizontal="left" vertical="center"/>
    </xf>
    <xf numFmtId="0" fontId="4" fillId="42" borderId="36" xfId="0" applyFont="1" applyFill="1" applyBorder="1" applyAlignment="1" applyProtection="1">
      <alignment horizontal="left" vertical="center"/>
    </xf>
    <xf numFmtId="0" fontId="0" fillId="44" borderId="21" xfId="0" applyFill="1" applyBorder="1" applyAlignment="1" applyProtection="1">
      <alignment horizontal="left" vertical="center" wrapText="1"/>
    </xf>
    <xf numFmtId="0" fontId="3" fillId="43" borderId="21" xfId="0" applyNumberFormat="1" applyFont="1" applyFill="1" applyBorder="1" applyAlignment="1" applyProtection="1">
      <alignment horizontal="center" vertical="center" wrapText="1"/>
    </xf>
    <xf numFmtId="0" fontId="3" fillId="43" borderId="50" xfId="0" applyNumberFormat="1" applyFont="1" applyFill="1" applyBorder="1" applyAlignment="1" applyProtection="1">
      <alignment horizontal="center" vertical="center" wrapText="1"/>
    </xf>
    <xf numFmtId="0" fontId="33" fillId="48" borderId="50" xfId="0" applyNumberFormat="1" applyFont="1" applyFill="1" applyBorder="1" applyAlignment="1" applyProtection="1">
      <alignment horizontal="center" vertical="center" wrapText="1"/>
    </xf>
    <xf numFmtId="0" fontId="33" fillId="48" borderId="19" xfId="0" applyNumberFormat="1" applyFont="1" applyFill="1" applyBorder="1" applyAlignment="1" applyProtection="1">
      <alignment horizontal="center" vertical="center" wrapText="1"/>
    </xf>
    <xf numFmtId="0" fontId="31" fillId="46" borderId="50" xfId="0" applyFont="1" applyFill="1" applyBorder="1" applyAlignment="1" applyProtection="1">
      <alignment horizontal="center" vertical="center"/>
    </xf>
    <xf numFmtId="0" fontId="18" fillId="49" borderId="51" xfId="0" applyFont="1" applyFill="1" applyBorder="1" applyAlignment="1" applyProtection="1">
      <alignment horizontal="left" vertical="center"/>
    </xf>
    <xf numFmtId="0" fontId="18" fillId="49" borderId="27" xfId="0" applyFont="1" applyFill="1" applyBorder="1" applyAlignment="1" applyProtection="1">
      <alignment horizontal="left" vertical="center"/>
    </xf>
    <xf numFmtId="0" fontId="7" fillId="47" borderId="37" xfId="0" applyFont="1" applyFill="1" applyBorder="1" applyAlignment="1" applyProtection="1">
      <alignment horizontal="left" vertical="center"/>
    </xf>
    <xf numFmtId="0" fontId="7" fillId="47" borderId="53" xfId="0" applyFont="1" applyFill="1" applyBorder="1" applyAlignment="1" applyProtection="1">
      <alignment horizontal="left" vertical="center"/>
    </xf>
    <xf numFmtId="0" fontId="7" fillId="47" borderId="24" xfId="0" applyFont="1" applyFill="1" applyBorder="1" applyAlignment="1" applyProtection="1">
      <alignment horizontal="left" vertical="center"/>
    </xf>
    <xf numFmtId="0" fontId="22" fillId="48" borderId="51" xfId="0" applyFont="1" applyFill="1" applyBorder="1" applyAlignment="1" applyProtection="1">
      <alignment horizontal="center" vertical="center" wrapText="1"/>
    </xf>
    <xf numFmtId="0" fontId="22" fillId="48" borderId="27" xfId="0" applyFont="1" applyFill="1" applyBorder="1" applyAlignment="1" applyProtection="1">
      <alignment horizontal="center" vertical="center" wrapText="1"/>
    </xf>
    <xf numFmtId="0" fontId="22" fillId="48" borderId="50" xfId="0" applyFont="1" applyFill="1" applyBorder="1" applyAlignment="1" applyProtection="1">
      <alignment horizontal="center" vertical="center" wrapText="1"/>
    </xf>
    <xf numFmtId="0" fontId="22" fillId="48" borderId="50" xfId="0" applyFont="1" applyFill="1" applyBorder="1" applyAlignment="1" applyProtection="1">
      <alignment horizontal="center" vertical="center"/>
    </xf>
    <xf numFmtId="0" fontId="4" fillId="46" borderId="16" xfId="0" applyFont="1" applyFill="1" applyBorder="1" applyAlignment="1" applyProtection="1">
      <alignment horizontal="left" vertical="center"/>
    </xf>
    <xf numFmtId="0" fontId="4" fillId="46" borderId="17" xfId="0" applyFont="1" applyFill="1" applyBorder="1" applyAlignment="1" applyProtection="1">
      <alignment horizontal="left" vertical="center"/>
    </xf>
    <xf numFmtId="0" fontId="4" fillId="46" borderId="18" xfId="0" applyFont="1" applyFill="1" applyBorder="1" applyAlignment="1" applyProtection="1">
      <alignment horizontal="left" vertical="center"/>
    </xf>
    <xf numFmtId="0" fontId="4" fillId="46" borderId="0" xfId="0" applyFont="1" applyFill="1" applyBorder="1" applyAlignment="1" applyProtection="1">
      <alignment horizontal="center" vertical="center" wrapText="1"/>
    </xf>
    <xf numFmtId="0" fontId="22" fillId="48" borderId="21" xfId="0" applyFont="1" applyFill="1" applyBorder="1" applyAlignment="1" applyProtection="1">
      <alignment horizontal="center" vertical="center" wrapText="1"/>
    </xf>
    <xf numFmtId="0" fontId="22" fillId="48" borderId="21" xfId="0" applyFont="1" applyFill="1" applyBorder="1" applyAlignment="1" applyProtection="1">
      <alignment horizontal="center" vertical="center"/>
    </xf>
    <xf numFmtId="4" fontId="22" fillId="48" borderId="50" xfId="0" applyNumberFormat="1" applyFont="1" applyFill="1" applyBorder="1" applyAlignment="1" applyProtection="1">
      <alignment horizontal="center" vertical="center" wrapText="1"/>
    </xf>
    <xf numFmtId="4" fontId="22" fillId="48" borderId="19" xfId="0" applyNumberFormat="1" applyFont="1" applyFill="1" applyBorder="1" applyAlignment="1" applyProtection="1">
      <alignment horizontal="center" vertical="center" wrapText="1"/>
    </xf>
    <xf numFmtId="0" fontId="18" fillId="49" borderId="51" xfId="0" applyFont="1" applyFill="1" applyBorder="1" applyAlignment="1" applyProtection="1">
      <alignment horizontal="left" vertical="center" wrapText="1"/>
    </xf>
    <xf numFmtId="0" fontId="18" fillId="49" borderId="27" xfId="0" applyFont="1" applyFill="1" applyBorder="1" applyAlignment="1" applyProtection="1">
      <alignment horizontal="left" vertical="center" wrapText="1"/>
    </xf>
    <xf numFmtId="0" fontId="18" fillId="49" borderId="30" xfId="0" applyFont="1" applyFill="1" applyBorder="1" applyAlignment="1" applyProtection="1">
      <alignment horizontal="left" vertical="center" wrapText="1"/>
    </xf>
    <xf numFmtId="0" fontId="0" fillId="49" borderId="21" xfId="0" applyFill="1" applyBorder="1" applyAlignment="1" applyProtection="1">
      <alignment horizontal="left" vertical="center" wrapText="1"/>
    </xf>
    <xf numFmtId="0" fontId="0" fillId="49" borderId="51" xfId="0" applyFill="1" applyBorder="1" applyAlignment="1" applyProtection="1">
      <alignment horizontal="center" vertical="center" wrapText="1"/>
    </xf>
    <xf numFmtId="0" fontId="0" fillId="49" borderId="27" xfId="0" applyFill="1" applyBorder="1" applyAlignment="1" applyProtection="1">
      <alignment horizontal="center" vertical="center" wrapText="1"/>
    </xf>
    <xf numFmtId="2" fontId="31" fillId="47" borderId="37" xfId="0" applyNumberFormat="1" applyFont="1" applyFill="1" applyBorder="1" applyAlignment="1" applyProtection="1">
      <alignment horizontal="left" vertical="center"/>
    </xf>
    <xf numFmtId="2" fontId="31" fillId="47" borderId="53" xfId="0" applyNumberFormat="1" applyFont="1" applyFill="1" applyBorder="1" applyAlignment="1" applyProtection="1">
      <alignment horizontal="left" vertical="center"/>
    </xf>
    <xf numFmtId="2" fontId="31" fillId="47" borderId="54" xfId="0" applyNumberFormat="1" applyFont="1" applyFill="1" applyBorder="1" applyAlignment="1" applyProtection="1">
      <alignment horizontal="left" vertical="center"/>
    </xf>
    <xf numFmtId="0" fontId="3" fillId="48" borderId="21" xfId="0" applyNumberFormat="1" applyFont="1" applyFill="1" applyBorder="1" applyAlignment="1" applyProtection="1">
      <alignment horizontal="center" vertical="center" wrapText="1"/>
    </xf>
    <xf numFmtId="0" fontId="3" fillId="48" borderId="50" xfId="0" applyNumberFormat="1" applyFont="1" applyFill="1" applyBorder="1" applyAlignment="1" applyProtection="1">
      <alignment horizontal="center" vertical="center" wrapText="1"/>
    </xf>
    <xf numFmtId="0" fontId="4" fillId="46" borderId="15" xfId="0" applyFont="1" applyFill="1" applyBorder="1" applyAlignment="1" applyProtection="1">
      <alignment horizontal="left" vertical="center"/>
    </xf>
    <xf numFmtId="0" fontId="4" fillId="46" borderId="14" xfId="0" applyFont="1" applyFill="1" applyBorder="1" applyAlignment="1" applyProtection="1">
      <alignment horizontal="left" vertical="center"/>
    </xf>
    <xf numFmtId="0" fontId="4" fillId="46" borderId="36" xfId="0" applyFont="1" applyFill="1" applyBorder="1" applyAlignment="1" applyProtection="1">
      <alignment horizontal="left" vertical="center"/>
    </xf>
    <xf numFmtId="0" fontId="7" fillId="32" borderId="37" xfId="0" applyFont="1" applyFill="1" applyBorder="1" applyAlignment="1" applyProtection="1">
      <alignment horizontal="center" vertical="center"/>
    </xf>
    <xf numFmtId="0" fontId="7" fillId="32" borderId="54" xfId="0" applyFont="1" applyFill="1" applyBorder="1" applyAlignment="1" applyProtection="1">
      <alignment horizontal="center" vertical="center"/>
    </xf>
    <xf numFmtId="0" fontId="18" fillId="50" borderId="51" xfId="0" applyFont="1" applyFill="1" applyBorder="1" applyAlignment="1" applyProtection="1">
      <alignment horizontal="left" vertical="center" wrapText="1"/>
    </xf>
    <xf numFmtId="0" fontId="18" fillId="50" borderId="30" xfId="0" applyFont="1" applyFill="1" applyBorder="1" applyAlignment="1" applyProtection="1">
      <alignment horizontal="left" vertical="center" wrapText="1"/>
    </xf>
    <xf numFmtId="0" fontId="18" fillId="50" borderId="27" xfId="0" applyFont="1" applyFill="1" applyBorder="1" applyAlignment="1" applyProtection="1">
      <alignment horizontal="left" vertical="center" wrapText="1"/>
    </xf>
    <xf numFmtId="0" fontId="22" fillId="33" borderId="51" xfId="0" applyFont="1" applyFill="1" applyBorder="1" applyAlignment="1" applyProtection="1">
      <alignment horizontal="center" vertical="center" wrapText="1"/>
    </xf>
    <xf numFmtId="0" fontId="22" fillId="33" borderId="27" xfId="0" applyFont="1" applyFill="1" applyBorder="1" applyAlignment="1" applyProtection="1">
      <alignment horizontal="center" vertical="center" wrapText="1"/>
    </xf>
    <xf numFmtId="0" fontId="22" fillId="33" borderId="50" xfId="0" applyFont="1" applyFill="1" applyBorder="1" applyAlignment="1" applyProtection="1">
      <alignment horizontal="center" vertical="center" wrapText="1"/>
    </xf>
    <xf numFmtId="0" fontId="22" fillId="33" borderId="50" xfId="0" applyFont="1" applyFill="1" applyBorder="1" applyAlignment="1" applyProtection="1">
      <alignment horizontal="center" vertical="center"/>
    </xf>
    <xf numFmtId="4" fontId="22" fillId="33" borderId="50" xfId="0" applyNumberFormat="1" applyFont="1" applyFill="1" applyBorder="1" applyAlignment="1" applyProtection="1">
      <alignment horizontal="center" vertical="center" wrapText="1"/>
    </xf>
    <xf numFmtId="4" fontId="22" fillId="33" borderId="19" xfId="0" applyNumberFormat="1" applyFont="1" applyFill="1" applyBorder="1" applyAlignment="1" applyProtection="1">
      <alignment horizontal="center" vertical="center" wrapText="1"/>
    </xf>
    <xf numFmtId="0" fontId="18" fillId="50" borderId="51" xfId="0" applyFont="1" applyFill="1" applyBorder="1" applyAlignment="1" applyProtection="1">
      <alignment horizontal="left" vertical="center"/>
    </xf>
    <xf numFmtId="0" fontId="18" fillId="50" borderId="27" xfId="0" applyFont="1" applyFill="1" applyBorder="1" applyAlignment="1" applyProtection="1">
      <alignment horizontal="left" vertical="center"/>
    </xf>
    <xf numFmtId="0" fontId="4" fillId="45" borderId="0" xfId="0" applyFont="1" applyFill="1" applyBorder="1" applyAlignment="1" applyProtection="1">
      <alignment horizontal="center" vertical="center" wrapText="1"/>
    </xf>
    <xf numFmtId="0" fontId="4" fillId="45" borderId="16" xfId="0" applyFont="1" applyFill="1" applyBorder="1" applyAlignment="1" applyProtection="1">
      <alignment horizontal="left" vertical="center"/>
    </xf>
    <xf numFmtId="0" fontId="4" fillId="45" borderId="17" xfId="0" applyFont="1" applyFill="1" applyBorder="1" applyAlignment="1" applyProtection="1">
      <alignment horizontal="left" vertical="center"/>
    </xf>
    <xf numFmtId="0" fontId="4" fillId="45" borderId="18" xfId="0" applyFont="1" applyFill="1" applyBorder="1" applyAlignment="1" applyProtection="1">
      <alignment horizontal="left" vertical="center"/>
    </xf>
    <xf numFmtId="0" fontId="7" fillId="32" borderId="37" xfId="0" applyFont="1" applyFill="1" applyBorder="1" applyAlignment="1" applyProtection="1">
      <alignment horizontal="left" vertical="center"/>
    </xf>
    <xf numFmtId="0" fontId="7" fillId="32" borderId="53" xfId="0" applyFont="1" applyFill="1" applyBorder="1" applyAlignment="1" applyProtection="1">
      <alignment horizontal="left" vertical="center"/>
    </xf>
    <xf numFmtId="0" fontId="7" fillId="32" borderId="24" xfId="0" applyFont="1" applyFill="1" applyBorder="1" applyAlignment="1" applyProtection="1">
      <alignment horizontal="left" vertical="center"/>
    </xf>
    <xf numFmtId="0" fontId="22" fillId="33" borderId="21" xfId="0" applyFont="1" applyFill="1" applyBorder="1" applyAlignment="1" applyProtection="1">
      <alignment horizontal="center" vertical="center" wrapText="1"/>
    </xf>
    <xf numFmtId="0" fontId="22" fillId="33" borderId="21" xfId="0" applyFont="1" applyFill="1" applyBorder="1" applyAlignment="1" applyProtection="1">
      <alignment horizontal="center" vertical="center"/>
    </xf>
    <xf numFmtId="0" fontId="31" fillId="45" borderId="50" xfId="0" applyFont="1" applyFill="1" applyBorder="1" applyAlignment="1" applyProtection="1">
      <alignment horizontal="center" vertical="center"/>
    </xf>
    <xf numFmtId="0" fontId="33" fillId="33" borderId="50" xfId="0" applyNumberFormat="1" applyFont="1" applyFill="1" applyBorder="1" applyAlignment="1" applyProtection="1">
      <alignment horizontal="center" vertical="center" wrapText="1"/>
    </xf>
    <xf numFmtId="0" fontId="31" fillId="32" borderId="33" xfId="0" applyFont="1" applyFill="1" applyBorder="1" applyAlignment="1" applyProtection="1">
      <alignment horizontal="left" vertical="center"/>
    </xf>
    <xf numFmtId="0" fontId="31" fillId="32" borderId="34" xfId="0" applyFont="1" applyFill="1" applyBorder="1" applyAlignment="1" applyProtection="1">
      <alignment horizontal="left" vertical="center"/>
    </xf>
    <xf numFmtId="0" fontId="31" fillId="32" borderId="38" xfId="0" applyFont="1" applyFill="1" applyBorder="1" applyAlignment="1" applyProtection="1">
      <alignment horizontal="left" vertical="center"/>
    </xf>
    <xf numFmtId="0" fontId="4" fillId="45" borderId="15" xfId="0" applyFont="1" applyFill="1" applyBorder="1" applyAlignment="1" applyProtection="1">
      <alignment horizontal="left" vertical="center"/>
    </xf>
    <xf numFmtId="0" fontId="4" fillId="45" borderId="14" xfId="0" applyFont="1" applyFill="1" applyBorder="1" applyAlignment="1" applyProtection="1">
      <alignment horizontal="left" vertical="center"/>
    </xf>
    <xf numFmtId="0" fontId="4" fillId="45" borderId="36" xfId="0" applyFont="1" applyFill="1" applyBorder="1" applyAlignment="1" applyProtection="1">
      <alignment horizontal="left" vertical="center"/>
    </xf>
    <xf numFmtId="0" fontId="3" fillId="33" borderId="21" xfId="0" applyNumberFormat="1" applyFont="1" applyFill="1" applyBorder="1" applyAlignment="1" applyProtection="1">
      <alignment horizontal="center" vertical="center" wrapText="1"/>
    </xf>
    <xf numFmtId="0" fontId="3" fillId="33" borderId="50" xfId="0" applyNumberFormat="1" applyFont="1" applyFill="1" applyBorder="1" applyAlignment="1" applyProtection="1">
      <alignment horizontal="center" vertical="center" wrapText="1"/>
    </xf>
    <xf numFmtId="0" fontId="33" fillId="33" borderId="19" xfId="0" applyNumberFormat="1" applyFont="1" applyFill="1" applyBorder="1" applyAlignment="1" applyProtection="1">
      <alignment horizontal="center" vertical="center" wrapText="1"/>
    </xf>
    <xf numFmtId="0" fontId="0" fillId="50" borderId="21" xfId="0" applyFill="1" applyBorder="1" applyAlignment="1" applyProtection="1">
      <alignment horizontal="left" vertical="center" wrapText="1"/>
    </xf>
    <xf numFmtId="0" fontId="0" fillId="50" borderId="51" xfId="0" applyFill="1" applyBorder="1" applyAlignment="1" applyProtection="1">
      <alignment horizontal="center" vertical="center" wrapText="1"/>
    </xf>
    <xf numFmtId="0" fontId="0" fillId="50" borderId="27" xfId="0" applyFill="1" applyBorder="1" applyAlignment="1" applyProtection="1">
      <alignment horizontal="center" vertical="center" wrapText="1"/>
    </xf>
    <xf numFmtId="2" fontId="31" fillId="32" borderId="33" xfId="0" applyNumberFormat="1" applyFont="1" applyFill="1" applyBorder="1" applyAlignment="1" applyProtection="1">
      <alignment horizontal="left" vertical="center"/>
    </xf>
    <xf numFmtId="2" fontId="31" fillId="32" borderId="34" xfId="0" applyNumberFormat="1" applyFont="1" applyFill="1" applyBorder="1" applyAlignment="1" applyProtection="1">
      <alignment horizontal="left" vertical="center"/>
    </xf>
    <xf numFmtId="2" fontId="31" fillId="32" borderId="38" xfId="0" applyNumberFormat="1" applyFont="1" applyFill="1" applyBorder="1" applyAlignment="1" applyProtection="1">
      <alignment horizontal="left" vertical="center"/>
    </xf>
    <xf numFmtId="4" fontId="22" fillId="18" borderId="50" xfId="0" applyNumberFormat="1" applyFont="1" applyFill="1" applyBorder="1" applyAlignment="1" applyProtection="1">
      <alignment horizontal="center" vertical="center" wrapText="1"/>
    </xf>
    <xf numFmtId="0" fontId="18" fillId="17" borderId="51" xfId="0" applyFont="1" applyFill="1" applyBorder="1" applyAlignment="1" applyProtection="1">
      <alignment horizontal="center" vertical="center" wrapText="1"/>
    </xf>
    <xf numFmtId="0" fontId="18" fillId="17" borderId="30" xfId="0" applyFont="1" applyFill="1" applyBorder="1" applyAlignment="1" applyProtection="1">
      <alignment horizontal="center" vertical="center" wrapText="1"/>
    </xf>
    <xf numFmtId="0" fontId="18" fillId="17" borderId="27" xfId="0" applyFont="1" applyFill="1" applyBorder="1" applyAlignment="1" applyProtection="1">
      <alignment horizontal="center" vertical="center" wrapText="1"/>
    </xf>
    <xf numFmtId="0" fontId="31" fillId="14" borderId="33" xfId="0" applyFont="1" applyFill="1" applyBorder="1" applyAlignment="1" applyProtection="1">
      <alignment horizontal="left" vertical="center"/>
    </xf>
    <xf numFmtId="0" fontId="31" fillId="14" borderId="34" xfId="0" applyFont="1" applyFill="1" applyBorder="1" applyAlignment="1" applyProtection="1">
      <alignment horizontal="left" vertical="center"/>
    </xf>
    <xf numFmtId="0" fontId="31" fillId="14" borderId="38" xfId="0" applyFont="1" applyFill="1" applyBorder="1" applyAlignment="1" applyProtection="1">
      <alignment horizontal="left" vertical="center"/>
    </xf>
    <xf numFmtId="0" fontId="4" fillId="16" borderId="15" xfId="0" applyFont="1" applyFill="1" applyBorder="1" applyAlignment="1" applyProtection="1">
      <alignment horizontal="left" vertical="center"/>
    </xf>
    <xf numFmtId="0" fontId="4" fillId="16" borderId="14" xfId="0" applyFont="1" applyFill="1" applyBorder="1" applyAlignment="1" applyProtection="1">
      <alignment horizontal="left" vertical="center"/>
    </xf>
    <xf numFmtId="0" fontId="4" fillId="16" borderId="36" xfId="0" applyFont="1" applyFill="1" applyBorder="1" applyAlignment="1" applyProtection="1">
      <alignment horizontal="left" vertical="center"/>
    </xf>
    <xf numFmtId="0" fontId="31" fillId="16" borderId="50" xfId="0" applyFont="1" applyFill="1" applyBorder="1" applyAlignment="1" applyProtection="1">
      <alignment horizontal="center" vertical="center"/>
    </xf>
    <xf numFmtId="0" fontId="33" fillId="18" borderId="50" xfId="0" applyNumberFormat="1" applyFont="1" applyFill="1" applyBorder="1" applyAlignment="1" applyProtection="1">
      <alignment horizontal="center" vertical="center" wrapText="1"/>
    </xf>
    <xf numFmtId="0" fontId="33" fillId="18" borderId="19" xfId="0" applyNumberFormat="1" applyFont="1" applyFill="1" applyBorder="1" applyAlignment="1" applyProtection="1">
      <alignment horizontal="center" vertical="center" wrapText="1"/>
    </xf>
    <xf numFmtId="0" fontId="4" fillId="16" borderId="16" xfId="0" applyFont="1" applyFill="1" applyBorder="1" applyAlignment="1" applyProtection="1">
      <alignment horizontal="left" vertical="center"/>
    </xf>
    <xf numFmtId="0" fontId="4" fillId="16" borderId="17" xfId="0" applyFont="1" applyFill="1" applyBorder="1" applyAlignment="1" applyProtection="1">
      <alignment horizontal="left" vertical="center"/>
    </xf>
    <xf numFmtId="0" fontId="4" fillId="16" borderId="18" xfId="0" applyFont="1" applyFill="1" applyBorder="1" applyAlignment="1" applyProtection="1">
      <alignment horizontal="left" vertical="center"/>
    </xf>
    <xf numFmtId="0" fontId="7" fillId="14" borderId="16" xfId="0" applyFont="1" applyFill="1" applyBorder="1" applyAlignment="1" applyProtection="1">
      <alignment horizontal="left" vertical="center"/>
    </xf>
    <xf numFmtId="0" fontId="7" fillId="14" borderId="17" xfId="0" applyFont="1" applyFill="1" applyBorder="1" applyAlignment="1" applyProtection="1">
      <alignment horizontal="left" vertical="center"/>
    </xf>
    <xf numFmtId="0" fontId="7" fillId="14" borderId="18" xfId="0" applyFont="1" applyFill="1" applyBorder="1" applyAlignment="1" applyProtection="1">
      <alignment horizontal="left" vertical="center"/>
    </xf>
    <xf numFmtId="0" fontId="22" fillId="18" borderId="51" xfId="0" applyFont="1" applyFill="1" applyBorder="1" applyAlignment="1" applyProtection="1">
      <alignment horizontal="center" vertical="center" wrapText="1"/>
    </xf>
    <xf numFmtId="0" fontId="22" fillId="18" borderId="27" xfId="0" applyFont="1" applyFill="1" applyBorder="1" applyAlignment="1" applyProtection="1">
      <alignment horizontal="center" vertical="center" wrapText="1"/>
    </xf>
    <xf numFmtId="0" fontId="22" fillId="18" borderId="50" xfId="0" applyFont="1" applyFill="1" applyBorder="1" applyAlignment="1" applyProtection="1">
      <alignment horizontal="center" vertical="center" wrapText="1"/>
    </xf>
    <xf numFmtId="0" fontId="22" fillId="18" borderId="50" xfId="0" applyFont="1" applyFill="1" applyBorder="1" applyAlignment="1" applyProtection="1">
      <alignment horizontal="center" vertical="center"/>
    </xf>
    <xf numFmtId="4" fontId="22" fillId="18" borderId="19" xfId="0" applyNumberFormat="1" applyFont="1" applyFill="1" applyBorder="1" applyAlignment="1" applyProtection="1">
      <alignment horizontal="center" vertical="center" wrapText="1"/>
    </xf>
    <xf numFmtId="0" fontId="4" fillId="16" borderId="0" xfId="0" applyFont="1" applyFill="1" applyBorder="1" applyAlignment="1" applyProtection="1">
      <alignment horizontal="center" vertical="center" wrapText="1"/>
    </xf>
    <xf numFmtId="0" fontId="7" fillId="14" borderId="37" xfId="0" applyFont="1" applyFill="1" applyBorder="1" applyAlignment="1" applyProtection="1">
      <alignment horizontal="left" vertical="center"/>
    </xf>
    <xf numFmtId="0" fontId="7" fillId="14" borderId="53" xfId="0" applyFont="1" applyFill="1" applyBorder="1" applyAlignment="1" applyProtection="1">
      <alignment horizontal="left" vertical="center"/>
    </xf>
    <xf numFmtId="0" fontId="7" fillId="14" borderId="24" xfId="0" applyFont="1" applyFill="1" applyBorder="1" applyAlignment="1" applyProtection="1">
      <alignment horizontal="left" vertical="center"/>
    </xf>
    <xf numFmtId="0" fontId="3" fillId="18" borderId="21" xfId="0" applyNumberFormat="1" applyFont="1" applyFill="1" applyBorder="1" applyAlignment="1" applyProtection="1">
      <alignment horizontal="center" vertical="center" wrapText="1"/>
    </xf>
    <xf numFmtId="0" fontId="3" fillId="18" borderId="50" xfId="0" applyNumberFormat="1"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59" fillId="0" borderId="50" xfId="0" applyFont="1" applyBorder="1" applyAlignment="1">
      <alignment vertical="top" wrapText="1"/>
    </xf>
    <xf numFmtId="4" fontId="22" fillId="0" borderId="45" xfId="0" applyNumberFormat="1" applyFont="1" applyFill="1" applyBorder="1" applyAlignment="1">
      <alignment horizontal="left" vertical="center" wrapText="1"/>
    </xf>
    <xf numFmtId="4" fontId="22" fillId="0" borderId="8" xfId="0" applyNumberFormat="1" applyFont="1" applyFill="1" applyBorder="1" applyAlignment="1">
      <alignment horizontal="left" vertical="center" wrapText="1"/>
    </xf>
    <xf numFmtId="4" fontId="22" fillId="0" borderId="45" xfId="0" applyNumberFormat="1" applyFont="1" applyFill="1" applyBorder="1" applyAlignment="1">
      <alignment horizontal="center" vertical="center" wrapText="1"/>
    </xf>
    <xf numFmtId="4" fontId="22" fillId="0" borderId="8" xfId="0" applyNumberFormat="1" applyFont="1" applyFill="1" applyBorder="1" applyAlignment="1">
      <alignment horizontal="center" vertical="center" wrapText="1"/>
    </xf>
    <xf numFmtId="4" fontId="22" fillId="23" borderId="2" xfId="0" applyNumberFormat="1" applyFont="1" applyFill="1" applyBorder="1" applyAlignment="1">
      <alignment horizontal="center" vertical="center"/>
    </xf>
    <xf numFmtId="4" fontId="22" fillId="23" borderId="3" xfId="0" applyNumberFormat="1" applyFont="1" applyFill="1" applyBorder="1" applyAlignment="1">
      <alignment horizontal="center" vertical="center"/>
    </xf>
    <xf numFmtId="4" fontId="22" fillId="23" borderId="55" xfId="0" applyNumberFormat="1" applyFont="1" applyFill="1" applyBorder="1" applyAlignment="1">
      <alignment horizontal="center" vertical="center"/>
    </xf>
    <xf numFmtId="4" fontId="22" fillId="23" borderId="54" xfId="0" applyNumberFormat="1" applyFont="1" applyFill="1" applyBorder="1" applyAlignment="1">
      <alignment horizontal="center" vertical="center"/>
    </xf>
    <xf numFmtId="4" fontId="22" fillId="0" borderId="50" xfId="0" applyNumberFormat="1" applyFont="1" applyFill="1" applyBorder="1" applyAlignment="1">
      <alignment horizontal="left" vertical="center" wrapText="1"/>
    </xf>
    <xf numFmtId="4" fontId="22" fillId="23" borderId="50" xfId="0" applyNumberFormat="1" applyFont="1" applyFill="1" applyBorder="1" applyAlignment="1">
      <alignment horizontal="center" vertical="center"/>
    </xf>
    <xf numFmtId="0" fontId="64" fillId="0" borderId="50" xfId="0" applyFont="1" applyBorder="1" applyAlignment="1">
      <alignment horizontal="center" vertical="top" wrapText="1"/>
    </xf>
    <xf numFmtId="0" fontId="64" fillId="0" borderId="50" xfId="0" applyFont="1" applyBorder="1" applyAlignment="1">
      <alignment vertical="top" wrapText="1"/>
    </xf>
    <xf numFmtId="4" fontId="18" fillId="0" borderId="50" xfId="0" applyNumberFormat="1" applyFont="1" applyFill="1" applyBorder="1" applyAlignment="1">
      <alignment horizontal="center" vertical="center"/>
    </xf>
    <xf numFmtId="2" fontId="18" fillId="36" borderId="50" xfId="16" applyNumberFormat="1" applyFont="1" applyFill="1" applyBorder="1" applyAlignment="1">
      <alignment horizontal="center" vertical="center"/>
    </xf>
    <xf numFmtId="0" fontId="59" fillId="0" borderId="50" xfId="0" applyFont="1" applyBorder="1" applyAlignment="1">
      <alignment horizontal="left" vertical="top" wrapText="1" indent="4"/>
    </xf>
    <xf numFmtId="0" fontId="59" fillId="0" borderId="50" xfId="0" applyFont="1" applyBorder="1" applyAlignment="1">
      <alignment horizontal="left" vertical="top" wrapText="1" indent="1"/>
    </xf>
    <xf numFmtId="4" fontId="22" fillId="20" borderId="50" xfId="0" applyNumberFormat="1" applyFont="1" applyFill="1" applyBorder="1" applyAlignment="1">
      <alignment horizontal="center" vertical="center"/>
    </xf>
    <xf numFmtId="4" fontId="18" fillId="0" borderId="55" xfId="16" applyNumberFormat="1" applyFont="1" applyFill="1" applyBorder="1" applyAlignment="1" applyProtection="1">
      <alignment horizontal="center" vertical="center"/>
      <protection locked="0"/>
    </xf>
    <xf numFmtId="4" fontId="18" fillId="0" borderId="54" xfId="16" applyNumberFormat="1" applyFont="1" applyFill="1" applyBorder="1" applyAlignment="1" applyProtection="1">
      <alignment horizontal="center" vertical="center"/>
      <protection locked="0"/>
    </xf>
    <xf numFmtId="4" fontId="22" fillId="0" borderId="50" xfId="0" applyNumberFormat="1" applyFont="1" applyFill="1" applyBorder="1" applyAlignment="1">
      <alignment horizontal="center" vertical="center" wrapText="1"/>
    </xf>
    <xf numFmtId="0" fontId="62" fillId="0" borderId="50" xfId="0" applyFont="1" applyBorder="1" applyAlignment="1">
      <alignment vertical="top" wrapText="1"/>
    </xf>
    <xf numFmtId="0" fontId="64" fillId="0" borderId="50" xfId="0" applyFont="1" applyFill="1" applyBorder="1" applyAlignment="1">
      <alignment horizontal="left" vertical="top" wrapText="1"/>
    </xf>
    <xf numFmtId="0" fontId="62" fillId="0" borderId="50" xfId="0" applyFont="1" applyBorder="1" applyAlignment="1">
      <alignment horizontal="left" vertical="top" wrapText="1" indent="1"/>
    </xf>
    <xf numFmtId="0" fontId="73" fillId="0" borderId="50" xfId="0" applyFont="1" applyBorder="1" applyAlignment="1">
      <alignment horizontal="center" vertical="center" textRotation="90" wrapText="1"/>
    </xf>
    <xf numFmtId="0" fontId="18" fillId="27" borderId="55" xfId="0" applyFont="1" applyFill="1" applyBorder="1" applyAlignment="1">
      <alignment horizontal="left" vertical="top"/>
    </xf>
    <xf numFmtId="0" fontId="18" fillId="27" borderId="54" xfId="0" applyFont="1" applyFill="1" applyBorder="1" applyAlignment="1">
      <alignment horizontal="left" vertical="top"/>
    </xf>
    <xf numFmtId="0" fontId="22" fillId="24" borderId="55" xfId="0" applyFont="1" applyFill="1" applyBorder="1" applyAlignment="1">
      <alignment horizontal="left" vertical="top"/>
    </xf>
    <xf numFmtId="0" fontId="22" fillId="24" borderId="54" xfId="0" applyFont="1" applyFill="1" applyBorder="1" applyAlignment="1">
      <alignment horizontal="left" vertical="top"/>
    </xf>
    <xf numFmtId="0" fontId="18" fillId="0" borderId="0" xfId="0" applyFont="1" applyBorder="1" applyAlignment="1" applyProtection="1">
      <alignment horizontal="left" vertical="center"/>
    </xf>
    <xf numFmtId="0" fontId="74" fillId="0" borderId="50" xfId="0" applyFont="1" applyBorder="1" applyAlignment="1">
      <alignment horizontal="left" vertical="top" wrapText="1" indent="1"/>
    </xf>
    <xf numFmtId="0" fontId="18" fillId="0" borderId="55" xfId="0" applyFont="1" applyBorder="1" applyAlignment="1">
      <alignment horizontal="left" vertical="top"/>
    </xf>
    <xf numFmtId="0" fontId="18" fillId="0" borderId="54" xfId="0" applyFont="1" applyBorder="1" applyAlignment="1">
      <alignment horizontal="left" vertical="top"/>
    </xf>
    <xf numFmtId="0" fontId="59" fillId="0" borderId="50" xfId="0" applyFont="1" applyFill="1" applyBorder="1" applyAlignment="1">
      <alignment horizontal="center" vertical="top" wrapText="1"/>
    </xf>
    <xf numFmtId="0" fontId="18" fillId="24" borderId="55" xfId="0" applyFont="1" applyFill="1" applyBorder="1" applyAlignment="1">
      <alignment horizontal="left" vertical="top"/>
    </xf>
    <xf numFmtId="0" fontId="18" fillId="24" borderId="54" xfId="0" applyFont="1" applyFill="1" applyBorder="1" applyAlignment="1">
      <alignment horizontal="left" vertical="top"/>
    </xf>
    <xf numFmtId="0" fontId="22" fillId="0" borderId="55" xfId="0" applyFont="1" applyBorder="1" applyAlignment="1">
      <alignment horizontal="left" vertical="top"/>
    </xf>
    <xf numFmtId="0" fontId="22" fillId="0" borderId="54" xfId="0" applyFont="1" applyBorder="1" applyAlignment="1">
      <alignment horizontal="left" vertical="top"/>
    </xf>
    <xf numFmtId="0" fontId="64" fillId="0" borderId="50" xfId="0" applyFont="1" applyFill="1" applyBorder="1" applyAlignment="1">
      <alignment horizontal="left" wrapText="1"/>
    </xf>
    <xf numFmtId="0" fontId="73" fillId="0" borderId="50" xfId="0" applyFont="1" applyBorder="1" applyAlignment="1">
      <alignment vertical="top" wrapText="1"/>
    </xf>
    <xf numFmtId="0" fontId="74" fillId="0" borderId="50" xfId="0" applyFont="1" applyBorder="1" applyAlignment="1">
      <alignment vertical="top" wrapText="1"/>
    </xf>
    <xf numFmtId="0" fontId="59" fillId="0" borderId="50" xfId="0" applyFont="1" applyFill="1" applyBorder="1" applyAlignment="1">
      <alignment horizontal="left" vertical="top" wrapText="1"/>
    </xf>
    <xf numFmtId="0" fontId="64" fillId="0" borderId="50" xfId="0" applyFont="1" applyBorder="1" applyAlignment="1">
      <alignment horizontal="left" vertical="top" wrapText="1"/>
    </xf>
    <xf numFmtId="0" fontId="59" fillId="0" borderId="50" xfId="0" applyFont="1" applyBorder="1" applyAlignment="1">
      <alignment horizontal="left" vertical="top" wrapText="1"/>
    </xf>
    <xf numFmtId="0" fontId="59" fillId="0" borderId="50" xfId="0" applyFont="1" applyBorder="1" applyAlignment="1">
      <alignment horizontal="center" vertical="top" wrapText="1"/>
    </xf>
    <xf numFmtId="0" fontId="0" fillId="0" borderId="50" xfId="0" applyFont="1" applyBorder="1" applyAlignment="1" applyProtection="1">
      <alignment horizontal="left" vertical="center"/>
    </xf>
    <xf numFmtId="4" fontId="18" fillId="0" borderId="50" xfId="0" applyNumberFormat="1" applyFont="1" applyFill="1" applyBorder="1" applyAlignment="1">
      <alignment horizontal="left" vertical="center" wrapText="1"/>
    </xf>
    <xf numFmtId="0" fontId="0" fillId="0" borderId="50" xfId="0" applyFont="1" applyBorder="1" applyAlignment="1" applyProtection="1">
      <alignment horizontal="center" vertical="center" wrapText="1"/>
    </xf>
    <xf numFmtId="0" fontId="3" fillId="0" borderId="50" xfId="0" applyFont="1" applyBorder="1" applyAlignment="1" applyProtection="1">
      <alignment horizontal="center" vertical="center"/>
    </xf>
    <xf numFmtId="0" fontId="59" fillId="0" borderId="50" xfId="0" applyFont="1" applyBorder="1" applyAlignment="1">
      <alignment horizontal="justify" vertical="top" wrapText="1"/>
    </xf>
    <xf numFmtId="0" fontId="59" fillId="0" borderId="50" xfId="0" applyFont="1" applyBorder="1" applyAlignment="1">
      <alignment horizontal="left" vertical="top" wrapText="1" indent="3"/>
    </xf>
    <xf numFmtId="4" fontId="4" fillId="19" borderId="55" xfId="0" applyNumberFormat="1" applyFont="1" applyFill="1" applyBorder="1" applyAlignment="1">
      <alignment horizontal="left" vertical="center"/>
    </xf>
    <xf numFmtId="4" fontId="4" fillId="19" borderId="53" xfId="0" applyNumberFormat="1" applyFont="1" applyFill="1" applyBorder="1" applyAlignment="1">
      <alignment horizontal="left" vertical="center"/>
    </xf>
    <xf numFmtId="4" fontId="4" fillId="19" borderId="54" xfId="0" applyNumberFormat="1" applyFont="1" applyFill="1" applyBorder="1" applyAlignment="1">
      <alignment horizontal="left" vertical="center"/>
    </xf>
    <xf numFmtId="0" fontId="22" fillId="25" borderId="55" xfId="0" applyFont="1" applyFill="1" applyBorder="1" applyAlignment="1">
      <alignment horizontal="left" vertical="top" wrapText="1"/>
    </xf>
    <xf numFmtId="0" fontId="22" fillId="25" borderId="54" xfId="0" applyFont="1" applyFill="1" applyBorder="1" applyAlignment="1">
      <alignment horizontal="left" vertical="top" wrapText="1"/>
    </xf>
    <xf numFmtId="0" fontId="64" fillId="0" borderId="50" xfId="0" applyFont="1" applyBorder="1" applyAlignment="1">
      <alignment horizontal="left" vertical="top" wrapText="1" indent="1"/>
    </xf>
    <xf numFmtId="0" fontId="64" fillId="0" borderId="50" xfId="0" applyFont="1" applyBorder="1" applyAlignment="1">
      <alignment horizontal="left" vertical="center" wrapText="1"/>
    </xf>
    <xf numFmtId="4" fontId="31" fillId="19" borderId="50" xfId="0" applyNumberFormat="1" applyFont="1" applyFill="1" applyBorder="1" applyAlignment="1">
      <alignment horizontal="center" vertical="center"/>
    </xf>
    <xf numFmtId="0" fontId="31" fillId="19" borderId="42" xfId="0" applyFont="1" applyFill="1" applyBorder="1" applyAlignment="1" applyProtection="1">
      <alignment horizontal="center" vertical="center"/>
    </xf>
    <xf numFmtId="0" fontId="31" fillId="19" borderId="69" xfId="0" applyFont="1" applyFill="1" applyBorder="1" applyAlignment="1" applyProtection="1">
      <alignment horizontal="center" vertical="center"/>
    </xf>
    <xf numFmtId="0" fontId="31" fillId="19" borderId="43" xfId="0" applyFont="1" applyFill="1" applyBorder="1" applyAlignment="1" applyProtection="1">
      <alignment horizontal="center" vertical="center"/>
    </xf>
    <xf numFmtId="0" fontId="0" fillId="3" borderId="23" xfId="0" applyFont="1" applyFill="1" applyBorder="1" applyAlignment="1" applyProtection="1">
      <alignment horizontal="left" vertical="center"/>
      <protection locked="0"/>
    </xf>
    <xf numFmtId="0" fontId="0" fillId="3" borderId="20" xfId="0" applyFont="1" applyFill="1" applyBorder="1" applyAlignment="1" applyProtection="1">
      <alignment horizontal="left" vertical="center"/>
      <protection locked="0"/>
    </xf>
    <xf numFmtId="0" fontId="0" fillId="3" borderId="19" xfId="0" applyFont="1" applyFill="1" applyBorder="1" applyAlignment="1" applyProtection="1">
      <alignment horizontal="left" vertical="center"/>
      <protection locked="0"/>
    </xf>
    <xf numFmtId="4" fontId="22" fillId="0" borderId="58" xfId="0" applyNumberFormat="1" applyFont="1" applyFill="1" applyBorder="1" applyAlignment="1">
      <alignment horizontal="center" vertical="center" wrapText="1"/>
    </xf>
    <xf numFmtId="4" fontId="22" fillId="0" borderId="64" xfId="0" applyNumberFormat="1" applyFont="1" applyFill="1" applyBorder="1" applyAlignment="1">
      <alignment horizontal="center" vertical="center" wrapText="1"/>
    </xf>
    <xf numFmtId="4" fontId="22" fillId="0" borderId="2" xfId="0" applyNumberFormat="1" applyFont="1" applyFill="1" applyBorder="1" applyAlignment="1">
      <alignment horizontal="center" vertical="center" wrapText="1"/>
    </xf>
    <xf numFmtId="4" fontId="22" fillId="0" borderId="3" xfId="0" applyNumberFormat="1" applyFont="1" applyFill="1" applyBorder="1" applyAlignment="1">
      <alignment horizontal="center" vertical="center" wrapText="1"/>
    </xf>
    <xf numFmtId="0" fontId="22" fillId="0" borderId="55" xfId="0" applyFont="1" applyFill="1" applyBorder="1" applyAlignment="1">
      <alignment horizontal="center" vertical="center" wrapText="1"/>
    </xf>
    <xf numFmtId="0" fontId="22" fillId="0" borderId="54" xfId="0" applyFont="1" applyFill="1" applyBorder="1" applyAlignment="1">
      <alignment horizontal="center" vertical="center" wrapText="1"/>
    </xf>
    <xf numFmtId="0" fontId="18" fillId="0" borderId="55" xfId="0" applyFont="1" applyFill="1" applyBorder="1" applyAlignment="1">
      <alignment horizontal="center" vertical="center"/>
    </xf>
    <xf numFmtId="0" fontId="18" fillId="0" borderId="54" xfId="0" applyFont="1" applyFill="1" applyBorder="1" applyAlignment="1">
      <alignment horizontal="center" vertical="center"/>
    </xf>
    <xf numFmtId="0" fontId="0" fillId="0" borderId="23" xfId="0" applyFill="1" applyBorder="1" applyAlignment="1" applyProtection="1">
      <alignment horizontal="left" vertical="center"/>
    </xf>
    <xf numFmtId="0" fontId="0" fillId="3" borderId="19" xfId="0" applyFont="1" applyFill="1" applyBorder="1" applyAlignment="1" applyProtection="1">
      <alignment horizontal="left" vertical="center"/>
    </xf>
    <xf numFmtId="0" fontId="71" fillId="0" borderId="50" xfId="0" applyFont="1" applyBorder="1" applyAlignment="1">
      <alignment vertical="top" wrapText="1"/>
    </xf>
    <xf numFmtId="0" fontId="31" fillId="3" borderId="0" xfId="0" applyFont="1" applyFill="1" applyAlignment="1" applyProtection="1">
      <alignment horizontal="center" vertical="center" wrapText="1"/>
    </xf>
    <xf numFmtId="0" fontId="58" fillId="3" borderId="0" xfId="0" applyFont="1" applyFill="1" applyAlignment="1">
      <alignment horizontal="left" wrapText="1"/>
    </xf>
    <xf numFmtId="4" fontId="18" fillId="36" borderId="55" xfId="16" applyNumberFormat="1" applyFont="1" applyFill="1" applyBorder="1" applyAlignment="1">
      <alignment horizontal="center" vertical="center"/>
    </xf>
    <xf numFmtId="4" fontId="18" fillId="36" borderId="54" xfId="16" applyNumberFormat="1" applyFont="1" applyFill="1" applyBorder="1" applyAlignment="1">
      <alignment horizontal="center" vertical="center"/>
    </xf>
    <xf numFmtId="4" fontId="22" fillId="23" borderId="53" xfId="0" applyNumberFormat="1" applyFont="1" applyFill="1" applyBorder="1" applyAlignment="1">
      <alignment horizontal="center" vertical="center"/>
    </xf>
    <xf numFmtId="4" fontId="81" fillId="30" borderId="23" xfId="0" applyNumberFormat="1" applyFont="1" applyFill="1" applyBorder="1" applyAlignment="1">
      <alignment horizontal="center" vertical="center" wrapText="1"/>
    </xf>
    <xf numFmtId="2" fontId="18" fillId="40" borderId="50" xfId="16" applyNumberFormat="1" applyFont="1" applyFill="1" applyBorder="1" applyAlignment="1">
      <alignment horizontal="center" vertical="center"/>
    </xf>
    <xf numFmtId="0" fontId="59" fillId="0" borderId="50" xfId="0" applyFont="1" applyBorder="1" applyAlignment="1">
      <alignment horizontal="left" wrapText="1"/>
    </xf>
    <xf numFmtId="0" fontId="4" fillId="4" borderId="0" xfId="0" applyFont="1" applyFill="1" applyBorder="1" applyAlignment="1" applyProtection="1">
      <alignment horizontal="center" vertical="center" wrapText="1"/>
    </xf>
    <xf numFmtId="0" fontId="31" fillId="4" borderId="42" xfId="0" applyFont="1" applyFill="1" applyBorder="1" applyAlignment="1" applyProtection="1">
      <alignment horizontal="center" vertical="center"/>
    </xf>
    <xf numFmtId="0" fontId="31" fillId="4" borderId="69" xfId="0" applyFont="1" applyFill="1" applyBorder="1" applyAlignment="1" applyProtection="1">
      <alignment horizontal="center" vertical="center"/>
    </xf>
    <xf numFmtId="0" fontId="31" fillId="4" borderId="43" xfId="0" applyFont="1" applyFill="1" applyBorder="1" applyAlignment="1" applyProtection="1">
      <alignment horizontal="center" vertical="center"/>
    </xf>
    <xf numFmtId="4" fontId="81" fillId="30" borderId="50" xfId="0" applyNumberFormat="1" applyFont="1" applyFill="1" applyBorder="1" applyAlignment="1">
      <alignment horizontal="center" vertical="center" wrapText="1"/>
    </xf>
    <xf numFmtId="4" fontId="31" fillId="4" borderId="55" xfId="0" applyNumberFormat="1" applyFont="1" applyFill="1" applyBorder="1" applyAlignment="1">
      <alignment horizontal="center" vertical="center"/>
    </xf>
    <xf numFmtId="4" fontId="31" fillId="4" borderId="53" xfId="0" applyNumberFormat="1" applyFont="1" applyFill="1" applyBorder="1" applyAlignment="1">
      <alignment horizontal="center" vertical="center"/>
    </xf>
    <xf numFmtId="4" fontId="22" fillId="30" borderId="50" xfId="0" applyNumberFormat="1" applyFont="1" applyFill="1" applyBorder="1" applyAlignment="1">
      <alignment horizontal="center" vertical="center"/>
    </xf>
    <xf numFmtId="0" fontId="68" fillId="0" borderId="50" xfId="0" applyFont="1" applyBorder="1" applyAlignment="1">
      <alignment vertical="top" wrapText="1"/>
    </xf>
    <xf numFmtId="4" fontId="31" fillId="4" borderId="50" xfId="0" applyNumberFormat="1" applyFont="1" applyFill="1" applyBorder="1" applyAlignment="1">
      <alignment horizontal="center" vertical="center"/>
    </xf>
    <xf numFmtId="4" fontId="22" fillId="30" borderId="45" xfId="0" applyNumberFormat="1" applyFont="1" applyFill="1" applyBorder="1" applyAlignment="1">
      <alignment horizontal="center" vertical="center" wrapText="1"/>
    </xf>
    <xf numFmtId="4" fontId="22" fillId="30" borderId="39" xfId="0" applyNumberFormat="1" applyFont="1" applyFill="1" applyBorder="1" applyAlignment="1">
      <alignment horizontal="center" vertical="center" wrapText="1"/>
    </xf>
    <xf numFmtId="4" fontId="22" fillId="30" borderId="8" xfId="0" applyNumberFormat="1" applyFont="1" applyFill="1" applyBorder="1" applyAlignment="1">
      <alignment horizontal="center" vertical="center" wrapText="1"/>
    </xf>
    <xf numFmtId="4" fontId="22" fillId="52" borderId="50" xfId="0" applyNumberFormat="1" applyFont="1" applyFill="1" applyBorder="1" applyAlignment="1">
      <alignment horizontal="center" vertical="center"/>
    </xf>
    <xf numFmtId="0" fontId="64" fillId="0" borderId="50" xfId="0" applyFont="1" applyBorder="1" applyAlignment="1">
      <alignment horizontal="left" vertical="top" wrapText="1" indent="2"/>
    </xf>
    <xf numFmtId="0" fontId="59" fillId="0" borderId="50" xfId="0" applyFont="1" applyBorder="1" applyAlignment="1">
      <alignment wrapText="1"/>
    </xf>
    <xf numFmtId="4" fontId="7" fillId="4" borderId="55" xfId="0" applyNumberFormat="1" applyFont="1" applyFill="1" applyBorder="1" applyAlignment="1">
      <alignment horizontal="center" vertical="center"/>
    </xf>
    <xf numFmtId="4" fontId="7" fillId="4" borderId="53" xfId="0" applyNumberFormat="1" applyFont="1" applyFill="1" applyBorder="1" applyAlignment="1">
      <alignment horizontal="center" vertical="center"/>
    </xf>
    <xf numFmtId="4" fontId="31" fillId="3" borderId="55" xfId="0" applyNumberFormat="1" applyFont="1" applyFill="1" applyBorder="1" applyAlignment="1">
      <alignment horizontal="center" vertical="center"/>
    </xf>
    <xf numFmtId="4" fontId="31" fillId="3" borderId="53" xfId="0" applyNumberFormat="1" applyFont="1" applyFill="1" applyBorder="1" applyAlignment="1">
      <alignment horizontal="center" vertical="center"/>
    </xf>
    <xf numFmtId="4" fontId="31" fillId="3" borderId="54" xfId="0" applyNumberFormat="1" applyFont="1" applyFill="1" applyBorder="1" applyAlignment="1">
      <alignment horizontal="center" vertical="center"/>
    </xf>
    <xf numFmtId="0" fontId="18" fillId="0" borderId="0" xfId="0" applyFont="1" applyFill="1" applyBorder="1" applyAlignment="1" applyProtection="1">
      <alignment horizontal="center" vertical="center" wrapText="1"/>
      <protection locked="0"/>
    </xf>
    <xf numFmtId="4" fontId="18" fillId="0" borderId="0" xfId="0" applyNumberFormat="1" applyFont="1" applyFill="1" applyBorder="1" applyAlignment="1" applyProtection="1">
      <alignment horizontal="center" vertical="center" wrapText="1"/>
      <protection locked="0"/>
    </xf>
    <xf numFmtId="0" fontId="18" fillId="0" borderId="50" xfId="0" applyFont="1" applyFill="1" applyBorder="1" applyAlignment="1" applyProtection="1">
      <alignment horizontal="center" vertical="center" wrapText="1"/>
    </xf>
    <xf numFmtId="0" fontId="4" fillId="53" borderId="42" xfId="0" applyFont="1" applyFill="1" applyBorder="1" applyAlignment="1" applyProtection="1">
      <alignment horizontal="center" vertical="center" wrapText="1"/>
    </xf>
    <xf numFmtId="0" fontId="4" fillId="53" borderId="69" xfId="0" applyFont="1" applyFill="1" applyBorder="1" applyAlignment="1" applyProtection="1">
      <alignment horizontal="center" vertical="center" wrapText="1"/>
    </xf>
    <xf numFmtId="0" fontId="22" fillId="38" borderId="50" xfId="0" applyFont="1" applyFill="1" applyBorder="1" applyAlignment="1" applyProtection="1">
      <alignment horizontal="center" vertical="center" wrapText="1"/>
    </xf>
    <xf numFmtId="0" fontId="22" fillId="28" borderId="50" xfId="0" applyFont="1" applyFill="1" applyBorder="1" applyAlignment="1" applyProtection="1">
      <alignment horizontal="center" vertical="center" wrapText="1"/>
    </xf>
    <xf numFmtId="166" fontId="86" fillId="3" borderId="50" xfId="0" applyNumberFormat="1" applyFont="1" applyFill="1" applyBorder="1" applyAlignment="1" applyProtection="1">
      <alignment horizontal="center" vertical="center" wrapText="1"/>
    </xf>
    <xf numFmtId="166" fontId="86" fillId="3" borderId="19" xfId="0" applyNumberFormat="1" applyFont="1" applyFill="1" applyBorder="1" applyAlignment="1" applyProtection="1">
      <alignment horizontal="center" vertical="center" wrapText="1"/>
    </xf>
    <xf numFmtId="166" fontId="86" fillId="3" borderId="23" xfId="0" applyNumberFormat="1" applyFont="1" applyFill="1" applyBorder="1" applyAlignment="1" applyProtection="1">
      <alignment horizontal="center" vertical="center" wrapText="1"/>
    </xf>
    <xf numFmtId="166" fontId="86" fillId="3" borderId="20" xfId="0" applyNumberFormat="1" applyFont="1" applyFill="1" applyBorder="1" applyAlignment="1" applyProtection="1">
      <alignment horizontal="center" vertical="center" wrapText="1"/>
    </xf>
    <xf numFmtId="4" fontId="4" fillId="53" borderId="15" xfId="0" applyNumberFormat="1" applyFont="1" applyFill="1" applyBorder="1" applyAlignment="1" applyProtection="1">
      <alignment horizontal="center" vertical="center"/>
    </xf>
    <xf numFmtId="4" fontId="4" fillId="53" borderId="14" xfId="0" applyNumberFormat="1" applyFont="1" applyFill="1" applyBorder="1" applyAlignment="1" applyProtection="1">
      <alignment horizontal="center" vertical="center"/>
    </xf>
    <xf numFmtId="4" fontId="4" fillId="53" borderId="10" xfId="0" applyNumberFormat="1" applyFont="1" applyFill="1" applyBorder="1" applyAlignment="1" applyProtection="1">
      <alignment horizontal="center" vertical="center"/>
    </xf>
    <xf numFmtId="0" fontId="18" fillId="0" borderId="45" xfId="0" applyFont="1" applyFill="1" applyBorder="1" applyAlignment="1" applyProtection="1">
      <alignment horizontal="left" vertical="center" wrapText="1"/>
    </xf>
    <xf numFmtId="0" fontId="18" fillId="0" borderId="8" xfId="0" applyFont="1" applyFill="1" applyBorder="1" applyAlignment="1" applyProtection="1">
      <alignment horizontal="left" vertical="center" wrapText="1"/>
    </xf>
    <xf numFmtId="0" fontId="18" fillId="0" borderId="45" xfId="0" applyFont="1" applyFill="1" applyBorder="1" applyAlignment="1" applyProtection="1">
      <alignment horizontal="center" vertical="center" wrapText="1"/>
    </xf>
    <xf numFmtId="0" fontId="18" fillId="0" borderId="8" xfId="0" applyFont="1" applyFill="1" applyBorder="1" applyAlignment="1" applyProtection="1">
      <alignment horizontal="center" vertical="center" wrapText="1"/>
    </xf>
    <xf numFmtId="0" fontId="84" fillId="38" borderId="21" xfId="0" applyFont="1" applyFill="1" applyBorder="1" applyAlignment="1" applyProtection="1">
      <alignment horizontal="center" vertical="center" wrapText="1"/>
    </xf>
    <xf numFmtId="0" fontId="84" fillId="38" borderId="50" xfId="0" applyFont="1" applyFill="1" applyBorder="1" applyAlignment="1" applyProtection="1">
      <alignment horizontal="center" vertical="center" wrapText="1"/>
    </xf>
    <xf numFmtId="0" fontId="22" fillId="0" borderId="50" xfId="0" applyFont="1" applyFill="1" applyBorder="1" applyAlignment="1" applyProtection="1">
      <alignment horizontal="center" vertical="center" wrapText="1"/>
    </xf>
    <xf numFmtId="0" fontId="22" fillId="41" borderId="50" xfId="0" applyFont="1" applyFill="1" applyBorder="1" applyAlignment="1" applyProtection="1">
      <alignment horizontal="center" vertical="center" wrapText="1"/>
    </xf>
    <xf numFmtId="0" fontId="22" fillId="28" borderId="21" xfId="0" applyFont="1" applyFill="1" applyBorder="1" applyAlignment="1" applyProtection="1">
      <alignment horizontal="center" vertical="center" wrapText="1"/>
    </xf>
    <xf numFmtId="0" fontId="22" fillId="10" borderId="50" xfId="0" applyFont="1" applyFill="1" applyBorder="1" applyAlignment="1" applyProtection="1">
      <alignment horizontal="center" vertical="center" wrapText="1"/>
    </xf>
    <xf numFmtId="166" fontId="4" fillId="53" borderId="76" xfId="0" applyNumberFormat="1" applyFont="1" applyFill="1" applyBorder="1" applyAlignment="1" applyProtection="1">
      <alignment horizontal="center" vertical="center" wrapText="1"/>
    </xf>
    <xf numFmtId="166" fontId="4" fillId="53" borderId="12" xfId="0" applyNumberFormat="1" applyFont="1" applyFill="1" applyBorder="1" applyAlignment="1" applyProtection="1">
      <alignment horizontal="center" vertical="center" wrapText="1"/>
    </xf>
    <xf numFmtId="0" fontId="22" fillId="50" borderId="50" xfId="0" applyFont="1" applyFill="1" applyBorder="1" applyAlignment="1" applyProtection="1">
      <alignment horizontal="center" vertical="center" wrapText="1"/>
    </xf>
    <xf numFmtId="0" fontId="22" fillId="51" borderId="51" xfId="0" applyFont="1" applyFill="1" applyBorder="1" applyAlignment="1" applyProtection="1">
      <alignment horizontal="center" vertical="center" wrapText="1"/>
    </xf>
    <xf numFmtId="0" fontId="22" fillId="51" borderId="30" xfId="0" applyFont="1" applyFill="1" applyBorder="1" applyAlignment="1" applyProtection="1">
      <alignment horizontal="center" vertical="center" wrapText="1"/>
    </xf>
    <xf numFmtId="0" fontId="22" fillId="51" borderId="27" xfId="0" applyFont="1" applyFill="1" applyBorder="1" applyAlignment="1" applyProtection="1">
      <alignment horizontal="center" vertical="center" wrapText="1"/>
    </xf>
    <xf numFmtId="0" fontId="22" fillId="0" borderId="45" xfId="0" applyFont="1" applyFill="1" applyBorder="1" applyAlignment="1" applyProtection="1">
      <alignment horizontal="center" vertical="center" wrapText="1"/>
    </xf>
    <xf numFmtId="0" fontId="22" fillId="0" borderId="39" xfId="0" applyFont="1" applyFill="1" applyBorder="1" applyAlignment="1" applyProtection="1">
      <alignment horizontal="center" vertical="center" wrapText="1"/>
    </xf>
    <xf numFmtId="0" fontId="22" fillId="0" borderId="8"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xf>
    <xf numFmtId="0" fontId="22"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justify" vertical="center"/>
    </xf>
    <xf numFmtId="0" fontId="84" fillId="51" borderId="21" xfId="0" applyFont="1" applyFill="1" applyBorder="1" applyAlignment="1" applyProtection="1">
      <alignment horizontal="center" vertical="center" wrapText="1"/>
    </xf>
    <xf numFmtId="0" fontId="84" fillId="51" borderId="50"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xf>
    <xf numFmtId="0" fontId="22" fillId="15" borderId="21" xfId="0" applyFont="1" applyFill="1" applyBorder="1" applyAlignment="1" applyProtection="1">
      <alignment horizontal="center" vertical="center" wrapText="1"/>
    </xf>
    <xf numFmtId="0" fontId="22" fillId="15" borderId="50" xfId="0" applyFont="1" applyFill="1" applyBorder="1" applyAlignment="1" applyProtection="1">
      <alignment horizontal="center" vertical="center" wrapText="1"/>
    </xf>
    <xf numFmtId="0" fontId="4" fillId="53" borderId="0" xfId="0" applyFont="1" applyFill="1" applyBorder="1" applyAlignment="1" applyProtection="1">
      <alignment horizontal="center" vertical="center" wrapText="1"/>
    </xf>
    <xf numFmtId="0" fontId="31" fillId="53" borderId="16" xfId="0" applyFont="1" applyFill="1" applyBorder="1" applyAlignment="1" applyProtection="1">
      <alignment horizontal="center" vertical="center"/>
    </xf>
    <xf numFmtId="0" fontId="31" fillId="53" borderId="17" xfId="0" applyFont="1" applyFill="1" applyBorder="1" applyAlignment="1" applyProtection="1">
      <alignment horizontal="center" vertical="center"/>
    </xf>
    <xf numFmtId="0" fontId="31" fillId="53" borderId="18" xfId="0" applyFont="1" applyFill="1" applyBorder="1" applyAlignment="1" applyProtection="1">
      <alignment horizontal="center" vertical="center"/>
    </xf>
    <xf numFmtId="0" fontId="0" fillId="3" borderId="55" xfId="0" applyFont="1" applyFill="1" applyBorder="1" applyAlignment="1" applyProtection="1">
      <alignment horizontal="left" vertical="center"/>
    </xf>
    <xf numFmtId="0" fontId="0" fillId="3" borderId="53" xfId="0" applyFont="1" applyFill="1" applyBorder="1" applyAlignment="1" applyProtection="1">
      <alignment horizontal="left" vertical="center"/>
    </xf>
    <xf numFmtId="0" fontId="0" fillId="3" borderId="24" xfId="0" applyFont="1" applyFill="1" applyBorder="1" applyAlignment="1" applyProtection="1">
      <alignment horizontal="left" vertical="center"/>
    </xf>
    <xf numFmtId="0" fontId="0" fillId="0" borderId="58" xfId="0" applyFill="1" applyBorder="1" applyAlignment="1" applyProtection="1">
      <alignment horizontal="left" vertical="center"/>
    </xf>
    <xf numFmtId="0" fontId="0" fillId="0" borderId="56" xfId="0" applyFill="1" applyBorder="1" applyAlignment="1" applyProtection="1">
      <alignment horizontal="left" vertical="center"/>
    </xf>
    <xf numFmtId="0" fontId="0" fillId="0" borderId="64" xfId="0" applyFill="1" applyBorder="1" applyAlignment="1" applyProtection="1">
      <alignment horizontal="left" vertical="center"/>
    </xf>
    <xf numFmtId="0" fontId="18" fillId="0" borderId="50" xfId="0" applyFont="1" applyFill="1" applyBorder="1" applyAlignment="1" applyProtection="1">
      <alignment horizontal="left" vertical="center" wrapText="1"/>
    </xf>
    <xf numFmtId="0" fontId="84" fillId="28" borderId="21" xfId="0" applyFont="1" applyFill="1" applyBorder="1" applyAlignment="1" applyProtection="1">
      <alignment horizontal="center" vertical="center" wrapText="1"/>
    </xf>
    <xf numFmtId="0" fontId="84" fillId="28" borderId="50" xfId="0" applyFont="1" applyFill="1" applyBorder="1" applyAlignment="1" applyProtection="1">
      <alignment horizontal="center" vertical="center" wrapText="1"/>
    </xf>
    <xf numFmtId="0" fontId="22" fillId="38" borderId="21" xfId="0" applyFont="1" applyFill="1" applyBorder="1" applyAlignment="1" applyProtection="1">
      <alignment horizontal="center" vertical="center" wrapText="1"/>
    </xf>
    <xf numFmtId="0" fontId="22" fillId="2" borderId="50" xfId="0" applyFont="1" applyFill="1" applyBorder="1" applyAlignment="1" applyProtection="1">
      <alignment horizontal="center" vertical="center" wrapText="1"/>
    </xf>
    <xf numFmtId="0" fontId="84" fillId="43" borderId="21" xfId="0" applyFont="1" applyFill="1" applyBorder="1" applyAlignment="1" applyProtection="1">
      <alignment horizontal="center" vertical="center" wrapText="1"/>
    </xf>
    <xf numFmtId="0" fontId="84" fillId="43" borderId="50" xfId="0" applyFont="1" applyFill="1" applyBorder="1" applyAlignment="1" applyProtection="1">
      <alignment horizontal="center" vertical="center" wrapText="1"/>
    </xf>
    <xf numFmtId="0" fontId="22" fillId="49" borderId="50" xfId="0" applyFont="1" applyFill="1" applyBorder="1" applyAlignment="1" applyProtection="1">
      <alignment horizontal="center" vertical="center" wrapText="1"/>
    </xf>
    <xf numFmtId="4" fontId="18" fillId="0" borderId="0" xfId="0" applyNumberFormat="1" applyFont="1" applyFill="1" applyBorder="1" applyAlignment="1" applyProtection="1">
      <alignment horizontal="center" vertical="center"/>
      <protection locked="0"/>
    </xf>
    <xf numFmtId="0" fontId="84" fillId="48" borderId="21" xfId="0" applyFont="1" applyFill="1" applyBorder="1" applyAlignment="1" applyProtection="1">
      <alignment horizontal="center" vertical="center" wrapText="1"/>
    </xf>
    <xf numFmtId="0" fontId="84" fillId="48" borderId="50" xfId="0" applyFont="1" applyFill="1" applyBorder="1" applyAlignment="1" applyProtection="1">
      <alignment horizontal="center" vertical="center" wrapText="1"/>
    </xf>
    <xf numFmtId="0" fontId="22" fillId="51" borderId="50" xfId="0" applyFont="1" applyFill="1" applyBorder="1" applyAlignment="1" applyProtection="1">
      <alignment horizontal="center" vertical="center" wrapText="1"/>
    </xf>
    <xf numFmtId="0" fontId="18" fillId="0" borderId="0" xfId="0" applyFont="1" applyFill="1" applyBorder="1" applyAlignment="1" applyProtection="1">
      <alignment horizontal="justify" vertical="center" wrapText="1"/>
    </xf>
    <xf numFmtId="0" fontId="22" fillId="17" borderId="50" xfId="0" applyFont="1" applyFill="1" applyBorder="1" applyAlignment="1" applyProtection="1">
      <alignment horizontal="center" vertical="center" wrapText="1"/>
    </xf>
    <xf numFmtId="0" fontId="22" fillId="30" borderId="50" xfId="0" applyFont="1" applyFill="1" applyBorder="1" applyAlignment="1" applyProtection="1">
      <alignment horizontal="center" vertical="center" wrapText="1"/>
    </xf>
    <xf numFmtId="0" fontId="18" fillId="0" borderId="39" xfId="0" applyFont="1" applyFill="1" applyBorder="1" applyAlignment="1" applyProtection="1">
      <alignment horizontal="center" vertical="center" wrapText="1"/>
    </xf>
    <xf numFmtId="0" fontId="22" fillId="36" borderId="21" xfId="0" applyFont="1" applyFill="1" applyBorder="1" applyAlignment="1" applyProtection="1">
      <alignment horizontal="center" vertical="center" wrapText="1"/>
    </xf>
    <xf numFmtId="0" fontId="61" fillId="0" borderId="55" xfId="0" applyFont="1" applyBorder="1" applyAlignment="1">
      <alignment horizontal="center" vertical="center" wrapText="1"/>
    </xf>
    <xf numFmtId="0" fontId="61" fillId="0" borderId="54" xfId="0" applyFont="1" applyBorder="1" applyAlignment="1">
      <alignment horizontal="center" vertical="center" wrapText="1"/>
    </xf>
    <xf numFmtId="0" fontId="22" fillId="37" borderId="50" xfId="0" applyFont="1" applyFill="1" applyBorder="1" applyAlignment="1" applyProtection="1">
      <alignment horizontal="center" vertical="center" wrapText="1"/>
    </xf>
    <xf numFmtId="0" fontId="22" fillId="36" borderId="50" xfId="0" applyFont="1" applyFill="1" applyBorder="1" applyAlignment="1" applyProtection="1">
      <alignment horizontal="center" vertical="center" wrapText="1"/>
    </xf>
    <xf numFmtId="0" fontId="84" fillId="36" borderId="21" xfId="0" applyFont="1" applyFill="1" applyBorder="1" applyAlignment="1" applyProtection="1">
      <alignment horizontal="center" vertical="center" wrapText="1"/>
    </xf>
    <xf numFmtId="0" fontId="84" fillId="36" borderId="50" xfId="0" applyFont="1" applyFill="1" applyBorder="1" applyAlignment="1" applyProtection="1">
      <alignment horizontal="center" vertical="center" wrapText="1"/>
    </xf>
    <xf numFmtId="0" fontId="22" fillId="30" borderId="21" xfId="0" applyFont="1" applyFill="1" applyBorder="1" applyAlignment="1" applyProtection="1">
      <alignment horizontal="center" vertical="center" wrapText="1"/>
    </xf>
    <xf numFmtId="0" fontId="22" fillId="52" borderId="50" xfId="0" applyFont="1" applyFill="1" applyBorder="1" applyAlignment="1" applyProtection="1">
      <alignment horizontal="center" vertical="center" wrapText="1"/>
    </xf>
    <xf numFmtId="0" fontId="84" fillId="30" borderId="21" xfId="0" applyFont="1" applyFill="1" applyBorder="1" applyAlignment="1" applyProtection="1">
      <alignment horizontal="center" vertical="center" wrapText="1"/>
    </xf>
    <xf numFmtId="0" fontId="84" fillId="30" borderId="50" xfId="0" applyFont="1" applyFill="1" applyBorder="1" applyAlignment="1" applyProtection="1">
      <alignment horizontal="center" vertical="center" wrapText="1"/>
    </xf>
    <xf numFmtId="0" fontId="84" fillId="15" borderId="21" xfId="0" applyFont="1" applyFill="1" applyBorder="1" applyAlignment="1" applyProtection="1">
      <alignment horizontal="center" vertical="center" wrapText="1"/>
    </xf>
    <xf numFmtId="0" fontId="84" fillId="15" borderId="50"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3" xfId="0" applyFont="1" applyFill="1" applyBorder="1" applyAlignment="1" applyProtection="1">
      <alignment horizontal="center" vertical="center" wrapText="1"/>
    </xf>
    <xf numFmtId="0" fontId="4" fillId="53" borderId="22" xfId="0" applyFont="1" applyFill="1" applyBorder="1" applyAlignment="1" applyProtection="1">
      <alignment horizontal="center" vertical="center"/>
    </xf>
    <xf numFmtId="0" fontId="4" fillId="53" borderId="23" xfId="0" applyFont="1" applyFill="1" applyBorder="1" applyAlignment="1" applyProtection="1">
      <alignment horizontal="center" vertical="center"/>
    </xf>
    <xf numFmtId="4" fontId="4" fillId="53" borderId="73" xfId="0" applyNumberFormat="1" applyFont="1" applyFill="1" applyBorder="1" applyAlignment="1" applyProtection="1">
      <alignment horizontal="center" vertical="center"/>
    </xf>
    <xf numFmtId="4" fontId="4" fillId="53" borderId="74" xfId="0" applyNumberFormat="1" applyFont="1" applyFill="1" applyBorder="1" applyAlignment="1" applyProtection="1">
      <alignment horizontal="center" vertical="center"/>
    </xf>
    <xf numFmtId="0" fontId="83" fillId="3" borderId="42" xfId="0" applyFont="1" applyFill="1" applyBorder="1" applyAlignment="1" applyProtection="1">
      <alignment horizontal="center" vertical="center" wrapText="1"/>
    </xf>
    <xf numFmtId="0" fontId="83" fillId="3" borderId="69" xfId="0" applyFont="1" applyFill="1" applyBorder="1" applyAlignment="1" applyProtection="1">
      <alignment horizontal="center" vertical="center" wrapText="1"/>
    </xf>
    <xf numFmtId="4" fontId="4" fillId="53" borderId="72" xfId="0" applyNumberFormat="1" applyFont="1" applyFill="1" applyBorder="1" applyAlignment="1" applyProtection="1">
      <alignment horizontal="center" vertical="center"/>
    </xf>
    <xf numFmtId="0" fontId="83" fillId="3" borderId="21" xfId="0" applyFont="1" applyFill="1" applyBorder="1" applyAlignment="1" applyProtection="1">
      <alignment horizontal="center" vertical="center" wrapText="1"/>
    </xf>
    <xf numFmtId="0" fontId="83" fillId="3" borderId="50" xfId="0" applyFont="1" applyFill="1" applyBorder="1" applyAlignment="1" applyProtection="1">
      <alignment horizontal="center" vertical="center" wrapText="1"/>
    </xf>
    <xf numFmtId="0" fontId="83" fillId="3" borderId="22" xfId="0" applyFont="1" applyFill="1" applyBorder="1" applyAlignment="1" applyProtection="1">
      <alignment horizontal="center" vertical="center" wrapText="1"/>
    </xf>
    <xf numFmtId="0" fontId="83" fillId="3" borderId="23" xfId="0" applyFont="1" applyFill="1" applyBorder="1" applyAlignment="1" applyProtection="1">
      <alignment horizontal="center" vertical="center" wrapText="1"/>
    </xf>
    <xf numFmtId="4" fontId="4" fillId="53" borderId="75" xfId="0" applyNumberFormat="1" applyFont="1" applyFill="1" applyBorder="1" applyAlignment="1" applyProtection="1">
      <alignment horizontal="center" vertical="center"/>
    </xf>
    <xf numFmtId="4" fontId="4" fillId="53" borderId="31" xfId="0" applyNumberFormat="1" applyFont="1" applyFill="1" applyBorder="1" applyAlignment="1" applyProtection="1">
      <alignment horizontal="center" vertical="center"/>
    </xf>
    <xf numFmtId="166" fontId="86" fillId="3" borderId="69" xfId="0" applyNumberFormat="1" applyFont="1" applyFill="1" applyBorder="1" applyAlignment="1" applyProtection="1">
      <alignment horizontal="center" vertical="center" wrapText="1"/>
    </xf>
    <xf numFmtId="166" fontId="86" fillId="3" borderId="43" xfId="0" applyNumberFormat="1" applyFont="1" applyFill="1" applyBorder="1" applyAlignment="1" applyProtection="1">
      <alignment horizontal="center" vertical="center" wrapText="1"/>
    </xf>
    <xf numFmtId="0" fontId="88" fillId="53" borderId="46" xfId="0" applyFont="1" applyFill="1" applyBorder="1" applyAlignment="1" applyProtection="1">
      <alignment horizontal="left" vertical="center" wrapText="1"/>
    </xf>
    <xf numFmtId="0" fontId="88" fillId="53" borderId="0" xfId="0" applyFont="1" applyFill="1" applyBorder="1" applyAlignment="1" applyProtection="1">
      <alignment horizontal="left" vertical="center" wrapText="1"/>
    </xf>
    <xf numFmtId="0" fontId="88" fillId="53" borderId="61" xfId="0" applyFont="1" applyFill="1" applyBorder="1" applyAlignment="1" applyProtection="1">
      <alignment horizontal="left" vertical="center" wrapText="1"/>
    </xf>
    <xf numFmtId="0" fontId="22" fillId="19" borderId="0" xfId="0" applyFont="1" applyFill="1" applyBorder="1" applyAlignment="1" applyProtection="1">
      <alignment horizontal="center" vertical="center" wrapText="1"/>
    </xf>
    <xf numFmtId="0" fontId="22" fillId="14"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3" fontId="18" fillId="0" borderId="0" xfId="0" applyNumberFormat="1" applyFont="1" applyFill="1" applyBorder="1" applyAlignment="1" applyProtection="1">
      <alignment horizontal="center" vertical="center" wrapText="1"/>
      <protection locked="0"/>
    </xf>
    <xf numFmtId="0" fontId="79" fillId="53" borderId="63" xfId="0" applyFont="1" applyFill="1" applyBorder="1" applyAlignment="1" applyProtection="1">
      <alignment horizontal="center" vertical="center" wrapText="1"/>
    </xf>
    <xf numFmtId="0" fontId="79" fillId="53" borderId="65" xfId="0" applyFont="1" applyFill="1" applyBorder="1" applyAlignment="1" applyProtection="1">
      <alignment horizontal="center" vertical="center" wrapText="1"/>
    </xf>
    <xf numFmtId="0" fontId="79" fillId="53" borderId="62" xfId="0" applyFont="1" applyFill="1" applyBorder="1" applyAlignment="1" applyProtection="1">
      <alignment horizontal="center" vertical="center" wrapText="1"/>
    </xf>
    <xf numFmtId="0" fontId="3" fillId="0" borderId="78" xfId="0" applyFont="1" applyBorder="1" applyAlignment="1">
      <alignment horizontal="center"/>
    </xf>
    <xf numFmtId="0" fontId="3" fillId="0" borderId="79" xfId="0" applyFont="1" applyBorder="1" applyAlignment="1">
      <alignment horizontal="center"/>
    </xf>
    <xf numFmtId="0" fontId="3" fillId="0" borderId="12" xfId="0" applyFont="1" applyBorder="1" applyAlignment="1">
      <alignment horizontal="center"/>
    </xf>
    <xf numFmtId="0" fontId="79" fillId="4" borderId="77" xfId="0" applyFont="1" applyFill="1" applyBorder="1" applyAlignment="1" applyProtection="1">
      <alignment horizontal="left" vertical="center" wrapText="1"/>
    </xf>
    <xf numFmtId="0" fontId="79" fillId="4" borderId="83" xfId="0" applyFont="1" applyFill="1" applyBorder="1" applyAlignment="1" applyProtection="1">
      <alignment horizontal="left" vertical="center" wrapText="1"/>
    </xf>
    <xf numFmtId="0" fontId="79" fillId="57" borderId="15" xfId="0" applyFont="1" applyFill="1" applyBorder="1" applyAlignment="1" applyProtection="1">
      <alignment horizontal="left" vertical="center" wrapText="1"/>
    </xf>
    <xf numFmtId="0" fontId="79" fillId="57" borderId="14" xfId="0" applyFont="1" applyFill="1" applyBorder="1" applyAlignment="1" applyProtection="1">
      <alignment horizontal="left" vertical="center" wrapText="1"/>
    </xf>
    <xf numFmtId="0" fontId="3" fillId="0" borderId="46" xfId="0" applyFont="1" applyBorder="1" applyAlignment="1">
      <alignment horizontal="left"/>
    </xf>
    <xf numFmtId="0" fontId="3" fillId="0" borderId="0" xfId="0" applyFont="1" applyBorder="1" applyAlignment="1">
      <alignment horizontal="left"/>
    </xf>
    <xf numFmtId="0" fontId="79" fillId="54" borderId="63" xfId="0" applyFont="1" applyFill="1" applyBorder="1" applyAlignment="1" applyProtection="1">
      <alignment horizontal="center" vertical="center" wrapText="1"/>
    </xf>
    <xf numFmtId="0" fontId="79" fillId="54" borderId="65" xfId="0" applyFont="1" applyFill="1" applyBorder="1" applyAlignment="1" applyProtection="1">
      <alignment horizontal="center" vertical="center" wrapText="1"/>
    </xf>
    <xf numFmtId="0" fontId="79" fillId="54" borderId="62" xfId="0" applyFont="1" applyFill="1" applyBorder="1" applyAlignment="1" applyProtection="1">
      <alignment horizontal="center" vertical="center" wrapText="1"/>
    </xf>
    <xf numFmtId="0" fontId="79" fillId="56" borderId="63" xfId="0" applyFont="1" applyFill="1" applyBorder="1" applyAlignment="1" applyProtection="1">
      <alignment horizontal="center" vertical="center" wrapText="1"/>
    </xf>
    <xf numFmtId="0" fontId="79" fillId="56" borderId="65" xfId="0" applyFont="1" applyFill="1" applyBorder="1" applyAlignment="1" applyProtection="1">
      <alignment horizontal="center" vertical="center" wrapText="1"/>
    </xf>
    <xf numFmtId="0" fontId="79" fillId="56" borderId="62" xfId="0" applyFont="1" applyFill="1" applyBorder="1" applyAlignment="1" applyProtection="1">
      <alignment horizontal="center" vertical="center" wrapText="1"/>
    </xf>
    <xf numFmtId="0" fontId="79" fillId="55" borderId="63" xfId="0" applyFont="1" applyFill="1" applyBorder="1" applyAlignment="1" applyProtection="1">
      <alignment horizontal="center" vertical="center" wrapText="1"/>
    </xf>
    <xf numFmtId="0" fontId="79" fillId="55" borderId="65" xfId="0" applyFont="1" applyFill="1" applyBorder="1" applyAlignment="1" applyProtection="1">
      <alignment horizontal="center" vertical="center" wrapText="1"/>
    </xf>
    <xf numFmtId="0" fontId="79" fillId="55" borderId="62" xfId="0" applyFont="1" applyFill="1" applyBorder="1" applyAlignment="1" applyProtection="1">
      <alignment horizontal="center" vertical="center" wrapText="1"/>
    </xf>
    <xf numFmtId="0" fontId="0" fillId="0" borderId="78" xfId="0" applyBorder="1" applyAlignment="1">
      <alignment horizontal="center"/>
    </xf>
    <xf numFmtId="0" fontId="0" fillId="0" borderId="79" xfId="0" applyBorder="1" applyAlignment="1">
      <alignment horizontal="center"/>
    </xf>
    <xf numFmtId="0" fontId="0" fillId="0" borderId="12" xfId="0" applyBorder="1" applyAlignment="1">
      <alignment horizontal="center"/>
    </xf>
    <xf numFmtId="0" fontId="79" fillId="14" borderId="63" xfId="0" applyFont="1" applyFill="1" applyBorder="1" applyAlignment="1" applyProtection="1">
      <alignment horizontal="center" vertical="center" wrapText="1"/>
    </xf>
    <xf numFmtId="0" fontId="79" fillId="14" borderId="65" xfId="0" applyFont="1" applyFill="1" applyBorder="1" applyAlignment="1" applyProtection="1">
      <alignment horizontal="center" vertical="center" wrapText="1"/>
    </xf>
    <xf numFmtId="0" fontId="79" fillId="14" borderId="62" xfId="0" applyFont="1" applyFill="1" applyBorder="1" applyAlignment="1" applyProtection="1">
      <alignment horizontal="center" vertical="center" wrapText="1"/>
    </xf>
    <xf numFmtId="0" fontId="79" fillId="4" borderId="63" xfId="0" applyFont="1" applyFill="1" applyBorder="1" applyAlignment="1" applyProtection="1">
      <alignment horizontal="center" vertical="center" wrapText="1"/>
    </xf>
    <xf numFmtId="0" fontId="79" fillId="4" borderId="65" xfId="0" applyFont="1" applyFill="1" applyBorder="1" applyAlignment="1" applyProtection="1">
      <alignment horizontal="center" vertical="center" wrapText="1"/>
    </xf>
    <xf numFmtId="0" fontId="79" fillId="4" borderId="62" xfId="0" applyFont="1" applyFill="1" applyBorder="1" applyAlignment="1" applyProtection="1">
      <alignment horizontal="center" vertical="center" wrapText="1"/>
    </xf>
    <xf numFmtId="0" fontId="79" fillId="57" borderId="63" xfId="0" applyFont="1" applyFill="1" applyBorder="1" applyAlignment="1" applyProtection="1">
      <alignment horizontal="center" vertical="center" wrapText="1"/>
    </xf>
    <xf numFmtId="0" fontId="79" fillId="57" borderId="65" xfId="0" applyFont="1" applyFill="1" applyBorder="1" applyAlignment="1" applyProtection="1">
      <alignment horizontal="center" vertical="center" wrapText="1"/>
    </xf>
    <xf numFmtId="0" fontId="79" fillId="57" borderId="62" xfId="0" applyFont="1" applyFill="1" applyBorder="1" applyAlignment="1" applyProtection="1">
      <alignment horizontal="center" vertical="center" wrapText="1"/>
    </xf>
  </cellXfs>
  <cellStyles count="18">
    <cellStyle name="Euro" xfId="2"/>
    <cellStyle name="Excel Built-in Normal" xfId="14"/>
    <cellStyle name="Hipervínculo" xfId="1" builtinId="8"/>
    <cellStyle name="Hipervínculo 2" xfId="3"/>
    <cellStyle name="Millares" xfId="13" builtinId="3"/>
    <cellStyle name="Millares 2" xfId="4"/>
    <cellStyle name="Millares 3" xfId="15"/>
    <cellStyle name="Normal" xfId="0" builtinId="0"/>
    <cellStyle name="Normal 2" xfId="5"/>
    <cellStyle name="Normal 3" xfId="6"/>
    <cellStyle name="Normal 4" xfId="7"/>
    <cellStyle name="Normal 5" xfId="8"/>
    <cellStyle name="Normal 6" xfId="9"/>
    <cellStyle name="Normal 7" xfId="10"/>
    <cellStyle name="Normal 8" xfId="11"/>
    <cellStyle name="Normal_HOJAS precalculo 2000_Lulucf" xfId="16"/>
    <cellStyle name="Porcentaje" xfId="17" builtinId="5"/>
    <cellStyle name="Porcentaje 2" xfId="12"/>
  </cellStyles>
  <dxfs count="0"/>
  <tableStyles count="0" defaultTableStyle="TableStyleMedium2" defaultPivotStyle="PivotStyleLight16"/>
  <colors>
    <mruColors>
      <color rgb="FFFFFF99"/>
      <color rgb="FFFFFFCC"/>
      <color rgb="FFFFFF66"/>
      <color rgb="FFFF9797"/>
      <color rgb="FFFF5050"/>
      <color rgb="FFFF3300"/>
      <color rgb="FFFFCC66"/>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a:t>
            </a:r>
          </a:p>
        </c:rich>
      </c:tx>
      <c:overlay val="0"/>
    </c:title>
    <c:autoTitleDeleted val="0"/>
    <c:plotArea>
      <c:layout/>
      <c:barChart>
        <c:barDir val="col"/>
        <c:grouping val="clustered"/>
        <c:varyColors val="0"/>
        <c:ser>
          <c:idx val="0"/>
          <c:order val="0"/>
          <c:invertIfNegative val="0"/>
          <c:cat>
            <c:strRef>
              <c:f>(INFORMES!$A$5:$A$11,INFORMES!$A$13)</c:f>
              <c:strCache>
                <c:ptCount val="8"/>
                <c:pt idx="0">
                  <c:v>RESIDENCIAL</c:v>
                </c:pt>
                <c:pt idx="1">
                  <c:v>INSTITUCIONAL - COMERCIAL</c:v>
                </c:pt>
                <c:pt idx="2">
                  <c:v>TRANSPORTE </c:v>
                </c:pt>
                <c:pt idx="3">
                  <c:v>INDUSTRIAL</c:v>
                </c:pt>
                <c:pt idx="4">
                  <c:v>AGROPECUARIO </c:v>
                </c:pt>
                <c:pt idx="5">
                  <c:v>RESIDUOS</c:v>
                </c:pt>
                <c:pt idx="6">
                  <c:v>USO DEL SUELO </c:v>
                </c:pt>
                <c:pt idx="7">
                  <c:v>SUMIDEROS</c:v>
                </c:pt>
              </c:strCache>
            </c:strRef>
          </c:cat>
          <c:val>
            <c:numRef>
              <c:f>(INFORMES!$B$5:$B$11,INFORMES!$B$13)</c:f>
              <c:numCache>
                <c:formatCode>#,##0.00</c:formatCode>
                <c:ptCount val="8"/>
                <c:pt idx="0">
                  <c:v>60699.432772984619</c:v>
                </c:pt>
                <c:pt idx="1">
                  <c:v>1436730.6591777103</c:v>
                </c:pt>
                <c:pt idx="2">
                  <c:v>0</c:v>
                </c:pt>
                <c:pt idx="3">
                  <c:v>0</c:v>
                </c:pt>
                <c:pt idx="4">
                  <c:v>0</c:v>
                </c:pt>
                <c:pt idx="5">
                  <c:v>0.51985919999999997</c:v>
                </c:pt>
                <c:pt idx="6">
                  <c:v>0</c:v>
                </c:pt>
                <c:pt idx="7">
                  <c:v>0</c:v>
                </c:pt>
              </c:numCache>
            </c:numRef>
          </c:val>
        </c:ser>
        <c:dLbls>
          <c:showLegendKey val="0"/>
          <c:showVal val="0"/>
          <c:showCatName val="0"/>
          <c:showSerName val="0"/>
          <c:showPercent val="0"/>
          <c:showBubbleSize val="0"/>
        </c:dLbls>
        <c:gapWidth val="150"/>
        <c:axId val="2093710224"/>
        <c:axId val="2093708048"/>
      </c:barChart>
      <c:catAx>
        <c:axId val="2093710224"/>
        <c:scaling>
          <c:orientation val="minMax"/>
        </c:scaling>
        <c:delete val="0"/>
        <c:axPos val="b"/>
        <c:numFmt formatCode="General" sourceLinked="0"/>
        <c:majorTickMark val="out"/>
        <c:minorTickMark val="none"/>
        <c:tickLblPos val="nextTo"/>
        <c:crossAx val="2093708048"/>
        <c:crosses val="autoZero"/>
        <c:auto val="1"/>
        <c:lblAlgn val="ctr"/>
        <c:lblOffset val="100"/>
        <c:noMultiLvlLbl val="0"/>
      </c:catAx>
      <c:valAx>
        <c:axId val="2093708048"/>
        <c:scaling>
          <c:orientation val="minMax"/>
        </c:scaling>
        <c:delete val="0"/>
        <c:axPos val="l"/>
        <c:majorGridlines/>
        <c:title>
          <c:tx>
            <c:rich>
              <a:bodyPr rot="-5400000" vert="horz"/>
              <a:lstStyle/>
              <a:p>
                <a:pPr>
                  <a:defRPr/>
                </a:pPr>
                <a:r>
                  <a:rPr lang="es-CO"/>
                  <a:t>Emisiones GEI (Ton</a:t>
                </a:r>
                <a:r>
                  <a:rPr lang="es-CO" baseline="0"/>
                  <a:t> CO2e/año)</a:t>
                </a:r>
                <a:endParaRPr lang="es-CO"/>
              </a:p>
            </c:rich>
          </c:tx>
          <c:overlay val="0"/>
        </c:title>
        <c:numFmt formatCode="#,##0.00" sourceLinked="1"/>
        <c:majorTickMark val="out"/>
        <c:minorTickMark val="none"/>
        <c:tickLblPos val="nextTo"/>
        <c:crossAx val="2093710224"/>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INFORMES!$A$36:$A$41</c:f>
              <c:strCache>
                <c:ptCount val="6"/>
                <c:pt idx="0">
                  <c:v>CO2</c:v>
                </c:pt>
                <c:pt idx="1">
                  <c:v>CH4</c:v>
                </c:pt>
                <c:pt idx="2">
                  <c:v>N2O</c:v>
                </c:pt>
                <c:pt idx="3">
                  <c:v>Compuestos Fluorados</c:v>
                </c:pt>
                <c:pt idx="4">
                  <c:v>SF6</c:v>
                </c:pt>
                <c:pt idx="5">
                  <c:v>NF3</c:v>
                </c:pt>
              </c:strCache>
            </c:strRef>
          </c:cat>
          <c:val>
            <c:numRef>
              <c:f>INFORMES!$C$36:$C$41</c:f>
              <c:numCache>
                <c:formatCode>0.00%</c:formatCode>
                <c:ptCount val="6"/>
                <c:pt idx="0">
                  <c:v>0.99805116480401368</c:v>
                </c:pt>
                <c:pt idx="1">
                  <c:v>4.895473473489492E-4</c:v>
                </c:pt>
                <c:pt idx="2">
                  <c:v>5.3160207872980333E-4</c:v>
                </c:pt>
                <c:pt idx="3">
                  <c:v>9.2768576990755289E-4</c:v>
                </c:pt>
                <c:pt idx="4">
                  <c:v>0</c:v>
                </c:pt>
                <c:pt idx="5">
                  <c:v>0</c:v>
                </c:pt>
              </c:numCache>
            </c:numRef>
          </c:val>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INFORMES!$A$51:$A$56</c:f>
              <c:strCache>
                <c:ptCount val="6"/>
                <c:pt idx="0">
                  <c:v>RESIDENCIAL</c:v>
                </c:pt>
                <c:pt idx="1">
                  <c:v>INSTITUCIONAL - COMERCIAL</c:v>
                </c:pt>
                <c:pt idx="2">
                  <c:v>TRANSPORTE </c:v>
                </c:pt>
                <c:pt idx="3">
                  <c:v>INDUSTRIAL</c:v>
                </c:pt>
                <c:pt idx="4">
                  <c:v>AGROPECUARIO </c:v>
                </c:pt>
                <c:pt idx="5">
                  <c:v>RESIDUOS</c:v>
                </c:pt>
              </c:strCache>
            </c:strRef>
          </c:cat>
          <c:val>
            <c:numRef>
              <c:f>INFORMES!$C$51:$C$56</c:f>
              <c:numCache>
                <c:formatCode>0.00%</c:formatCode>
                <c:ptCount val="6"/>
                <c:pt idx="0">
                  <c:v>9.741354324277042E-2</c:v>
                </c:pt>
                <c:pt idx="1">
                  <c:v>0.90258645675722948</c:v>
                </c:pt>
                <c:pt idx="2">
                  <c:v>0</c:v>
                </c:pt>
                <c:pt idx="3">
                  <c:v>0</c:v>
                </c:pt>
                <c:pt idx="4">
                  <c:v>0</c:v>
                </c:pt>
                <c:pt idx="5">
                  <c:v>0</c:v>
                </c:pt>
              </c:numCache>
            </c:numRef>
          </c:val>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u="none" strike="noStrike" baseline="0">
                <a:effectLst/>
              </a:rPr>
              <a:t>EMISIONES REPORTE IPCC </a:t>
            </a:r>
            <a:endParaRPr lang="es-CO" sz="1400"/>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INFORMES!$A$64:$A$67</c:f>
              <c:strCache>
                <c:ptCount val="4"/>
                <c:pt idx="0">
                  <c:v>ENERGIA  </c:v>
                </c:pt>
                <c:pt idx="1">
                  <c:v>IPPU</c:v>
                </c:pt>
                <c:pt idx="2">
                  <c:v>AFOLU</c:v>
                </c:pt>
                <c:pt idx="3">
                  <c:v>DESECHOS</c:v>
                </c:pt>
              </c:strCache>
            </c:strRef>
          </c:cat>
          <c:val>
            <c:numRef>
              <c:f>INFORMES!$C$64:$C$67</c:f>
              <c:numCache>
                <c:formatCode>0.00%</c:formatCode>
                <c:ptCount val="4"/>
                <c:pt idx="0">
                  <c:v>0.99907196706262036</c:v>
                </c:pt>
                <c:pt idx="1">
                  <c:v>9.2768576990755257E-4</c:v>
                </c:pt>
                <c:pt idx="2">
                  <c:v>0</c:v>
                </c:pt>
                <c:pt idx="3">
                  <c:v>3.4716747200169978E-7</c:v>
                </c:pt>
              </c:numCache>
            </c:numRef>
          </c:val>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baseline="0">
                <a:effectLst/>
              </a:rPr>
              <a:t>EMISIONES REPORTE BASIC (GHG PROTOCOL - GPC)</a:t>
            </a:r>
            <a:endParaRPr lang="es-CO" sz="1400">
              <a:effectLst/>
            </a:endParaRP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INFORMES!$A$79:$A$84</c:f>
              <c:strCache>
                <c:ptCount val="6"/>
                <c:pt idx="0">
                  <c:v>ENERGIA ESTACIONARIA</c:v>
                </c:pt>
                <c:pt idx="1">
                  <c:v>TRANSPORTE</c:v>
                </c:pt>
                <c:pt idx="2">
                  <c:v>RESIDUOS</c:v>
                </c:pt>
                <c:pt idx="3">
                  <c:v>ENERGIA ESTACIONARIA</c:v>
                </c:pt>
                <c:pt idx="4">
                  <c:v>TRANSPORTE</c:v>
                </c:pt>
                <c:pt idx="5">
                  <c:v>RESIDUOS</c:v>
                </c:pt>
              </c:strCache>
            </c:strRef>
          </c:cat>
          <c:val>
            <c:numRef>
              <c:f>INFORMES!$D$79:$D$84</c:f>
              <c:numCache>
                <c:formatCode>0.00%</c:formatCode>
                <c:ptCount val="6"/>
                <c:pt idx="0">
                  <c:v>0.97680264042224318</c:v>
                </c:pt>
                <c:pt idx="1">
                  <c:v>0</c:v>
                </c:pt>
                <c:pt idx="2">
                  <c:v>3.4748983337530968E-7</c:v>
                </c:pt>
                <c:pt idx="3">
                  <c:v>2.3197012087923408E-2</c:v>
                </c:pt>
                <c:pt idx="4">
                  <c:v>0</c:v>
                </c:pt>
                <c:pt idx="5">
                  <c:v>0</c:v>
                </c:pt>
              </c:numCache>
            </c:numRef>
          </c:val>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INFORMES!$A$95:$A$102</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INFORMES!$D$95:$D$102</c:f>
              <c:numCache>
                <c:formatCode>0.00%</c:formatCode>
                <c:ptCount val="8"/>
                <c:pt idx="0">
                  <c:v>0.97589647451271533</c:v>
                </c:pt>
                <c:pt idx="1">
                  <c:v>0</c:v>
                </c:pt>
                <c:pt idx="2">
                  <c:v>3.4716747200169983E-7</c:v>
                </c:pt>
                <c:pt idx="3">
                  <c:v>9.2768576990755267E-4</c:v>
                </c:pt>
                <c:pt idx="4">
                  <c:v>0</c:v>
                </c:pt>
                <c:pt idx="5">
                  <c:v>2.3175492549905068E-2</c:v>
                </c:pt>
                <c:pt idx="6">
                  <c:v>0</c:v>
                </c:pt>
                <c:pt idx="7">
                  <c:v>0</c:v>
                </c:pt>
              </c:numCache>
            </c:numRef>
          </c:val>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barChart>
        <c:barDir val="col"/>
        <c:grouping val="clustered"/>
        <c:varyColors val="0"/>
        <c:ser>
          <c:idx val="0"/>
          <c:order val="0"/>
          <c:invertIfNegative val="0"/>
          <c:cat>
            <c:strRef>
              <c:f>INFORMES!$A$36:$A$41</c:f>
              <c:strCache>
                <c:ptCount val="6"/>
                <c:pt idx="0">
                  <c:v>CO2</c:v>
                </c:pt>
                <c:pt idx="1">
                  <c:v>CH4</c:v>
                </c:pt>
                <c:pt idx="2">
                  <c:v>N2O</c:v>
                </c:pt>
                <c:pt idx="3">
                  <c:v>Compuestos Fluorados</c:v>
                </c:pt>
                <c:pt idx="4">
                  <c:v>SF6</c:v>
                </c:pt>
                <c:pt idx="5">
                  <c:v>NF3</c:v>
                </c:pt>
              </c:strCache>
            </c:strRef>
          </c:cat>
          <c:val>
            <c:numRef>
              <c:f>INFORMES!$B$36:$B$41</c:f>
              <c:numCache>
                <c:formatCode>#,##0.00</c:formatCode>
                <c:ptCount val="6"/>
                <c:pt idx="0">
                  <c:v>1494512.3663300523</c:v>
                </c:pt>
                <c:pt idx="1">
                  <c:v>733.06318385064799</c:v>
                </c:pt>
                <c:pt idx="2">
                  <c:v>796.03722599178127</c:v>
                </c:pt>
                <c:pt idx="3">
                  <c:v>1389.14507</c:v>
                </c:pt>
                <c:pt idx="4">
                  <c:v>0</c:v>
                </c:pt>
                <c:pt idx="5">
                  <c:v>0</c:v>
                </c:pt>
              </c:numCache>
            </c:numRef>
          </c:val>
        </c:ser>
        <c:dLbls>
          <c:showLegendKey val="0"/>
          <c:showVal val="0"/>
          <c:showCatName val="0"/>
          <c:showSerName val="0"/>
          <c:showPercent val="0"/>
          <c:showBubbleSize val="0"/>
        </c:dLbls>
        <c:gapWidth val="150"/>
        <c:axId val="76035488"/>
        <c:axId val="76036576"/>
      </c:barChart>
      <c:catAx>
        <c:axId val="76035488"/>
        <c:scaling>
          <c:orientation val="minMax"/>
        </c:scaling>
        <c:delete val="0"/>
        <c:axPos val="b"/>
        <c:numFmt formatCode="General" sourceLinked="0"/>
        <c:majorTickMark val="out"/>
        <c:minorTickMark val="none"/>
        <c:tickLblPos val="nextTo"/>
        <c:crossAx val="76036576"/>
        <c:crosses val="autoZero"/>
        <c:auto val="1"/>
        <c:lblAlgn val="ctr"/>
        <c:lblOffset val="100"/>
        <c:noMultiLvlLbl val="0"/>
      </c:catAx>
      <c:valAx>
        <c:axId val="76036576"/>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76035488"/>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barChart>
        <c:barDir val="col"/>
        <c:grouping val="clustered"/>
        <c:varyColors val="0"/>
        <c:ser>
          <c:idx val="0"/>
          <c:order val="0"/>
          <c:invertIfNegative val="0"/>
          <c:cat>
            <c:strRef>
              <c:f>INFORMES!$A$51:$A$56</c:f>
              <c:strCache>
                <c:ptCount val="6"/>
                <c:pt idx="0">
                  <c:v>RESIDENCIAL</c:v>
                </c:pt>
                <c:pt idx="1">
                  <c:v>INSTITUCIONAL - COMERCIAL</c:v>
                </c:pt>
                <c:pt idx="2">
                  <c:v>TRANSPORTE </c:v>
                </c:pt>
                <c:pt idx="3">
                  <c:v>INDUSTRIAL</c:v>
                </c:pt>
                <c:pt idx="4">
                  <c:v>AGROPECUARIO </c:v>
                </c:pt>
                <c:pt idx="5">
                  <c:v>RESIDUOS</c:v>
                </c:pt>
              </c:strCache>
            </c:strRef>
          </c:cat>
          <c:val>
            <c:numRef>
              <c:f>INFORMES!$B$51:$B$56</c:f>
              <c:numCache>
                <c:formatCode>#,##0.00</c:formatCode>
                <c:ptCount val="6"/>
                <c:pt idx="0">
                  <c:v>18672.749571392997</c:v>
                </c:pt>
                <c:pt idx="1">
                  <c:v>173012.60494709999</c:v>
                </c:pt>
                <c:pt idx="2">
                  <c:v>0</c:v>
                </c:pt>
                <c:pt idx="3">
                  <c:v>0</c:v>
                </c:pt>
                <c:pt idx="4">
                  <c:v>0</c:v>
                </c:pt>
                <c:pt idx="5">
                  <c:v>0</c:v>
                </c:pt>
              </c:numCache>
            </c:numRef>
          </c:val>
        </c:ser>
        <c:dLbls>
          <c:showLegendKey val="0"/>
          <c:showVal val="0"/>
          <c:showCatName val="0"/>
          <c:showSerName val="0"/>
          <c:showPercent val="0"/>
          <c:showBubbleSize val="0"/>
        </c:dLbls>
        <c:gapWidth val="150"/>
        <c:axId val="76028960"/>
        <c:axId val="76039840"/>
      </c:barChart>
      <c:catAx>
        <c:axId val="76028960"/>
        <c:scaling>
          <c:orientation val="minMax"/>
        </c:scaling>
        <c:delete val="0"/>
        <c:axPos val="b"/>
        <c:numFmt formatCode="General" sourceLinked="0"/>
        <c:majorTickMark val="out"/>
        <c:minorTickMark val="none"/>
        <c:tickLblPos val="nextTo"/>
        <c:crossAx val="76039840"/>
        <c:crosses val="autoZero"/>
        <c:auto val="1"/>
        <c:lblAlgn val="ctr"/>
        <c:lblOffset val="100"/>
        <c:noMultiLvlLbl val="0"/>
      </c:catAx>
      <c:valAx>
        <c:axId val="76039840"/>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76028960"/>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IPCC </a:t>
            </a:r>
          </a:p>
        </c:rich>
      </c:tx>
      <c:overlay val="0"/>
    </c:title>
    <c:autoTitleDeleted val="0"/>
    <c:plotArea>
      <c:layout/>
      <c:barChart>
        <c:barDir val="col"/>
        <c:grouping val="clustered"/>
        <c:varyColors val="0"/>
        <c:ser>
          <c:idx val="0"/>
          <c:order val="0"/>
          <c:invertIfNegative val="0"/>
          <c:cat>
            <c:strRef>
              <c:f>INFORMES!$A$64:$A$67</c:f>
              <c:strCache>
                <c:ptCount val="4"/>
                <c:pt idx="0">
                  <c:v>ENERGIA  </c:v>
                </c:pt>
                <c:pt idx="1">
                  <c:v>IPPU</c:v>
                </c:pt>
                <c:pt idx="2">
                  <c:v>AFOLU</c:v>
                </c:pt>
                <c:pt idx="3">
                  <c:v>DESECHOS</c:v>
                </c:pt>
              </c:strCache>
            </c:strRef>
          </c:cat>
          <c:val>
            <c:numRef>
              <c:f>INFORMES!$B$64:$B$67</c:f>
              <c:numCache>
                <c:formatCode>#,##0.00</c:formatCode>
                <c:ptCount val="4"/>
                <c:pt idx="0">
                  <c:v>1496040.9468806949</c:v>
                </c:pt>
                <c:pt idx="1">
                  <c:v>1389.14507</c:v>
                </c:pt>
                <c:pt idx="2">
                  <c:v>0</c:v>
                </c:pt>
                <c:pt idx="3">
                  <c:v>0.51985919999999997</c:v>
                </c:pt>
              </c:numCache>
            </c:numRef>
          </c:val>
        </c:ser>
        <c:dLbls>
          <c:showLegendKey val="0"/>
          <c:showVal val="0"/>
          <c:showCatName val="0"/>
          <c:showSerName val="0"/>
          <c:showPercent val="0"/>
          <c:showBubbleSize val="0"/>
        </c:dLbls>
        <c:gapWidth val="150"/>
        <c:axId val="76043104"/>
        <c:axId val="76032768"/>
      </c:barChart>
      <c:catAx>
        <c:axId val="76043104"/>
        <c:scaling>
          <c:orientation val="minMax"/>
        </c:scaling>
        <c:delete val="0"/>
        <c:axPos val="b"/>
        <c:numFmt formatCode="General" sourceLinked="0"/>
        <c:majorTickMark val="out"/>
        <c:minorTickMark val="none"/>
        <c:tickLblPos val="nextTo"/>
        <c:crossAx val="76032768"/>
        <c:crosses val="autoZero"/>
        <c:auto val="1"/>
        <c:lblAlgn val="ctr"/>
        <c:lblOffset val="100"/>
        <c:noMultiLvlLbl val="0"/>
      </c:catAx>
      <c:valAx>
        <c:axId val="76032768"/>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76043104"/>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200"/>
              <a:t>EMISIONES POR ALCANCE</a:t>
            </a:r>
          </a:p>
        </c:rich>
      </c:tx>
      <c:overlay val="0"/>
    </c:title>
    <c:autoTitleDeleted val="0"/>
    <c:plotArea>
      <c:layout/>
      <c:barChart>
        <c:barDir val="col"/>
        <c:grouping val="clustered"/>
        <c:varyColors val="0"/>
        <c:ser>
          <c:idx val="0"/>
          <c:order val="0"/>
          <c:invertIfNegative val="0"/>
          <c:cat>
            <c:strRef>
              <c:f>INFORMES!$A$21:$A$23</c:f>
              <c:strCache>
                <c:ptCount val="3"/>
                <c:pt idx="0">
                  <c:v>ALCANCE 1</c:v>
                </c:pt>
                <c:pt idx="1">
                  <c:v>ALCANCE 2</c:v>
                </c:pt>
                <c:pt idx="2">
                  <c:v>ALCANCE 3</c:v>
                </c:pt>
              </c:strCache>
            </c:strRef>
          </c:cat>
          <c:val>
            <c:numRef>
              <c:f>INFORMES!$B$21:$B$23</c:f>
              <c:numCache>
                <c:formatCode>#,##0.00</c:formatCode>
                <c:ptCount val="3"/>
                <c:pt idx="0">
                  <c:v>1462726.919821895</c:v>
                </c:pt>
                <c:pt idx="1">
                  <c:v>34703.691988000006</c:v>
                </c:pt>
                <c:pt idx="2">
                  <c:v>0</c:v>
                </c:pt>
              </c:numCache>
            </c:numRef>
          </c:val>
        </c:ser>
        <c:dLbls>
          <c:showLegendKey val="0"/>
          <c:showVal val="0"/>
          <c:showCatName val="0"/>
          <c:showSerName val="0"/>
          <c:showPercent val="0"/>
          <c:showBubbleSize val="0"/>
        </c:dLbls>
        <c:gapWidth val="150"/>
        <c:axId val="76034400"/>
        <c:axId val="76031136"/>
      </c:barChart>
      <c:catAx>
        <c:axId val="76034400"/>
        <c:scaling>
          <c:orientation val="minMax"/>
        </c:scaling>
        <c:delete val="0"/>
        <c:axPos val="b"/>
        <c:numFmt formatCode="General" sourceLinked="0"/>
        <c:majorTickMark val="out"/>
        <c:minorTickMark val="none"/>
        <c:tickLblPos val="nextTo"/>
        <c:crossAx val="76031136"/>
        <c:crosses val="autoZero"/>
        <c:auto val="1"/>
        <c:lblAlgn val="ctr"/>
        <c:lblOffset val="100"/>
        <c:noMultiLvlLbl val="0"/>
      </c:catAx>
      <c:valAx>
        <c:axId val="76031136"/>
        <c:scaling>
          <c:orientation val="minMax"/>
        </c:scaling>
        <c:delete val="0"/>
        <c:axPos val="l"/>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76034400"/>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INFORMES!$A$79:$A$84</c:f>
              <c:strCache>
                <c:ptCount val="6"/>
                <c:pt idx="0">
                  <c:v>ENERGIA ESTACIONARIA</c:v>
                </c:pt>
                <c:pt idx="1">
                  <c:v>TRANSPORTE</c:v>
                </c:pt>
                <c:pt idx="2">
                  <c:v>RESIDUOS</c:v>
                </c:pt>
                <c:pt idx="3">
                  <c:v>ENERGIA ESTACIONARIA</c:v>
                </c:pt>
                <c:pt idx="4">
                  <c:v>TRANSPORTE</c:v>
                </c:pt>
                <c:pt idx="5">
                  <c:v>RESIDUOS</c:v>
                </c:pt>
              </c:strCache>
            </c:strRef>
          </c:cat>
          <c:val>
            <c:numRef>
              <c:f>INFORMES!$C$79:$C$84</c:f>
              <c:numCache>
                <c:formatCode>#,##0.00</c:formatCode>
                <c:ptCount val="6"/>
                <c:pt idx="0">
                  <c:v>1461337.2548926948</c:v>
                </c:pt>
                <c:pt idx="1">
                  <c:v>0</c:v>
                </c:pt>
                <c:pt idx="2">
                  <c:v>0.51985919999999997</c:v>
                </c:pt>
                <c:pt idx="3">
                  <c:v>34703.691988000006</c:v>
                </c:pt>
                <c:pt idx="4">
                  <c:v>0</c:v>
                </c:pt>
                <c:pt idx="5">
                  <c:v>0</c:v>
                </c:pt>
              </c:numCache>
            </c:numRef>
          </c:val>
        </c:ser>
        <c:dLbls>
          <c:showLegendKey val="0"/>
          <c:showVal val="0"/>
          <c:showCatName val="0"/>
          <c:showSerName val="0"/>
          <c:showPercent val="0"/>
          <c:showBubbleSize val="0"/>
        </c:dLbls>
        <c:gapWidth val="150"/>
        <c:axId val="76034944"/>
        <c:axId val="76038208"/>
      </c:barChart>
      <c:catAx>
        <c:axId val="76034944"/>
        <c:scaling>
          <c:orientation val="minMax"/>
        </c:scaling>
        <c:delete val="0"/>
        <c:axPos val="b"/>
        <c:numFmt formatCode="General" sourceLinked="0"/>
        <c:majorTickMark val="out"/>
        <c:minorTickMark val="none"/>
        <c:tickLblPos val="nextTo"/>
        <c:crossAx val="76038208"/>
        <c:crosses val="autoZero"/>
        <c:auto val="1"/>
        <c:lblAlgn val="ctr"/>
        <c:lblOffset val="100"/>
        <c:noMultiLvlLbl val="0"/>
      </c:catAx>
      <c:valAx>
        <c:axId val="76038208"/>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76034944"/>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INFORMES!$A$95:$A$102</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INFORMES!$C$95:$C$102</c:f>
              <c:numCache>
                <c:formatCode>#,##0.00</c:formatCode>
                <c:ptCount val="8"/>
                <c:pt idx="0">
                  <c:v>1461337.2548926948</c:v>
                </c:pt>
                <c:pt idx="1">
                  <c:v>0</c:v>
                </c:pt>
                <c:pt idx="2">
                  <c:v>0.51985919999999997</c:v>
                </c:pt>
                <c:pt idx="3">
                  <c:v>1389.14507</c:v>
                </c:pt>
                <c:pt idx="4">
                  <c:v>0</c:v>
                </c:pt>
                <c:pt idx="5">
                  <c:v>34703.691988000006</c:v>
                </c:pt>
                <c:pt idx="6">
                  <c:v>0</c:v>
                </c:pt>
                <c:pt idx="7">
                  <c:v>0</c:v>
                </c:pt>
              </c:numCache>
            </c:numRef>
          </c:val>
        </c:ser>
        <c:dLbls>
          <c:showLegendKey val="0"/>
          <c:showVal val="0"/>
          <c:showCatName val="0"/>
          <c:showSerName val="0"/>
          <c:showPercent val="0"/>
          <c:showBubbleSize val="0"/>
        </c:dLbls>
        <c:gapWidth val="150"/>
        <c:axId val="76044192"/>
        <c:axId val="76038752"/>
      </c:barChart>
      <c:catAx>
        <c:axId val="76044192"/>
        <c:scaling>
          <c:orientation val="minMax"/>
        </c:scaling>
        <c:delete val="0"/>
        <c:axPos val="b"/>
        <c:numFmt formatCode="General" sourceLinked="0"/>
        <c:majorTickMark val="out"/>
        <c:minorTickMark val="none"/>
        <c:tickLblPos val="nextTo"/>
        <c:crossAx val="76038752"/>
        <c:crosses val="autoZero"/>
        <c:auto val="1"/>
        <c:lblAlgn val="ctr"/>
        <c:lblOffset val="100"/>
        <c:noMultiLvlLbl val="0"/>
      </c:catAx>
      <c:valAx>
        <c:axId val="76038752"/>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76044192"/>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INFORMES!$A$5:$A$11</c:f>
              <c:strCache>
                <c:ptCount val="7"/>
                <c:pt idx="0">
                  <c:v>RESIDENCIAL</c:v>
                </c:pt>
                <c:pt idx="1">
                  <c:v>INSTITUCIONAL - COMERCIAL</c:v>
                </c:pt>
                <c:pt idx="2">
                  <c:v>TRANSPORTE </c:v>
                </c:pt>
                <c:pt idx="3">
                  <c:v>INDUSTRIAL</c:v>
                </c:pt>
                <c:pt idx="4">
                  <c:v>AGROPECUARIO </c:v>
                </c:pt>
                <c:pt idx="5">
                  <c:v>RESIDUOS</c:v>
                </c:pt>
                <c:pt idx="6">
                  <c:v>USO DEL SUELO </c:v>
                </c:pt>
              </c:strCache>
            </c:strRef>
          </c:cat>
          <c:val>
            <c:numRef>
              <c:f>INFORMES!$C$5:$C$11</c:f>
              <c:numCache>
                <c:formatCode>0.00%</c:formatCode>
                <c:ptCount val="7"/>
                <c:pt idx="0">
                  <c:v>4.053572318761349E-2</c:v>
                </c:pt>
                <c:pt idx="1">
                  <c:v>0.95946392964491434</c:v>
                </c:pt>
                <c:pt idx="2">
                  <c:v>0</c:v>
                </c:pt>
                <c:pt idx="3">
                  <c:v>0</c:v>
                </c:pt>
                <c:pt idx="4">
                  <c:v>0</c:v>
                </c:pt>
                <c:pt idx="5">
                  <c:v>3.4716747200169978E-7</c:v>
                </c:pt>
                <c:pt idx="6">
                  <c:v>0</c:v>
                </c:pt>
              </c:numCache>
            </c:numRef>
          </c:val>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ALCANCE</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INFORMES!$A$21:$A$23</c:f>
              <c:strCache>
                <c:ptCount val="3"/>
                <c:pt idx="0">
                  <c:v>ALCANCE 1</c:v>
                </c:pt>
                <c:pt idx="1">
                  <c:v>ALCANCE 2</c:v>
                </c:pt>
                <c:pt idx="2">
                  <c:v>ALCANCE 3</c:v>
                </c:pt>
              </c:strCache>
            </c:strRef>
          </c:cat>
          <c:val>
            <c:numRef>
              <c:f>INFORMES!$C$21:$C$23</c:f>
              <c:numCache>
                <c:formatCode>0.00%</c:formatCode>
                <c:ptCount val="3"/>
                <c:pt idx="0">
                  <c:v>0.97682450745009497</c:v>
                </c:pt>
                <c:pt idx="1">
                  <c:v>2.3175492549905068E-2</c:v>
                </c:pt>
                <c:pt idx="2">
                  <c:v>0</c:v>
                </c:pt>
              </c:numCache>
            </c:numRef>
          </c:val>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image" Target="../media/image7.png"/><Relationship Id="rId18" Type="http://schemas.openxmlformats.org/officeDocument/2006/relationships/image" Target="../media/image10.png"/><Relationship Id="rId3" Type="http://schemas.openxmlformats.org/officeDocument/2006/relationships/image" Target="../media/image1.jpeg"/><Relationship Id="rId7" Type="http://schemas.openxmlformats.org/officeDocument/2006/relationships/image" Target="../media/image3.jpeg"/><Relationship Id="rId12" Type="http://schemas.openxmlformats.org/officeDocument/2006/relationships/hyperlink" Target="#SUMIDEROS!A1"/><Relationship Id="rId17" Type="http://schemas.openxmlformats.org/officeDocument/2006/relationships/image" Target="../media/image9.png"/><Relationship Id="rId2" Type="http://schemas.openxmlformats.org/officeDocument/2006/relationships/hyperlink" Target="#AGROPECUARIO!A1"/><Relationship Id="rId16" Type="http://schemas.openxmlformats.org/officeDocument/2006/relationships/hyperlink" Target="#RESIDENCIAL!A1"/><Relationship Id="rId1" Type="http://schemas.openxmlformats.org/officeDocument/2006/relationships/hyperlink" Target="#INDUSTRIA!A1"/><Relationship Id="rId6" Type="http://schemas.openxmlformats.org/officeDocument/2006/relationships/hyperlink" Target="#RESIDUOS!A1"/><Relationship Id="rId11" Type="http://schemas.openxmlformats.org/officeDocument/2006/relationships/image" Target="../media/image6.jpeg"/><Relationship Id="rId5" Type="http://schemas.openxmlformats.org/officeDocument/2006/relationships/image" Target="../media/image2.jpeg"/><Relationship Id="rId15" Type="http://schemas.openxmlformats.org/officeDocument/2006/relationships/image" Target="../media/image8.png"/><Relationship Id="rId10" Type="http://schemas.openxmlformats.org/officeDocument/2006/relationships/hyperlink" Target="#TRANSPORTE!A1"/><Relationship Id="rId4" Type="http://schemas.openxmlformats.org/officeDocument/2006/relationships/hyperlink" Target="#INSTITUCIONAL!A1"/><Relationship Id="rId9" Type="http://schemas.openxmlformats.org/officeDocument/2006/relationships/image" Target="../media/image5.jpeg"/><Relationship Id="rId14" Type="http://schemas.openxmlformats.org/officeDocument/2006/relationships/hyperlink" Target="#'USO DEL SUELO'!A1"/></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2.jpeg"/><Relationship Id="rId1" Type="http://schemas.openxmlformats.org/officeDocument/2006/relationships/image" Target="../media/image11.png"/><Relationship Id="rId4" Type="http://schemas.openxmlformats.org/officeDocument/2006/relationships/image" Target="../media/image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2.jpeg"/><Relationship Id="rId1" Type="http://schemas.openxmlformats.org/officeDocument/2006/relationships/image" Target="../media/image11.png"/><Relationship Id="rId4" Type="http://schemas.openxmlformats.org/officeDocument/2006/relationships/image" Target="../media/image9.png"/></Relationships>
</file>

<file path=xl/drawings/_rels/drawing1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2.jpeg"/><Relationship Id="rId1" Type="http://schemas.openxmlformats.org/officeDocument/2006/relationships/image" Target="../media/image11.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18</xdr:col>
      <xdr:colOff>606425</xdr:colOff>
      <xdr:row>15</xdr:row>
      <xdr:rowOff>117475</xdr:rowOff>
    </xdr:from>
    <xdr:to>
      <xdr:col>20</xdr:col>
      <xdr:colOff>571025</xdr:colOff>
      <xdr:row>25</xdr:row>
      <xdr:rowOff>41275</xdr:rowOff>
    </xdr:to>
    <xdr:sp macro="" textlink="">
      <xdr:nvSpPr>
        <xdr:cNvPr id="2" name="1 Rectángulo redondeado"/>
        <xdr:cNvSpPr/>
      </xdr:nvSpPr>
      <xdr:spPr>
        <a:xfrm>
          <a:off x="11064875" y="2384425"/>
          <a:ext cx="1260000" cy="1714500"/>
        </a:xfrm>
        <a:prstGeom prst="roundRect">
          <a:avLst>
            <a:gd name="adj" fmla="val 10000"/>
          </a:avLst>
        </a:prstGeom>
        <a:solidFill>
          <a:schemeClr val="accent6">
            <a:lumMod val="75000"/>
          </a:schemeClr>
        </a:solidFill>
      </xdr:spPr>
      <xdr:style>
        <a:lnRef idx="0">
          <a:schemeClr val="lt1">
            <a:hueOff val="0"/>
            <a:satOff val="0"/>
            <a:lumOff val="0"/>
            <a:alphaOff val="0"/>
          </a:schemeClr>
        </a:lnRef>
        <a:fillRef idx="3">
          <a:schemeClr val="accent2">
            <a:hueOff val="0"/>
            <a:satOff val="0"/>
            <a:lumOff val="0"/>
            <a:alphaOff val="0"/>
          </a:schemeClr>
        </a:fillRef>
        <a:effectRef idx="3">
          <a:schemeClr val="accent2">
            <a:hueOff val="0"/>
            <a:satOff val="0"/>
            <a:lumOff val="0"/>
            <a:alphaOff val="0"/>
          </a:schemeClr>
        </a:effectRef>
        <a:fontRef idx="minor">
          <a:schemeClr val="lt1"/>
        </a:fontRef>
      </xdr:style>
      <xdr:txBody>
        <a:bodyPr/>
        <a:lstStyle/>
        <a:p>
          <a:endParaRPr lang="es-CO"/>
        </a:p>
      </xdr:txBody>
    </xdr:sp>
    <xdr:clientData/>
  </xdr:twoCellAnchor>
  <xdr:twoCellAnchor>
    <xdr:from>
      <xdr:col>14</xdr:col>
      <xdr:colOff>381000</xdr:colOff>
      <xdr:row>15</xdr:row>
      <xdr:rowOff>114300</xdr:rowOff>
    </xdr:from>
    <xdr:to>
      <xdr:col>16</xdr:col>
      <xdr:colOff>345600</xdr:colOff>
      <xdr:row>25</xdr:row>
      <xdr:rowOff>28575</xdr:rowOff>
    </xdr:to>
    <xdr:sp macro="" textlink="">
      <xdr:nvSpPr>
        <xdr:cNvPr id="3" name="2 Rectángulo redondeado"/>
        <xdr:cNvSpPr/>
      </xdr:nvSpPr>
      <xdr:spPr>
        <a:xfrm>
          <a:off x="8248650" y="2381250"/>
          <a:ext cx="1260000" cy="1704975"/>
        </a:xfrm>
        <a:prstGeom prst="roundRect">
          <a:avLst>
            <a:gd name="adj" fmla="val 10000"/>
          </a:avLst>
        </a:prstGeom>
        <a:solidFill>
          <a:schemeClr val="accent4">
            <a:lumMod val="75000"/>
          </a:schemeClr>
        </a:solidFill>
      </xdr:spPr>
      <xdr:style>
        <a:lnRef idx="0">
          <a:schemeClr val="lt1">
            <a:hueOff val="0"/>
            <a:satOff val="0"/>
            <a:lumOff val="0"/>
            <a:alphaOff val="0"/>
          </a:schemeClr>
        </a:lnRef>
        <a:fillRef idx="3">
          <a:schemeClr val="accent2">
            <a:hueOff val="0"/>
            <a:satOff val="0"/>
            <a:lumOff val="0"/>
            <a:alphaOff val="0"/>
          </a:schemeClr>
        </a:fillRef>
        <a:effectRef idx="3">
          <a:schemeClr val="accent2">
            <a:hueOff val="0"/>
            <a:satOff val="0"/>
            <a:lumOff val="0"/>
            <a:alphaOff val="0"/>
          </a:schemeClr>
        </a:effectRef>
        <a:fontRef idx="minor">
          <a:schemeClr val="lt1"/>
        </a:fontRef>
      </xdr:style>
      <xdr:txBody>
        <a:bodyPr/>
        <a:lstStyle/>
        <a:p>
          <a:endParaRPr lang="es-CO"/>
        </a:p>
      </xdr:txBody>
    </xdr:sp>
    <xdr:clientData/>
  </xdr:twoCellAnchor>
  <xdr:twoCellAnchor>
    <xdr:from>
      <xdr:col>12</xdr:col>
      <xdr:colOff>190500</xdr:colOff>
      <xdr:row>15</xdr:row>
      <xdr:rowOff>114300</xdr:rowOff>
    </xdr:from>
    <xdr:to>
      <xdr:col>14</xdr:col>
      <xdr:colOff>155100</xdr:colOff>
      <xdr:row>25</xdr:row>
      <xdr:rowOff>28575</xdr:rowOff>
    </xdr:to>
    <xdr:sp macro="" textlink="">
      <xdr:nvSpPr>
        <xdr:cNvPr id="4" name="3 Rectángulo redondeado"/>
        <xdr:cNvSpPr/>
      </xdr:nvSpPr>
      <xdr:spPr>
        <a:xfrm>
          <a:off x="6762750" y="2381250"/>
          <a:ext cx="1260000" cy="1704975"/>
        </a:xfrm>
        <a:prstGeom prst="roundRect">
          <a:avLst>
            <a:gd name="adj" fmla="val 10000"/>
          </a:avLst>
        </a:prstGeom>
        <a:solidFill>
          <a:schemeClr val="accent3">
            <a:lumMod val="75000"/>
          </a:schemeClr>
        </a:solidFill>
      </xdr:spPr>
      <xdr:style>
        <a:lnRef idx="0">
          <a:schemeClr val="lt1">
            <a:hueOff val="0"/>
            <a:satOff val="0"/>
            <a:lumOff val="0"/>
            <a:alphaOff val="0"/>
          </a:schemeClr>
        </a:lnRef>
        <a:fillRef idx="3">
          <a:schemeClr val="accent2">
            <a:hueOff val="0"/>
            <a:satOff val="0"/>
            <a:lumOff val="0"/>
            <a:alphaOff val="0"/>
          </a:schemeClr>
        </a:fillRef>
        <a:effectRef idx="3">
          <a:schemeClr val="accent2">
            <a:hueOff val="0"/>
            <a:satOff val="0"/>
            <a:lumOff val="0"/>
            <a:alphaOff val="0"/>
          </a:schemeClr>
        </a:effectRef>
        <a:fontRef idx="minor">
          <a:schemeClr val="lt1"/>
        </a:fontRef>
      </xdr:style>
      <xdr:txBody>
        <a:bodyPr/>
        <a:lstStyle/>
        <a:p>
          <a:endParaRPr lang="es-CO"/>
        </a:p>
      </xdr:txBody>
    </xdr:sp>
    <xdr:clientData/>
  </xdr:twoCellAnchor>
  <xdr:twoCellAnchor>
    <xdr:from>
      <xdr:col>7</xdr:col>
      <xdr:colOff>514350</xdr:colOff>
      <xdr:row>15</xdr:row>
      <xdr:rowOff>152400</xdr:rowOff>
    </xdr:from>
    <xdr:to>
      <xdr:col>9</xdr:col>
      <xdr:colOff>478950</xdr:colOff>
      <xdr:row>25</xdr:row>
      <xdr:rowOff>38100</xdr:rowOff>
    </xdr:to>
    <xdr:sp macro="" textlink="">
      <xdr:nvSpPr>
        <xdr:cNvPr id="5" name="4 Rectángulo redondeado"/>
        <xdr:cNvSpPr/>
      </xdr:nvSpPr>
      <xdr:spPr>
        <a:xfrm>
          <a:off x="3848100" y="2419350"/>
          <a:ext cx="1260000" cy="1676400"/>
        </a:xfrm>
        <a:prstGeom prst="roundRect">
          <a:avLst>
            <a:gd name="adj" fmla="val 10000"/>
          </a:avLst>
        </a:prstGeom>
        <a:solidFill>
          <a:schemeClr val="bg2">
            <a:lumMod val="50000"/>
          </a:schemeClr>
        </a:solidFill>
      </xdr:spPr>
      <xdr:style>
        <a:lnRef idx="0">
          <a:schemeClr val="lt1">
            <a:hueOff val="0"/>
            <a:satOff val="0"/>
            <a:lumOff val="0"/>
            <a:alphaOff val="0"/>
          </a:schemeClr>
        </a:lnRef>
        <a:fillRef idx="3">
          <a:schemeClr val="accent2">
            <a:hueOff val="0"/>
            <a:satOff val="0"/>
            <a:lumOff val="0"/>
            <a:alphaOff val="0"/>
          </a:schemeClr>
        </a:fillRef>
        <a:effectRef idx="3">
          <a:schemeClr val="accent2">
            <a:hueOff val="0"/>
            <a:satOff val="0"/>
            <a:lumOff val="0"/>
            <a:alphaOff val="0"/>
          </a:schemeClr>
        </a:effectRef>
        <a:fontRef idx="minor">
          <a:schemeClr val="lt1"/>
        </a:fontRef>
      </xdr:style>
      <xdr:txBody>
        <a:bodyPr/>
        <a:lstStyle/>
        <a:p>
          <a:endParaRPr lang="es-CO"/>
        </a:p>
      </xdr:txBody>
    </xdr:sp>
    <xdr:clientData/>
  </xdr:twoCellAnchor>
  <xdr:twoCellAnchor>
    <xdr:from>
      <xdr:col>5</xdr:col>
      <xdr:colOff>352425</xdr:colOff>
      <xdr:row>15</xdr:row>
      <xdr:rowOff>133350</xdr:rowOff>
    </xdr:from>
    <xdr:to>
      <xdr:col>7</xdr:col>
      <xdr:colOff>317025</xdr:colOff>
      <xdr:row>25</xdr:row>
      <xdr:rowOff>19050</xdr:rowOff>
    </xdr:to>
    <xdr:sp macro="" textlink="">
      <xdr:nvSpPr>
        <xdr:cNvPr id="6" name="5 Rectángulo redondeado"/>
        <xdr:cNvSpPr/>
      </xdr:nvSpPr>
      <xdr:spPr>
        <a:xfrm>
          <a:off x="2390775" y="2400300"/>
          <a:ext cx="1260000" cy="1676400"/>
        </a:xfrm>
        <a:prstGeom prst="roundRect">
          <a:avLst>
            <a:gd name="adj" fmla="val 10000"/>
          </a:avLst>
        </a:prstGeom>
        <a:solidFill>
          <a:schemeClr val="accent1"/>
        </a:solidFill>
      </xdr:spPr>
      <xdr:style>
        <a:lnRef idx="0">
          <a:schemeClr val="lt1">
            <a:hueOff val="0"/>
            <a:satOff val="0"/>
            <a:lumOff val="0"/>
            <a:alphaOff val="0"/>
          </a:schemeClr>
        </a:lnRef>
        <a:fillRef idx="3">
          <a:schemeClr val="accent2">
            <a:hueOff val="0"/>
            <a:satOff val="0"/>
            <a:lumOff val="0"/>
            <a:alphaOff val="0"/>
          </a:schemeClr>
        </a:fillRef>
        <a:effectRef idx="3">
          <a:schemeClr val="accent2">
            <a:hueOff val="0"/>
            <a:satOff val="0"/>
            <a:lumOff val="0"/>
            <a:alphaOff val="0"/>
          </a:schemeClr>
        </a:effectRef>
        <a:fontRef idx="minor">
          <a:schemeClr val="lt1"/>
        </a:fontRef>
      </xdr:style>
      <xdr:txBody>
        <a:bodyPr/>
        <a:lstStyle/>
        <a:p>
          <a:endParaRPr lang="es-CO"/>
        </a:p>
      </xdr:txBody>
    </xdr:sp>
    <xdr:clientData/>
  </xdr:twoCellAnchor>
  <xdr:twoCellAnchor>
    <xdr:from>
      <xdr:col>10</xdr:col>
      <xdr:colOff>0</xdr:colOff>
      <xdr:row>15</xdr:row>
      <xdr:rowOff>152400</xdr:rowOff>
    </xdr:from>
    <xdr:to>
      <xdr:col>11</xdr:col>
      <xdr:colOff>612300</xdr:colOff>
      <xdr:row>25</xdr:row>
      <xdr:rowOff>0</xdr:rowOff>
    </xdr:to>
    <xdr:sp macro="" textlink="">
      <xdr:nvSpPr>
        <xdr:cNvPr id="14" name="13 Rectángulo redondeado"/>
        <xdr:cNvSpPr/>
      </xdr:nvSpPr>
      <xdr:spPr>
        <a:xfrm>
          <a:off x="5276850" y="2419350"/>
          <a:ext cx="1260000" cy="1638300"/>
        </a:xfrm>
        <a:prstGeom prst="roundRect">
          <a:avLst>
            <a:gd name="adj" fmla="val 10000"/>
          </a:avLst>
        </a:prstGeom>
        <a:solidFill>
          <a:schemeClr val="accent2">
            <a:lumMod val="75000"/>
          </a:schemeClr>
        </a:solidFill>
      </xdr:spPr>
      <xdr:style>
        <a:lnRef idx="0">
          <a:schemeClr val="lt1">
            <a:hueOff val="0"/>
            <a:satOff val="0"/>
            <a:lumOff val="0"/>
            <a:alphaOff val="0"/>
          </a:schemeClr>
        </a:lnRef>
        <a:fillRef idx="3">
          <a:schemeClr val="accent2">
            <a:hueOff val="0"/>
            <a:satOff val="0"/>
            <a:lumOff val="0"/>
            <a:alphaOff val="0"/>
          </a:schemeClr>
        </a:fillRef>
        <a:effectRef idx="3">
          <a:schemeClr val="accent2">
            <a:hueOff val="0"/>
            <a:satOff val="0"/>
            <a:lumOff val="0"/>
            <a:alphaOff val="0"/>
          </a:schemeClr>
        </a:effectRef>
        <a:fontRef idx="minor">
          <a:schemeClr val="lt1"/>
        </a:fontRef>
      </xdr:style>
      <xdr:txBody>
        <a:bodyPr/>
        <a:lstStyle/>
        <a:p>
          <a:endParaRPr lang="es-CO"/>
        </a:p>
      </xdr:txBody>
    </xdr:sp>
    <xdr:clientData/>
  </xdr:twoCellAnchor>
  <xdr:twoCellAnchor>
    <xdr:from>
      <xdr:col>10</xdr:col>
      <xdr:colOff>0</xdr:colOff>
      <xdr:row>19</xdr:row>
      <xdr:rowOff>150495</xdr:rowOff>
    </xdr:from>
    <xdr:to>
      <xdr:col>11</xdr:col>
      <xdr:colOff>612300</xdr:colOff>
      <xdr:row>23</xdr:row>
      <xdr:rowOff>100965</xdr:rowOff>
    </xdr:to>
    <xdr:sp macro="" textlink="">
      <xdr:nvSpPr>
        <xdr:cNvPr id="15" name="14 Rectángulo">
          <a:hlinkClick xmlns:r="http://schemas.openxmlformats.org/officeDocument/2006/relationships" r:id="rId1"/>
        </xdr:cNvPr>
        <xdr:cNvSpPr/>
      </xdr:nvSpPr>
      <xdr:spPr>
        <a:xfrm>
          <a:off x="5276850" y="3112770"/>
          <a:ext cx="1260000" cy="655320"/>
        </a:xfrm>
        <a:prstGeom prst="rect">
          <a:avLst/>
        </a:prstGeom>
        <a:solidFill>
          <a:schemeClr val="accent2">
            <a:lumMod val="75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135128" tIns="135128" rIns="135128" bIns="135128" numCol="1" spcCol="1270" anchor="ctr" anchorCtr="0">
          <a:noAutofit/>
        </a:bodyPr>
        <a:lstStyle/>
        <a:p>
          <a:pPr lvl="0" algn="ctr" defTabSz="844550">
            <a:lnSpc>
              <a:spcPct val="90000"/>
            </a:lnSpc>
            <a:spcBef>
              <a:spcPct val="0"/>
            </a:spcBef>
            <a:spcAft>
              <a:spcPct val="35000"/>
            </a:spcAft>
          </a:pPr>
          <a:endParaRPr lang="es-CO" sz="1400" b="1" u="none" kern="1200"/>
        </a:p>
        <a:p>
          <a:pPr lvl="0" algn="ctr" defTabSz="844550">
            <a:lnSpc>
              <a:spcPct val="90000"/>
            </a:lnSpc>
            <a:spcBef>
              <a:spcPct val="0"/>
            </a:spcBef>
            <a:spcAft>
              <a:spcPct val="35000"/>
            </a:spcAft>
          </a:pPr>
          <a:endParaRPr lang="es-CO" sz="1400" b="1" u="none" kern="1200"/>
        </a:p>
        <a:p>
          <a:pPr lvl="0" algn="ctr" defTabSz="844550">
            <a:lnSpc>
              <a:spcPct val="90000"/>
            </a:lnSpc>
            <a:spcBef>
              <a:spcPct val="0"/>
            </a:spcBef>
            <a:spcAft>
              <a:spcPct val="35000"/>
            </a:spcAft>
          </a:pPr>
          <a:endParaRPr lang="es-CO" sz="1400" b="1" u="none" kern="1200"/>
        </a:p>
        <a:p>
          <a:pPr lvl="0" algn="ctr" defTabSz="844550">
            <a:lnSpc>
              <a:spcPct val="90000"/>
            </a:lnSpc>
            <a:spcBef>
              <a:spcPct val="0"/>
            </a:spcBef>
            <a:spcAft>
              <a:spcPct val="35000"/>
            </a:spcAft>
          </a:pPr>
          <a:r>
            <a:rPr lang="es-CO" sz="1100" b="1" u="none" kern="1200"/>
            <a:t>INDUSTRIAL</a:t>
          </a:r>
        </a:p>
      </xdr:txBody>
    </xdr:sp>
    <xdr:clientData/>
  </xdr:twoCellAnchor>
  <xdr:twoCellAnchor>
    <xdr:from>
      <xdr:col>12</xdr:col>
      <xdr:colOff>209550</xdr:colOff>
      <xdr:row>15</xdr:row>
      <xdr:rowOff>161925</xdr:rowOff>
    </xdr:from>
    <xdr:to>
      <xdr:col>14</xdr:col>
      <xdr:colOff>171450</xdr:colOff>
      <xdr:row>25</xdr:row>
      <xdr:rowOff>9525</xdr:rowOff>
    </xdr:to>
    <xdr:grpSp>
      <xdr:nvGrpSpPr>
        <xdr:cNvPr id="16" name="20 Grupo"/>
        <xdr:cNvGrpSpPr>
          <a:grpSpLocks/>
        </xdr:cNvGrpSpPr>
      </xdr:nvGrpSpPr>
      <xdr:grpSpPr bwMode="auto">
        <a:xfrm>
          <a:off x="6696075" y="2428875"/>
          <a:ext cx="1257300" cy="1638300"/>
          <a:chOff x="1823505" y="12"/>
          <a:chExt cx="1754604" cy="2635240"/>
        </a:xfrm>
      </xdr:grpSpPr>
      <xdr:sp macro="" textlink="">
        <xdr:nvSpPr>
          <xdr:cNvPr id="17" name="16 Rectángulo redondeado"/>
          <xdr:cNvSpPr/>
        </xdr:nvSpPr>
        <xdr:spPr>
          <a:xfrm>
            <a:off x="1823505" y="12"/>
            <a:ext cx="1754604" cy="2635240"/>
          </a:xfrm>
          <a:prstGeom prst="roundRect">
            <a:avLst>
              <a:gd name="adj" fmla="val 10000"/>
            </a:avLst>
          </a:prstGeom>
          <a:grpFill/>
        </xdr:spPr>
        <xdr:style>
          <a:lnRef idx="0">
            <a:schemeClr val="lt1">
              <a:hueOff val="0"/>
              <a:satOff val="0"/>
              <a:lumOff val="0"/>
              <a:alphaOff val="0"/>
            </a:schemeClr>
          </a:lnRef>
          <a:fillRef idx="3">
            <a:schemeClr val="accent3">
              <a:hueOff val="0"/>
              <a:satOff val="0"/>
              <a:lumOff val="0"/>
              <a:alphaOff val="0"/>
            </a:schemeClr>
          </a:fillRef>
          <a:effectRef idx="3">
            <a:schemeClr val="accent3">
              <a:hueOff val="0"/>
              <a:satOff val="0"/>
              <a:lumOff val="0"/>
              <a:alphaOff val="0"/>
            </a:schemeClr>
          </a:effectRef>
          <a:fontRef idx="minor">
            <a:schemeClr val="lt1"/>
          </a:fontRef>
        </xdr:style>
        <xdr:txBody>
          <a:bodyPr/>
          <a:lstStyle/>
          <a:p>
            <a:endParaRPr lang="es-CO"/>
          </a:p>
        </xdr:txBody>
      </xdr:sp>
      <xdr:sp macro="" textlink="">
        <xdr:nvSpPr>
          <xdr:cNvPr id="18" name="17 Rectángulo">
            <a:hlinkClick xmlns:r="http://schemas.openxmlformats.org/officeDocument/2006/relationships" r:id="rId2"/>
          </xdr:cNvPr>
          <xdr:cNvSpPr/>
        </xdr:nvSpPr>
        <xdr:spPr>
          <a:xfrm>
            <a:off x="1823505" y="827355"/>
            <a:ext cx="1754604" cy="1041839"/>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5128" tIns="135128" rIns="135128" bIns="135128" numCol="1" spcCol="1270" anchor="ctr" anchorCtr="0">
            <a:noAutofit/>
          </a:bodyPr>
          <a:lstStyle/>
          <a:p>
            <a:pPr lvl="0" algn="ctr" defTabSz="844550">
              <a:lnSpc>
                <a:spcPct val="90000"/>
              </a:lnSpc>
              <a:spcBef>
                <a:spcPct val="0"/>
              </a:spcBef>
              <a:spcAft>
                <a:spcPct val="35000"/>
              </a:spcAft>
            </a:pPr>
            <a:endParaRPr lang="es-CO" sz="1900" b="1" u="none" kern="1200"/>
          </a:p>
          <a:p>
            <a:pPr lvl="0" algn="ctr" defTabSz="844550">
              <a:lnSpc>
                <a:spcPct val="90000"/>
              </a:lnSpc>
              <a:spcBef>
                <a:spcPct val="0"/>
              </a:spcBef>
              <a:spcAft>
                <a:spcPct val="35000"/>
              </a:spcAft>
            </a:pPr>
            <a:endParaRPr lang="es-CO" sz="1900" b="1" u="none" kern="1200"/>
          </a:p>
          <a:p>
            <a:pPr lvl="0" algn="ctr" defTabSz="844550">
              <a:lnSpc>
                <a:spcPct val="90000"/>
              </a:lnSpc>
              <a:spcBef>
                <a:spcPct val="0"/>
              </a:spcBef>
              <a:spcAft>
                <a:spcPct val="35000"/>
              </a:spcAft>
            </a:pPr>
            <a:endParaRPr lang="es-CO" sz="1900" b="1" u="none" kern="1200"/>
          </a:p>
          <a:p>
            <a:pPr lvl="0" algn="ctr" defTabSz="844550">
              <a:lnSpc>
                <a:spcPct val="90000"/>
              </a:lnSpc>
              <a:spcBef>
                <a:spcPct val="0"/>
              </a:spcBef>
              <a:spcAft>
                <a:spcPct val="35000"/>
              </a:spcAft>
            </a:pPr>
            <a:r>
              <a:rPr lang="es-CO" sz="1100" b="1" u="none" kern="1200"/>
              <a:t>AGROPECUARIO</a:t>
            </a:r>
            <a:endParaRPr lang="es-ES_tradnl" sz="1100" b="0" u="none" kern="1200"/>
          </a:p>
        </xdr:txBody>
      </xdr:sp>
    </xdr:grpSp>
    <xdr:clientData/>
  </xdr:twoCellAnchor>
  <xdr:twoCellAnchor>
    <xdr:from>
      <xdr:col>12</xdr:col>
      <xdr:colOff>215758</xdr:colOff>
      <xdr:row>16</xdr:row>
      <xdr:rowOff>28566</xdr:rowOff>
    </xdr:from>
    <xdr:to>
      <xdr:col>14</xdr:col>
      <xdr:colOff>144358</xdr:colOff>
      <xdr:row>22</xdr:row>
      <xdr:rowOff>53391</xdr:rowOff>
    </xdr:to>
    <xdr:sp macro="" textlink="">
      <xdr:nvSpPr>
        <xdr:cNvPr id="19" name="18 Elipse"/>
        <xdr:cNvSpPr/>
      </xdr:nvSpPr>
      <xdr:spPr>
        <a:xfrm>
          <a:off x="6788008" y="2486016"/>
          <a:ext cx="1224000" cy="1044000"/>
        </a:xfrm>
        <a:prstGeom prst="ellipse">
          <a:avLst/>
        </a:prstGeom>
        <a:blipFill rotWithShape="0">
          <a:blip xmlns:r="http://schemas.openxmlformats.org/officeDocument/2006/relationships" r:embed="rId3" cstate="print"/>
          <a:stretch>
            <a:fillRect/>
          </a:stretch>
        </a:blipFill>
      </xdr:spPr>
      <xdr:style>
        <a:lnRef idx="0">
          <a:schemeClr val="lt1">
            <a:hueOff val="0"/>
            <a:satOff val="0"/>
            <a:lumOff val="0"/>
            <a:alphaOff val="0"/>
          </a:schemeClr>
        </a:lnRef>
        <a:fillRef idx="1">
          <a:scrgbClr r="0" g="0" b="0"/>
        </a:fillRef>
        <a:effectRef idx="3">
          <a:schemeClr val="accent3">
            <a:tint val="50000"/>
            <a:hueOff val="0"/>
            <a:satOff val="0"/>
            <a:lumOff val="0"/>
            <a:alphaOff val="0"/>
          </a:schemeClr>
        </a:effectRef>
        <a:fontRef idx="minor">
          <a:schemeClr val="lt1">
            <a:hueOff val="0"/>
            <a:satOff val="0"/>
            <a:lumOff val="0"/>
            <a:alphaOff val="0"/>
          </a:schemeClr>
        </a:fontRef>
      </xdr:style>
      <xdr:txBody>
        <a:bodyPr/>
        <a:lstStyle/>
        <a:p>
          <a:endParaRPr lang="es-CO"/>
        </a:p>
      </xdr:txBody>
    </xdr:sp>
    <xdr:clientData/>
  </xdr:twoCellAnchor>
  <xdr:twoCellAnchor>
    <xdr:from>
      <xdr:col>5</xdr:col>
      <xdr:colOff>342900</xdr:colOff>
      <xdr:row>15</xdr:row>
      <xdr:rowOff>152400</xdr:rowOff>
    </xdr:from>
    <xdr:to>
      <xdr:col>7</xdr:col>
      <xdr:colOff>304800</xdr:colOff>
      <xdr:row>25</xdr:row>
      <xdr:rowOff>0</xdr:rowOff>
    </xdr:to>
    <xdr:grpSp>
      <xdr:nvGrpSpPr>
        <xdr:cNvPr id="20" name="25 Grupo"/>
        <xdr:cNvGrpSpPr>
          <a:grpSpLocks/>
        </xdr:cNvGrpSpPr>
      </xdr:nvGrpSpPr>
      <xdr:grpSpPr bwMode="auto">
        <a:xfrm>
          <a:off x="2295525" y="2419350"/>
          <a:ext cx="1257300" cy="1638300"/>
          <a:chOff x="8790" y="0"/>
          <a:chExt cx="1754604" cy="2635240"/>
        </a:xfrm>
      </xdr:grpSpPr>
      <xdr:sp macro="" textlink="">
        <xdr:nvSpPr>
          <xdr:cNvPr id="21" name="20 Rectángulo redondeado"/>
          <xdr:cNvSpPr/>
        </xdr:nvSpPr>
        <xdr:spPr>
          <a:xfrm>
            <a:off x="8790" y="0"/>
            <a:ext cx="1754604" cy="2635240"/>
          </a:xfrm>
          <a:prstGeom prst="roundRect">
            <a:avLst>
              <a:gd name="adj" fmla="val 10000"/>
            </a:avLst>
          </a:prstGeom>
          <a:grpFill/>
        </xdr:spPr>
        <xdr:style>
          <a:lnRef idx="0">
            <a:schemeClr val="lt1">
              <a:hueOff val="0"/>
              <a:satOff val="0"/>
              <a:lumOff val="0"/>
              <a:alphaOff val="0"/>
            </a:schemeClr>
          </a:lnRef>
          <a:fillRef idx="3">
            <a:schemeClr val="accent2">
              <a:hueOff val="0"/>
              <a:satOff val="0"/>
              <a:lumOff val="0"/>
              <a:alphaOff val="0"/>
            </a:schemeClr>
          </a:fillRef>
          <a:effectRef idx="3">
            <a:schemeClr val="accent2">
              <a:hueOff val="0"/>
              <a:satOff val="0"/>
              <a:lumOff val="0"/>
              <a:alphaOff val="0"/>
            </a:schemeClr>
          </a:effectRef>
          <a:fontRef idx="minor">
            <a:schemeClr val="lt1"/>
          </a:fontRef>
        </xdr:style>
        <xdr:txBody>
          <a:bodyPr/>
          <a:lstStyle/>
          <a:p>
            <a:endParaRPr lang="es-CO"/>
          </a:p>
        </xdr:txBody>
      </xdr:sp>
      <xdr:sp macro="" textlink="">
        <xdr:nvSpPr>
          <xdr:cNvPr id="22" name="21 Rectángulo">
            <a:hlinkClick xmlns:r="http://schemas.openxmlformats.org/officeDocument/2006/relationships" r:id="rId4"/>
          </xdr:cNvPr>
          <xdr:cNvSpPr/>
        </xdr:nvSpPr>
        <xdr:spPr>
          <a:xfrm>
            <a:off x="8790" y="1057160"/>
            <a:ext cx="1754604" cy="1057160"/>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5128" tIns="135128" rIns="135128" bIns="135128" numCol="1" spcCol="1270" anchor="ctr" anchorCtr="0">
            <a:noAutofit/>
          </a:bodyPr>
          <a:lstStyle/>
          <a:p>
            <a:pPr lvl="0" algn="ctr" defTabSz="844550">
              <a:lnSpc>
                <a:spcPct val="90000"/>
              </a:lnSpc>
              <a:spcBef>
                <a:spcPct val="0"/>
              </a:spcBef>
              <a:spcAft>
                <a:spcPct val="35000"/>
              </a:spcAft>
            </a:pPr>
            <a:endParaRPr lang="es-CO" sz="1400" b="1" u="none" kern="1200"/>
          </a:p>
          <a:p>
            <a:pPr lvl="0" algn="ctr" defTabSz="844550">
              <a:lnSpc>
                <a:spcPct val="90000"/>
              </a:lnSpc>
              <a:spcBef>
                <a:spcPct val="0"/>
              </a:spcBef>
              <a:spcAft>
                <a:spcPct val="35000"/>
              </a:spcAft>
            </a:pPr>
            <a:endParaRPr lang="es-CO" sz="1400" b="1" u="none" kern="1200"/>
          </a:p>
          <a:p>
            <a:pPr lvl="0" algn="ctr" defTabSz="844550">
              <a:lnSpc>
                <a:spcPct val="90000"/>
              </a:lnSpc>
              <a:spcBef>
                <a:spcPct val="0"/>
              </a:spcBef>
              <a:spcAft>
                <a:spcPct val="35000"/>
              </a:spcAft>
            </a:pPr>
            <a:endParaRPr lang="es-CO" sz="1400" b="1" u="none" kern="1200"/>
          </a:p>
          <a:p>
            <a:pPr lvl="0" algn="ctr" defTabSz="844550">
              <a:lnSpc>
                <a:spcPct val="90000"/>
              </a:lnSpc>
              <a:spcBef>
                <a:spcPct val="0"/>
              </a:spcBef>
              <a:spcAft>
                <a:spcPct val="35000"/>
              </a:spcAft>
            </a:pPr>
            <a:r>
              <a:rPr lang="es-CO" sz="1100" b="1" u="none" kern="1200"/>
              <a:t>INSTITUCIONAL</a:t>
            </a:r>
          </a:p>
        </xdr:txBody>
      </xdr:sp>
    </xdr:grpSp>
    <xdr:clientData/>
  </xdr:twoCellAnchor>
  <xdr:twoCellAnchor>
    <xdr:from>
      <xdr:col>5</xdr:col>
      <xdr:colOff>361950</xdr:colOff>
      <xdr:row>16</xdr:row>
      <xdr:rowOff>76208</xdr:rowOff>
    </xdr:from>
    <xdr:to>
      <xdr:col>7</xdr:col>
      <xdr:colOff>290550</xdr:colOff>
      <xdr:row>22</xdr:row>
      <xdr:rowOff>99497</xdr:rowOff>
    </xdr:to>
    <xdr:sp macro="" textlink="">
      <xdr:nvSpPr>
        <xdr:cNvPr id="23" name="22 Elipse"/>
        <xdr:cNvSpPr>
          <a:spLocks noChangeAspect="1"/>
        </xdr:cNvSpPr>
      </xdr:nvSpPr>
      <xdr:spPr>
        <a:xfrm>
          <a:off x="2400300" y="2533658"/>
          <a:ext cx="1224000" cy="1042464"/>
        </a:xfrm>
        <a:prstGeom prst="ellipse">
          <a:avLst/>
        </a:prstGeom>
        <a:blipFill rotWithShape="0">
          <a:blip xmlns:r="http://schemas.openxmlformats.org/officeDocument/2006/relationships" r:embed="rId5" cstate="print"/>
          <a:stretch>
            <a:fillRect/>
          </a:stretch>
        </a:blipFill>
      </xdr:spPr>
      <xdr:style>
        <a:lnRef idx="0">
          <a:schemeClr val="lt1">
            <a:hueOff val="0"/>
            <a:satOff val="0"/>
            <a:lumOff val="0"/>
            <a:alphaOff val="0"/>
          </a:schemeClr>
        </a:lnRef>
        <a:fillRef idx="1">
          <a:scrgbClr r="0" g="0" b="0"/>
        </a:fillRef>
        <a:effectRef idx="3">
          <a:schemeClr val="accent2">
            <a:tint val="50000"/>
            <a:hueOff val="0"/>
            <a:satOff val="0"/>
            <a:lumOff val="0"/>
            <a:alphaOff val="0"/>
          </a:schemeClr>
        </a:effectRef>
        <a:fontRef idx="minor">
          <a:schemeClr val="lt1">
            <a:hueOff val="0"/>
            <a:satOff val="0"/>
            <a:lumOff val="0"/>
            <a:alphaOff val="0"/>
          </a:schemeClr>
        </a:fontRef>
      </xdr:style>
      <xdr:txBody>
        <a:bodyPr/>
        <a:lstStyle/>
        <a:p>
          <a:endParaRPr lang="es-CO"/>
        </a:p>
      </xdr:txBody>
    </xdr:sp>
    <xdr:clientData/>
  </xdr:twoCellAnchor>
  <xdr:twoCellAnchor>
    <xdr:from>
      <xdr:col>14</xdr:col>
      <xdr:colOff>390525</xdr:colOff>
      <xdr:row>15</xdr:row>
      <xdr:rowOff>171450</xdr:rowOff>
    </xdr:from>
    <xdr:to>
      <xdr:col>16</xdr:col>
      <xdr:colOff>352425</xdr:colOff>
      <xdr:row>25</xdr:row>
      <xdr:rowOff>19050</xdr:rowOff>
    </xdr:to>
    <xdr:grpSp>
      <xdr:nvGrpSpPr>
        <xdr:cNvPr id="24" name="29 Grupo"/>
        <xdr:cNvGrpSpPr>
          <a:grpSpLocks/>
        </xdr:cNvGrpSpPr>
      </xdr:nvGrpSpPr>
      <xdr:grpSpPr bwMode="auto">
        <a:xfrm>
          <a:off x="8172450" y="2438400"/>
          <a:ext cx="1257300" cy="1638300"/>
          <a:chOff x="1823505" y="12"/>
          <a:chExt cx="1754604" cy="2635240"/>
        </a:xfrm>
      </xdr:grpSpPr>
      <xdr:sp macro="" textlink="">
        <xdr:nvSpPr>
          <xdr:cNvPr id="25" name="24 Rectángulo redondeado"/>
          <xdr:cNvSpPr/>
        </xdr:nvSpPr>
        <xdr:spPr>
          <a:xfrm>
            <a:off x="1823505" y="12"/>
            <a:ext cx="1754604" cy="2635240"/>
          </a:xfrm>
          <a:prstGeom prst="roundRect">
            <a:avLst>
              <a:gd name="adj" fmla="val 10000"/>
            </a:avLst>
          </a:prstGeom>
          <a:grpFill/>
        </xdr:spPr>
        <xdr:style>
          <a:lnRef idx="0">
            <a:schemeClr val="lt1">
              <a:hueOff val="0"/>
              <a:satOff val="0"/>
              <a:lumOff val="0"/>
              <a:alphaOff val="0"/>
            </a:schemeClr>
          </a:lnRef>
          <a:fillRef idx="3">
            <a:schemeClr val="accent3">
              <a:hueOff val="0"/>
              <a:satOff val="0"/>
              <a:lumOff val="0"/>
              <a:alphaOff val="0"/>
            </a:schemeClr>
          </a:fillRef>
          <a:effectRef idx="3">
            <a:schemeClr val="accent3">
              <a:hueOff val="0"/>
              <a:satOff val="0"/>
              <a:lumOff val="0"/>
              <a:alphaOff val="0"/>
            </a:schemeClr>
          </a:effectRef>
          <a:fontRef idx="minor">
            <a:schemeClr val="lt1"/>
          </a:fontRef>
        </xdr:style>
        <xdr:txBody>
          <a:bodyPr/>
          <a:lstStyle/>
          <a:p>
            <a:endParaRPr lang="es-CO"/>
          </a:p>
        </xdr:txBody>
      </xdr:sp>
      <xdr:sp macro="" textlink="">
        <xdr:nvSpPr>
          <xdr:cNvPr id="26" name="25 Rectángulo">
            <a:hlinkClick xmlns:r="http://schemas.openxmlformats.org/officeDocument/2006/relationships" r:id="rId6"/>
          </xdr:cNvPr>
          <xdr:cNvSpPr/>
        </xdr:nvSpPr>
        <xdr:spPr>
          <a:xfrm>
            <a:off x="1823505" y="827355"/>
            <a:ext cx="1754604" cy="1041839"/>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5128" tIns="135128" rIns="135128" bIns="135128" numCol="1" spcCol="1270" anchor="ctr" anchorCtr="0">
            <a:noAutofit/>
          </a:bodyPr>
          <a:lstStyle/>
          <a:p>
            <a:pPr lvl="0" algn="ctr" defTabSz="844550">
              <a:lnSpc>
                <a:spcPct val="90000"/>
              </a:lnSpc>
              <a:spcBef>
                <a:spcPct val="0"/>
              </a:spcBef>
              <a:spcAft>
                <a:spcPct val="35000"/>
              </a:spcAft>
            </a:pPr>
            <a:endParaRPr lang="es-CO" sz="1900" b="1" u="none" kern="1200"/>
          </a:p>
          <a:p>
            <a:pPr lvl="0" algn="ctr" defTabSz="844550">
              <a:lnSpc>
                <a:spcPct val="90000"/>
              </a:lnSpc>
              <a:spcBef>
                <a:spcPct val="0"/>
              </a:spcBef>
              <a:spcAft>
                <a:spcPct val="35000"/>
              </a:spcAft>
            </a:pPr>
            <a:endParaRPr lang="es-CO" sz="1900" b="1" u="none" kern="1200"/>
          </a:p>
          <a:p>
            <a:pPr lvl="0" algn="ctr" defTabSz="844550">
              <a:lnSpc>
                <a:spcPct val="90000"/>
              </a:lnSpc>
              <a:spcBef>
                <a:spcPct val="0"/>
              </a:spcBef>
              <a:spcAft>
                <a:spcPct val="35000"/>
              </a:spcAft>
            </a:pPr>
            <a:endParaRPr lang="es-CO" sz="1900" b="1" u="none" kern="1200"/>
          </a:p>
          <a:p>
            <a:pPr lvl="0" algn="ctr" defTabSz="844550">
              <a:lnSpc>
                <a:spcPct val="90000"/>
              </a:lnSpc>
              <a:spcBef>
                <a:spcPct val="0"/>
              </a:spcBef>
              <a:spcAft>
                <a:spcPct val="35000"/>
              </a:spcAft>
            </a:pPr>
            <a:r>
              <a:rPr lang="es-CO" sz="1100" b="1" u="none" kern="1200"/>
              <a:t>RESIDUOS</a:t>
            </a:r>
            <a:endParaRPr lang="es-ES_tradnl" sz="1100" b="0" u="none" kern="1200"/>
          </a:p>
        </xdr:txBody>
      </xdr:sp>
    </xdr:grpSp>
    <xdr:clientData/>
  </xdr:twoCellAnchor>
  <xdr:twoCellAnchor>
    <xdr:from>
      <xdr:col>14</xdr:col>
      <xdr:colOff>390525</xdr:colOff>
      <xdr:row>15</xdr:row>
      <xdr:rowOff>180975</xdr:rowOff>
    </xdr:from>
    <xdr:to>
      <xdr:col>16</xdr:col>
      <xdr:colOff>319125</xdr:colOff>
      <xdr:row>22</xdr:row>
      <xdr:rowOff>15300</xdr:rowOff>
    </xdr:to>
    <xdr:sp macro="" textlink="">
      <xdr:nvSpPr>
        <xdr:cNvPr id="27" name="26 Elipse"/>
        <xdr:cNvSpPr/>
      </xdr:nvSpPr>
      <xdr:spPr>
        <a:xfrm>
          <a:off x="8258175" y="2447925"/>
          <a:ext cx="1224000" cy="1044000"/>
        </a:xfrm>
        <a:prstGeom prst="ellipse">
          <a:avLst/>
        </a:prstGeom>
        <a:blipFill rotWithShape="0">
          <a:blip xmlns:r="http://schemas.openxmlformats.org/officeDocument/2006/relationships" r:embed="rId7" cstate="print"/>
          <a:stretch>
            <a:fillRect/>
          </a:stretch>
        </a:blipFill>
      </xdr:spPr>
      <xdr:style>
        <a:lnRef idx="0">
          <a:schemeClr val="lt1">
            <a:hueOff val="0"/>
            <a:satOff val="0"/>
            <a:lumOff val="0"/>
            <a:alphaOff val="0"/>
          </a:schemeClr>
        </a:lnRef>
        <a:fillRef idx="1">
          <a:scrgbClr r="0" g="0" b="0"/>
        </a:fillRef>
        <a:effectRef idx="3">
          <a:schemeClr val="accent4">
            <a:tint val="50000"/>
            <a:hueOff val="0"/>
            <a:satOff val="0"/>
            <a:lumOff val="0"/>
            <a:alphaOff val="0"/>
          </a:schemeClr>
        </a:effectRef>
        <a:fontRef idx="minor">
          <a:schemeClr val="lt1">
            <a:hueOff val="0"/>
            <a:satOff val="0"/>
            <a:lumOff val="0"/>
            <a:alphaOff val="0"/>
          </a:schemeClr>
        </a:fontRef>
      </xdr:style>
      <xdr:txBody>
        <a:bodyPr/>
        <a:lstStyle/>
        <a:p>
          <a:endParaRPr lang="es-CO"/>
        </a:p>
      </xdr:txBody>
    </xdr:sp>
    <xdr:clientData/>
  </xdr:twoCellAnchor>
  <xdr:twoCellAnchor>
    <xdr:from>
      <xdr:col>10</xdr:col>
      <xdr:colOff>38100</xdr:colOff>
      <xdr:row>16</xdr:row>
      <xdr:rowOff>9525</xdr:rowOff>
    </xdr:from>
    <xdr:to>
      <xdr:col>11</xdr:col>
      <xdr:colOff>614400</xdr:colOff>
      <xdr:row>22</xdr:row>
      <xdr:rowOff>34350</xdr:rowOff>
    </xdr:to>
    <xdr:sp macro="" textlink="">
      <xdr:nvSpPr>
        <xdr:cNvPr id="28" name="27 Elipse"/>
        <xdr:cNvSpPr/>
      </xdr:nvSpPr>
      <xdr:spPr>
        <a:xfrm>
          <a:off x="5314950" y="2466975"/>
          <a:ext cx="1224000" cy="1044000"/>
        </a:xfrm>
        <a:prstGeom prst="ellipse">
          <a:avLst/>
        </a:prstGeom>
        <a:blipFill rotWithShape="0">
          <a:blip xmlns:r="http://schemas.openxmlformats.org/officeDocument/2006/relationships" r:embed="rId8" cstate="print"/>
          <a:stretch>
            <a:fillRect/>
          </a:stretch>
        </a:blipFill>
      </xdr:spPr>
      <xdr:style>
        <a:lnRef idx="0">
          <a:schemeClr val="lt1">
            <a:hueOff val="0"/>
            <a:satOff val="0"/>
            <a:lumOff val="0"/>
            <a:alphaOff val="0"/>
          </a:schemeClr>
        </a:lnRef>
        <a:fillRef idx="1">
          <a:scrgbClr r="0" g="0" b="0"/>
        </a:fillRef>
        <a:effectRef idx="3">
          <a:schemeClr val="accent5">
            <a:tint val="50000"/>
            <a:hueOff val="0"/>
            <a:satOff val="0"/>
            <a:lumOff val="0"/>
            <a:alphaOff val="0"/>
          </a:schemeClr>
        </a:effectRef>
        <a:fontRef idx="minor">
          <a:schemeClr val="lt1">
            <a:hueOff val="0"/>
            <a:satOff val="0"/>
            <a:lumOff val="0"/>
            <a:alphaOff val="0"/>
          </a:schemeClr>
        </a:fontRef>
      </xdr:style>
      <xdr:txBody>
        <a:bodyPr/>
        <a:lstStyle/>
        <a:p>
          <a:endParaRPr lang="es-CO"/>
        </a:p>
      </xdr:txBody>
    </xdr:sp>
    <xdr:clientData/>
  </xdr:twoCellAnchor>
  <xdr:twoCellAnchor>
    <xdr:from>
      <xdr:col>18</xdr:col>
      <xdr:colOff>600075</xdr:colOff>
      <xdr:row>16</xdr:row>
      <xdr:rowOff>0</xdr:rowOff>
    </xdr:from>
    <xdr:to>
      <xdr:col>20</xdr:col>
      <xdr:colOff>528675</xdr:colOff>
      <xdr:row>22</xdr:row>
      <xdr:rowOff>24825</xdr:rowOff>
    </xdr:to>
    <xdr:sp macro="" textlink="">
      <xdr:nvSpPr>
        <xdr:cNvPr id="29" name="28 Elipse"/>
        <xdr:cNvSpPr/>
      </xdr:nvSpPr>
      <xdr:spPr>
        <a:xfrm>
          <a:off x="11058525" y="2457450"/>
          <a:ext cx="1224000" cy="1044000"/>
        </a:xfrm>
        <a:prstGeom prst="ellipse">
          <a:avLst/>
        </a:prstGeom>
        <a:blipFill rotWithShape="0">
          <a:blip xmlns:r="http://schemas.openxmlformats.org/officeDocument/2006/relationships" r:embed="rId9" cstate="print"/>
          <a:stretch>
            <a:fillRect/>
          </a:stretch>
        </a:blipFill>
      </xdr:spPr>
      <xdr:style>
        <a:lnRef idx="0">
          <a:schemeClr val="lt1">
            <a:hueOff val="0"/>
            <a:satOff val="0"/>
            <a:lumOff val="0"/>
            <a:alphaOff val="0"/>
          </a:schemeClr>
        </a:lnRef>
        <a:fillRef idx="1">
          <a:scrgbClr r="0" g="0" b="0"/>
        </a:fillRef>
        <a:effectRef idx="3">
          <a:schemeClr val="accent6">
            <a:tint val="50000"/>
            <a:hueOff val="0"/>
            <a:satOff val="0"/>
            <a:lumOff val="0"/>
            <a:alphaOff val="0"/>
          </a:schemeClr>
        </a:effectRef>
        <a:fontRef idx="minor">
          <a:schemeClr val="lt1">
            <a:hueOff val="0"/>
            <a:satOff val="0"/>
            <a:lumOff val="0"/>
            <a:alphaOff val="0"/>
          </a:schemeClr>
        </a:fontRef>
      </xdr:style>
      <xdr:txBody>
        <a:bodyPr/>
        <a:lstStyle/>
        <a:p>
          <a:endParaRPr lang="es-CO"/>
        </a:p>
      </xdr:txBody>
    </xdr:sp>
    <xdr:clientData/>
  </xdr:twoCellAnchor>
  <xdr:twoCellAnchor>
    <xdr:from>
      <xdr:col>7</xdr:col>
      <xdr:colOff>447675</xdr:colOff>
      <xdr:row>15</xdr:row>
      <xdr:rowOff>161925</xdr:rowOff>
    </xdr:from>
    <xdr:to>
      <xdr:col>9</xdr:col>
      <xdr:colOff>409575</xdr:colOff>
      <xdr:row>25</xdr:row>
      <xdr:rowOff>19050</xdr:rowOff>
    </xdr:to>
    <xdr:grpSp>
      <xdr:nvGrpSpPr>
        <xdr:cNvPr id="30" name="40 Grupo"/>
        <xdr:cNvGrpSpPr>
          <a:grpSpLocks/>
        </xdr:cNvGrpSpPr>
      </xdr:nvGrpSpPr>
      <xdr:grpSpPr bwMode="auto">
        <a:xfrm>
          <a:off x="3695700" y="2428875"/>
          <a:ext cx="1257300" cy="1647825"/>
          <a:chOff x="8790" y="0"/>
          <a:chExt cx="1754604" cy="2635240"/>
        </a:xfrm>
      </xdr:grpSpPr>
      <xdr:sp macro="" textlink="">
        <xdr:nvSpPr>
          <xdr:cNvPr id="31" name="30 Rectángulo redondeado"/>
          <xdr:cNvSpPr/>
        </xdr:nvSpPr>
        <xdr:spPr>
          <a:xfrm>
            <a:off x="8790" y="0"/>
            <a:ext cx="1754604" cy="2635240"/>
          </a:xfrm>
          <a:prstGeom prst="roundRect">
            <a:avLst>
              <a:gd name="adj" fmla="val 10000"/>
            </a:avLst>
          </a:prstGeom>
          <a:grpFill/>
        </xdr:spPr>
        <xdr:style>
          <a:lnRef idx="0">
            <a:schemeClr val="lt1">
              <a:hueOff val="0"/>
              <a:satOff val="0"/>
              <a:lumOff val="0"/>
              <a:alphaOff val="0"/>
            </a:schemeClr>
          </a:lnRef>
          <a:fillRef idx="3">
            <a:schemeClr val="accent2">
              <a:hueOff val="0"/>
              <a:satOff val="0"/>
              <a:lumOff val="0"/>
              <a:alphaOff val="0"/>
            </a:schemeClr>
          </a:fillRef>
          <a:effectRef idx="3">
            <a:schemeClr val="accent2">
              <a:hueOff val="0"/>
              <a:satOff val="0"/>
              <a:lumOff val="0"/>
              <a:alphaOff val="0"/>
            </a:schemeClr>
          </a:effectRef>
          <a:fontRef idx="minor">
            <a:schemeClr val="lt1"/>
          </a:fontRef>
        </xdr:style>
        <xdr:txBody>
          <a:bodyPr/>
          <a:lstStyle/>
          <a:p>
            <a:endParaRPr lang="es-CO"/>
          </a:p>
        </xdr:txBody>
      </xdr:sp>
      <xdr:sp macro="" textlink="">
        <xdr:nvSpPr>
          <xdr:cNvPr id="32" name="31 Rectángulo">
            <a:hlinkClick xmlns:r="http://schemas.openxmlformats.org/officeDocument/2006/relationships" r:id="rId10"/>
          </xdr:cNvPr>
          <xdr:cNvSpPr/>
        </xdr:nvSpPr>
        <xdr:spPr>
          <a:xfrm>
            <a:off x="8790" y="1057160"/>
            <a:ext cx="1754604" cy="1057160"/>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5128" tIns="135128" rIns="135128" bIns="135128" numCol="1" spcCol="1270" anchor="ctr" anchorCtr="0">
            <a:noAutofit/>
          </a:bodyPr>
          <a:lstStyle/>
          <a:p>
            <a:pPr lvl="0" algn="ctr" defTabSz="844550">
              <a:lnSpc>
                <a:spcPct val="90000"/>
              </a:lnSpc>
              <a:spcBef>
                <a:spcPct val="0"/>
              </a:spcBef>
              <a:spcAft>
                <a:spcPct val="35000"/>
              </a:spcAft>
            </a:pPr>
            <a:endParaRPr lang="es-CO" sz="1400" b="1" u="none" kern="1200"/>
          </a:p>
          <a:p>
            <a:pPr lvl="0" algn="ctr" defTabSz="844550">
              <a:lnSpc>
                <a:spcPct val="90000"/>
              </a:lnSpc>
              <a:spcBef>
                <a:spcPct val="0"/>
              </a:spcBef>
              <a:spcAft>
                <a:spcPct val="35000"/>
              </a:spcAft>
            </a:pPr>
            <a:endParaRPr lang="es-CO" sz="1400" b="1" u="none" kern="1200"/>
          </a:p>
          <a:p>
            <a:pPr lvl="0" algn="ctr" defTabSz="844550">
              <a:lnSpc>
                <a:spcPct val="90000"/>
              </a:lnSpc>
              <a:spcBef>
                <a:spcPct val="0"/>
              </a:spcBef>
              <a:spcAft>
                <a:spcPct val="35000"/>
              </a:spcAft>
            </a:pPr>
            <a:endParaRPr lang="es-CO" sz="1400" b="1" u="none" kern="1200"/>
          </a:p>
          <a:p>
            <a:pPr lvl="0" algn="ctr" defTabSz="844550">
              <a:lnSpc>
                <a:spcPct val="90000"/>
              </a:lnSpc>
              <a:spcBef>
                <a:spcPct val="0"/>
              </a:spcBef>
              <a:spcAft>
                <a:spcPct val="35000"/>
              </a:spcAft>
            </a:pPr>
            <a:r>
              <a:rPr lang="es-CO" sz="1100" b="1" u="none" kern="1200"/>
              <a:t>TRANSPORTE</a:t>
            </a:r>
          </a:p>
        </xdr:txBody>
      </xdr:sp>
    </xdr:grpSp>
    <xdr:clientData/>
  </xdr:twoCellAnchor>
  <xdr:twoCellAnchor>
    <xdr:from>
      <xdr:col>7</xdr:col>
      <xdr:colOff>523875</xdr:colOff>
      <xdr:row>16</xdr:row>
      <xdr:rowOff>19058</xdr:rowOff>
    </xdr:from>
    <xdr:to>
      <xdr:col>9</xdr:col>
      <xdr:colOff>452475</xdr:colOff>
      <xdr:row>22</xdr:row>
      <xdr:rowOff>42347</xdr:rowOff>
    </xdr:to>
    <xdr:sp macro="" textlink="">
      <xdr:nvSpPr>
        <xdr:cNvPr id="33" name="32 Elipse"/>
        <xdr:cNvSpPr>
          <a:spLocks noChangeAspect="1"/>
        </xdr:cNvSpPr>
      </xdr:nvSpPr>
      <xdr:spPr>
        <a:xfrm>
          <a:off x="3857625" y="2476508"/>
          <a:ext cx="1224000" cy="1042464"/>
        </a:xfrm>
        <a:prstGeom prst="ellipse">
          <a:avLst/>
        </a:prstGeom>
        <a:blipFill rotWithShape="0">
          <a:blip xmlns:r="http://schemas.openxmlformats.org/officeDocument/2006/relationships" r:embed="rId11" cstate="print"/>
          <a:stretch>
            <a:fillRect/>
          </a:stretch>
        </a:blipFill>
      </xdr:spPr>
      <xdr:style>
        <a:lnRef idx="0">
          <a:schemeClr val="lt1">
            <a:hueOff val="0"/>
            <a:satOff val="0"/>
            <a:lumOff val="0"/>
            <a:alphaOff val="0"/>
          </a:schemeClr>
        </a:lnRef>
        <a:fillRef idx="1">
          <a:scrgbClr r="0" g="0" b="0"/>
        </a:fillRef>
        <a:effectRef idx="3">
          <a:schemeClr val="accent2">
            <a:tint val="50000"/>
            <a:hueOff val="0"/>
            <a:satOff val="0"/>
            <a:lumOff val="0"/>
            <a:alphaOff val="0"/>
          </a:schemeClr>
        </a:effectRef>
        <a:fontRef idx="minor">
          <a:schemeClr val="lt1">
            <a:hueOff val="0"/>
            <a:satOff val="0"/>
            <a:lumOff val="0"/>
            <a:alphaOff val="0"/>
          </a:schemeClr>
        </a:fontRef>
      </xdr:style>
      <xdr:txBody>
        <a:bodyPr/>
        <a:lstStyle/>
        <a:p>
          <a:endParaRPr lang="es-CO"/>
        </a:p>
      </xdr:txBody>
    </xdr:sp>
    <xdr:clientData/>
  </xdr:twoCellAnchor>
  <xdr:twoCellAnchor>
    <xdr:from>
      <xdr:col>16</xdr:col>
      <xdr:colOff>323892</xdr:colOff>
      <xdr:row>15</xdr:row>
      <xdr:rowOff>114300</xdr:rowOff>
    </xdr:from>
    <xdr:to>
      <xdr:col>18</xdr:col>
      <xdr:colOff>619172</xdr:colOff>
      <xdr:row>25</xdr:row>
      <xdr:rowOff>57150</xdr:rowOff>
    </xdr:to>
    <xdr:grpSp>
      <xdr:nvGrpSpPr>
        <xdr:cNvPr id="34" name="2 Grupo"/>
        <xdr:cNvGrpSpPr>
          <a:grpSpLocks/>
        </xdr:cNvGrpSpPr>
      </xdr:nvGrpSpPr>
      <xdr:grpSpPr bwMode="auto">
        <a:xfrm>
          <a:off x="9401217" y="2381250"/>
          <a:ext cx="1590680" cy="1733550"/>
          <a:chOff x="9534525" y="2397367"/>
          <a:chExt cx="1593917" cy="1755533"/>
        </a:xfrm>
      </xdr:grpSpPr>
      <xdr:sp macro="" textlink="">
        <xdr:nvSpPr>
          <xdr:cNvPr id="35" name="34 Rectángulo redondeado"/>
          <xdr:cNvSpPr/>
        </xdr:nvSpPr>
        <xdr:spPr>
          <a:xfrm>
            <a:off x="9715870" y="2397367"/>
            <a:ext cx="1269408" cy="1745888"/>
          </a:xfrm>
          <a:prstGeom prst="roundRect">
            <a:avLst>
              <a:gd name="adj" fmla="val 10000"/>
            </a:avLst>
          </a:prstGeom>
          <a:solidFill>
            <a:srgbClr val="FFC000"/>
          </a:solidFill>
        </xdr:spPr>
        <xdr:style>
          <a:lnRef idx="0">
            <a:schemeClr val="lt1">
              <a:hueOff val="0"/>
              <a:satOff val="0"/>
              <a:lumOff val="0"/>
              <a:alphaOff val="0"/>
            </a:schemeClr>
          </a:lnRef>
          <a:fillRef idx="3">
            <a:schemeClr val="accent2">
              <a:hueOff val="0"/>
              <a:satOff val="0"/>
              <a:lumOff val="0"/>
              <a:alphaOff val="0"/>
            </a:schemeClr>
          </a:fillRef>
          <a:effectRef idx="3">
            <a:schemeClr val="accent2">
              <a:hueOff val="0"/>
              <a:satOff val="0"/>
              <a:lumOff val="0"/>
              <a:alphaOff val="0"/>
            </a:schemeClr>
          </a:effectRef>
          <a:fontRef idx="minor">
            <a:schemeClr val="lt1"/>
          </a:fontRef>
        </xdr:style>
        <xdr:txBody>
          <a:bodyPr/>
          <a:lstStyle/>
          <a:p>
            <a:endParaRPr lang="es-CO"/>
          </a:p>
        </xdr:txBody>
      </xdr:sp>
      <xdr:grpSp>
        <xdr:nvGrpSpPr>
          <xdr:cNvPr id="36" name="1 Grupo"/>
          <xdr:cNvGrpSpPr>
            <a:grpSpLocks/>
          </xdr:cNvGrpSpPr>
        </xdr:nvGrpSpPr>
        <xdr:grpSpPr bwMode="auto">
          <a:xfrm>
            <a:off x="9534525" y="2470150"/>
            <a:ext cx="1593917" cy="1682750"/>
            <a:chOff x="9582150" y="2470150"/>
            <a:chExt cx="1593917" cy="1682750"/>
          </a:xfrm>
        </xdr:grpSpPr>
        <xdr:grpSp>
          <xdr:nvGrpSpPr>
            <xdr:cNvPr id="37" name="25 Grupo"/>
            <xdr:cNvGrpSpPr>
              <a:grpSpLocks/>
            </xdr:cNvGrpSpPr>
          </xdr:nvGrpSpPr>
          <xdr:grpSpPr bwMode="auto">
            <a:xfrm>
              <a:off x="9582150" y="2696386"/>
              <a:ext cx="1593917" cy="1456514"/>
              <a:chOff x="8790" y="319336"/>
              <a:chExt cx="2213184" cy="2315904"/>
            </a:xfrm>
          </xdr:grpSpPr>
          <xdr:sp macro="" textlink="">
            <xdr:nvSpPr>
              <xdr:cNvPr id="39" name="38 Rectángulo redondeado"/>
              <xdr:cNvSpPr/>
            </xdr:nvSpPr>
            <xdr:spPr>
              <a:xfrm>
                <a:off x="194322" y="319336"/>
                <a:ext cx="2027652" cy="2315904"/>
              </a:xfrm>
              <a:prstGeom prst="roundRect">
                <a:avLst>
                  <a:gd name="adj" fmla="val 10000"/>
                </a:avLst>
              </a:prstGeom>
              <a:grpFill/>
            </xdr:spPr>
            <xdr:style>
              <a:lnRef idx="0">
                <a:schemeClr val="lt1">
                  <a:hueOff val="0"/>
                  <a:satOff val="0"/>
                  <a:lumOff val="0"/>
                  <a:alphaOff val="0"/>
                </a:schemeClr>
              </a:lnRef>
              <a:fillRef idx="3">
                <a:schemeClr val="accent2">
                  <a:hueOff val="0"/>
                  <a:satOff val="0"/>
                  <a:lumOff val="0"/>
                  <a:alphaOff val="0"/>
                </a:schemeClr>
              </a:fillRef>
              <a:effectRef idx="3">
                <a:schemeClr val="accent2">
                  <a:hueOff val="0"/>
                  <a:satOff val="0"/>
                  <a:lumOff val="0"/>
                  <a:alphaOff val="0"/>
                </a:schemeClr>
              </a:effectRef>
              <a:fontRef idx="minor">
                <a:schemeClr val="lt1"/>
              </a:fontRef>
            </xdr:style>
            <xdr:txBody>
              <a:bodyPr/>
              <a:lstStyle/>
              <a:p>
                <a:endParaRPr lang="es-CO"/>
              </a:p>
            </xdr:txBody>
          </xdr:sp>
          <xdr:sp macro="" textlink="">
            <xdr:nvSpPr>
              <xdr:cNvPr id="40" name="39 Rectángulo">
                <a:hlinkClick xmlns:r="http://schemas.openxmlformats.org/officeDocument/2006/relationships" r:id="rId12"/>
              </xdr:cNvPr>
              <xdr:cNvSpPr/>
            </xdr:nvSpPr>
            <xdr:spPr>
              <a:xfrm>
                <a:off x="8790" y="1070854"/>
                <a:ext cx="2027653" cy="1042924"/>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5128" tIns="135128" rIns="135128" bIns="135128" numCol="1" spcCol="1270" anchor="ctr" anchorCtr="0">
                <a:noAutofit/>
              </a:bodyPr>
              <a:lstStyle/>
              <a:p>
                <a:pPr lvl="0" algn="ctr" defTabSz="844550">
                  <a:lnSpc>
                    <a:spcPct val="90000"/>
                  </a:lnSpc>
                  <a:spcBef>
                    <a:spcPct val="0"/>
                  </a:spcBef>
                  <a:spcAft>
                    <a:spcPct val="35000"/>
                  </a:spcAft>
                </a:pPr>
                <a:endParaRPr lang="es-CO" sz="1400" b="1" u="none" kern="1200"/>
              </a:p>
              <a:p>
                <a:pPr lvl="0" algn="ctr" defTabSz="844550">
                  <a:lnSpc>
                    <a:spcPct val="90000"/>
                  </a:lnSpc>
                  <a:spcBef>
                    <a:spcPct val="0"/>
                  </a:spcBef>
                  <a:spcAft>
                    <a:spcPct val="35000"/>
                  </a:spcAft>
                </a:pPr>
                <a:endParaRPr lang="es-CO" sz="1400" b="1" u="none" kern="1200"/>
              </a:p>
              <a:p>
                <a:pPr lvl="0" algn="ctr" defTabSz="844550">
                  <a:lnSpc>
                    <a:spcPct val="90000"/>
                  </a:lnSpc>
                  <a:spcBef>
                    <a:spcPct val="0"/>
                  </a:spcBef>
                  <a:spcAft>
                    <a:spcPct val="35000"/>
                  </a:spcAft>
                </a:pPr>
                <a:endParaRPr lang="es-CO" sz="1400" b="1" u="none" kern="1200"/>
              </a:p>
              <a:p>
                <a:pPr lvl="0" algn="ctr" defTabSz="844550">
                  <a:lnSpc>
                    <a:spcPct val="90000"/>
                  </a:lnSpc>
                  <a:spcBef>
                    <a:spcPct val="0"/>
                  </a:spcBef>
                  <a:spcAft>
                    <a:spcPct val="35000"/>
                  </a:spcAft>
                </a:pPr>
                <a:r>
                  <a:rPr lang="es-CO" sz="1100" b="1" u="none" kern="1200"/>
                  <a:t>SUMIDEROS</a:t>
                </a:r>
              </a:p>
            </xdr:txBody>
          </xdr:sp>
        </xdr:grpSp>
        <xdr:pic>
          <xdr:nvPicPr>
            <xdr:cNvPr id="38" name="0 Imagen"/>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823714" y="2470150"/>
              <a:ext cx="1158350" cy="1056700"/>
            </a:xfrm>
            <a:prstGeom prst="ellipse">
              <a:avLst/>
            </a:prstGeom>
          </xdr:spPr>
        </xdr:pic>
      </xdr:grpSp>
    </xdr:grpSp>
    <xdr:clientData/>
  </xdr:twoCellAnchor>
  <xdr:twoCellAnchor>
    <xdr:from>
      <xdr:col>19</xdr:col>
      <xdr:colOff>79375</xdr:colOff>
      <xdr:row>22</xdr:row>
      <xdr:rowOff>174625</xdr:rowOff>
    </xdr:from>
    <xdr:to>
      <xdr:col>20</xdr:col>
      <xdr:colOff>444500</xdr:colOff>
      <xdr:row>25</xdr:row>
      <xdr:rowOff>63500</xdr:rowOff>
    </xdr:to>
    <xdr:sp macro="" textlink="">
      <xdr:nvSpPr>
        <xdr:cNvPr id="41" name="40 CuadroTexto">
          <a:hlinkClick xmlns:r="http://schemas.openxmlformats.org/officeDocument/2006/relationships" r:id="rId14"/>
        </xdr:cNvPr>
        <xdr:cNvSpPr txBox="1"/>
      </xdr:nvSpPr>
      <xdr:spPr>
        <a:xfrm>
          <a:off x="11185525" y="3651250"/>
          <a:ext cx="1012825" cy="4699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solidFill>
                <a:schemeClr val="bg1"/>
              </a:solidFill>
            </a:rPr>
            <a:t>CAMBIO USOS DEL SUELO</a:t>
          </a:r>
        </a:p>
      </xdr:txBody>
    </xdr:sp>
    <xdr:clientData/>
  </xdr:twoCellAnchor>
  <xdr:twoCellAnchor>
    <xdr:from>
      <xdr:col>2</xdr:col>
      <xdr:colOff>495300</xdr:colOff>
      <xdr:row>15</xdr:row>
      <xdr:rowOff>142875</xdr:rowOff>
    </xdr:from>
    <xdr:to>
      <xdr:col>5</xdr:col>
      <xdr:colOff>123825</xdr:colOff>
      <xdr:row>24</xdr:row>
      <xdr:rowOff>190500</xdr:rowOff>
    </xdr:to>
    <xdr:sp macro="" textlink="">
      <xdr:nvSpPr>
        <xdr:cNvPr id="45" name="44 Rectángulo redondeado"/>
        <xdr:cNvSpPr/>
      </xdr:nvSpPr>
      <xdr:spPr bwMode="auto">
        <a:xfrm>
          <a:off x="904875" y="2409825"/>
          <a:ext cx="1257300" cy="1638300"/>
        </a:xfrm>
        <a:prstGeom prst="roundRect">
          <a:avLst>
            <a:gd name="adj" fmla="val 10000"/>
          </a:avLst>
        </a:prstGeom>
        <a:grpFill/>
      </xdr:spPr>
      <xdr:style>
        <a:lnRef idx="0">
          <a:schemeClr val="lt1">
            <a:hueOff val="0"/>
            <a:satOff val="0"/>
            <a:lumOff val="0"/>
            <a:alphaOff val="0"/>
          </a:schemeClr>
        </a:lnRef>
        <a:fillRef idx="3">
          <a:schemeClr val="accent2">
            <a:hueOff val="0"/>
            <a:satOff val="0"/>
            <a:lumOff val="0"/>
            <a:alphaOff val="0"/>
          </a:schemeClr>
        </a:fillRef>
        <a:effectRef idx="3">
          <a:schemeClr val="accent2">
            <a:hueOff val="0"/>
            <a:satOff val="0"/>
            <a:lumOff val="0"/>
            <a:alphaOff val="0"/>
          </a:schemeClr>
        </a:effectRef>
        <a:fontRef idx="minor">
          <a:schemeClr val="lt1"/>
        </a:fontRef>
      </xdr:style>
      <xdr:txBody>
        <a:bodyPr/>
        <a:lstStyle/>
        <a:p>
          <a:endParaRPr lang="es-CO"/>
        </a:p>
      </xdr:txBody>
    </xdr:sp>
    <xdr:clientData/>
  </xdr:twoCellAnchor>
  <xdr:twoCellAnchor>
    <xdr:from>
      <xdr:col>2</xdr:col>
      <xdr:colOff>561975</xdr:colOff>
      <xdr:row>15</xdr:row>
      <xdr:rowOff>171450</xdr:rowOff>
    </xdr:from>
    <xdr:to>
      <xdr:col>5</xdr:col>
      <xdr:colOff>193200</xdr:colOff>
      <xdr:row>25</xdr:row>
      <xdr:rowOff>19050</xdr:rowOff>
    </xdr:to>
    <xdr:sp macro="" textlink="">
      <xdr:nvSpPr>
        <xdr:cNvPr id="46" name="45 Rectángulo redondeado"/>
        <xdr:cNvSpPr/>
      </xdr:nvSpPr>
      <xdr:spPr>
        <a:xfrm>
          <a:off x="971550" y="2438400"/>
          <a:ext cx="1260000" cy="1638300"/>
        </a:xfrm>
        <a:prstGeom prst="roundRect">
          <a:avLst>
            <a:gd name="adj" fmla="val 10000"/>
          </a:avLst>
        </a:prstGeom>
        <a:solidFill>
          <a:srgbClr val="92D050"/>
        </a:solidFill>
      </xdr:spPr>
      <xdr:style>
        <a:lnRef idx="0">
          <a:schemeClr val="lt1">
            <a:hueOff val="0"/>
            <a:satOff val="0"/>
            <a:lumOff val="0"/>
            <a:alphaOff val="0"/>
          </a:schemeClr>
        </a:lnRef>
        <a:fillRef idx="3">
          <a:schemeClr val="accent2">
            <a:hueOff val="0"/>
            <a:satOff val="0"/>
            <a:lumOff val="0"/>
            <a:alphaOff val="0"/>
          </a:schemeClr>
        </a:fillRef>
        <a:effectRef idx="3">
          <a:schemeClr val="accent2">
            <a:hueOff val="0"/>
            <a:satOff val="0"/>
            <a:lumOff val="0"/>
            <a:alphaOff val="0"/>
          </a:schemeClr>
        </a:effectRef>
        <a:fontRef idx="minor">
          <a:schemeClr val="lt1"/>
        </a:fontRef>
      </xdr:style>
      <xdr:txBody>
        <a:bodyPr/>
        <a:lstStyle/>
        <a:p>
          <a:endParaRPr lang="es-CO"/>
        </a:p>
      </xdr:txBody>
    </xdr:sp>
    <xdr:clientData/>
  </xdr:twoCellAnchor>
  <xdr:twoCellAnchor editAs="oneCell">
    <xdr:from>
      <xdr:col>3</xdr:col>
      <xdr:colOff>76201</xdr:colOff>
      <xdr:row>16</xdr:row>
      <xdr:rowOff>85734</xdr:rowOff>
    </xdr:from>
    <xdr:to>
      <xdr:col>5</xdr:col>
      <xdr:colOff>152400</xdr:colOff>
      <xdr:row>22</xdr:row>
      <xdr:rowOff>53371</xdr:rowOff>
    </xdr:to>
    <xdr:pic>
      <xdr:nvPicPr>
        <xdr:cNvPr id="49" name="48 Imagen"/>
        <xdr:cNvPicPr>
          <a:picLocks noChangeAspect="1"/>
        </xdr:cNvPicPr>
      </xdr:nvPicPr>
      <xdr:blipFill>
        <a:blip xmlns:r="http://schemas.openxmlformats.org/officeDocument/2006/relationships" r:embed="rId15"/>
        <a:stretch>
          <a:fillRect/>
        </a:stretch>
      </xdr:blipFill>
      <xdr:spPr>
        <a:xfrm>
          <a:off x="1000126" y="2543184"/>
          <a:ext cx="1104899" cy="986812"/>
        </a:xfrm>
        <a:prstGeom prst="rect">
          <a:avLst/>
        </a:prstGeom>
      </xdr:spPr>
    </xdr:pic>
    <xdr:clientData/>
  </xdr:twoCellAnchor>
  <xdr:twoCellAnchor>
    <xdr:from>
      <xdr:col>3</xdr:col>
      <xdr:colOff>9525</xdr:colOff>
      <xdr:row>15</xdr:row>
      <xdr:rowOff>142875</xdr:rowOff>
    </xdr:from>
    <xdr:to>
      <xdr:col>5</xdr:col>
      <xdr:colOff>238125</xdr:colOff>
      <xdr:row>24</xdr:row>
      <xdr:rowOff>190500</xdr:rowOff>
    </xdr:to>
    <xdr:grpSp>
      <xdr:nvGrpSpPr>
        <xdr:cNvPr id="50" name="25 Grupo"/>
        <xdr:cNvGrpSpPr>
          <a:grpSpLocks/>
        </xdr:cNvGrpSpPr>
      </xdr:nvGrpSpPr>
      <xdr:grpSpPr bwMode="auto">
        <a:xfrm>
          <a:off x="933450" y="2409825"/>
          <a:ext cx="1257300" cy="1638300"/>
          <a:chOff x="8790" y="0"/>
          <a:chExt cx="1754604" cy="2635240"/>
        </a:xfrm>
      </xdr:grpSpPr>
      <xdr:sp macro="" textlink="">
        <xdr:nvSpPr>
          <xdr:cNvPr id="51" name="50 Rectángulo redondeado"/>
          <xdr:cNvSpPr/>
        </xdr:nvSpPr>
        <xdr:spPr>
          <a:xfrm>
            <a:off x="8790" y="0"/>
            <a:ext cx="1754604" cy="2635240"/>
          </a:xfrm>
          <a:prstGeom prst="roundRect">
            <a:avLst>
              <a:gd name="adj" fmla="val 10000"/>
            </a:avLst>
          </a:prstGeom>
          <a:grpFill/>
        </xdr:spPr>
        <xdr:style>
          <a:lnRef idx="0">
            <a:schemeClr val="lt1">
              <a:hueOff val="0"/>
              <a:satOff val="0"/>
              <a:lumOff val="0"/>
              <a:alphaOff val="0"/>
            </a:schemeClr>
          </a:lnRef>
          <a:fillRef idx="3">
            <a:schemeClr val="accent2">
              <a:hueOff val="0"/>
              <a:satOff val="0"/>
              <a:lumOff val="0"/>
              <a:alphaOff val="0"/>
            </a:schemeClr>
          </a:fillRef>
          <a:effectRef idx="3">
            <a:schemeClr val="accent2">
              <a:hueOff val="0"/>
              <a:satOff val="0"/>
              <a:lumOff val="0"/>
              <a:alphaOff val="0"/>
            </a:schemeClr>
          </a:effectRef>
          <a:fontRef idx="minor">
            <a:schemeClr val="lt1"/>
          </a:fontRef>
        </xdr:style>
        <xdr:txBody>
          <a:bodyPr/>
          <a:lstStyle/>
          <a:p>
            <a:endParaRPr lang="es-CO"/>
          </a:p>
        </xdr:txBody>
      </xdr:sp>
      <xdr:sp macro="" textlink="">
        <xdr:nvSpPr>
          <xdr:cNvPr id="52" name="51 Rectángulo">
            <a:hlinkClick xmlns:r="http://schemas.openxmlformats.org/officeDocument/2006/relationships" r:id="rId16"/>
          </xdr:cNvPr>
          <xdr:cNvSpPr/>
        </xdr:nvSpPr>
        <xdr:spPr>
          <a:xfrm>
            <a:off x="8790" y="1057160"/>
            <a:ext cx="1754604" cy="1057160"/>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5128" tIns="135128" rIns="135128" bIns="135128" numCol="1" spcCol="1270" anchor="ctr" anchorCtr="0">
            <a:noAutofit/>
          </a:bodyPr>
          <a:lstStyle/>
          <a:p>
            <a:pPr lvl="0" algn="ctr" defTabSz="844550">
              <a:lnSpc>
                <a:spcPct val="90000"/>
              </a:lnSpc>
              <a:spcBef>
                <a:spcPct val="0"/>
              </a:spcBef>
              <a:spcAft>
                <a:spcPct val="35000"/>
              </a:spcAft>
            </a:pPr>
            <a:endParaRPr lang="es-CO" sz="1400" b="1" u="none" kern="1200"/>
          </a:p>
          <a:p>
            <a:pPr lvl="0" algn="ctr" defTabSz="844550">
              <a:lnSpc>
                <a:spcPct val="90000"/>
              </a:lnSpc>
              <a:spcBef>
                <a:spcPct val="0"/>
              </a:spcBef>
              <a:spcAft>
                <a:spcPct val="35000"/>
              </a:spcAft>
            </a:pPr>
            <a:endParaRPr lang="es-CO" sz="1400" b="1" u="none" kern="1200"/>
          </a:p>
          <a:p>
            <a:pPr lvl="0" algn="ctr" defTabSz="844550">
              <a:lnSpc>
                <a:spcPct val="90000"/>
              </a:lnSpc>
              <a:spcBef>
                <a:spcPct val="0"/>
              </a:spcBef>
              <a:spcAft>
                <a:spcPct val="35000"/>
              </a:spcAft>
            </a:pPr>
            <a:endParaRPr lang="es-CO" sz="1400" b="1" u="none" kern="1200"/>
          </a:p>
          <a:p>
            <a:pPr lvl="0" algn="ctr" defTabSz="844550">
              <a:lnSpc>
                <a:spcPct val="90000"/>
              </a:lnSpc>
              <a:spcBef>
                <a:spcPct val="0"/>
              </a:spcBef>
              <a:spcAft>
                <a:spcPct val="35000"/>
              </a:spcAft>
            </a:pPr>
            <a:r>
              <a:rPr lang="es-CO" sz="1100" b="1" u="none" kern="1200"/>
              <a:t>RESIDENCIAL</a:t>
            </a:r>
          </a:p>
        </xdr:txBody>
      </xdr:sp>
    </xdr:grpSp>
    <xdr:clientData/>
  </xdr:twoCellAnchor>
  <xdr:twoCellAnchor editAs="oneCell">
    <xdr:from>
      <xdr:col>5</xdr:col>
      <xdr:colOff>628650</xdr:colOff>
      <xdr:row>1</xdr:row>
      <xdr:rowOff>57150</xdr:rowOff>
    </xdr:from>
    <xdr:to>
      <xdr:col>7</xdr:col>
      <xdr:colOff>515977</xdr:colOff>
      <xdr:row>6</xdr:row>
      <xdr:rowOff>92261</xdr:rowOff>
    </xdr:to>
    <xdr:pic>
      <xdr:nvPicPr>
        <xdr:cNvPr id="48" name="47 Imagen"/>
        <xdr:cNvPicPr>
          <a:picLocks noChangeAspect="1"/>
        </xdr:cNvPicPr>
      </xdr:nvPicPr>
      <xdr:blipFill>
        <a:blip xmlns:r="http://schemas.openxmlformats.org/officeDocument/2006/relationships" r:embed="rId17"/>
        <a:stretch>
          <a:fillRect/>
        </a:stretch>
      </xdr:blipFill>
      <xdr:spPr>
        <a:xfrm>
          <a:off x="2581275" y="247650"/>
          <a:ext cx="1182727" cy="682811"/>
        </a:xfrm>
        <a:prstGeom prst="rect">
          <a:avLst/>
        </a:prstGeom>
      </xdr:spPr>
    </xdr:pic>
    <xdr:clientData/>
  </xdr:twoCellAnchor>
  <xdr:twoCellAnchor editAs="oneCell">
    <xdr:from>
      <xdr:col>16</xdr:col>
      <xdr:colOff>9525</xdr:colOff>
      <xdr:row>2</xdr:row>
      <xdr:rowOff>114300</xdr:rowOff>
    </xdr:from>
    <xdr:to>
      <xdr:col>20</xdr:col>
      <xdr:colOff>52425</xdr:colOff>
      <xdr:row>6</xdr:row>
      <xdr:rowOff>77387</xdr:rowOff>
    </xdr:to>
    <xdr:pic>
      <xdr:nvPicPr>
        <xdr:cNvPr id="42" name="41 Imagen"/>
        <xdr:cNvPicPr>
          <a:picLocks noChangeAspect="1"/>
        </xdr:cNvPicPr>
      </xdr:nvPicPr>
      <xdr:blipFill>
        <a:blip xmlns:r="http://schemas.openxmlformats.org/officeDocument/2006/relationships" r:embed="rId18"/>
        <a:stretch>
          <a:fillRect/>
        </a:stretch>
      </xdr:blipFill>
      <xdr:spPr>
        <a:xfrm>
          <a:off x="9086850" y="409575"/>
          <a:ext cx="2633700" cy="50601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0</xdr:colOff>
      <xdr:row>1</xdr:row>
      <xdr:rowOff>41275</xdr:rowOff>
    </xdr:from>
    <xdr:to>
      <xdr:col>12</xdr:col>
      <xdr:colOff>0</xdr:colOff>
      <xdr:row>3</xdr:row>
      <xdr:rowOff>7144</xdr:rowOff>
    </xdr:to>
    <xdr:grpSp>
      <xdr:nvGrpSpPr>
        <xdr:cNvPr id="16" name="1 Grupo"/>
        <xdr:cNvGrpSpPr>
          <a:grpSpLocks/>
        </xdr:cNvGrpSpPr>
      </xdr:nvGrpSpPr>
      <xdr:grpSpPr bwMode="auto">
        <a:xfrm>
          <a:off x="15170305" y="157434"/>
          <a:ext cx="0" cy="569893"/>
          <a:chOff x="9258300" y="457226"/>
          <a:chExt cx="1908000" cy="494093"/>
        </a:xfrm>
      </xdr:grpSpPr>
      <xdr:grpSp>
        <xdr:nvGrpSpPr>
          <xdr:cNvPr id="17" name="4 Grupo"/>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9</xdr:col>
      <xdr:colOff>964115</xdr:colOff>
      <xdr:row>1</xdr:row>
      <xdr:rowOff>58079</xdr:rowOff>
    </xdr:from>
    <xdr:to>
      <xdr:col>11</xdr:col>
      <xdr:colOff>740315</xdr:colOff>
      <xdr:row>2</xdr:row>
      <xdr:rowOff>320159</xdr:rowOff>
    </xdr:to>
    <xdr:pic>
      <xdr:nvPicPr>
        <xdr:cNvPr id="2" name="1 Imagen"/>
        <xdr:cNvPicPr>
          <a:picLocks noChangeAspect="1"/>
        </xdr:cNvPicPr>
      </xdr:nvPicPr>
      <xdr:blipFill>
        <a:blip xmlns:r="http://schemas.openxmlformats.org/officeDocument/2006/relationships" r:embed="rId3"/>
        <a:stretch>
          <a:fillRect/>
        </a:stretch>
      </xdr:blipFill>
      <xdr:spPr>
        <a:xfrm>
          <a:off x="12428963" y="174238"/>
          <a:ext cx="2633700" cy="506012"/>
        </a:xfrm>
        <a:prstGeom prst="rect">
          <a:avLst/>
        </a:prstGeom>
      </xdr:spPr>
    </xdr:pic>
    <xdr:clientData/>
  </xdr:twoCellAnchor>
  <xdr:twoCellAnchor editAs="oneCell">
    <xdr:from>
      <xdr:col>1</xdr:col>
      <xdr:colOff>1115122</xdr:colOff>
      <xdr:row>0</xdr:row>
      <xdr:rowOff>92928</xdr:rowOff>
    </xdr:from>
    <xdr:to>
      <xdr:col>1</xdr:col>
      <xdr:colOff>2181690</xdr:colOff>
      <xdr:row>2</xdr:row>
      <xdr:rowOff>348587</xdr:rowOff>
    </xdr:to>
    <xdr:pic>
      <xdr:nvPicPr>
        <xdr:cNvPr id="3" name="2 Imagen"/>
        <xdr:cNvPicPr>
          <a:picLocks noChangeAspect="1"/>
        </xdr:cNvPicPr>
      </xdr:nvPicPr>
      <xdr:blipFill>
        <a:blip xmlns:r="http://schemas.openxmlformats.org/officeDocument/2006/relationships" r:embed="rId4"/>
        <a:stretch>
          <a:fillRect/>
        </a:stretch>
      </xdr:blipFill>
      <xdr:spPr>
        <a:xfrm>
          <a:off x="1521677" y="92928"/>
          <a:ext cx="1066568" cy="6157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0</xdr:colOff>
      <xdr:row>1</xdr:row>
      <xdr:rowOff>41275</xdr:rowOff>
    </xdr:from>
    <xdr:to>
      <xdr:col>15</xdr:col>
      <xdr:colOff>0</xdr:colOff>
      <xdr:row>3</xdr:row>
      <xdr:rowOff>7144</xdr:rowOff>
    </xdr:to>
    <xdr:grpSp>
      <xdr:nvGrpSpPr>
        <xdr:cNvPr id="16" name="1 Grupo"/>
        <xdr:cNvGrpSpPr>
          <a:grpSpLocks/>
        </xdr:cNvGrpSpPr>
      </xdr:nvGrpSpPr>
      <xdr:grpSpPr bwMode="auto">
        <a:xfrm>
          <a:off x="22341974" y="225091"/>
          <a:ext cx="0" cy="567448"/>
          <a:chOff x="9258300" y="457226"/>
          <a:chExt cx="1908000" cy="494093"/>
        </a:xfrm>
      </xdr:grpSpPr>
      <xdr:grpSp>
        <xdr:nvGrpSpPr>
          <xdr:cNvPr id="17" name="4 Grupo"/>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11</xdr:col>
      <xdr:colOff>267368</xdr:colOff>
      <xdr:row>1</xdr:row>
      <xdr:rowOff>33421</xdr:rowOff>
    </xdr:from>
    <xdr:to>
      <xdr:col>12</xdr:col>
      <xdr:colOff>1313568</xdr:colOff>
      <xdr:row>2</xdr:row>
      <xdr:rowOff>305486</xdr:rowOff>
    </xdr:to>
    <xdr:pic>
      <xdr:nvPicPr>
        <xdr:cNvPr id="3" name="2 Imagen"/>
        <xdr:cNvPicPr>
          <a:picLocks noChangeAspect="1"/>
        </xdr:cNvPicPr>
      </xdr:nvPicPr>
      <xdr:blipFill>
        <a:blip xmlns:r="http://schemas.openxmlformats.org/officeDocument/2006/relationships" r:embed="rId3"/>
        <a:stretch>
          <a:fillRect/>
        </a:stretch>
      </xdr:blipFill>
      <xdr:spPr>
        <a:xfrm>
          <a:off x="17211842" y="217237"/>
          <a:ext cx="2633700" cy="506012"/>
        </a:xfrm>
        <a:prstGeom prst="rect">
          <a:avLst/>
        </a:prstGeom>
      </xdr:spPr>
    </xdr:pic>
    <xdr:clientData/>
  </xdr:twoCellAnchor>
  <xdr:twoCellAnchor editAs="oneCell">
    <xdr:from>
      <xdr:col>1</xdr:col>
      <xdr:colOff>1904999</xdr:colOff>
      <xdr:row>0</xdr:row>
      <xdr:rowOff>150396</xdr:rowOff>
    </xdr:from>
    <xdr:to>
      <xdr:col>2</xdr:col>
      <xdr:colOff>1032332</xdr:colOff>
      <xdr:row>3</xdr:row>
      <xdr:rowOff>9223</xdr:rowOff>
    </xdr:to>
    <xdr:pic>
      <xdr:nvPicPr>
        <xdr:cNvPr id="4" name="3 Imagen"/>
        <xdr:cNvPicPr>
          <a:picLocks noChangeAspect="1"/>
        </xdr:cNvPicPr>
      </xdr:nvPicPr>
      <xdr:blipFill>
        <a:blip xmlns:r="http://schemas.openxmlformats.org/officeDocument/2006/relationships" r:embed="rId4"/>
        <a:stretch>
          <a:fillRect/>
        </a:stretch>
      </xdr:blipFill>
      <xdr:spPr>
        <a:xfrm>
          <a:off x="2088815" y="150396"/>
          <a:ext cx="1115885" cy="64422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738187</xdr:colOff>
      <xdr:row>0</xdr:row>
      <xdr:rowOff>184150</xdr:rowOff>
    </xdr:from>
    <xdr:to>
      <xdr:col>10</xdr:col>
      <xdr:colOff>738187</xdr:colOff>
      <xdr:row>14</xdr:row>
      <xdr:rowOff>22225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754062</xdr:colOff>
      <xdr:row>32</xdr:row>
      <xdr:rowOff>9525</xdr:rowOff>
    </xdr:from>
    <xdr:to>
      <xdr:col>10</xdr:col>
      <xdr:colOff>754062</xdr:colOff>
      <xdr:row>44</xdr:row>
      <xdr:rowOff>53975</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754062</xdr:colOff>
      <xdr:row>46</xdr:row>
      <xdr:rowOff>200025</xdr:rowOff>
    </xdr:from>
    <xdr:to>
      <xdr:col>10</xdr:col>
      <xdr:colOff>754062</xdr:colOff>
      <xdr:row>57</xdr:row>
      <xdr:rowOff>117475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7937</xdr:colOff>
      <xdr:row>59</xdr:row>
      <xdr:rowOff>184150</xdr:rowOff>
    </xdr:from>
    <xdr:to>
      <xdr:col>11</xdr:col>
      <xdr:colOff>7937</xdr:colOff>
      <xdr:row>72</xdr:row>
      <xdr:rowOff>53975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7937</xdr:colOff>
      <xdr:row>15</xdr:row>
      <xdr:rowOff>184150</xdr:rowOff>
    </xdr:from>
    <xdr:to>
      <xdr:col>11</xdr:col>
      <xdr:colOff>7937</xdr:colOff>
      <xdr:row>28</xdr:row>
      <xdr:rowOff>53975</xdr:rowOff>
    </xdr:to>
    <xdr:graphicFrame macro="">
      <xdr:nvGraphicFramePr>
        <xdr:cNvPr id="8" name="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xdr:colOff>
      <xdr:row>75</xdr:row>
      <xdr:rowOff>2721</xdr:rowOff>
    </xdr:from>
    <xdr:to>
      <xdr:col>11</xdr:col>
      <xdr:colOff>1</xdr:colOff>
      <xdr:row>87</xdr:row>
      <xdr:rowOff>78921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xdr:colOff>
      <xdr:row>91</xdr:row>
      <xdr:rowOff>29936</xdr:rowOff>
    </xdr:from>
    <xdr:to>
      <xdr:col>11</xdr:col>
      <xdr:colOff>1</xdr:colOff>
      <xdr:row>103</xdr:row>
      <xdr:rowOff>119743</xdr:rowOff>
    </xdr:to>
    <xdr:graphicFrame macro="">
      <xdr:nvGraphicFramePr>
        <xdr:cNvPr id="10" name="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13607</xdr:colOff>
      <xdr:row>0</xdr:row>
      <xdr:rowOff>193222</xdr:rowOff>
    </xdr:from>
    <xdr:to>
      <xdr:col>18</xdr:col>
      <xdr:colOff>13607</xdr:colOff>
      <xdr:row>14</xdr:row>
      <xdr:rowOff>24493</xdr:rowOff>
    </xdr:to>
    <xdr:graphicFrame macro="">
      <xdr:nvGraphicFramePr>
        <xdr:cNvPr id="11" name="1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13607</xdr:colOff>
      <xdr:row>16</xdr:row>
      <xdr:rowOff>2722</xdr:rowOff>
    </xdr:from>
    <xdr:to>
      <xdr:col>18</xdr:col>
      <xdr:colOff>13607</xdr:colOff>
      <xdr:row>28</xdr:row>
      <xdr:rowOff>65315</xdr:rowOff>
    </xdr:to>
    <xdr:graphicFrame macro="">
      <xdr:nvGraphicFramePr>
        <xdr:cNvPr id="12" name="1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13608</xdr:colOff>
      <xdr:row>32</xdr:row>
      <xdr:rowOff>16329</xdr:rowOff>
    </xdr:from>
    <xdr:to>
      <xdr:col>18</xdr:col>
      <xdr:colOff>13608</xdr:colOff>
      <xdr:row>43</xdr:row>
      <xdr:rowOff>201386</xdr:rowOff>
    </xdr:to>
    <xdr:graphicFrame macro="">
      <xdr:nvGraphicFramePr>
        <xdr:cNvPr id="13" name="1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13607</xdr:colOff>
      <xdr:row>47</xdr:row>
      <xdr:rowOff>2722</xdr:rowOff>
    </xdr:from>
    <xdr:to>
      <xdr:col>18</xdr:col>
      <xdr:colOff>13607</xdr:colOff>
      <xdr:row>57</xdr:row>
      <xdr:rowOff>119743</xdr:rowOff>
    </xdr:to>
    <xdr:graphicFrame macro="">
      <xdr:nvGraphicFramePr>
        <xdr:cNvPr id="14" name="1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13608</xdr:colOff>
      <xdr:row>60</xdr:row>
      <xdr:rowOff>16329</xdr:rowOff>
    </xdr:from>
    <xdr:to>
      <xdr:col>18</xdr:col>
      <xdr:colOff>13608</xdr:colOff>
      <xdr:row>72</xdr:row>
      <xdr:rowOff>92529</xdr:rowOff>
    </xdr:to>
    <xdr:graphicFrame macro="">
      <xdr:nvGraphicFramePr>
        <xdr:cNvPr id="15" name="1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75</xdr:row>
      <xdr:rowOff>16328</xdr:rowOff>
    </xdr:from>
    <xdr:to>
      <xdr:col>18</xdr:col>
      <xdr:colOff>0</xdr:colOff>
      <xdr:row>87</xdr:row>
      <xdr:rowOff>92528</xdr:rowOff>
    </xdr:to>
    <xdr:graphicFrame macro="">
      <xdr:nvGraphicFramePr>
        <xdr:cNvPr id="16" name="1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91</xdr:row>
      <xdr:rowOff>16328</xdr:rowOff>
    </xdr:from>
    <xdr:to>
      <xdr:col>18</xdr:col>
      <xdr:colOff>0</xdr:colOff>
      <xdr:row>103</xdr:row>
      <xdr:rowOff>106135</xdr:rowOff>
    </xdr:to>
    <xdr:graphicFrame macro="">
      <xdr:nvGraphicFramePr>
        <xdr:cNvPr id="17" name="1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295275</xdr:colOff>
      <xdr:row>1</xdr:row>
      <xdr:rowOff>28575</xdr:rowOff>
    </xdr:from>
    <xdr:to>
      <xdr:col>4</xdr:col>
      <xdr:colOff>1627</xdr:colOff>
      <xdr:row>6</xdr:row>
      <xdr:rowOff>63686</xdr:rowOff>
    </xdr:to>
    <xdr:pic>
      <xdr:nvPicPr>
        <xdr:cNvPr id="9" name="8 Imagen"/>
        <xdr:cNvPicPr>
          <a:picLocks noChangeAspect="1"/>
        </xdr:cNvPicPr>
      </xdr:nvPicPr>
      <xdr:blipFill>
        <a:blip xmlns:r="http://schemas.openxmlformats.org/officeDocument/2006/relationships" r:embed="rId1"/>
        <a:stretch>
          <a:fillRect/>
        </a:stretch>
      </xdr:blipFill>
      <xdr:spPr>
        <a:xfrm>
          <a:off x="1009650" y="133350"/>
          <a:ext cx="1182727" cy="682811"/>
        </a:xfrm>
        <a:prstGeom prst="rect">
          <a:avLst/>
        </a:prstGeom>
      </xdr:spPr>
    </xdr:pic>
    <xdr:clientData/>
  </xdr:twoCellAnchor>
  <xdr:twoCellAnchor editAs="oneCell">
    <xdr:from>
      <xdr:col>14</xdr:col>
      <xdr:colOff>47625</xdr:colOff>
      <xdr:row>2</xdr:row>
      <xdr:rowOff>85725</xdr:rowOff>
    </xdr:from>
    <xdr:to>
      <xdr:col>19</xdr:col>
      <xdr:colOff>109575</xdr:colOff>
      <xdr:row>6</xdr:row>
      <xdr:rowOff>48812</xdr:rowOff>
    </xdr:to>
    <xdr:pic>
      <xdr:nvPicPr>
        <xdr:cNvPr id="16" name="15 Imagen"/>
        <xdr:cNvPicPr>
          <a:picLocks noChangeAspect="1"/>
        </xdr:cNvPicPr>
      </xdr:nvPicPr>
      <xdr:blipFill>
        <a:blip xmlns:r="http://schemas.openxmlformats.org/officeDocument/2006/relationships" r:embed="rId2"/>
        <a:stretch>
          <a:fillRect/>
        </a:stretch>
      </xdr:blipFill>
      <xdr:spPr>
        <a:xfrm>
          <a:off x="8715375" y="295275"/>
          <a:ext cx="2633700" cy="5060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1352550</xdr:colOff>
      <xdr:row>1</xdr:row>
      <xdr:rowOff>19050</xdr:rowOff>
    </xdr:from>
    <xdr:to>
      <xdr:col>2</xdr:col>
      <xdr:colOff>1627</xdr:colOff>
      <xdr:row>3</xdr:row>
      <xdr:rowOff>35111</xdr:rowOff>
    </xdr:to>
    <xdr:pic>
      <xdr:nvPicPr>
        <xdr:cNvPr id="3" name="2 Imagen"/>
        <xdr:cNvPicPr>
          <a:picLocks noChangeAspect="1"/>
        </xdr:cNvPicPr>
      </xdr:nvPicPr>
      <xdr:blipFill>
        <a:blip xmlns:r="http://schemas.openxmlformats.org/officeDocument/2006/relationships" r:embed="rId1"/>
        <a:stretch>
          <a:fillRect/>
        </a:stretch>
      </xdr:blipFill>
      <xdr:spPr>
        <a:xfrm>
          <a:off x="1733550" y="209550"/>
          <a:ext cx="1182727" cy="682811"/>
        </a:xfrm>
        <a:prstGeom prst="rect">
          <a:avLst/>
        </a:prstGeom>
      </xdr:spPr>
    </xdr:pic>
    <xdr:clientData/>
  </xdr:twoCellAnchor>
  <xdr:twoCellAnchor editAs="oneCell">
    <xdr:from>
      <xdr:col>31</xdr:col>
      <xdr:colOff>952500</xdr:colOff>
      <xdr:row>1</xdr:row>
      <xdr:rowOff>57150</xdr:rowOff>
    </xdr:from>
    <xdr:to>
      <xdr:col>37</xdr:col>
      <xdr:colOff>500100</xdr:colOff>
      <xdr:row>2</xdr:row>
      <xdr:rowOff>315512</xdr:rowOff>
    </xdr:to>
    <xdr:pic>
      <xdr:nvPicPr>
        <xdr:cNvPr id="5" name="4 Imagen"/>
        <xdr:cNvPicPr>
          <a:picLocks noChangeAspect="1"/>
        </xdr:cNvPicPr>
      </xdr:nvPicPr>
      <xdr:blipFill>
        <a:blip xmlns:r="http://schemas.openxmlformats.org/officeDocument/2006/relationships" r:embed="rId2"/>
        <a:stretch>
          <a:fillRect/>
        </a:stretch>
      </xdr:blipFill>
      <xdr:spPr>
        <a:xfrm>
          <a:off x="15754350" y="247650"/>
          <a:ext cx="2633700" cy="5060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1062404</xdr:colOff>
      <xdr:row>1</xdr:row>
      <xdr:rowOff>122116</xdr:rowOff>
    </xdr:from>
    <xdr:to>
      <xdr:col>37</xdr:col>
      <xdr:colOff>618796</xdr:colOff>
      <xdr:row>2</xdr:row>
      <xdr:rowOff>383898</xdr:rowOff>
    </xdr:to>
    <xdr:pic>
      <xdr:nvPicPr>
        <xdr:cNvPr id="2" name="1 Imagen"/>
        <xdr:cNvPicPr>
          <a:picLocks noChangeAspect="1"/>
        </xdr:cNvPicPr>
      </xdr:nvPicPr>
      <xdr:blipFill>
        <a:blip xmlns:r="http://schemas.openxmlformats.org/officeDocument/2006/relationships" r:embed="rId1"/>
        <a:stretch>
          <a:fillRect/>
        </a:stretch>
      </xdr:blipFill>
      <xdr:spPr>
        <a:xfrm>
          <a:off x="15618558" y="317501"/>
          <a:ext cx="2633700" cy="506012"/>
        </a:xfrm>
        <a:prstGeom prst="rect">
          <a:avLst/>
        </a:prstGeom>
      </xdr:spPr>
    </xdr:pic>
    <xdr:clientData/>
  </xdr:twoCellAnchor>
  <xdr:twoCellAnchor editAs="oneCell">
    <xdr:from>
      <xdr:col>1</xdr:col>
      <xdr:colOff>1160096</xdr:colOff>
      <xdr:row>1</xdr:row>
      <xdr:rowOff>36635</xdr:rowOff>
    </xdr:from>
    <xdr:to>
      <xdr:col>1</xdr:col>
      <xdr:colOff>2342823</xdr:colOff>
      <xdr:row>2</xdr:row>
      <xdr:rowOff>475216</xdr:rowOff>
    </xdr:to>
    <xdr:pic>
      <xdr:nvPicPr>
        <xdr:cNvPr id="10" name="9 Imagen"/>
        <xdr:cNvPicPr>
          <a:picLocks noChangeAspect="1"/>
        </xdr:cNvPicPr>
      </xdr:nvPicPr>
      <xdr:blipFill>
        <a:blip xmlns:r="http://schemas.openxmlformats.org/officeDocument/2006/relationships" r:embed="rId2"/>
        <a:stretch>
          <a:fillRect/>
        </a:stretch>
      </xdr:blipFill>
      <xdr:spPr>
        <a:xfrm>
          <a:off x="1526442" y="232020"/>
          <a:ext cx="1182727" cy="6828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1154906</xdr:colOff>
      <xdr:row>1</xdr:row>
      <xdr:rowOff>95250</xdr:rowOff>
    </xdr:from>
    <xdr:to>
      <xdr:col>37</xdr:col>
      <xdr:colOff>704888</xdr:colOff>
      <xdr:row>2</xdr:row>
      <xdr:rowOff>363137</xdr:rowOff>
    </xdr:to>
    <xdr:pic>
      <xdr:nvPicPr>
        <xdr:cNvPr id="2" name="1 Imagen"/>
        <xdr:cNvPicPr>
          <a:picLocks noChangeAspect="1"/>
        </xdr:cNvPicPr>
      </xdr:nvPicPr>
      <xdr:blipFill>
        <a:blip xmlns:r="http://schemas.openxmlformats.org/officeDocument/2006/relationships" r:embed="rId1"/>
        <a:stretch>
          <a:fillRect/>
        </a:stretch>
      </xdr:blipFill>
      <xdr:spPr>
        <a:xfrm>
          <a:off x="15085219" y="285750"/>
          <a:ext cx="2633700" cy="506012"/>
        </a:xfrm>
        <a:prstGeom prst="rect">
          <a:avLst/>
        </a:prstGeom>
      </xdr:spPr>
    </xdr:pic>
    <xdr:clientData/>
  </xdr:twoCellAnchor>
  <xdr:twoCellAnchor editAs="oneCell">
    <xdr:from>
      <xdr:col>1</xdr:col>
      <xdr:colOff>1321594</xdr:colOff>
      <xdr:row>1</xdr:row>
      <xdr:rowOff>23812</xdr:rowOff>
    </xdr:from>
    <xdr:to>
      <xdr:col>1</xdr:col>
      <xdr:colOff>2504321</xdr:colOff>
      <xdr:row>2</xdr:row>
      <xdr:rowOff>468498</xdr:rowOff>
    </xdr:to>
    <xdr:pic>
      <xdr:nvPicPr>
        <xdr:cNvPr id="9" name="8 Imagen"/>
        <xdr:cNvPicPr>
          <a:picLocks noChangeAspect="1"/>
        </xdr:cNvPicPr>
      </xdr:nvPicPr>
      <xdr:blipFill>
        <a:blip xmlns:r="http://schemas.openxmlformats.org/officeDocument/2006/relationships" r:embed="rId2"/>
        <a:stretch>
          <a:fillRect/>
        </a:stretch>
      </xdr:blipFill>
      <xdr:spPr>
        <a:xfrm>
          <a:off x="1690688" y="214312"/>
          <a:ext cx="1182727" cy="6828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31</xdr:col>
      <xdr:colOff>1131093</xdr:colOff>
      <xdr:row>1</xdr:row>
      <xdr:rowOff>178594</xdr:rowOff>
    </xdr:from>
    <xdr:to>
      <xdr:col>37</xdr:col>
      <xdr:colOff>681075</xdr:colOff>
      <xdr:row>2</xdr:row>
      <xdr:rowOff>446481</xdr:rowOff>
    </xdr:to>
    <xdr:pic>
      <xdr:nvPicPr>
        <xdr:cNvPr id="9" name="8 Imagen"/>
        <xdr:cNvPicPr>
          <a:picLocks noChangeAspect="1"/>
        </xdr:cNvPicPr>
      </xdr:nvPicPr>
      <xdr:blipFill>
        <a:blip xmlns:r="http://schemas.openxmlformats.org/officeDocument/2006/relationships" r:embed="rId1"/>
        <a:stretch>
          <a:fillRect/>
        </a:stretch>
      </xdr:blipFill>
      <xdr:spPr>
        <a:xfrm>
          <a:off x="15061406" y="369094"/>
          <a:ext cx="2633700" cy="506012"/>
        </a:xfrm>
        <a:prstGeom prst="rect">
          <a:avLst/>
        </a:prstGeom>
      </xdr:spPr>
    </xdr:pic>
    <xdr:clientData/>
  </xdr:twoCellAnchor>
  <xdr:twoCellAnchor editAs="oneCell">
    <xdr:from>
      <xdr:col>1</xdr:col>
      <xdr:colOff>1285875</xdr:colOff>
      <xdr:row>1</xdr:row>
      <xdr:rowOff>119063</xdr:rowOff>
    </xdr:from>
    <xdr:to>
      <xdr:col>1</xdr:col>
      <xdr:colOff>2468602</xdr:colOff>
      <xdr:row>2</xdr:row>
      <xdr:rowOff>563749</xdr:rowOff>
    </xdr:to>
    <xdr:pic>
      <xdr:nvPicPr>
        <xdr:cNvPr id="12" name="11 Imagen"/>
        <xdr:cNvPicPr>
          <a:picLocks noChangeAspect="1"/>
        </xdr:cNvPicPr>
      </xdr:nvPicPr>
      <xdr:blipFill>
        <a:blip xmlns:r="http://schemas.openxmlformats.org/officeDocument/2006/relationships" r:embed="rId2"/>
        <a:stretch>
          <a:fillRect/>
        </a:stretch>
      </xdr:blipFill>
      <xdr:spPr>
        <a:xfrm>
          <a:off x="1654969" y="309563"/>
          <a:ext cx="1182727" cy="68281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31</xdr:col>
      <xdr:colOff>1129394</xdr:colOff>
      <xdr:row>1</xdr:row>
      <xdr:rowOff>149679</xdr:rowOff>
    </xdr:from>
    <xdr:to>
      <xdr:col>37</xdr:col>
      <xdr:colOff>674272</xdr:colOff>
      <xdr:row>2</xdr:row>
      <xdr:rowOff>410762</xdr:rowOff>
    </xdr:to>
    <xdr:pic>
      <xdr:nvPicPr>
        <xdr:cNvPr id="9" name="8 Imagen"/>
        <xdr:cNvPicPr>
          <a:picLocks noChangeAspect="1"/>
        </xdr:cNvPicPr>
      </xdr:nvPicPr>
      <xdr:blipFill>
        <a:blip xmlns:r="http://schemas.openxmlformats.org/officeDocument/2006/relationships" r:embed="rId1"/>
        <a:stretch>
          <a:fillRect/>
        </a:stretch>
      </xdr:blipFill>
      <xdr:spPr>
        <a:xfrm>
          <a:off x="15076715" y="340179"/>
          <a:ext cx="2633700" cy="506012"/>
        </a:xfrm>
        <a:prstGeom prst="rect">
          <a:avLst/>
        </a:prstGeom>
      </xdr:spPr>
    </xdr:pic>
    <xdr:clientData/>
  </xdr:twoCellAnchor>
  <xdr:twoCellAnchor editAs="oneCell">
    <xdr:from>
      <xdr:col>1</xdr:col>
      <xdr:colOff>1211035</xdr:colOff>
      <xdr:row>1</xdr:row>
      <xdr:rowOff>40821</xdr:rowOff>
    </xdr:from>
    <xdr:to>
      <xdr:col>1</xdr:col>
      <xdr:colOff>2393762</xdr:colOff>
      <xdr:row>2</xdr:row>
      <xdr:rowOff>478703</xdr:rowOff>
    </xdr:to>
    <xdr:pic>
      <xdr:nvPicPr>
        <xdr:cNvPr id="10" name="9 Imagen"/>
        <xdr:cNvPicPr>
          <a:picLocks noChangeAspect="1"/>
        </xdr:cNvPicPr>
      </xdr:nvPicPr>
      <xdr:blipFill>
        <a:blip xmlns:r="http://schemas.openxmlformats.org/officeDocument/2006/relationships" r:embed="rId2"/>
        <a:stretch>
          <a:fillRect/>
        </a:stretch>
      </xdr:blipFill>
      <xdr:spPr>
        <a:xfrm>
          <a:off x="1578428" y="231321"/>
          <a:ext cx="1182727" cy="6828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31</xdr:col>
      <xdr:colOff>1154205</xdr:colOff>
      <xdr:row>1</xdr:row>
      <xdr:rowOff>190500</xdr:rowOff>
    </xdr:from>
    <xdr:to>
      <xdr:col>37</xdr:col>
      <xdr:colOff>695082</xdr:colOff>
      <xdr:row>2</xdr:row>
      <xdr:rowOff>461188</xdr:rowOff>
    </xdr:to>
    <xdr:pic>
      <xdr:nvPicPr>
        <xdr:cNvPr id="9" name="8 Imagen"/>
        <xdr:cNvPicPr>
          <a:picLocks noChangeAspect="1"/>
        </xdr:cNvPicPr>
      </xdr:nvPicPr>
      <xdr:blipFill>
        <a:blip xmlns:r="http://schemas.openxmlformats.org/officeDocument/2006/relationships" r:embed="rId1"/>
        <a:stretch>
          <a:fillRect/>
        </a:stretch>
      </xdr:blipFill>
      <xdr:spPr>
        <a:xfrm>
          <a:off x="15071911" y="381000"/>
          <a:ext cx="2633700" cy="506012"/>
        </a:xfrm>
        <a:prstGeom prst="rect">
          <a:avLst/>
        </a:prstGeom>
      </xdr:spPr>
    </xdr:pic>
    <xdr:clientData/>
  </xdr:twoCellAnchor>
  <xdr:twoCellAnchor editAs="oneCell">
    <xdr:from>
      <xdr:col>1</xdr:col>
      <xdr:colOff>1311089</xdr:colOff>
      <xdr:row>1</xdr:row>
      <xdr:rowOff>78441</xdr:rowOff>
    </xdr:from>
    <xdr:to>
      <xdr:col>1</xdr:col>
      <xdr:colOff>2493816</xdr:colOff>
      <xdr:row>2</xdr:row>
      <xdr:rowOff>525928</xdr:rowOff>
    </xdr:to>
    <xdr:pic>
      <xdr:nvPicPr>
        <xdr:cNvPr id="10" name="9 Imagen"/>
        <xdr:cNvPicPr>
          <a:picLocks noChangeAspect="1"/>
        </xdr:cNvPicPr>
      </xdr:nvPicPr>
      <xdr:blipFill>
        <a:blip xmlns:r="http://schemas.openxmlformats.org/officeDocument/2006/relationships" r:embed="rId2"/>
        <a:stretch>
          <a:fillRect/>
        </a:stretch>
      </xdr:blipFill>
      <xdr:spPr>
        <a:xfrm>
          <a:off x="1680883" y="268941"/>
          <a:ext cx="1182727" cy="68281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14</xdr:col>
      <xdr:colOff>0</xdr:colOff>
      <xdr:row>1</xdr:row>
      <xdr:rowOff>41275</xdr:rowOff>
    </xdr:from>
    <xdr:to>
      <xdr:col>14</xdr:col>
      <xdr:colOff>0</xdr:colOff>
      <xdr:row>3</xdr:row>
      <xdr:rowOff>7144</xdr:rowOff>
    </xdr:to>
    <xdr:grpSp>
      <xdr:nvGrpSpPr>
        <xdr:cNvPr id="31" name="1 Grupo"/>
        <xdr:cNvGrpSpPr>
          <a:grpSpLocks/>
        </xdr:cNvGrpSpPr>
      </xdr:nvGrpSpPr>
      <xdr:grpSpPr bwMode="auto">
        <a:xfrm>
          <a:off x="18180844" y="160338"/>
          <a:ext cx="0" cy="835025"/>
          <a:chOff x="9258300" y="457226"/>
          <a:chExt cx="1908000" cy="494093"/>
        </a:xfrm>
      </xdr:grpSpPr>
      <xdr:grpSp>
        <xdr:nvGrpSpPr>
          <xdr:cNvPr id="32" name="4 Grupo"/>
          <xdr:cNvGrpSpPr>
            <a:grpSpLocks noChangeAspect="1"/>
          </xdr:cNvGrpSpPr>
        </xdr:nvGrpSpPr>
        <xdr:grpSpPr bwMode="auto">
          <a:xfrm>
            <a:off x="9258300" y="457226"/>
            <a:ext cx="1908000" cy="494093"/>
            <a:chOff x="5076056" y="5954626"/>
            <a:chExt cx="3881939" cy="1002766"/>
          </a:xfrm>
        </xdr:grpSpPr>
        <xdr:pic>
          <xdr:nvPicPr>
            <xdr:cNvPr id="34" name="Picture 2" descr="C:\Users\1020721565\Documents\Esteban - CAEM\CAEM\Procedimientos\01logos CCB_Caem.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5" name="Picture 2" descr="C:\Users\1020721565\Documents\Esteban - CAEM\CAEM\Procedimientos\01logos CCB_Caem.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6" name="Picture 2" descr="C:\Users\1020721565\Documents\Esteban - CAEM\CAEM\Procedimientos\01logos CCB_Caem.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33" name="Picture 2" descr="Cámara de Comercio de Bogotá"/>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11</xdr:col>
      <xdr:colOff>130969</xdr:colOff>
      <xdr:row>1</xdr:row>
      <xdr:rowOff>214313</xdr:rowOff>
    </xdr:from>
    <xdr:to>
      <xdr:col>12</xdr:col>
      <xdr:colOff>1395450</xdr:colOff>
      <xdr:row>2</xdr:row>
      <xdr:rowOff>482200</xdr:rowOff>
    </xdr:to>
    <xdr:pic>
      <xdr:nvPicPr>
        <xdr:cNvPr id="2" name="1 Imagen"/>
        <xdr:cNvPicPr>
          <a:picLocks noChangeAspect="1"/>
        </xdr:cNvPicPr>
      </xdr:nvPicPr>
      <xdr:blipFill>
        <a:blip xmlns:r="http://schemas.openxmlformats.org/officeDocument/2006/relationships" r:embed="rId3"/>
        <a:stretch>
          <a:fillRect/>
        </a:stretch>
      </xdr:blipFill>
      <xdr:spPr>
        <a:xfrm>
          <a:off x="14608969" y="333376"/>
          <a:ext cx="2633700" cy="506012"/>
        </a:xfrm>
        <a:prstGeom prst="rect">
          <a:avLst/>
        </a:prstGeom>
      </xdr:spPr>
    </xdr:pic>
    <xdr:clientData/>
  </xdr:twoCellAnchor>
  <xdr:twoCellAnchor editAs="oneCell">
    <xdr:from>
      <xdr:col>1</xdr:col>
      <xdr:colOff>1214437</xdr:colOff>
      <xdr:row>1</xdr:row>
      <xdr:rowOff>119062</xdr:rowOff>
    </xdr:from>
    <xdr:to>
      <xdr:col>1</xdr:col>
      <xdr:colOff>2397164</xdr:colOff>
      <xdr:row>2</xdr:row>
      <xdr:rowOff>563748</xdr:rowOff>
    </xdr:to>
    <xdr:pic>
      <xdr:nvPicPr>
        <xdr:cNvPr id="3" name="2 Imagen"/>
        <xdr:cNvPicPr>
          <a:picLocks noChangeAspect="1"/>
        </xdr:cNvPicPr>
      </xdr:nvPicPr>
      <xdr:blipFill>
        <a:blip xmlns:r="http://schemas.openxmlformats.org/officeDocument/2006/relationships" r:embed="rId4"/>
        <a:stretch>
          <a:fillRect/>
        </a:stretch>
      </xdr:blipFill>
      <xdr:spPr>
        <a:xfrm>
          <a:off x="1619250" y="238125"/>
          <a:ext cx="1182727" cy="68281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WF31"/>
  <sheetViews>
    <sheetView topLeftCell="C7" workbookViewId="0">
      <selection activeCell="I30" sqref="I30"/>
    </sheetView>
  </sheetViews>
  <sheetFormatPr baseColWidth="10" defaultColWidth="0" defaultRowHeight="15" zeroHeight="1" x14ac:dyDescent="0.25"/>
  <cols>
    <col min="1" max="2" width="5.28515625" style="3" customWidth="1"/>
    <col min="3" max="3" width="3.28515625" style="3" customWidth="1"/>
    <col min="4" max="4" width="5.7109375" style="3" customWidth="1"/>
    <col min="5" max="6" width="9.7109375" style="3" customWidth="1"/>
    <col min="7" max="7" width="9.7109375" style="271" customWidth="1"/>
    <col min="8" max="21" width="9.7109375" style="3" customWidth="1"/>
    <col min="22" max="22" width="2.5703125" style="3" customWidth="1"/>
    <col min="23" max="24" width="5.7109375" style="3" customWidth="1"/>
    <col min="25" max="25" width="11.42578125" style="3" hidden="1" customWidth="1"/>
    <col min="26" max="257" width="11.42578125" style="3" hidden="1"/>
    <col min="258" max="258" width="6.140625" style="3" customWidth="1"/>
    <col min="259" max="259" width="9" style="3" customWidth="1"/>
    <col min="260" max="260" width="5.7109375" style="3" customWidth="1"/>
    <col min="261" max="277" width="9.7109375" style="3" customWidth="1"/>
    <col min="278" max="278" width="2.5703125" style="3" customWidth="1"/>
    <col min="279" max="280" width="5.7109375" style="3" customWidth="1"/>
    <col min="281" max="281" width="11.42578125" style="3" hidden="1" customWidth="1"/>
    <col min="282" max="513" width="11.42578125" style="3" hidden="1"/>
    <col min="514" max="514" width="6.140625" style="3" customWidth="1"/>
    <col min="515" max="515" width="9" style="3" customWidth="1"/>
    <col min="516" max="516" width="5.7109375" style="3" customWidth="1"/>
    <col min="517" max="533" width="9.7109375" style="3" customWidth="1"/>
    <col min="534" max="534" width="2.5703125" style="3" customWidth="1"/>
    <col min="535" max="536" width="5.7109375" style="3" customWidth="1"/>
    <col min="537" max="537" width="11.42578125" style="3" hidden="1" customWidth="1"/>
    <col min="538" max="769" width="11.42578125" style="3" hidden="1"/>
    <col min="770" max="770" width="6.140625" style="3" customWidth="1"/>
    <col min="771" max="771" width="9" style="3" customWidth="1"/>
    <col min="772" max="772" width="5.7109375" style="3" customWidth="1"/>
    <col min="773" max="789" width="9.7109375" style="3" customWidth="1"/>
    <col min="790" max="790" width="2.5703125" style="3" customWidth="1"/>
    <col min="791" max="792" width="5.7109375" style="3" customWidth="1"/>
    <col min="793" max="793" width="11.42578125" style="3" hidden="1" customWidth="1"/>
    <col min="794" max="1025" width="11.42578125" style="3" hidden="1"/>
    <col min="1026" max="1026" width="6.140625" style="3" customWidth="1"/>
    <col min="1027" max="1027" width="9" style="3" customWidth="1"/>
    <col min="1028" max="1028" width="5.7109375" style="3" customWidth="1"/>
    <col min="1029" max="1045" width="9.7109375" style="3" customWidth="1"/>
    <col min="1046" max="1046" width="2.5703125" style="3" customWidth="1"/>
    <col min="1047" max="1048" width="5.7109375" style="3" customWidth="1"/>
    <col min="1049" max="1049" width="11.42578125" style="3" hidden="1" customWidth="1"/>
    <col min="1050" max="1281" width="11.42578125" style="3" hidden="1"/>
    <col min="1282" max="1282" width="6.140625" style="3" customWidth="1"/>
    <col min="1283" max="1283" width="9" style="3" customWidth="1"/>
    <col min="1284" max="1284" width="5.7109375" style="3" customWidth="1"/>
    <col min="1285" max="1301" width="9.7109375" style="3" customWidth="1"/>
    <col min="1302" max="1302" width="2.5703125" style="3" customWidth="1"/>
    <col min="1303" max="1304" width="5.7109375" style="3" customWidth="1"/>
    <col min="1305" max="1305" width="11.42578125" style="3" hidden="1" customWidth="1"/>
    <col min="1306" max="1537" width="11.42578125" style="3" hidden="1"/>
    <col min="1538" max="1538" width="6.140625" style="3" customWidth="1"/>
    <col min="1539" max="1539" width="9" style="3" customWidth="1"/>
    <col min="1540" max="1540" width="5.7109375" style="3" customWidth="1"/>
    <col min="1541" max="1557" width="9.7109375" style="3" customWidth="1"/>
    <col min="1558" max="1558" width="2.5703125" style="3" customWidth="1"/>
    <col min="1559" max="1560" width="5.7109375" style="3" customWidth="1"/>
    <col min="1561" max="1561" width="11.42578125" style="3" hidden="1" customWidth="1"/>
    <col min="1562" max="1793" width="11.42578125" style="3" hidden="1"/>
    <col min="1794" max="1794" width="6.140625" style="3" customWidth="1"/>
    <col min="1795" max="1795" width="9" style="3" customWidth="1"/>
    <col min="1796" max="1796" width="5.7109375" style="3" customWidth="1"/>
    <col min="1797" max="1813" width="9.7109375" style="3" customWidth="1"/>
    <col min="1814" max="1814" width="2.5703125" style="3" customWidth="1"/>
    <col min="1815" max="1816" width="5.7109375" style="3" customWidth="1"/>
    <col min="1817" max="1817" width="11.42578125" style="3" hidden="1" customWidth="1"/>
    <col min="1818" max="2049" width="11.42578125" style="3" hidden="1"/>
    <col min="2050" max="2050" width="6.140625" style="3" customWidth="1"/>
    <col min="2051" max="2051" width="9" style="3" customWidth="1"/>
    <col min="2052" max="2052" width="5.7109375" style="3" customWidth="1"/>
    <col min="2053" max="2069" width="9.7109375" style="3" customWidth="1"/>
    <col min="2070" max="2070" width="2.5703125" style="3" customWidth="1"/>
    <col min="2071" max="2072" width="5.7109375" style="3" customWidth="1"/>
    <col min="2073" max="2073" width="11.42578125" style="3" hidden="1" customWidth="1"/>
    <col min="2074" max="2305" width="11.42578125" style="3" hidden="1"/>
    <col min="2306" max="2306" width="6.140625" style="3" customWidth="1"/>
    <col min="2307" max="2307" width="9" style="3" customWidth="1"/>
    <col min="2308" max="2308" width="5.7109375" style="3" customWidth="1"/>
    <col min="2309" max="2325" width="9.7109375" style="3" customWidth="1"/>
    <col min="2326" max="2326" width="2.5703125" style="3" customWidth="1"/>
    <col min="2327" max="2328" width="5.7109375" style="3" customWidth="1"/>
    <col min="2329" max="2329" width="11.42578125" style="3" hidden="1" customWidth="1"/>
    <col min="2330" max="2561" width="11.42578125" style="3" hidden="1"/>
    <col min="2562" max="2562" width="6.140625" style="3" customWidth="1"/>
    <col min="2563" max="2563" width="9" style="3" customWidth="1"/>
    <col min="2564" max="2564" width="5.7109375" style="3" customWidth="1"/>
    <col min="2565" max="2581" width="9.7109375" style="3" customWidth="1"/>
    <col min="2582" max="2582" width="2.5703125" style="3" customWidth="1"/>
    <col min="2583" max="2584" width="5.7109375" style="3" customWidth="1"/>
    <col min="2585" max="2585" width="11.42578125" style="3" hidden="1" customWidth="1"/>
    <col min="2586" max="2817" width="11.42578125" style="3" hidden="1"/>
    <col min="2818" max="2818" width="6.140625" style="3" customWidth="1"/>
    <col min="2819" max="2819" width="9" style="3" customWidth="1"/>
    <col min="2820" max="2820" width="5.7109375" style="3" customWidth="1"/>
    <col min="2821" max="2837" width="9.7109375" style="3" customWidth="1"/>
    <col min="2838" max="2838" width="2.5703125" style="3" customWidth="1"/>
    <col min="2839" max="2840" width="5.7109375" style="3" customWidth="1"/>
    <col min="2841" max="2841" width="11.42578125" style="3" hidden="1" customWidth="1"/>
    <col min="2842" max="3073" width="11.42578125" style="3" hidden="1"/>
    <col min="3074" max="3074" width="6.140625" style="3" customWidth="1"/>
    <col min="3075" max="3075" width="9" style="3" customWidth="1"/>
    <col min="3076" max="3076" width="5.7109375" style="3" customWidth="1"/>
    <col min="3077" max="3093" width="9.7109375" style="3" customWidth="1"/>
    <col min="3094" max="3094" width="2.5703125" style="3" customWidth="1"/>
    <col min="3095" max="3096" width="5.7109375" style="3" customWidth="1"/>
    <col min="3097" max="3097" width="11.42578125" style="3" hidden="1" customWidth="1"/>
    <col min="3098" max="3329" width="11.42578125" style="3" hidden="1"/>
    <col min="3330" max="3330" width="6.140625" style="3" customWidth="1"/>
    <col min="3331" max="3331" width="9" style="3" customWidth="1"/>
    <col min="3332" max="3332" width="5.7109375" style="3" customWidth="1"/>
    <col min="3333" max="3349" width="9.7109375" style="3" customWidth="1"/>
    <col min="3350" max="3350" width="2.5703125" style="3" customWidth="1"/>
    <col min="3351" max="3352" width="5.7109375" style="3" customWidth="1"/>
    <col min="3353" max="3353" width="11.42578125" style="3" hidden="1" customWidth="1"/>
    <col min="3354" max="3585" width="11.42578125" style="3" hidden="1"/>
    <col min="3586" max="3586" width="6.140625" style="3" customWidth="1"/>
    <col min="3587" max="3587" width="9" style="3" customWidth="1"/>
    <col min="3588" max="3588" width="5.7109375" style="3" customWidth="1"/>
    <col min="3589" max="3605" width="9.7109375" style="3" customWidth="1"/>
    <col min="3606" max="3606" width="2.5703125" style="3" customWidth="1"/>
    <col min="3607" max="3608" width="5.7109375" style="3" customWidth="1"/>
    <col min="3609" max="3609" width="11.42578125" style="3" hidden="1" customWidth="1"/>
    <col min="3610" max="3841" width="11.42578125" style="3" hidden="1"/>
    <col min="3842" max="3842" width="6.140625" style="3" customWidth="1"/>
    <col min="3843" max="3843" width="9" style="3" customWidth="1"/>
    <col min="3844" max="3844" width="5.7109375" style="3" customWidth="1"/>
    <col min="3845" max="3861" width="9.7109375" style="3" customWidth="1"/>
    <col min="3862" max="3862" width="2.5703125" style="3" customWidth="1"/>
    <col min="3863" max="3864" width="5.7109375" style="3" customWidth="1"/>
    <col min="3865" max="3865" width="11.42578125" style="3" hidden="1" customWidth="1"/>
    <col min="3866" max="4097" width="11.42578125" style="3" hidden="1"/>
    <col min="4098" max="4098" width="6.140625" style="3" customWidth="1"/>
    <col min="4099" max="4099" width="9" style="3" customWidth="1"/>
    <col min="4100" max="4100" width="5.7109375" style="3" customWidth="1"/>
    <col min="4101" max="4117" width="9.7109375" style="3" customWidth="1"/>
    <col min="4118" max="4118" width="2.5703125" style="3" customWidth="1"/>
    <col min="4119" max="4120" width="5.7109375" style="3" customWidth="1"/>
    <col min="4121" max="4121" width="11.42578125" style="3" hidden="1" customWidth="1"/>
    <col min="4122" max="4353" width="11.42578125" style="3" hidden="1"/>
    <col min="4354" max="4354" width="6.140625" style="3" customWidth="1"/>
    <col min="4355" max="4355" width="9" style="3" customWidth="1"/>
    <col min="4356" max="4356" width="5.7109375" style="3" customWidth="1"/>
    <col min="4357" max="4373" width="9.7109375" style="3" customWidth="1"/>
    <col min="4374" max="4374" width="2.5703125" style="3" customWidth="1"/>
    <col min="4375" max="4376" width="5.7109375" style="3" customWidth="1"/>
    <col min="4377" max="4377" width="11.42578125" style="3" hidden="1" customWidth="1"/>
    <col min="4378" max="4609" width="11.42578125" style="3" hidden="1"/>
    <col min="4610" max="4610" width="6.140625" style="3" customWidth="1"/>
    <col min="4611" max="4611" width="9" style="3" customWidth="1"/>
    <col min="4612" max="4612" width="5.7109375" style="3" customWidth="1"/>
    <col min="4613" max="4629" width="9.7109375" style="3" customWidth="1"/>
    <col min="4630" max="4630" width="2.5703125" style="3" customWidth="1"/>
    <col min="4631" max="4632" width="5.7109375" style="3" customWidth="1"/>
    <col min="4633" max="4633" width="11.42578125" style="3" hidden="1" customWidth="1"/>
    <col min="4634" max="4865" width="11.42578125" style="3" hidden="1"/>
    <col min="4866" max="4866" width="6.140625" style="3" customWidth="1"/>
    <col min="4867" max="4867" width="9" style="3" customWidth="1"/>
    <col min="4868" max="4868" width="5.7109375" style="3" customWidth="1"/>
    <col min="4869" max="4885" width="9.7109375" style="3" customWidth="1"/>
    <col min="4886" max="4886" width="2.5703125" style="3" customWidth="1"/>
    <col min="4887" max="4888" width="5.7109375" style="3" customWidth="1"/>
    <col min="4889" max="4889" width="11.42578125" style="3" hidden="1" customWidth="1"/>
    <col min="4890" max="5121" width="11.42578125" style="3" hidden="1"/>
    <col min="5122" max="5122" width="6.140625" style="3" customWidth="1"/>
    <col min="5123" max="5123" width="9" style="3" customWidth="1"/>
    <col min="5124" max="5124" width="5.7109375" style="3" customWidth="1"/>
    <col min="5125" max="5141" width="9.7109375" style="3" customWidth="1"/>
    <col min="5142" max="5142" width="2.5703125" style="3" customWidth="1"/>
    <col min="5143" max="5144" width="5.7109375" style="3" customWidth="1"/>
    <col min="5145" max="5145" width="11.42578125" style="3" hidden="1" customWidth="1"/>
    <col min="5146" max="5377" width="11.42578125" style="3" hidden="1"/>
    <col min="5378" max="5378" width="6.140625" style="3" customWidth="1"/>
    <col min="5379" max="5379" width="9" style="3" customWidth="1"/>
    <col min="5380" max="5380" width="5.7109375" style="3" customWidth="1"/>
    <col min="5381" max="5397" width="9.7109375" style="3" customWidth="1"/>
    <col min="5398" max="5398" width="2.5703125" style="3" customWidth="1"/>
    <col min="5399" max="5400" width="5.7109375" style="3" customWidth="1"/>
    <col min="5401" max="5401" width="11.42578125" style="3" hidden="1" customWidth="1"/>
    <col min="5402" max="5633" width="11.42578125" style="3" hidden="1"/>
    <col min="5634" max="5634" width="6.140625" style="3" customWidth="1"/>
    <col min="5635" max="5635" width="9" style="3" customWidth="1"/>
    <col min="5636" max="5636" width="5.7109375" style="3" customWidth="1"/>
    <col min="5637" max="5653" width="9.7109375" style="3" customWidth="1"/>
    <col min="5654" max="5654" width="2.5703125" style="3" customWidth="1"/>
    <col min="5655" max="5656" width="5.7109375" style="3" customWidth="1"/>
    <col min="5657" max="5657" width="11.42578125" style="3" hidden="1" customWidth="1"/>
    <col min="5658" max="5889" width="11.42578125" style="3" hidden="1"/>
    <col min="5890" max="5890" width="6.140625" style="3" customWidth="1"/>
    <col min="5891" max="5891" width="9" style="3" customWidth="1"/>
    <col min="5892" max="5892" width="5.7109375" style="3" customWidth="1"/>
    <col min="5893" max="5909" width="9.7109375" style="3" customWidth="1"/>
    <col min="5910" max="5910" width="2.5703125" style="3" customWidth="1"/>
    <col min="5911" max="5912" width="5.7109375" style="3" customWidth="1"/>
    <col min="5913" max="5913" width="11.42578125" style="3" hidden="1" customWidth="1"/>
    <col min="5914" max="6145" width="11.42578125" style="3" hidden="1"/>
    <col min="6146" max="6146" width="6.140625" style="3" customWidth="1"/>
    <col min="6147" max="6147" width="9" style="3" customWidth="1"/>
    <col min="6148" max="6148" width="5.7109375" style="3" customWidth="1"/>
    <col min="6149" max="6165" width="9.7109375" style="3" customWidth="1"/>
    <col min="6166" max="6166" width="2.5703125" style="3" customWidth="1"/>
    <col min="6167" max="6168" width="5.7109375" style="3" customWidth="1"/>
    <col min="6169" max="6169" width="11.42578125" style="3" hidden="1" customWidth="1"/>
    <col min="6170" max="6401" width="11.42578125" style="3" hidden="1"/>
    <col min="6402" max="6402" width="6.140625" style="3" customWidth="1"/>
    <col min="6403" max="6403" width="9" style="3" customWidth="1"/>
    <col min="6404" max="6404" width="5.7109375" style="3" customWidth="1"/>
    <col min="6405" max="6421" width="9.7109375" style="3" customWidth="1"/>
    <col min="6422" max="6422" width="2.5703125" style="3" customWidth="1"/>
    <col min="6423" max="6424" width="5.7109375" style="3" customWidth="1"/>
    <col min="6425" max="6425" width="11.42578125" style="3" hidden="1" customWidth="1"/>
    <col min="6426" max="6657" width="11.42578125" style="3" hidden="1"/>
    <col min="6658" max="6658" width="6.140625" style="3" customWidth="1"/>
    <col min="6659" max="6659" width="9" style="3" customWidth="1"/>
    <col min="6660" max="6660" width="5.7109375" style="3" customWidth="1"/>
    <col min="6661" max="6677" width="9.7109375" style="3" customWidth="1"/>
    <col min="6678" max="6678" width="2.5703125" style="3" customWidth="1"/>
    <col min="6679" max="6680" width="5.7109375" style="3" customWidth="1"/>
    <col min="6681" max="6681" width="11.42578125" style="3" hidden="1" customWidth="1"/>
    <col min="6682" max="6913" width="11.42578125" style="3" hidden="1"/>
    <col min="6914" max="6914" width="6.140625" style="3" customWidth="1"/>
    <col min="6915" max="6915" width="9" style="3" customWidth="1"/>
    <col min="6916" max="6916" width="5.7109375" style="3" customWidth="1"/>
    <col min="6917" max="6933" width="9.7109375" style="3" customWidth="1"/>
    <col min="6934" max="6934" width="2.5703125" style="3" customWidth="1"/>
    <col min="6935" max="6936" width="5.7109375" style="3" customWidth="1"/>
    <col min="6937" max="6937" width="11.42578125" style="3" hidden="1" customWidth="1"/>
    <col min="6938" max="7169" width="11.42578125" style="3" hidden="1"/>
    <col min="7170" max="7170" width="6.140625" style="3" customWidth="1"/>
    <col min="7171" max="7171" width="9" style="3" customWidth="1"/>
    <col min="7172" max="7172" width="5.7109375" style="3" customWidth="1"/>
    <col min="7173" max="7189" width="9.7109375" style="3" customWidth="1"/>
    <col min="7190" max="7190" width="2.5703125" style="3" customWidth="1"/>
    <col min="7191" max="7192" width="5.7109375" style="3" customWidth="1"/>
    <col min="7193" max="7193" width="11.42578125" style="3" hidden="1" customWidth="1"/>
    <col min="7194" max="7425" width="11.42578125" style="3" hidden="1"/>
    <col min="7426" max="7426" width="6.140625" style="3" customWidth="1"/>
    <col min="7427" max="7427" width="9" style="3" customWidth="1"/>
    <col min="7428" max="7428" width="5.7109375" style="3" customWidth="1"/>
    <col min="7429" max="7445" width="9.7109375" style="3" customWidth="1"/>
    <col min="7446" max="7446" width="2.5703125" style="3" customWidth="1"/>
    <col min="7447" max="7448" width="5.7109375" style="3" customWidth="1"/>
    <col min="7449" max="7449" width="11.42578125" style="3" hidden="1" customWidth="1"/>
    <col min="7450" max="7681" width="11.42578125" style="3" hidden="1"/>
    <col min="7682" max="7682" width="6.140625" style="3" customWidth="1"/>
    <col min="7683" max="7683" width="9" style="3" customWidth="1"/>
    <col min="7684" max="7684" width="5.7109375" style="3" customWidth="1"/>
    <col min="7685" max="7701" width="9.7109375" style="3" customWidth="1"/>
    <col min="7702" max="7702" width="2.5703125" style="3" customWidth="1"/>
    <col min="7703" max="7704" width="5.7109375" style="3" customWidth="1"/>
    <col min="7705" max="7705" width="11.42578125" style="3" hidden="1" customWidth="1"/>
    <col min="7706" max="7937" width="11.42578125" style="3" hidden="1"/>
    <col min="7938" max="7938" width="6.140625" style="3" customWidth="1"/>
    <col min="7939" max="7939" width="9" style="3" customWidth="1"/>
    <col min="7940" max="7940" width="5.7109375" style="3" customWidth="1"/>
    <col min="7941" max="7957" width="9.7109375" style="3" customWidth="1"/>
    <col min="7958" max="7958" width="2.5703125" style="3" customWidth="1"/>
    <col min="7959" max="7960" width="5.7109375" style="3" customWidth="1"/>
    <col min="7961" max="7961" width="11.42578125" style="3" hidden="1" customWidth="1"/>
    <col min="7962" max="8193" width="11.42578125" style="3" hidden="1"/>
    <col min="8194" max="8194" width="6.140625" style="3" customWidth="1"/>
    <col min="8195" max="8195" width="9" style="3" customWidth="1"/>
    <col min="8196" max="8196" width="5.7109375" style="3" customWidth="1"/>
    <col min="8197" max="8213" width="9.7109375" style="3" customWidth="1"/>
    <col min="8214" max="8214" width="2.5703125" style="3" customWidth="1"/>
    <col min="8215" max="8216" width="5.7109375" style="3" customWidth="1"/>
    <col min="8217" max="8217" width="11.42578125" style="3" hidden="1" customWidth="1"/>
    <col min="8218" max="8449" width="11.42578125" style="3" hidden="1"/>
    <col min="8450" max="8450" width="6.140625" style="3" customWidth="1"/>
    <col min="8451" max="8451" width="9" style="3" customWidth="1"/>
    <col min="8452" max="8452" width="5.7109375" style="3" customWidth="1"/>
    <col min="8453" max="8469" width="9.7109375" style="3" customWidth="1"/>
    <col min="8470" max="8470" width="2.5703125" style="3" customWidth="1"/>
    <col min="8471" max="8472" width="5.7109375" style="3" customWidth="1"/>
    <col min="8473" max="8473" width="11.42578125" style="3" hidden="1" customWidth="1"/>
    <col min="8474" max="8705" width="11.42578125" style="3" hidden="1"/>
    <col min="8706" max="8706" width="6.140625" style="3" customWidth="1"/>
    <col min="8707" max="8707" width="9" style="3" customWidth="1"/>
    <col min="8708" max="8708" width="5.7109375" style="3" customWidth="1"/>
    <col min="8709" max="8725" width="9.7109375" style="3" customWidth="1"/>
    <col min="8726" max="8726" width="2.5703125" style="3" customWidth="1"/>
    <col min="8727" max="8728" width="5.7109375" style="3" customWidth="1"/>
    <col min="8729" max="8729" width="11.42578125" style="3" hidden="1" customWidth="1"/>
    <col min="8730" max="8961" width="11.42578125" style="3" hidden="1"/>
    <col min="8962" max="8962" width="6.140625" style="3" customWidth="1"/>
    <col min="8963" max="8963" width="9" style="3" customWidth="1"/>
    <col min="8964" max="8964" width="5.7109375" style="3" customWidth="1"/>
    <col min="8965" max="8981" width="9.7109375" style="3" customWidth="1"/>
    <col min="8982" max="8982" width="2.5703125" style="3" customWidth="1"/>
    <col min="8983" max="8984" width="5.7109375" style="3" customWidth="1"/>
    <col min="8985" max="8985" width="11.42578125" style="3" hidden="1" customWidth="1"/>
    <col min="8986" max="9217" width="11.42578125" style="3" hidden="1"/>
    <col min="9218" max="9218" width="6.140625" style="3" customWidth="1"/>
    <col min="9219" max="9219" width="9" style="3" customWidth="1"/>
    <col min="9220" max="9220" width="5.7109375" style="3" customWidth="1"/>
    <col min="9221" max="9237" width="9.7109375" style="3" customWidth="1"/>
    <col min="9238" max="9238" width="2.5703125" style="3" customWidth="1"/>
    <col min="9239" max="9240" width="5.7109375" style="3" customWidth="1"/>
    <col min="9241" max="9241" width="11.42578125" style="3" hidden="1" customWidth="1"/>
    <col min="9242" max="9473" width="11.42578125" style="3" hidden="1"/>
    <col min="9474" max="9474" width="6.140625" style="3" customWidth="1"/>
    <col min="9475" max="9475" width="9" style="3" customWidth="1"/>
    <col min="9476" max="9476" width="5.7109375" style="3" customWidth="1"/>
    <col min="9477" max="9493" width="9.7109375" style="3" customWidth="1"/>
    <col min="9494" max="9494" width="2.5703125" style="3" customWidth="1"/>
    <col min="9495" max="9496" width="5.7109375" style="3" customWidth="1"/>
    <col min="9497" max="9497" width="11.42578125" style="3" hidden="1" customWidth="1"/>
    <col min="9498" max="9729" width="11.42578125" style="3" hidden="1"/>
    <col min="9730" max="9730" width="6.140625" style="3" customWidth="1"/>
    <col min="9731" max="9731" width="9" style="3" customWidth="1"/>
    <col min="9732" max="9732" width="5.7109375" style="3" customWidth="1"/>
    <col min="9733" max="9749" width="9.7109375" style="3" customWidth="1"/>
    <col min="9750" max="9750" width="2.5703125" style="3" customWidth="1"/>
    <col min="9751" max="9752" width="5.7109375" style="3" customWidth="1"/>
    <col min="9753" max="9753" width="11.42578125" style="3" hidden="1" customWidth="1"/>
    <col min="9754" max="9985" width="11.42578125" style="3" hidden="1"/>
    <col min="9986" max="9986" width="6.140625" style="3" customWidth="1"/>
    <col min="9987" max="9987" width="9" style="3" customWidth="1"/>
    <col min="9988" max="9988" width="5.7109375" style="3" customWidth="1"/>
    <col min="9989" max="10005" width="9.7109375" style="3" customWidth="1"/>
    <col min="10006" max="10006" width="2.5703125" style="3" customWidth="1"/>
    <col min="10007" max="10008" width="5.7109375" style="3" customWidth="1"/>
    <col min="10009" max="10009" width="11.42578125" style="3" hidden="1" customWidth="1"/>
    <col min="10010" max="10241" width="11.42578125" style="3" hidden="1"/>
    <col min="10242" max="10242" width="6.140625" style="3" customWidth="1"/>
    <col min="10243" max="10243" width="9" style="3" customWidth="1"/>
    <col min="10244" max="10244" width="5.7109375" style="3" customWidth="1"/>
    <col min="10245" max="10261" width="9.7109375" style="3" customWidth="1"/>
    <col min="10262" max="10262" width="2.5703125" style="3" customWidth="1"/>
    <col min="10263" max="10264" width="5.7109375" style="3" customWidth="1"/>
    <col min="10265" max="10265" width="11.42578125" style="3" hidden="1" customWidth="1"/>
    <col min="10266" max="10497" width="11.42578125" style="3" hidden="1"/>
    <col min="10498" max="10498" width="6.140625" style="3" customWidth="1"/>
    <col min="10499" max="10499" width="9" style="3" customWidth="1"/>
    <col min="10500" max="10500" width="5.7109375" style="3" customWidth="1"/>
    <col min="10501" max="10517" width="9.7109375" style="3" customWidth="1"/>
    <col min="10518" max="10518" width="2.5703125" style="3" customWidth="1"/>
    <col min="10519" max="10520" width="5.7109375" style="3" customWidth="1"/>
    <col min="10521" max="10521" width="11.42578125" style="3" hidden="1" customWidth="1"/>
    <col min="10522" max="10753" width="11.42578125" style="3" hidden="1"/>
    <col min="10754" max="10754" width="6.140625" style="3" customWidth="1"/>
    <col min="10755" max="10755" width="9" style="3" customWidth="1"/>
    <col min="10756" max="10756" width="5.7109375" style="3" customWidth="1"/>
    <col min="10757" max="10773" width="9.7109375" style="3" customWidth="1"/>
    <col min="10774" max="10774" width="2.5703125" style="3" customWidth="1"/>
    <col min="10775" max="10776" width="5.7109375" style="3" customWidth="1"/>
    <col min="10777" max="10777" width="11.42578125" style="3" hidden="1" customWidth="1"/>
    <col min="10778" max="11009" width="11.42578125" style="3" hidden="1"/>
    <col min="11010" max="11010" width="6.140625" style="3" customWidth="1"/>
    <col min="11011" max="11011" width="9" style="3" customWidth="1"/>
    <col min="11012" max="11012" width="5.7109375" style="3" customWidth="1"/>
    <col min="11013" max="11029" width="9.7109375" style="3" customWidth="1"/>
    <col min="11030" max="11030" width="2.5703125" style="3" customWidth="1"/>
    <col min="11031" max="11032" width="5.7109375" style="3" customWidth="1"/>
    <col min="11033" max="11033" width="11.42578125" style="3" hidden="1" customWidth="1"/>
    <col min="11034" max="11265" width="11.42578125" style="3" hidden="1"/>
    <col min="11266" max="11266" width="6.140625" style="3" customWidth="1"/>
    <col min="11267" max="11267" width="9" style="3" customWidth="1"/>
    <col min="11268" max="11268" width="5.7109375" style="3" customWidth="1"/>
    <col min="11269" max="11285" width="9.7109375" style="3" customWidth="1"/>
    <col min="11286" max="11286" width="2.5703125" style="3" customWidth="1"/>
    <col min="11287" max="11288" width="5.7109375" style="3" customWidth="1"/>
    <col min="11289" max="11289" width="11.42578125" style="3" hidden="1" customWidth="1"/>
    <col min="11290" max="11521" width="11.42578125" style="3" hidden="1"/>
    <col min="11522" max="11522" width="6.140625" style="3" customWidth="1"/>
    <col min="11523" max="11523" width="9" style="3" customWidth="1"/>
    <col min="11524" max="11524" width="5.7109375" style="3" customWidth="1"/>
    <col min="11525" max="11541" width="9.7109375" style="3" customWidth="1"/>
    <col min="11542" max="11542" width="2.5703125" style="3" customWidth="1"/>
    <col min="11543" max="11544" width="5.7109375" style="3" customWidth="1"/>
    <col min="11545" max="11545" width="11.42578125" style="3" hidden="1" customWidth="1"/>
    <col min="11546" max="11777" width="11.42578125" style="3" hidden="1"/>
    <col min="11778" max="11778" width="6.140625" style="3" customWidth="1"/>
    <col min="11779" max="11779" width="9" style="3" customWidth="1"/>
    <col min="11780" max="11780" width="5.7109375" style="3" customWidth="1"/>
    <col min="11781" max="11797" width="9.7109375" style="3" customWidth="1"/>
    <col min="11798" max="11798" width="2.5703125" style="3" customWidth="1"/>
    <col min="11799" max="11800" width="5.7109375" style="3" customWidth="1"/>
    <col min="11801" max="11801" width="11.42578125" style="3" hidden="1" customWidth="1"/>
    <col min="11802" max="12033" width="11.42578125" style="3" hidden="1"/>
    <col min="12034" max="12034" width="6.140625" style="3" customWidth="1"/>
    <col min="12035" max="12035" width="9" style="3" customWidth="1"/>
    <col min="12036" max="12036" width="5.7109375" style="3" customWidth="1"/>
    <col min="12037" max="12053" width="9.7109375" style="3" customWidth="1"/>
    <col min="12054" max="12054" width="2.5703125" style="3" customWidth="1"/>
    <col min="12055" max="12056" width="5.7109375" style="3" customWidth="1"/>
    <col min="12057" max="12057" width="11.42578125" style="3" hidden="1" customWidth="1"/>
    <col min="12058" max="12289" width="11.42578125" style="3" hidden="1"/>
    <col min="12290" max="12290" width="6.140625" style="3" customWidth="1"/>
    <col min="12291" max="12291" width="9" style="3" customWidth="1"/>
    <col min="12292" max="12292" width="5.7109375" style="3" customWidth="1"/>
    <col min="12293" max="12309" width="9.7109375" style="3" customWidth="1"/>
    <col min="12310" max="12310" width="2.5703125" style="3" customWidth="1"/>
    <col min="12311" max="12312" width="5.7109375" style="3" customWidth="1"/>
    <col min="12313" max="12313" width="11.42578125" style="3" hidden="1" customWidth="1"/>
    <col min="12314" max="12545" width="11.42578125" style="3" hidden="1"/>
    <col min="12546" max="12546" width="6.140625" style="3" customWidth="1"/>
    <col min="12547" max="12547" width="9" style="3" customWidth="1"/>
    <col min="12548" max="12548" width="5.7109375" style="3" customWidth="1"/>
    <col min="12549" max="12565" width="9.7109375" style="3" customWidth="1"/>
    <col min="12566" max="12566" width="2.5703125" style="3" customWidth="1"/>
    <col min="12567" max="12568" width="5.7109375" style="3" customWidth="1"/>
    <col min="12569" max="12569" width="11.42578125" style="3" hidden="1" customWidth="1"/>
    <col min="12570" max="12801" width="11.42578125" style="3" hidden="1"/>
    <col min="12802" max="12802" width="6.140625" style="3" customWidth="1"/>
    <col min="12803" max="12803" width="9" style="3" customWidth="1"/>
    <col min="12804" max="12804" width="5.7109375" style="3" customWidth="1"/>
    <col min="12805" max="12821" width="9.7109375" style="3" customWidth="1"/>
    <col min="12822" max="12822" width="2.5703125" style="3" customWidth="1"/>
    <col min="12823" max="12824" width="5.7109375" style="3" customWidth="1"/>
    <col min="12825" max="12825" width="11.42578125" style="3" hidden="1" customWidth="1"/>
    <col min="12826" max="13057" width="11.42578125" style="3" hidden="1"/>
    <col min="13058" max="13058" width="6.140625" style="3" customWidth="1"/>
    <col min="13059" max="13059" width="9" style="3" customWidth="1"/>
    <col min="13060" max="13060" width="5.7109375" style="3" customWidth="1"/>
    <col min="13061" max="13077" width="9.7109375" style="3" customWidth="1"/>
    <col min="13078" max="13078" width="2.5703125" style="3" customWidth="1"/>
    <col min="13079" max="13080" width="5.7109375" style="3" customWidth="1"/>
    <col min="13081" max="13081" width="11.42578125" style="3" hidden="1" customWidth="1"/>
    <col min="13082" max="13313" width="11.42578125" style="3" hidden="1"/>
    <col min="13314" max="13314" width="6.140625" style="3" customWidth="1"/>
    <col min="13315" max="13315" width="9" style="3" customWidth="1"/>
    <col min="13316" max="13316" width="5.7109375" style="3" customWidth="1"/>
    <col min="13317" max="13333" width="9.7109375" style="3" customWidth="1"/>
    <col min="13334" max="13334" width="2.5703125" style="3" customWidth="1"/>
    <col min="13335" max="13336" width="5.7109375" style="3" customWidth="1"/>
    <col min="13337" max="13337" width="11.42578125" style="3" hidden="1" customWidth="1"/>
    <col min="13338" max="13569" width="11.42578125" style="3" hidden="1"/>
    <col min="13570" max="13570" width="6.140625" style="3" customWidth="1"/>
    <col min="13571" max="13571" width="9" style="3" customWidth="1"/>
    <col min="13572" max="13572" width="5.7109375" style="3" customWidth="1"/>
    <col min="13573" max="13589" width="9.7109375" style="3" customWidth="1"/>
    <col min="13590" max="13590" width="2.5703125" style="3" customWidth="1"/>
    <col min="13591" max="13592" width="5.7109375" style="3" customWidth="1"/>
    <col min="13593" max="13593" width="11.42578125" style="3" hidden="1" customWidth="1"/>
    <col min="13594" max="13825" width="11.42578125" style="3" hidden="1"/>
    <col min="13826" max="13826" width="6.140625" style="3" customWidth="1"/>
    <col min="13827" max="13827" width="9" style="3" customWidth="1"/>
    <col min="13828" max="13828" width="5.7109375" style="3" customWidth="1"/>
    <col min="13829" max="13845" width="9.7109375" style="3" customWidth="1"/>
    <col min="13846" max="13846" width="2.5703125" style="3" customWidth="1"/>
    <col min="13847" max="13848" width="5.7109375" style="3" customWidth="1"/>
    <col min="13849" max="13849" width="11.42578125" style="3" hidden="1" customWidth="1"/>
    <col min="13850" max="14081" width="11.42578125" style="3" hidden="1"/>
    <col min="14082" max="14082" width="6.140625" style="3" customWidth="1"/>
    <col min="14083" max="14083" width="9" style="3" customWidth="1"/>
    <col min="14084" max="14084" width="5.7109375" style="3" customWidth="1"/>
    <col min="14085" max="14101" width="9.7109375" style="3" customWidth="1"/>
    <col min="14102" max="14102" width="2.5703125" style="3" customWidth="1"/>
    <col min="14103" max="14104" width="5.7109375" style="3" customWidth="1"/>
    <col min="14105" max="14105" width="11.42578125" style="3" hidden="1" customWidth="1"/>
    <col min="14106" max="14337" width="11.42578125" style="3" hidden="1"/>
    <col min="14338" max="14338" width="6.140625" style="3" customWidth="1"/>
    <col min="14339" max="14339" width="9" style="3" customWidth="1"/>
    <col min="14340" max="14340" width="5.7109375" style="3" customWidth="1"/>
    <col min="14341" max="14357" width="9.7109375" style="3" customWidth="1"/>
    <col min="14358" max="14358" width="2.5703125" style="3" customWidth="1"/>
    <col min="14359" max="14360" width="5.7109375" style="3" customWidth="1"/>
    <col min="14361" max="14361" width="11.42578125" style="3" hidden="1" customWidth="1"/>
    <col min="14362" max="14593" width="11.42578125" style="3" hidden="1"/>
    <col min="14594" max="14594" width="6.140625" style="3" customWidth="1"/>
    <col min="14595" max="14595" width="9" style="3" customWidth="1"/>
    <col min="14596" max="14596" width="5.7109375" style="3" customWidth="1"/>
    <col min="14597" max="14613" width="9.7109375" style="3" customWidth="1"/>
    <col min="14614" max="14614" width="2.5703125" style="3" customWidth="1"/>
    <col min="14615" max="14616" width="5.7109375" style="3" customWidth="1"/>
    <col min="14617" max="14617" width="11.42578125" style="3" hidden="1" customWidth="1"/>
    <col min="14618" max="14849" width="11.42578125" style="3" hidden="1"/>
    <col min="14850" max="14850" width="6.140625" style="3" customWidth="1"/>
    <col min="14851" max="14851" width="9" style="3" customWidth="1"/>
    <col min="14852" max="14852" width="5.7109375" style="3" customWidth="1"/>
    <col min="14853" max="14869" width="9.7109375" style="3" customWidth="1"/>
    <col min="14870" max="14870" width="2.5703125" style="3" customWidth="1"/>
    <col min="14871" max="14872" width="5.7109375" style="3" customWidth="1"/>
    <col min="14873" max="14873" width="11.42578125" style="3" hidden="1" customWidth="1"/>
    <col min="14874" max="15105" width="11.42578125" style="3" hidden="1"/>
    <col min="15106" max="15106" width="6.140625" style="3" customWidth="1"/>
    <col min="15107" max="15107" width="9" style="3" customWidth="1"/>
    <col min="15108" max="15108" width="5.7109375" style="3" customWidth="1"/>
    <col min="15109" max="15125" width="9.7109375" style="3" customWidth="1"/>
    <col min="15126" max="15126" width="2.5703125" style="3" customWidth="1"/>
    <col min="15127" max="15128" width="5.7109375" style="3" customWidth="1"/>
    <col min="15129" max="15129" width="11.42578125" style="3" hidden="1" customWidth="1"/>
    <col min="15130" max="15361" width="11.42578125" style="3" hidden="1"/>
    <col min="15362" max="15362" width="6.140625" style="3" customWidth="1"/>
    <col min="15363" max="15363" width="9" style="3" customWidth="1"/>
    <col min="15364" max="15364" width="5.7109375" style="3" customWidth="1"/>
    <col min="15365" max="15381" width="9.7109375" style="3" customWidth="1"/>
    <col min="15382" max="15382" width="2.5703125" style="3" customWidth="1"/>
    <col min="15383" max="15384" width="5.7109375" style="3" customWidth="1"/>
    <col min="15385" max="15385" width="11.42578125" style="3" hidden="1" customWidth="1"/>
    <col min="15386" max="15617" width="11.42578125" style="3" hidden="1"/>
    <col min="15618" max="15618" width="6.140625" style="3" customWidth="1"/>
    <col min="15619" max="15619" width="9" style="3" customWidth="1"/>
    <col min="15620" max="15620" width="5.7109375" style="3" customWidth="1"/>
    <col min="15621" max="15637" width="9.7109375" style="3" customWidth="1"/>
    <col min="15638" max="15638" width="2.5703125" style="3" customWidth="1"/>
    <col min="15639" max="15640" width="5.7109375" style="3" customWidth="1"/>
    <col min="15641" max="15641" width="11.42578125" style="3" hidden="1" customWidth="1"/>
    <col min="15642" max="15873" width="11.42578125" style="3" hidden="1"/>
    <col min="15874" max="15874" width="6.140625" style="3" customWidth="1"/>
    <col min="15875" max="15875" width="9" style="3" customWidth="1"/>
    <col min="15876" max="15876" width="5.7109375" style="3" customWidth="1"/>
    <col min="15877" max="15893" width="9.7109375" style="3" customWidth="1"/>
    <col min="15894" max="15894" width="2.5703125" style="3" customWidth="1"/>
    <col min="15895" max="15896" width="5.7109375" style="3" customWidth="1"/>
    <col min="15897" max="15897" width="11.42578125" style="3" hidden="1" customWidth="1"/>
    <col min="15898" max="16129" width="11.42578125" style="3" hidden="1"/>
    <col min="16130" max="16130" width="6.140625" style="3" customWidth="1"/>
    <col min="16131" max="16131" width="9" style="3" customWidth="1"/>
    <col min="16132" max="16132" width="5.7109375" style="3" customWidth="1"/>
    <col min="16133" max="16149" width="9.7109375" style="3" customWidth="1"/>
    <col min="16150" max="16150" width="2.5703125" style="3" customWidth="1"/>
    <col min="16151" max="16152" width="5.7109375" style="3" customWidth="1"/>
    <col min="16153" max="16153" width="11.42578125" style="3" hidden="1" customWidth="1"/>
    <col min="16154" max="16384" width="11.42578125" style="3" hidden="1"/>
  </cols>
  <sheetData>
    <row r="1" spans="1:25" x14ac:dyDescent="0.25">
      <c r="A1" s="269"/>
      <c r="B1" s="269"/>
      <c r="C1" s="2"/>
      <c r="D1" s="2"/>
      <c r="E1" s="2"/>
      <c r="F1" s="2"/>
      <c r="G1" s="270"/>
      <c r="H1" s="2"/>
      <c r="I1" s="2"/>
      <c r="J1" s="2"/>
      <c r="K1" s="2"/>
      <c r="L1" s="2"/>
      <c r="M1" s="2"/>
      <c r="N1" s="2"/>
      <c r="O1" s="2"/>
      <c r="P1" s="2"/>
      <c r="Q1" s="2"/>
      <c r="R1" s="2"/>
      <c r="S1" s="2"/>
      <c r="T1" s="2"/>
      <c r="U1" s="2"/>
      <c r="V1" s="2"/>
      <c r="W1" s="2"/>
      <c r="X1" s="2"/>
      <c r="Y1" s="2"/>
    </row>
    <row r="2" spans="1:25" ht="8.25" customHeight="1" x14ac:dyDescent="0.25">
      <c r="A2" s="2"/>
      <c r="B2" s="1374"/>
      <c r="C2" s="1375"/>
      <c r="D2" s="1375"/>
      <c r="E2" s="1375"/>
      <c r="F2" s="1375"/>
      <c r="G2" s="1376"/>
      <c r="H2" s="1375"/>
      <c r="I2" s="1375"/>
      <c r="J2" s="1375"/>
      <c r="K2" s="1375"/>
      <c r="L2" s="1375"/>
      <c r="M2" s="1375"/>
      <c r="N2" s="1375"/>
      <c r="O2" s="1375"/>
      <c r="P2" s="1375"/>
      <c r="Q2" s="1375"/>
      <c r="R2" s="1375"/>
      <c r="S2" s="1375"/>
      <c r="T2" s="1375"/>
      <c r="U2" s="1375"/>
      <c r="V2" s="1375"/>
      <c r="W2" s="1375"/>
      <c r="X2" s="2"/>
      <c r="Y2" s="2"/>
    </row>
    <row r="3" spans="1:25" ht="15" customHeight="1" x14ac:dyDescent="0.25">
      <c r="A3" s="2"/>
      <c r="B3" s="1374"/>
      <c r="C3" s="1375"/>
      <c r="D3" s="1375"/>
      <c r="E3" s="1375"/>
      <c r="F3" s="1375"/>
      <c r="G3" s="1376"/>
      <c r="H3" s="1376"/>
      <c r="I3" s="1376"/>
      <c r="J3" s="1376"/>
      <c r="K3" s="1376"/>
      <c r="L3" s="1376"/>
      <c r="M3" s="1376"/>
      <c r="N3" s="1376"/>
      <c r="O3" s="1376"/>
      <c r="P3" s="1376"/>
      <c r="Q3" s="1377"/>
      <c r="R3" s="1377"/>
      <c r="S3" s="1377"/>
      <c r="T3" s="1375"/>
      <c r="U3" s="1375"/>
      <c r="V3" s="1375"/>
      <c r="W3" s="1375"/>
      <c r="X3" s="2"/>
      <c r="Y3" s="2"/>
    </row>
    <row r="4" spans="1:25" ht="5.0999999999999996" customHeight="1" x14ac:dyDescent="0.25">
      <c r="A4" s="2"/>
      <c r="B4" s="1374"/>
      <c r="C4" s="1375"/>
      <c r="D4" s="1375"/>
      <c r="E4" s="1375"/>
      <c r="F4" s="1375"/>
      <c r="G4" s="1376"/>
      <c r="H4" s="1376"/>
      <c r="I4" s="1376"/>
      <c r="J4" s="1376"/>
      <c r="K4" s="1376"/>
      <c r="L4" s="1376"/>
      <c r="M4" s="1376"/>
      <c r="N4" s="1376"/>
      <c r="O4" s="1376"/>
      <c r="P4" s="1376"/>
      <c r="Q4" s="1377"/>
      <c r="R4" s="1377"/>
      <c r="S4" s="1377"/>
      <c r="T4" s="1375"/>
      <c r="U4" s="1375"/>
      <c r="V4" s="1375"/>
      <c r="W4" s="1375"/>
      <c r="X4" s="2"/>
      <c r="Y4" s="2"/>
    </row>
    <row r="5" spans="1:25" ht="18.75" x14ac:dyDescent="0.25">
      <c r="A5" s="2"/>
      <c r="B5" s="1374"/>
      <c r="C5" s="1374"/>
      <c r="D5" s="1374"/>
      <c r="E5" s="1374"/>
      <c r="F5" s="1374"/>
      <c r="G5" s="1374"/>
      <c r="H5" s="1378"/>
      <c r="I5" s="1378"/>
      <c r="J5" s="1378"/>
      <c r="K5" s="1378"/>
      <c r="L5" s="1378"/>
      <c r="M5" s="1378"/>
      <c r="N5" s="1378"/>
      <c r="O5" s="1378"/>
      <c r="P5" s="1378"/>
      <c r="Q5" s="1379"/>
      <c r="R5" s="1374"/>
      <c r="S5" s="1374"/>
      <c r="T5" s="1374"/>
      <c r="U5" s="1374"/>
      <c r="V5" s="1374"/>
      <c r="W5" s="1374"/>
      <c r="X5" s="2"/>
      <c r="Y5" s="2"/>
    </row>
    <row r="6" spans="1:25" ht="5.0999999999999996" customHeight="1" x14ac:dyDescent="0.25">
      <c r="A6" s="2"/>
      <c r="B6" s="1374"/>
      <c r="C6" s="1374"/>
      <c r="D6" s="1374"/>
      <c r="E6" s="1374"/>
      <c r="F6" s="1374"/>
      <c r="G6" s="1378"/>
      <c r="H6" s="1378"/>
      <c r="I6" s="1378"/>
      <c r="J6" s="1374"/>
      <c r="K6" s="1378"/>
      <c r="L6" s="1378"/>
      <c r="M6" s="1378"/>
      <c r="N6" s="1378"/>
      <c r="O6" s="1378"/>
      <c r="P6" s="1378"/>
      <c r="Q6" s="1379"/>
      <c r="R6" s="1379"/>
      <c r="S6" s="1379"/>
      <c r="T6" s="1379"/>
      <c r="U6" s="1380"/>
      <c r="V6" s="1380"/>
      <c r="W6" s="1374"/>
      <c r="X6" s="2"/>
      <c r="Y6" s="2"/>
    </row>
    <row r="7" spans="1:25" ht="15" customHeight="1" x14ac:dyDescent="0.25">
      <c r="A7" s="2"/>
      <c r="B7" s="1374"/>
      <c r="C7" s="1374"/>
      <c r="D7" s="1374"/>
      <c r="E7" s="1374"/>
      <c r="F7" s="1381"/>
      <c r="G7" s="1382"/>
      <c r="H7" s="1381"/>
      <c r="I7" s="1381"/>
      <c r="J7" s="1381"/>
      <c r="K7" s="1381"/>
      <c r="L7" s="1381"/>
      <c r="M7" s="1381"/>
      <c r="N7" s="1381"/>
      <c r="O7" s="1381"/>
      <c r="P7" s="1381"/>
      <c r="Q7" s="1381"/>
      <c r="R7" s="1526"/>
      <c r="S7" s="1526"/>
      <c r="T7" s="1526"/>
      <c r="U7" s="1526"/>
      <c r="V7" s="1383"/>
      <c r="W7" s="1374"/>
      <c r="X7" s="2"/>
      <c r="Y7" s="2"/>
    </row>
    <row r="8" spans="1:25" ht="8.25" customHeight="1" x14ac:dyDescent="0.25">
      <c r="A8" s="2"/>
      <c r="B8" s="1374"/>
      <c r="C8" s="272"/>
      <c r="D8" s="272"/>
      <c r="E8" s="272"/>
      <c r="F8" s="273"/>
      <c r="G8" s="274"/>
      <c r="H8" s="273"/>
      <c r="I8" s="273"/>
      <c r="J8" s="273"/>
      <c r="K8" s="273"/>
      <c r="L8" s="273"/>
      <c r="M8" s="273"/>
      <c r="N8" s="273"/>
      <c r="O8" s="273"/>
      <c r="P8" s="273"/>
      <c r="Q8" s="273"/>
      <c r="R8" s="273"/>
      <c r="S8" s="273"/>
      <c r="T8" s="272"/>
      <c r="U8" s="272"/>
      <c r="V8" s="272"/>
      <c r="W8" s="1374"/>
      <c r="X8" s="2"/>
      <c r="Y8" s="2"/>
    </row>
    <row r="9" spans="1:25" ht="15" customHeight="1" x14ac:dyDescent="0.25">
      <c r="A9" s="2"/>
      <c r="B9" s="1374"/>
      <c r="C9" s="1527" t="s">
        <v>650</v>
      </c>
      <c r="D9" s="1527"/>
      <c r="E9" s="1527"/>
      <c r="F9" s="1527"/>
      <c r="G9" s="1527"/>
      <c r="H9" s="1527"/>
      <c r="I9" s="1527"/>
      <c r="J9" s="1527"/>
      <c r="K9" s="1527"/>
      <c r="L9" s="1527"/>
      <c r="M9" s="1527"/>
      <c r="N9" s="1527"/>
      <c r="O9" s="1527"/>
      <c r="P9" s="1527"/>
      <c r="Q9" s="1527"/>
      <c r="R9" s="1527"/>
      <c r="S9" s="1527"/>
      <c r="T9" s="1527"/>
      <c r="U9" s="1527"/>
      <c r="V9" s="272"/>
      <c r="W9" s="1374"/>
      <c r="X9" s="2"/>
      <c r="Y9" s="2"/>
    </row>
    <row r="10" spans="1:25" ht="15" customHeight="1" x14ac:dyDescent="0.25">
      <c r="A10" s="2"/>
      <c r="B10" s="1374"/>
      <c r="C10" s="1527"/>
      <c r="D10" s="1527"/>
      <c r="E10" s="1527"/>
      <c r="F10" s="1527"/>
      <c r="G10" s="1527"/>
      <c r="H10" s="1527"/>
      <c r="I10" s="1527"/>
      <c r="J10" s="1527"/>
      <c r="K10" s="1527"/>
      <c r="L10" s="1527"/>
      <c r="M10" s="1527"/>
      <c r="N10" s="1527"/>
      <c r="O10" s="1527"/>
      <c r="P10" s="1527"/>
      <c r="Q10" s="1527"/>
      <c r="R10" s="1527"/>
      <c r="S10" s="1527"/>
      <c r="T10" s="1527"/>
      <c r="U10" s="1527"/>
      <c r="V10" s="272"/>
      <c r="W10" s="1374"/>
      <c r="X10" s="2"/>
      <c r="Y10" s="2"/>
    </row>
    <row r="11" spans="1:25" ht="15" customHeight="1" x14ac:dyDescent="0.25">
      <c r="A11" s="2"/>
      <c r="B11" s="1374"/>
      <c r="C11" s="1527"/>
      <c r="D11" s="1527"/>
      <c r="E11" s="1527"/>
      <c r="F11" s="1527"/>
      <c r="G11" s="1527"/>
      <c r="H11" s="1527"/>
      <c r="I11" s="1527"/>
      <c r="J11" s="1527"/>
      <c r="K11" s="1527"/>
      <c r="L11" s="1527"/>
      <c r="M11" s="1527"/>
      <c r="N11" s="1527"/>
      <c r="O11" s="1527"/>
      <c r="P11" s="1527"/>
      <c r="Q11" s="1527"/>
      <c r="R11" s="1527"/>
      <c r="S11" s="1527"/>
      <c r="T11" s="1527"/>
      <c r="U11" s="1527"/>
      <c r="V11" s="272"/>
      <c r="W11" s="1374"/>
      <c r="X11" s="2"/>
      <c r="Y11" s="2"/>
    </row>
    <row r="12" spans="1:25" ht="9" customHeight="1" x14ac:dyDescent="0.25">
      <c r="A12" s="2"/>
      <c r="B12" s="1374"/>
      <c r="C12" s="1527"/>
      <c r="D12" s="1527"/>
      <c r="E12" s="1527"/>
      <c r="F12" s="1527"/>
      <c r="G12" s="1527"/>
      <c r="H12" s="1527"/>
      <c r="I12" s="1527"/>
      <c r="J12" s="1527"/>
      <c r="K12" s="1527"/>
      <c r="L12" s="1527"/>
      <c r="M12" s="1527"/>
      <c r="N12" s="1527"/>
      <c r="O12" s="1527"/>
      <c r="P12" s="1527"/>
      <c r="Q12" s="1527"/>
      <c r="R12" s="1527"/>
      <c r="S12" s="1527"/>
      <c r="T12" s="1527"/>
      <c r="U12" s="1527"/>
      <c r="V12" s="272"/>
      <c r="W12" s="1374"/>
      <c r="X12" s="2"/>
      <c r="Y12" s="2"/>
    </row>
    <row r="13" spans="1:25" ht="5.25" customHeight="1" x14ac:dyDescent="0.25">
      <c r="A13" s="2"/>
      <c r="B13" s="1374"/>
      <c r="C13" s="1527"/>
      <c r="D13" s="1527"/>
      <c r="E13" s="1527"/>
      <c r="F13" s="1527"/>
      <c r="G13" s="1527"/>
      <c r="H13" s="1527"/>
      <c r="I13" s="1527"/>
      <c r="J13" s="1527"/>
      <c r="K13" s="1527"/>
      <c r="L13" s="1527"/>
      <c r="M13" s="1527"/>
      <c r="N13" s="1527"/>
      <c r="O13" s="1527"/>
      <c r="P13" s="1527"/>
      <c r="Q13" s="1527"/>
      <c r="R13" s="1527"/>
      <c r="S13" s="1527"/>
      <c r="T13" s="1527"/>
      <c r="U13" s="1527"/>
      <c r="V13" s="272"/>
      <c r="W13" s="1374"/>
      <c r="X13" s="2"/>
      <c r="Y13" s="2"/>
    </row>
    <row r="14" spans="1:25" ht="15" customHeight="1" x14ac:dyDescent="0.25">
      <c r="A14" s="2"/>
      <c r="B14" s="1374"/>
      <c r="C14" s="1527"/>
      <c r="D14" s="1527"/>
      <c r="E14" s="1527"/>
      <c r="F14" s="1527"/>
      <c r="G14" s="1527"/>
      <c r="H14" s="1527"/>
      <c r="I14" s="1527"/>
      <c r="J14" s="1527"/>
      <c r="K14" s="1527"/>
      <c r="L14" s="1527"/>
      <c r="M14" s="1527"/>
      <c r="N14" s="1527"/>
      <c r="O14" s="1527"/>
      <c r="P14" s="1527"/>
      <c r="Q14" s="1527"/>
      <c r="R14" s="1527"/>
      <c r="S14" s="1527"/>
      <c r="T14" s="1527"/>
      <c r="U14" s="1527"/>
      <c r="V14" s="272"/>
      <c r="W14" s="1374"/>
      <c r="X14" s="2"/>
      <c r="Y14" s="2"/>
    </row>
    <row r="15" spans="1:25" ht="15" customHeight="1" x14ac:dyDescent="0.25">
      <c r="A15" s="2"/>
      <c r="B15" s="1374"/>
      <c r="C15" s="1527"/>
      <c r="D15" s="1527"/>
      <c r="E15" s="1527"/>
      <c r="F15" s="1527"/>
      <c r="G15" s="1527"/>
      <c r="H15" s="1527"/>
      <c r="I15" s="1527"/>
      <c r="J15" s="1527"/>
      <c r="K15" s="1527"/>
      <c r="L15" s="1527"/>
      <c r="M15" s="1527"/>
      <c r="N15" s="1527"/>
      <c r="O15" s="1527"/>
      <c r="P15" s="1527"/>
      <c r="Q15" s="1527"/>
      <c r="R15" s="1527"/>
      <c r="S15" s="1527"/>
      <c r="T15" s="1527"/>
      <c r="U15" s="1527"/>
      <c r="V15" s="272"/>
      <c r="W15" s="1374"/>
      <c r="X15" s="2"/>
      <c r="Y15" s="2"/>
    </row>
    <row r="16" spans="1:25" x14ac:dyDescent="0.25">
      <c r="A16" s="2"/>
      <c r="B16" s="1374"/>
      <c r="C16" s="272"/>
      <c r="D16" s="272"/>
      <c r="E16" s="272"/>
      <c r="F16" s="272"/>
      <c r="G16" s="272"/>
      <c r="H16" s="272"/>
      <c r="I16" s="275"/>
      <c r="J16" s="275"/>
      <c r="K16" s="275"/>
      <c r="L16" s="275"/>
      <c r="M16" s="1"/>
      <c r="N16" s="1"/>
      <c r="O16" s="1"/>
      <c r="P16" s="1"/>
      <c r="Q16" s="1"/>
      <c r="R16" s="1"/>
      <c r="S16" s="1"/>
      <c r="T16" s="1"/>
      <c r="U16" s="276"/>
      <c r="V16" s="276"/>
      <c r="W16" s="1374"/>
      <c r="X16" s="2"/>
      <c r="Y16" s="2"/>
    </row>
    <row r="17" spans="1:25" ht="15" customHeight="1" x14ac:dyDescent="0.25">
      <c r="A17" s="2"/>
      <c r="B17" s="1374"/>
      <c r="C17" s="272"/>
      <c r="D17" s="272"/>
      <c r="E17" s="272"/>
      <c r="F17" s="272"/>
      <c r="G17" s="272"/>
      <c r="H17" s="272"/>
      <c r="I17" s="272"/>
      <c r="J17" s="272"/>
      <c r="K17" s="272"/>
      <c r="L17" s="272"/>
      <c r="M17" s="277"/>
      <c r="N17" s="278"/>
      <c r="O17" s="278"/>
      <c r="P17" s="278"/>
      <c r="Q17" s="278"/>
      <c r="R17" s="278"/>
      <c r="S17" s="278"/>
      <c r="T17" s="278"/>
      <c r="U17" s="279"/>
      <c r="V17" s="279"/>
      <c r="W17" s="1384"/>
      <c r="X17" s="2"/>
      <c r="Y17" s="2"/>
    </row>
    <row r="18" spans="1:25" ht="15" customHeight="1" x14ac:dyDescent="0.25">
      <c r="A18" s="2"/>
      <c r="B18" s="1374"/>
      <c r="C18" s="272"/>
      <c r="D18" s="272"/>
      <c r="E18" s="272"/>
      <c r="F18" s="272"/>
      <c r="G18" s="272"/>
      <c r="H18" s="272"/>
      <c r="I18" s="272"/>
      <c r="J18" s="272"/>
      <c r="K18" s="272"/>
      <c r="L18" s="272"/>
      <c r="M18" s="277"/>
      <c r="N18" s="278"/>
      <c r="O18" s="278"/>
      <c r="P18" s="278"/>
      <c r="Q18" s="278"/>
      <c r="R18" s="278"/>
      <c r="S18" s="278"/>
      <c r="T18" s="278"/>
      <c r="U18" s="279"/>
      <c r="V18" s="279"/>
      <c r="W18" s="1384"/>
      <c r="X18" s="2"/>
      <c r="Y18" s="2"/>
    </row>
    <row r="19" spans="1:25" ht="9.9499999999999993" customHeight="1" x14ac:dyDescent="0.25">
      <c r="A19" s="2"/>
      <c r="B19" s="1374"/>
      <c r="C19" s="272"/>
      <c r="D19" s="272"/>
      <c r="E19" s="272"/>
      <c r="F19" s="272"/>
      <c r="G19" s="272"/>
      <c r="H19" s="272"/>
      <c r="I19" s="280"/>
      <c r="J19" s="280"/>
      <c r="K19" s="280"/>
      <c r="L19" s="280"/>
      <c r="M19" s="277"/>
      <c r="N19" s="281"/>
      <c r="O19" s="281"/>
      <c r="P19" s="281"/>
      <c r="Q19" s="281"/>
      <c r="R19" s="281"/>
      <c r="S19" s="281"/>
      <c r="T19" s="281"/>
      <c r="U19" s="279"/>
      <c r="V19" s="279"/>
      <c r="W19" s="1384"/>
      <c r="X19" s="2"/>
      <c r="Y19" s="2"/>
    </row>
    <row r="20" spans="1:25" ht="15" customHeight="1" x14ac:dyDescent="0.25">
      <c r="A20" s="2"/>
      <c r="B20" s="1374"/>
      <c r="C20" s="272"/>
      <c r="D20" s="272"/>
      <c r="E20" s="282"/>
      <c r="F20" s="283"/>
      <c r="G20" s="283"/>
      <c r="H20" s="283"/>
      <c r="I20" s="283"/>
      <c r="J20" s="283"/>
      <c r="K20" s="283"/>
      <c r="L20" s="283"/>
      <c r="M20" s="277"/>
      <c r="N20" s="278"/>
      <c r="O20" s="278"/>
      <c r="P20" s="278"/>
      <c r="Q20" s="278"/>
      <c r="R20" s="278"/>
      <c r="S20" s="278"/>
      <c r="T20" s="278"/>
      <c r="U20" s="279"/>
      <c r="V20" s="279"/>
      <c r="W20" s="1384"/>
      <c r="X20" s="2"/>
      <c r="Y20" s="2"/>
    </row>
    <row r="21" spans="1:25" ht="15.75" customHeight="1" x14ac:dyDescent="0.25">
      <c r="A21" s="2"/>
      <c r="B21" s="1374"/>
      <c r="C21" s="272"/>
      <c r="D21" s="272"/>
      <c r="E21" s="282"/>
      <c r="F21" s="283"/>
      <c r="G21" s="283"/>
      <c r="H21" s="283"/>
      <c r="I21" s="283"/>
      <c r="J21" s="283"/>
      <c r="K21" s="283"/>
      <c r="L21" s="283"/>
      <c r="M21" s="277"/>
      <c r="N21" s="278"/>
      <c r="O21" s="278"/>
      <c r="P21" s="278"/>
      <c r="Q21" s="278"/>
      <c r="R21" s="278"/>
      <c r="S21" s="278"/>
      <c r="T21" s="278"/>
      <c r="U21" s="279"/>
      <c r="V21" s="279"/>
      <c r="W21" s="1384"/>
      <c r="X21" s="2"/>
      <c r="Y21" s="2"/>
    </row>
    <row r="22" spans="1:25" ht="9.9499999999999993" customHeight="1" x14ac:dyDescent="0.25">
      <c r="A22" s="2"/>
      <c r="B22" s="1374"/>
      <c r="C22" s="272"/>
      <c r="D22" s="272"/>
      <c r="E22" s="282"/>
      <c r="F22" s="283"/>
      <c r="G22" s="283"/>
      <c r="H22" s="283"/>
      <c r="I22" s="283"/>
      <c r="J22" s="283"/>
      <c r="K22" s="283"/>
      <c r="L22" s="283"/>
      <c r="M22" s="277"/>
      <c r="N22" s="284"/>
      <c r="O22" s="284"/>
      <c r="P22" s="284"/>
      <c r="Q22" s="284"/>
      <c r="R22" s="284"/>
      <c r="S22" s="284"/>
      <c r="T22" s="284"/>
      <c r="U22" s="279"/>
      <c r="V22" s="279"/>
      <c r="W22" s="1384"/>
      <c r="X22" s="2"/>
      <c r="Y22" s="2"/>
    </row>
    <row r="23" spans="1:25" ht="15" customHeight="1" x14ac:dyDescent="0.25">
      <c r="A23" s="2"/>
      <c r="B23" s="1374"/>
      <c r="C23" s="272"/>
      <c r="D23" s="272"/>
      <c r="E23" s="282"/>
      <c r="F23" s="283"/>
      <c r="G23" s="283"/>
      <c r="H23" s="283"/>
      <c r="I23" s="283"/>
      <c r="J23" s="283"/>
      <c r="K23" s="283"/>
      <c r="L23" s="283"/>
      <c r="M23" s="277"/>
      <c r="N23" s="278"/>
      <c r="O23" s="278"/>
      <c r="P23" s="278"/>
      <c r="Q23" s="278"/>
      <c r="R23" s="278"/>
      <c r="S23" s="278"/>
      <c r="T23" s="278"/>
      <c r="U23" s="279"/>
      <c r="V23" s="279"/>
      <c r="W23" s="1384"/>
      <c r="X23" s="2"/>
      <c r="Y23" s="2"/>
    </row>
    <row r="24" spans="1:25" ht="15" customHeight="1" x14ac:dyDescent="0.25">
      <c r="A24" s="2"/>
      <c r="B24" s="1374"/>
      <c r="C24" s="272"/>
      <c r="D24" s="272"/>
      <c r="E24" s="282"/>
      <c r="F24" s="283"/>
      <c r="G24" s="283"/>
      <c r="H24" s="283"/>
      <c r="I24" s="283"/>
      <c r="J24" s="283"/>
      <c r="K24" s="283"/>
      <c r="L24" s="283"/>
      <c r="M24" s="277"/>
      <c r="N24" s="278"/>
      <c r="O24" s="278"/>
      <c r="P24" s="278"/>
      <c r="Q24" s="278"/>
      <c r="R24" s="278"/>
      <c r="S24" s="278"/>
      <c r="T24" s="278"/>
      <c r="U24" s="279"/>
      <c r="V24" s="279"/>
      <c r="W24" s="1384"/>
      <c r="X24" s="2"/>
      <c r="Y24" s="2"/>
    </row>
    <row r="25" spans="1:25" ht="15.75" x14ac:dyDescent="0.25">
      <c r="A25" s="2"/>
      <c r="B25" s="1374"/>
      <c r="C25" s="272"/>
      <c r="D25" s="272"/>
      <c r="E25" s="282"/>
      <c r="F25" s="283"/>
      <c r="G25" s="283"/>
      <c r="H25" s="283"/>
      <c r="I25" s="283"/>
      <c r="J25" s="283"/>
      <c r="K25" s="283"/>
      <c r="L25" s="283"/>
      <c r="M25" s="277"/>
      <c r="N25" s="284"/>
      <c r="O25" s="284"/>
      <c r="P25" s="284"/>
      <c r="Q25" s="284"/>
      <c r="R25" s="278"/>
      <c r="S25" s="278"/>
      <c r="T25" s="278"/>
      <c r="U25" s="279"/>
      <c r="V25" s="279"/>
      <c r="W25" s="1384"/>
      <c r="X25" s="2"/>
      <c r="Y25" s="2"/>
    </row>
    <row r="26" spans="1:25" ht="9.9499999999999993" customHeight="1" x14ac:dyDescent="0.25">
      <c r="A26" s="2"/>
      <c r="B26" s="1374"/>
      <c r="C26" s="272"/>
      <c r="D26" s="272"/>
      <c r="E26" s="282"/>
      <c r="F26" s="283"/>
      <c r="G26" s="283"/>
      <c r="H26" s="283"/>
      <c r="I26" s="283"/>
      <c r="J26" s="283"/>
      <c r="K26" s="283"/>
      <c r="L26" s="283"/>
      <c r="M26" s="285"/>
      <c r="N26" s="283"/>
      <c r="O26" s="283"/>
      <c r="P26" s="283"/>
      <c r="Q26" s="283"/>
      <c r="R26" s="283"/>
      <c r="S26" s="283"/>
      <c r="T26" s="283"/>
      <c r="U26" s="286"/>
      <c r="V26" s="286"/>
      <c r="W26" s="1384"/>
      <c r="X26" s="2"/>
      <c r="Y26" s="2"/>
    </row>
    <row r="27" spans="1:25" ht="7.5" customHeight="1" x14ac:dyDescent="0.25">
      <c r="A27" s="2"/>
      <c r="B27" s="1374"/>
      <c r="C27" s="272"/>
      <c r="D27" s="272"/>
      <c r="E27" s="282"/>
      <c r="F27" s="287"/>
      <c r="G27" s="287"/>
      <c r="H27" s="287"/>
      <c r="I27" s="287"/>
      <c r="J27" s="287"/>
      <c r="K27" s="285"/>
      <c r="L27" s="285"/>
      <c r="M27" s="285"/>
      <c r="N27" s="285"/>
      <c r="O27" s="285"/>
      <c r="P27" s="285"/>
      <c r="Q27" s="285"/>
      <c r="R27" s="285"/>
      <c r="S27" s="285"/>
      <c r="T27" s="285"/>
      <c r="U27" s="286"/>
      <c r="V27" s="286"/>
      <c r="W27" s="1384"/>
      <c r="X27" s="2"/>
      <c r="Y27" s="2"/>
    </row>
    <row r="28" spans="1:25" ht="15" customHeight="1" x14ac:dyDescent="0.25">
      <c r="A28" s="2"/>
      <c r="B28" s="1374"/>
      <c r="C28" s="1384"/>
      <c r="D28" s="1384"/>
      <c r="E28" s="1374"/>
      <c r="F28" s="1381"/>
      <c r="G28" s="1382"/>
      <c r="H28" s="1381"/>
      <c r="I28" s="1381"/>
      <c r="J28" s="1381"/>
      <c r="K28" s="1381"/>
      <c r="L28" s="1381"/>
      <c r="M28" s="1381"/>
      <c r="N28" s="1381"/>
      <c r="O28" s="1381"/>
      <c r="P28" s="1381"/>
      <c r="Q28" s="1381"/>
      <c r="R28" s="1381"/>
      <c r="S28" s="1381"/>
      <c r="T28" s="1374"/>
      <c r="U28" s="1374"/>
      <c r="V28" s="1374"/>
      <c r="W28" s="1384"/>
      <c r="X28" s="2"/>
      <c r="Y28" s="2"/>
    </row>
    <row r="29" spans="1:25" ht="3.75" customHeight="1" x14ac:dyDescent="0.25">
      <c r="A29" s="2"/>
      <c r="B29" s="1374"/>
      <c r="C29" s="1384"/>
      <c r="D29" s="1384"/>
      <c r="E29" s="1384"/>
      <c r="F29" s="1385"/>
      <c r="G29" s="1385"/>
      <c r="H29" s="1384"/>
      <c r="I29" s="1384"/>
      <c r="J29" s="1384"/>
      <c r="K29" s="1384"/>
      <c r="L29" s="1384"/>
      <c r="M29" s="1384"/>
      <c r="N29" s="1384"/>
      <c r="O29" s="1384"/>
      <c r="P29" s="1384"/>
      <c r="Q29" s="1384"/>
      <c r="R29" s="1384"/>
      <c r="S29" s="1384"/>
      <c r="T29" s="1386"/>
      <c r="U29" s="1386"/>
      <c r="V29" s="1386"/>
      <c r="W29" s="1384"/>
      <c r="X29" s="2"/>
      <c r="Y29" s="2"/>
    </row>
    <row r="30" spans="1:25" x14ac:dyDescent="0.25">
      <c r="A30" s="2"/>
      <c r="B30" s="2"/>
      <c r="C30" s="2"/>
      <c r="D30" s="2"/>
      <c r="E30" s="2"/>
      <c r="F30" s="2"/>
      <c r="G30" s="270"/>
      <c r="H30" s="2"/>
      <c r="I30" s="2"/>
      <c r="J30" s="2"/>
      <c r="K30" s="2"/>
      <c r="L30" s="2"/>
      <c r="M30" s="2"/>
      <c r="N30" s="2"/>
      <c r="O30" s="2"/>
      <c r="P30" s="2"/>
      <c r="Q30" s="2"/>
      <c r="R30" s="2"/>
      <c r="S30" s="2"/>
      <c r="T30" s="2"/>
      <c r="U30" s="2"/>
      <c r="V30" s="2"/>
      <c r="W30" s="2"/>
      <c r="X30" s="2"/>
      <c r="Y30" s="2"/>
    </row>
    <row r="31" spans="1:25" ht="18.75" customHeight="1" x14ac:dyDescent="0.25"/>
  </sheetData>
  <sheetProtection password="C935" sheet="1" objects="1" scenarios="1"/>
  <mergeCells count="2">
    <mergeCell ref="R7:U7"/>
    <mergeCell ref="C9:U1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2:EG479"/>
  <sheetViews>
    <sheetView topLeftCell="A13" zoomScale="85" zoomScaleNormal="85" workbookViewId="0">
      <selection activeCell="C33" sqref="C33"/>
    </sheetView>
  </sheetViews>
  <sheetFormatPr baseColWidth="10" defaultColWidth="11.42578125" defaultRowHeight="15" x14ac:dyDescent="0.25"/>
  <cols>
    <col min="1" max="1" width="5.5703125" style="97" customWidth="1"/>
    <col min="2" max="2" width="37.85546875" style="98" customWidth="1"/>
    <col min="3" max="3" width="59.42578125" style="98" customWidth="1"/>
    <col min="4" max="4" width="16.42578125" style="98" customWidth="1"/>
    <col min="5" max="5" width="20.7109375" style="98" customWidth="1"/>
    <col min="6" max="16" width="14.42578125" style="98" hidden="1" customWidth="1"/>
    <col min="17" max="17" width="16.7109375" style="98" hidden="1" customWidth="1"/>
    <col min="18" max="18" width="10" style="98" hidden="1" customWidth="1"/>
    <col min="19" max="19" width="13.42578125" style="98" hidden="1" customWidth="1"/>
    <col min="20" max="20" width="13" style="98" hidden="1" customWidth="1"/>
    <col min="21" max="21" width="11.42578125" style="98" hidden="1" customWidth="1"/>
    <col min="22" max="22" width="16.140625" style="93" hidden="1" customWidth="1"/>
    <col min="23" max="23" width="17" style="98" hidden="1" customWidth="1"/>
    <col min="24" max="24" width="13.85546875" style="98" customWidth="1"/>
    <col min="25" max="25" width="15.7109375" style="98" customWidth="1"/>
    <col min="26" max="26" width="16.140625" style="98" hidden="1" customWidth="1"/>
    <col min="27" max="27" width="13.85546875" style="94" customWidth="1"/>
    <col min="28" max="28" width="14" style="94" customWidth="1"/>
    <col min="29" max="29" width="15.85546875" style="98" hidden="1" customWidth="1"/>
    <col min="30" max="30" width="12.85546875" style="94" hidden="1" customWidth="1"/>
    <col min="31" max="31" width="11.42578125" style="95" customWidth="1"/>
    <col min="32" max="32" width="20.5703125" style="98" customWidth="1"/>
    <col min="33" max="33" width="17.140625" style="98" hidden="1" customWidth="1"/>
    <col min="34" max="35" width="12.85546875" style="96" customWidth="1"/>
    <col min="36" max="36" width="16.7109375" style="98" hidden="1" customWidth="1"/>
    <col min="37" max="37" width="12.85546875" style="94" hidden="1" customWidth="1"/>
    <col min="38" max="38" width="11.42578125" style="98" customWidth="1"/>
    <col min="39" max="39" width="20.5703125" style="98" customWidth="1"/>
    <col min="40" max="40" width="17" style="98" hidden="1" customWidth="1"/>
    <col min="41" max="42" width="12.85546875" style="98" customWidth="1"/>
    <col min="43" max="43" width="16.140625" style="98" hidden="1" customWidth="1"/>
    <col min="44" max="44" width="15.140625" style="94" hidden="1" customWidth="1"/>
    <col min="45" max="45" width="11.42578125" style="98" customWidth="1"/>
    <col min="46" max="46" width="20.5703125" style="98" customWidth="1"/>
    <col min="47" max="47" width="16.140625" style="98" hidden="1" customWidth="1"/>
    <col min="48" max="48" width="12.85546875" style="94" customWidth="1"/>
    <col min="49" max="49" width="17.28515625" style="98" hidden="1" customWidth="1"/>
    <col min="50" max="50" width="12.85546875" style="94" hidden="1" customWidth="1"/>
    <col min="51" max="51" width="11.42578125" style="98" customWidth="1"/>
    <col min="52" max="52" width="20.5703125" style="98" customWidth="1"/>
    <col min="53" max="53" width="16.5703125" style="98" hidden="1" customWidth="1"/>
    <col min="54" max="54" width="12.85546875" style="94" customWidth="1"/>
    <col min="55" max="55" width="16" style="94" customWidth="1"/>
    <col min="56" max="56" width="17" style="98" hidden="1" customWidth="1"/>
    <col min="57" max="57" width="12.85546875" style="94" hidden="1" customWidth="1"/>
    <col min="58" max="58" width="21.5703125" style="98" customWidth="1"/>
    <col min="59" max="59" width="20" style="98" customWidth="1"/>
    <col min="60" max="60" width="16.5703125" style="99" customWidth="1"/>
    <col min="61" max="61" width="52.85546875" style="102" customWidth="1"/>
    <col min="62" max="62" width="18.5703125" style="178" customWidth="1"/>
    <col min="63" max="64" width="16.7109375" style="178" customWidth="1"/>
    <col min="65" max="66" width="11.7109375" style="169" customWidth="1"/>
    <col min="67" max="67" width="18.42578125" style="169" customWidth="1"/>
    <col min="68" max="68" width="16.28515625" style="178" customWidth="1"/>
    <col min="69" max="69" width="16" style="178" customWidth="1"/>
    <col min="70" max="70" width="13.42578125" style="178" customWidth="1"/>
    <col min="71" max="72" width="11.7109375" style="178" customWidth="1"/>
    <col min="73" max="73" width="14.85546875" style="178" bestFit="1" customWidth="1"/>
    <col min="74" max="78" width="11.7109375" style="178" customWidth="1"/>
    <col min="79" max="79" width="14.85546875" style="178" bestFit="1" customWidth="1"/>
    <col min="80" max="80" width="11.7109375" style="180" customWidth="1"/>
    <col min="81" max="82" width="11.7109375" style="178" customWidth="1"/>
    <col min="83" max="84" width="11.7109375" style="180" customWidth="1"/>
    <col min="85" max="85" width="14.85546875" style="180" bestFit="1" customWidth="1"/>
    <col min="86" max="86" width="11.7109375" style="180" customWidth="1"/>
    <col min="87" max="88" width="11.7109375" style="178" customWidth="1"/>
    <col min="89" max="90" width="11.7109375" style="180" customWidth="1"/>
    <col min="91" max="91" width="14.85546875" style="180" bestFit="1" customWidth="1"/>
    <col min="92" max="92" width="11.7109375" style="116" customWidth="1"/>
    <col min="93" max="95" width="11.7109375" style="100" customWidth="1"/>
    <col min="96" max="102" width="11.7109375" style="101" customWidth="1"/>
    <col min="103" max="103" width="11.42578125" style="101" customWidth="1"/>
    <col min="104" max="104" width="13.42578125" style="101" customWidth="1"/>
    <col min="105" max="105" width="14.85546875" style="101" customWidth="1"/>
    <col min="106" max="106" width="11.5703125" style="101" customWidth="1"/>
    <col min="107" max="114" width="11.42578125" style="101" customWidth="1"/>
    <col min="115" max="129" width="11.42578125" style="101"/>
    <col min="130" max="137" width="11.42578125" style="100"/>
    <col min="138" max="16384" width="11.42578125" style="98"/>
  </cols>
  <sheetData>
    <row r="2" spans="1:137" s="27" customFormat="1" ht="18.75" customHeight="1" x14ac:dyDescent="0.25">
      <c r="A2" s="26"/>
      <c r="B2" s="1798" t="s">
        <v>1345</v>
      </c>
      <c r="C2" s="1798"/>
      <c r="D2" s="1798"/>
      <c r="E2" s="1798"/>
      <c r="F2" s="1798"/>
      <c r="G2" s="1798"/>
      <c r="H2" s="1798"/>
      <c r="I2" s="1798"/>
      <c r="J2" s="1798"/>
      <c r="K2" s="1798"/>
      <c r="L2" s="1798"/>
      <c r="M2" s="1798"/>
      <c r="N2" s="1798"/>
      <c r="O2" s="1798"/>
      <c r="P2" s="1798"/>
      <c r="Q2" s="1798"/>
      <c r="R2" s="1798"/>
      <c r="S2" s="1798"/>
      <c r="T2" s="1798"/>
      <c r="U2" s="1798"/>
      <c r="V2" s="1798"/>
      <c r="W2" s="1798"/>
      <c r="X2" s="1798"/>
      <c r="Y2" s="1798"/>
      <c r="Z2" s="1798"/>
      <c r="AA2" s="1798"/>
      <c r="AB2" s="1798"/>
      <c r="AC2" s="1798"/>
      <c r="AD2" s="1798"/>
      <c r="AE2" s="1798"/>
      <c r="AF2" s="1798"/>
      <c r="AG2" s="1798"/>
      <c r="AH2" s="1798"/>
      <c r="AI2" s="1798"/>
      <c r="AJ2" s="1798"/>
      <c r="AK2" s="1798"/>
      <c r="AL2" s="1798"/>
      <c r="AM2" s="31"/>
      <c r="AN2" s="32"/>
      <c r="AO2" s="32"/>
      <c r="AP2" s="32"/>
      <c r="AQ2" s="32"/>
      <c r="AR2" s="33"/>
      <c r="AS2" s="30"/>
      <c r="AT2" s="31"/>
      <c r="AU2" s="32"/>
      <c r="AV2" s="33"/>
      <c r="AW2" s="32"/>
      <c r="AX2" s="33"/>
      <c r="AY2" s="30"/>
      <c r="AZ2" s="31"/>
      <c r="BA2" s="32"/>
      <c r="BB2" s="33"/>
      <c r="BC2" s="33"/>
      <c r="BD2" s="32"/>
      <c r="BE2" s="33"/>
      <c r="BF2" s="34"/>
      <c r="BG2" s="35"/>
      <c r="BH2" s="28"/>
      <c r="BI2" s="64"/>
      <c r="BJ2" s="168"/>
      <c r="BK2" s="168"/>
      <c r="BL2" s="168"/>
      <c r="BM2" s="169"/>
      <c r="BN2" s="169"/>
      <c r="BO2" s="169"/>
      <c r="BP2" s="168"/>
      <c r="BQ2" s="168"/>
      <c r="BR2" s="168"/>
      <c r="BS2" s="168"/>
      <c r="BT2" s="168"/>
      <c r="BU2" s="168"/>
      <c r="BV2" s="168"/>
      <c r="BW2" s="168"/>
      <c r="BX2" s="168"/>
      <c r="BY2" s="168"/>
      <c r="BZ2" s="168"/>
      <c r="CA2" s="168"/>
      <c r="CB2" s="170"/>
      <c r="CC2" s="168"/>
      <c r="CD2" s="168"/>
      <c r="CE2" s="170"/>
      <c r="CF2" s="170"/>
      <c r="CG2" s="170"/>
      <c r="CH2" s="170"/>
      <c r="CI2" s="168"/>
      <c r="CJ2" s="168"/>
      <c r="CK2" s="170"/>
      <c r="CL2" s="170"/>
      <c r="CM2" s="170"/>
      <c r="CN2" s="113"/>
      <c r="CO2" s="36"/>
      <c r="CP2" s="36"/>
      <c r="CQ2" s="36"/>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6"/>
      <c r="EA2" s="36"/>
      <c r="EB2" s="36"/>
      <c r="EC2" s="36"/>
      <c r="ED2" s="36"/>
      <c r="EE2" s="36"/>
      <c r="EF2" s="36"/>
      <c r="EG2" s="36"/>
    </row>
    <row r="3" spans="1:137" s="27" customFormat="1" ht="53.25" customHeight="1" x14ac:dyDescent="0.25">
      <c r="A3" s="26"/>
      <c r="B3" s="1798"/>
      <c r="C3" s="1798"/>
      <c r="D3" s="1798"/>
      <c r="E3" s="1798"/>
      <c r="F3" s="1798"/>
      <c r="G3" s="1798"/>
      <c r="H3" s="1798"/>
      <c r="I3" s="1798"/>
      <c r="J3" s="1798"/>
      <c r="K3" s="1798"/>
      <c r="L3" s="1798"/>
      <c r="M3" s="1798"/>
      <c r="N3" s="1798"/>
      <c r="O3" s="1798"/>
      <c r="P3" s="1798"/>
      <c r="Q3" s="1798"/>
      <c r="R3" s="1798"/>
      <c r="S3" s="1798"/>
      <c r="T3" s="1798"/>
      <c r="U3" s="1798"/>
      <c r="V3" s="1798"/>
      <c r="W3" s="1798"/>
      <c r="X3" s="1798"/>
      <c r="Y3" s="1798"/>
      <c r="Z3" s="1798"/>
      <c r="AA3" s="1798"/>
      <c r="AB3" s="1798"/>
      <c r="AC3" s="1798"/>
      <c r="AD3" s="1798"/>
      <c r="AE3" s="1798"/>
      <c r="AF3" s="1798"/>
      <c r="AG3" s="1798"/>
      <c r="AH3" s="1798"/>
      <c r="AI3" s="1798"/>
      <c r="AJ3" s="1798"/>
      <c r="AK3" s="1798"/>
      <c r="AL3" s="1798"/>
      <c r="AM3" s="39"/>
      <c r="AN3" s="40"/>
      <c r="AO3" s="40"/>
      <c r="AP3" s="40"/>
      <c r="AQ3" s="40"/>
      <c r="AR3" s="41"/>
      <c r="AS3" s="38"/>
      <c r="AT3" s="39"/>
      <c r="AU3" s="40"/>
      <c r="AV3" s="41"/>
      <c r="AW3" s="40"/>
      <c r="AX3" s="41"/>
      <c r="AY3" s="38"/>
      <c r="AZ3" s="39"/>
      <c r="BA3" s="40"/>
      <c r="BB3" s="41"/>
      <c r="BC3" s="41"/>
      <c r="BD3" s="40"/>
      <c r="BE3" s="41"/>
      <c r="BF3" s="42"/>
      <c r="BG3" s="32"/>
      <c r="BH3" s="28"/>
      <c r="BI3" s="64"/>
      <c r="BJ3" s="168"/>
      <c r="BK3" s="168"/>
      <c r="BL3" s="168"/>
      <c r="BM3" s="169"/>
      <c r="BN3" s="169"/>
      <c r="BO3" s="169"/>
      <c r="BP3" s="168"/>
      <c r="BQ3" s="168"/>
      <c r="BR3" s="168"/>
      <c r="BS3" s="168"/>
      <c r="BT3" s="168"/>
      <c r="BU3" s="168"/>
      <c r="BV3" s="168"/>
      <c r="BW3" s="168"/>
      <c r="BX3" s="168"/>
      <c r="BY3" s="168"/>
      <c r="BZ3" s="168"/>
      <c r="CA3" s="168"/>
      <c r="CB3" s="170"/>
      <c r="CC3" s="168"/>
      <c r="CD3" s="168"/>
      <c r="CE3" s="170"/>
      <c r="CF3" s="170"/>
      <c r="CG3" s="170"/>
      <c r="CH3" s="170"/>
      <c r="CI3" s="168"/>
      <c r="CJ3" s="168"/>
      <c r="CK3" s="170"/>
      <c r="CL3" s="170"/>
      <c r="CM3" s="170"/>
      <c r="CN3" s="113"/>
      <c r="CO3" s="36"/>
      <c r="CP3" s="36"/>
      <c r="CQ3" s="36"/>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6"/>
      <c r="EA3" s="36"/>
      <c r="EB3" s="36"/>
      <c r="EC3" s="36"/>
      <c r="ED3" s="36"/>
      <c r="EE3" s="36"/>
      <c r="EF3" s="36"/>
      <c r="EG3" s="36"/>
    </row>
    <row r="4" spans="1:137" s="26" customFormat="1" ht="18.75" customHeight="1" x14ac:dyDescent="0.25">
      <c r="A4" s="43"/>
      <c r="B4" s="31"/>
      <c r="C4" s="267"/>
      <c r="D4" s="43"/>
      <c r="E4" s="44"/>
      <c r="F4" s="44"/>
      <c r="G4" s="44"/>
      <c r="H4" s="44"/>
      <c r="I4" s="44"/>
      <c r="J4" s="44"/>
      <c r="K4" s="44"/>
      <c r="L4" s="44"/>
      <c r="M4" s="44"/>
      <c r="N4" s="44"/>
      <c r="O4" s="44"/>
      <c r="P4" s="44"/>
      <c r="Q4" s="44"/>
      <c r="R4" s="45"/>
      <c r="S4" s="44"/>
      <c r="T4" s="44"/>
      <c r="U4" s="44"/>
      <c r="V4" s="46"/>
      <c r="W4" s="46"/>
      <c r="X4" s="43"/>
      <c r="Y4" s="43"/>
      <c r="Z4" s="46"/>
      <c r="AA4" s="47"/>
      <c r="AB4" s="47"/>
      <c r="AC4" s="46"/>
      <c r="AD4" s="47"/>
      <c r="AE4" s="48"/>
      <c r="AF4" s="43"/>
      <c r="AG4" s="46"/>
      <c r="AH4" s="49"/>
      <c r="AI4" s="49"/>
      <c r="AJ4" s="46"/>
      <c r="AK4" s="47"/>
      <c r="AL4" s="43"/>
      <c r="AM4" s="43"/>
      <c r="AN4" s="46"/>
      <c r="AO4" s="46"/>
      <c r="AP4" s="46"/>
      <c r="AQ4" s="46"/>
      <c r="AR4" s="47"/>
      <c r="AS4" s="43"/>
      <c r="AT4" s="43"/>
      <c r="AU4" s="46"/>
      <c r="AV4" s="47"/>
      <c r="AW4" s="46"/>
      <c r="AX4" s="47"/>
      <c r="AY4" s="43"/>
      <c r="AZ4" s="43"/>
      <c r="BA4" s="46"/>
      <c r="BB4" s="47"/>
      <c r="BC4" s="47"/>
      <c r="BD4" s="46"/>
      <c r="BE4" s="47"/>
      <c r="BF4" s="50"/>
      <c r="BG4" s="51"/>
      <c r="BH4" s="28"/>
      <c r="BI4" s="164"/>
      <c r="BJ4" s="165"/>
      <c r="BK4" s="165"/>
      <c r="BL4" s="165"/>
      <c r="BM4" s="166"/>
      <c r="BN4" s="166"/>
      <c r="BO4" s="166"/>
      <c r="BP4" s="165"/>
      <c r="BQ4" s="165"/>
      <c r="BR4" s="165"/>
      <c r="BS4" s="165"/>
      <c r="BT4" s="165"/>
      <c r="BU4" s="165"/>
      <c r="BV4" s="165"/>
      <c r="BW4" s="165"/>
      <c r="BX4" s="165"/>
      <c r="BY4" s="165"/>
      <c r="BZ4" s="165"/>
      <c r="CA4" s="165"/>
      <c r="CB4" s="167"/>
      <c r="CC4" s="165"/>
      <c r="CD4" s="165"/>
      <c r="CE4" s="167"/>
      <c r="CF4" s="167"/>
      <c r="CG4" s="167"/>
      <c r="CH4" s="167"/>
      <c r="CI4" s="165"/>
      <c r="CJ4" s="165"/>
      <c r="CK4" s="167"/>
      <c r="CL4" s="167"/>
      <c r="CM4" s="167"/>
      <c r="CN4" s="112"/>
      <c r="CO4" s="29"/>
      <c r="CP4" s="29"/>
      <c r="CQ4" s="29"/>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9"/>
      <c r="EA4" s="29"/>
      <c r="EB4" s="29"/>
      <c r="EC4" s="29"/>
      <c r="ED4" s="29"/>
      <c r="EE4" s="29"/>
      <c r="EF4" s="29"/>
      <c r="EG4" s="29"/>
    </row>
    <row r="5" spans="1:137" s="27" customFormat="1" ht="18.75" customHeight="1" x14ac:dyDescent="0.25">
      <c r="A5" s="26"/>
      <c r="B5" s="1784" t="s">
        <v>647</v>
      </c>
      <c r="C5" s="1784"/>
      <c r="D5" s="1784"/>
      <c r="E5" s="1784"/>
      <c r="F5" s="1784"/>
      <c r="G5" s="1784"/>
      <c r="H5" s="1784"/>
      <c r="I5" s="1784"/>
      <c r="J5" s="1784"/>
      <c r="K5" s="1784"/>
      <c r="L5" s="1784"/>
      <c r="M5" s="1784"/>
      <c r="N5" s="1784"/>
      <c r="O5" s="1784"/>
      <c r="P5" s="1784"/>
      <c r="Q5" s="1784"/>
      <c r="R5" s="1784"/>
      <c r="S5" s="1784"/>
      <c r="T5" s="1784"/>
      <c r="U5" s="1784"/>
      <c r="V5" s="1784"/>
      <c r="W5" s="1784"/>
      <c r="X5" s="1784"/>
      <c r="Y5" s="1784"/>
      <c r="Z5" s="1784"/>
      <c r="AA5" s="1784"/>
      <c r="AB5" s="1784"/>
      <c r="AC5" s="1784"/>
      <c r="AD5" s="1784"/>
      <c r="AE5" s="1784"/>
      <c r="AF5" s="1784"/>
      <c r="AG5" s="1784"/>
      <c r="AH5" s="1784"/>
      <c r="AI5" s="1784"/>
      <c r="AJ5" s="1784"/>
      <c r="AK5" s="1784"/>
      <c r="AL5" s="1784"/>
      <c r="BH5" s="28"/>
      <c r="BI5" s="64"/>
      <c r="BJ5" s="168"/>
      <c r="BK5" s="168"/>
      <c r="BL5" s="168"/>
      <c r="BM5" s="169"/>
      <c r="BN5" s="169"/>
      <c r="BO5" s="169"/>
      <c r="BP5" s="168"/>
      <c r="BQ5" s="168"/>
      <c r="BR5" s="168"/>
      <c r="BS5" s="168"/>
      <c r="BT5" s="168"/>
      <c r="BU5" s="168"/>
      <c r="BV5" s="168"/>
      <c r="BW5" s="168"/>
      <c r="BX5" s="168"/>
      <c r="BY5" s="168"/>
      <c r="BZ5" s="168"/>
      <c r="CA5" s="168"/>
      <c r="CB5" s="170"/>
      <c r="CC5" s="168"/>
      <c r="CD5" s="168"/>
      <c r="CE5" s="170"/>
      <c r="CF5" s="170"/>
      <c r="CG5" s="170"/>
      <c r="CH5" s="170"/>
      <c r="CI5" s="168"/>
      <c r="CJ5" s="168"/>
      <c r="CK5" s="170"/>
      <c r="CL5" s="170"/>
      <c r="CM5" s="170"/>
      <c r="CN5" s="113"/>
      <c r="CO5" s="36"/>
      <c r="CP5" s="36"/>
      <c r="CQ5" s="36"/>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6"/>
      <c r="EA5" s="36"/>
      <c r="EB5" s="36"/>
      <c r="EC5" s="36"/>
      <c r="ED5" s="36"/>
      <c r="EE5" s="36"/>
      <c r="EF5" s="36"/>
      <c r="EG5" s="36"/>
    </row>
    <row r="6" spans="1:137" s="27" customFormat="1" x14ac:dyDescent="0.25">
      <c r="A6" s="26"/>
      <c r="B6" s="999" t="s">
        <v>17</v>
      </c>
      <c r="C6" s="1677" t="str">
        <f>AGROPECUARIO!C6</f>
        <v>Chía</v>
      </c>
      <c r="D6" s="1677"/>
      <c r="E6" s="1677"/>
      <c r="F6" s="1677"/>
      <c r="G6" s="1677"/>
      <c r="H6" s="1677"/>
      <c r="I6" s="1677"/>
      <c r="J6" s="1677"/>
      <c r="K6" s="1677"/>
      <c r="L6" s="264" t="s">
        <v>16</v>
      </c>
      <c r="M6" s="265"/>
      <c r="N6" s="265"/>
      <c r="O6" s="265"/>
      <c r="P6" s="265"/>
      <c r="Q6" s="265"/>
      <c r="R6" s="265"/>
      <c r="S6" s="265"/>
      <c r="T6" s="265"/>
      <c r="U6" s="265"/>
      <c r="V6" s="265"/>
      <c r="W6" s="265"/>
      <c r="X6" s="999" t="s">
        <v>649</v>
      </c>
      <c r="Y6" s="1653" t="str">
        <f>AGROPECUARIO!Y6</f>
        <v>Cra 11 # 17 - 50</v>
      </c>
      <c r="Z6" s="1653"/>
      <c r="AA6" s="1653"/>
      <c r="AB6" s="1653"/>
      <c r="AC6" s="1653"/>
      <c r="AD6" s="1653"/>
      <c r="AE6" s="1653"/>
      <c r="AF6" s="1653"/>
      <c r="AG6" s="1653"/>
      <c r="AH6" s="1653"/>
      <c r="AI6" s="1653"/>
      <c r="AJ6" s="1653"/>
      <c r="AK6" s="1653"/>
      <c r="AL6" s="1653"/>
      <c r="BH6" s="28"/>
      <c r="BI6" s="64"/>
      <c r="BJ6" s="168"/>
      <c r="BK6" s="168"/>
      <c r="BL6" s="168"/>
      <c r="BM6" s="169"/>
      <c r="BN6" s="169"/>
      <c r="BO6" s="169"/>
      <c r="BP6" s="168"/>
      <c r="BQ6" s="168"/>
      <c r="BR6" s="168"/>
      <c r="BS6" s="168"/>
      <c r="BT6" s="168"/>
      <c r="BU6" s="168"/>
      <c r="BV6" s="168"/>
      <c r="BW6" s="168"/>
      <c r="BX6" s="168"/>
      <c r="BY6" s="168"/>
      <c r="BZ6" s="168"/>
      <c r="CA6" s="168"/>
      <c r="CB6" s="170"/>
      <c r="CC6" s="168"/>
      <c r="CD6" s="168"/>
      <c r="CE6" s="170"/>
      <c r="CF6" s="170"/>
      <c r="CG6" s="170"/>
      <c r="CH6" s="170"/>
      <c r="CI6" s="168"/>
      <c r="CJ6" s="168"/>
      <c r="CK6" s="170"/>
      <c r="CL6" s="170"/>
      <c r="CM6" s="170"/>
      <c r="CN6" s="113"/>
      <c r="CO6" s="36"/>
      <c r="CP6" s="36"/>
      <c r="CQ6" s="36"/>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6"/>
      <c r="EA6" s="36"/>
      <c r="EB6" s="36"/>
      <c r="EC6" s="36"/>
      <c r="ED6" s="36"/>
      <c r="EE6" s="36"/>
      <c r="EF6" s="36"/>
      <c r="EG6" s="36"/>
    </row>
    <row r="7" spans="1:137" s="27" customFormat="1" x14ac:dyDescent="0.25">
      <c r="A7" s="26"/>
      <c r="B7" s="999" t="s">
        <v>648</v>
      </c>
      <c r="C7" s="1677" t="str">
        <f>AGROPECUARIO!C7</f>
        <v>Secretaría de Medio Ambiente</v>
      </c>
      <c r="D7" s="1677"/>
      <c r="E7" s="1677"/>
      <c r="F7" s="1677"/>
      <c r="G7" s="1677"/>
      <c r="H7" s="1677"/>
      <c r="I7" s="1677"/>
      <c r="J7" s="1677"/>
      <c r="K7" s="1677"/>
      <c r="L7" s="264" t="s">
        <v>17</v>
      </c>
      <c r="M7" s="265"/>
      <c r="N7" s="265"/>
      <c r="O7" s="265"/>
      <c r="P7" s="265"/>
      <c r="Q7" s="265"/>
      <c r="R7" s="265"/>
      <c r="S7" s="265"/>
      <c r="T7" s="265"/>
      <c r="U7" s="265"/>
      <c r="V7" s="265"/>
      <c r="W7" s="265"/>
      <c r="X7" s="999" t="s">
        <v>16</v>
      </c>
      <c r="Y7" s="1653" t="str">
        <f>AGROPECUARIO!Y7</f>
        <v>8844444 - 3200</v>
      </c>
      <c r="Z7" s="1653"/>
      <c r="AA7" s="1653"/>
      <c r="AB7" s="1653"/>
      <c r="AC7" s="1653"/>
      <c r="AD7" s="1653"/>
      <c r="AE7" s="1653"/>
      <c r="AF7" s="1653"/>
      <c r="AG7" s="1653"/>
      <c r="AH7" s="1653"/>
      <c r="AI7" s="1653"/>
      <c r="AJ7" s="1653"/>
      <c r="AK7" s="1653"/>
      <c r="AL7" s="1653"/>
      <c r="BH7" s="28"/>
      <c r="BI7" s="64"/>
      <c r="BJ7" s="168"/>
      <c r="BK7" s="168"/>
      <c r="BL7" s="168"/>
      <c r="BM7" s="169"/>
      <c r="BN7" s="169"/>
      <c r="BO7" s="169"/>
      <c r="BP7" s="168"/>
      <c r="BQ7" s="168"/>
      <c r="BR7" s="168"/>
      <c r="BS7" s="168"/>
      <c r="BT7" s="168"/>
      <c r="BU7" s="168"/>
      <c r="BV7" s="168"/>
      <c r="BW7" s="168"/>
      <c r="BX7" s="168"/>
      <c r="BY7" s="168"/>
      <c r="BZ7" s="168"/>
      <c r="CA7" s="168"/>
      <c r="CB7" s="170"/>
      <c r="CC7" s="168"/>
      <c r="CD7" s="168"/>
      <c r="CE7" s="170"/>
      <c r="CF7" s="170"/>
      <c r="CG7" s="170"/>
      <c r="CH7" s="170"/>
      <c r="CI7" s="168"/>
      <c r="CJ7" s="168"/>
      <c r="CK7" s="170"/>
      <c r="CL7" s="170"/>
      <c r="CM7" s="170"/>
      <c r="CN7" s="113"/>
      <c r="CO7" s="36"/>
      <c r="CP7" s="36"/>
      <c r="CQ7" s="36"/>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6"/>
      <c r="EA7" s="36"/>
      <c r="EB7" s="36"/>
      <c r="EC7" s="36"/>
      <c r="ED7" s="36"/>
      <c r="EE7" s="36"/>
      <c r="EF7" s="36"/>
      <c r="EG7" s="36"/>
    </row>
    <row r="8" spans="1:137" s="27" customFormat="1" x14ac:dyDescent="0.25">
      <c r="A8" s="26"/>
      <c r="B8" s="999" t="s">
        <v>18</v>
      </c>
      <c r="C8" s="1677" t="str">
        <f>AGROPECUARIO!C8</f>
        <v>David Ricardo Murcia Cortés - Viviana Elisa Garzón</v>
      </c>
      <c r="D8" s="1677"/>
      <c r="E8" s="1677"/>
      <c r="F8" s="1677"/>
      <c r="G8" s="1677"/>
      <c r="H8" s="1677"/>
      <c r="I8" s="1677"/>
      <c r="J8" s="1677"/>
      <c r="K8" s="1677"/>
      <c r="L8" s="264" t="s">
        <v>19</v>
      </c>
      <c r="M8" s="265"/>
      <c r="N8" s="265"/>
      <c r="O8" s="265"/>
      <c r="P8" s="265"/>
      <c r="Q8" s="265"/>
      <c r="R8" s="265"/>
      <c r="S8" s="265"/>
      <c r="T8" s="265"/>
      <c r="U8" s="265"/>
      <c r="V8" s="265"/>
      <c r="W8" s="265"/>
      <c r="X8" s="999" t="s">
        <v>19</v>
      </c>
      <c r="Y8" s="1653">
        <f>AGROPECUARIO!Y8</f>
        <v>3174291112</v>
      </c>
      <c r="Z8" s="1653"/>
      <c r="AA8" s="1653"/>
      <c r="AB8" s="1653"/>
      <c r="AC8" s="1653"/>
      <c r="AD8" s="1653"/>
      <c r="AE8" s="1653"/>
      <c r="AF8" s="1653"/>
      <c r="AG8" s="1653"/>
      <c r="AH8" s="1653"/>
      <c r="AI8" s="1653"/>
      <c r="AJ8" s="1653"/>
      <c r="AK8" s="1653"/>
      <c r="AL8" s="1653"/>
      <c r="BH8" s="28"/>
      <c r="BI8" s="64"/>
      <c r="BJ8" s="168"/>
      <c r="BK8" s="168"/>
      <c r="BL8" s="168"/>
      <c r="BM8" s="169"/>
      <c r="BN8" s="169"/>
      <c r="BO8" s="169"/>
      <c r="BP8" s="168"/>
      <c r="BQ8" s="168"/>
      <c r="BR8" s="168"/>
      <c r="BS8" s="168"/>
      <c r="BT8" s="168"/>
      <c r="BU8" s="168"/>
      <c r="BV8" s="168"/>
      <c r="BW8" s="168"/>
      <c r="BX8" s="168"/>
      <c r="BY8" s="168"/>
      <c r="BZ8" s="168"/>
      <c r="CA8" s="168"/>
      <c r="CB8" s="170"/>
      <c r="CC8" s="168"/>
      <c r="CD8" s="168"/>
      <c r="CE8" s="170"/>
      <c r="CF8" s="170"/>
      <c r="CG8" s="170"/>
      <c r="CH8" s="170"/>
      <c r="CI8" s="168"/>
      <c r="CJ8" s="168"/>
      <c r="CK8" s="170"/>
      <c r="CL8" s="170"/>
      <c r="CM8" s="170"/>
      <c r="CN8" s="113"/>
      <c r="CO8" s="36"/>
      <c r="CP8" s="36"/>
      <c r="CQ8" s="36"/>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6"/>
      <c r="EA8" s="36"/>
      <c r="EB8" s="36"/>
      <c r="EC8" s="36"/>
      <c r="ED8" s="36"/>
      <c r="EE8" s="36"/>
      <c r="EF8" s="36"/>
      <c r="EG8" s="36"/>
    </row>
    <row r="9" spans="1:137" s="27" customFormat="1" x14ac:dyDescent="0.25">
      <c r="A9" s="26"/>
      <c r="B9" s="999" t="s">
        <v>20</v>
      </c>
      <c r="C9" s="1677" t="str">
        <f>AGROPECUARIO!C9</f>
        <v>Profesional Universitario - Profesional Universitario</v>
      </c>
      <c r="D9" s="1677"/>
      <c r="E9" s="1677"/>
      <c r="F9" s="1677"/>
      <c r="G9" s="1677"/>
      <c r="H9" s="1677"/>
      <c r="I9" s="1677"/>
      <c r="J9" s="1677"/>
      <c r="K9" s="1677"/>
      <c r="L9" s="264" t="s">
        <v>21</v>
      </c>
      <c r="M9" s="265"/>
      <c r="N9" s="265"/>
      <c r="O9" s="265"/>
      <c r="P9" s="265"/>
      <c r="Q9" s="265"/>
      <c r="R9" s="265"/>
      <c r="S9" s="265"/>
      <c r="T9" s="265"/>
      <c r="U9" s="265"/>
      <c r="V9" s="265"/>
      <c r="W9" s="265"/>
      <c r="X9" s="999" t="s">
        <v>21</v>
      </c>
      <c r="Y9" s="1653">
        <f>AGROPECUARIO!Y9</f>
        <v>2019</v>
      </c>
      <c r="Z9" s="1653"/>
      <c r="AA9" s="1653"/>
      <c r="AB9" s="1653"/>
      <c r="AC9" s="1653"/>
      <c r="AD9" s="1653"/>
      <c r="AE9" s="1653"/>
      <c r="AF9" s="1653"/>
      <c r="AG9" s="1653"/>
      <c r="AH9" s="1653"/>
      <c r="AI9" s="1653"/>
      <c r="AJ9" s="1653"/>
      <c r="AK9" s="1653"/>
      <c r="AL9" s="1653"/>
      <c r="BH9" s="28"/>
      <c r="BI9" s="64"/>
      <c r="BJ9" s="168"/>
      <c r="BK9" s="168"/>
      <c r="BL9" s="168"/>
      <c r="BM9" s="169"/>
      <c r="BN9" s="169"/>
      <c r="BO9" s="169"/>
      <c r="BP9" s="168"/>
      <c r="BQ9" s="168"/>
      <c r="BR9" s="168"/>
      <c r="BS9" s="168"/>
      <c r="BT9" s="168"/>
      <c r="BU9" s="168"/>
      <c r="BV9" s="168"/>
      <c r="BW9" s="168"/>
      <c r="BX9" s="168"/>
      <c r="BY9" s="168"/>
      <c r="BZ9" s="168"/>
      <c r="CA9" s="168"/>
      <c r="CB9" s="170"/>
      <c r="CC9" s="168"/>
      <c r="CD9" s="168"/>
      <c r="CE9" s="170"/>
      <c r="CF9" s="170"/>
      <c r="CG9" s="170"/>
      <c r="CH9" s="170"/>
      <c r="CI9" s="168"/>
      <c r="CJ9" s="168"/>
      <c r="CK9" s="170"/>
      <c r="CL9" s="170"/>
      <c r="CM9" s="170"/>
      <c r="CN9" s="113"/>
      <c r="CO9" s="36"/>
      <c r="CP9" s="36"/>
      <c r="CQ9" s="36"/>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6"/>
      <c r="EA9" s="36"/>
      <c r="EB9" s="36"/>
      <c r="EC9" s="36"/>
      <c r="ED9" s="36"/>
      <c r="EE9" s="36"/>
      <c r="EF9" s="36"/>
      <c r="EG9" s="36"/>
    </row>
    <row r="10" spans="1:137" s="27" customFormat="1" x14ac:dyDescent="0.25">
      <c r="A10" s="26"/>
      <c r="B10" s="999" t="s">
        <v>121</v>
      </c>
      <c r="C10" s="1677" t="str">
        <f>AGROPECUARIO!C10</f>
        <v>david.murcia@chia.gov.co, viviana.garzon@chia.gov.co</v>
      </c>
      <c r="D10" s="1677"/>
      <c r="E10" s="1677"/>
      <c r="F10" s="1677"/>
      <c r="G10" s="1677"/>
      <c r="H10" s="1677"/>
      <c r="I10" s="1677"/>
      <c r="J10" s="1677"/>
      <c r="K10" s="1677"/>
      <c r="L10" s="264" t="s">
        <v>22</v>
      </c>
      <c r="M10" s="266"/>
      <c r="N10" s="265"/>
      <c r="O10" s="265"/>
      <c r="P10" s="265"/>
      <c r="Q10" s="265"/>
      <c r="R10" s="265"/>
      <c r="S10" s="265"/>
      <c r="T10" s="265"/>
      <c r="U10" s="265"/>
      <c r="V10" s="265"/>
      <c r="W10" s="265"/>
      <c r="X10" s="999" t="s">
        <v>22</v>
      </c>
      <c r="Y10" s="1654">
        <f>AGROPECUARIO!Y10</f>
        <v>44386</v>
      </c>
      <c r="Z10" s="1654"/>
      <c r="AA10" s="1654"/>
      <c r="AB10" s="1654"/>
      <c r="AC10" s="1654"/>
      <c r="AD10" s="1654"/>
      <c r="AE10" s="1654"/>
      <c r="AF10" s="1654"/>
      <c r="AG10" s="1654"/>
      <c r="AH10" s="1654"/>
      <c r="AI10" s="1654"/>
      <c r="AJ10" s="1654"/>
      <c r="AK10" s="1654"/>
      <c r="AL10" s="1654"/>
      <c r="BH10" s="28"/>
      <c r="BI10" s="64"/>
      <c r="BJ10" s="168"/>
      <c r="BK10" s="168"/>
      <c r="BL10" s="168"/>
      <c r="BM10" s="169"/>
      <c r="BN10" s="169"/>
      <c r="BO10" s="169"/>
      <c r="BP10" s="171"/>
      <c r="BQ10" s="171"/>
      <c r="BR10" s="171"/>
      <c r="BS10" s="171"/>
      <c r="BT10" s="171"/>
      <c r="BU10" s="171"/>
      <c r="BV10" s="168"/>
      <c r="BW10" s="171"/>
      <c r="BX10" s="171"/>
      <c r="BY10" s="168"/>
      <c r="BZ10" s="168"/>
      <c r="CA10" s="168"/>
      <c r="CB10" s="170"/>
      <c r="CC10" s="171"/>
      <c r="CD10" s="171"/>
      <c r="CE10" s="170"/>
      <c r="CF10" s="170"/>
      <c r="CG10" s="170"/>
      <c r="CH10" s="170"/>
      <c r="CI10" s="171"/>
      <c r="CJ10" s="171"/>
      <c r="CK10" s="170"/>
      <c r="CL10" s="170"/>
      <c r="CM10" s="170"/>
      <c r="CN10" s="113"/>
      <c r="CO10" s="36"/>
      <c r="CP10" s="36"/>
      <c r="CQ10" s="36"/>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6"/>
      <c r="EA10" s="36"/>
      <c r="EB10" s="36"/>
      <c r="EC10" s="36"/>
      <c r="ED10" s="36"/>
      <c r="EE10" s="36"/>
      <c r="EF10" s="36"/>
      <c r="EG10" s="36"/>
    </row>
    <row r="11" spans="1:137" s="26" customFormat="1" ht="15.75" thickBot="1" x14ac:dyDescent="0.3">
      <c r="B11" s="52"/>
      <c r="C11" s="53"/>
      <c r="D11" s="53"/>
      <c r="E11" s="54"/>
      <c r="F11" s="54"/>
      <c r="G11" s="54"/>
      <c r="H11" s="54"/>
      <c r="I11" s="54"/>
      <c r="J11" s="54"/>
      <c r="K11" s="54"/>
      <c r="L11" s="54"/>
      <c r="M11" s="54"/>
      <c r="N11" s="54"/>
      <c r="O11" s="54"/>
      <c r="P11" s="54"/>
      <c r="Q11" s="54"/>
      <c r="R11" s="55"/>
      <c r="S11" s="54"/>
      <c r="T11" s="54"/>
      <c r="U11" s="54"/>
      <c r="V11" s="56"/>
      <c r="W11" s="56"/>
      <c r="X11" s="53"/>
      <c r="Y11" s="57"/>
      <c r="Z11" s="58"/>
      <c r="AA11" s="59"/>
      <c r="AB11" s="59"/>
      <c r="AC11" s="58"/>
      <c r="AD11" s="59"/>
      <c r="AE11" s="60"/>
      <c r="AF11" s="57"/>
      <c r="AG11" s="58"/>
      <c r="AH11" s="61"/>
      <c r="AI11" s="61"/>
      <c r="AJ11" s="58"/>
      <c r="AK11" s="59"/>
      <c r="AL11" s="53"/>
      <c r="AM11" s="57"/>
      <c r="AN11" s="58"/>
      <c r="AO11" s="58"/>
      <c r="AP11" s="58"/>
      <c r="AQ11" s="58"/>
      <c r="AR11" s="59"/>
      <c r="AS11" s="53"/>
      <c r="AT11" s="57"/>
      <c r="AU11" s="58"/>
      <c r="AV11" s="59"/>
      <c r="AW11" s="58"/>
      <c r="AX11" s="59"/>
      <c r="AY11" s="53"/>
      <c r="AZ11" s="57"/>
      <c r="BA11" s="58"/>
      <c r="BB11" s="59"/>
      <c r="BC11" s="59"/>
      <c r="BD11" s="58"/>
      <c r="BE11" s="59"/>
      <c r="BF11" s="62"/>
      <c r="BG11" s="63"/>
      <c r="BH11" s="28"/>
      <c r="BI11" s="164"/>
      <c r="BJ11" s="165"/>
      <c r="BK11" s="165"/>
      <c r="BL11" s="165"/>
      <c r="BM11" s="166"/>
      <c r="BN11" s="166"/>
      <c r="BO11" s="166"/>
      <c r="BP11" s="172"/>
      <c r="BQ11" s="172"/>
      <c r="BR11" s="172"/>
      <c r="BS11" s="172"/>
      <c r="BT11" s="172"/>
      <c r="BU11" s="172"/>
      <c r="BV11" s="165"/>
      <c r="BW11" s="172"/>
      <c r="BX11" s="172"/>
      <c r="BY11" s="165"/>
      <c r="BZ11" s="165"/>
      <c r="CA11" s="165"/>
      <c r="CB11" s="167"/>
      <c r="CC11" s="172"/>
      <c r="CD11" s="172"/>
      <c r="CE11" s="167"/>
      <c r="CF11" s="167"/>
      <c r="CG11" s="167"/>
      <c r="CH11" s="167"/>
      <c r="CI11" s="172"/>
      <c r="CJ11" s="172"/>
      <c r="CK11" s="167"/>
      <c r="CL11" s="167"/>
      <c r="CM11" s="167"/>
      <c r="CN11" s="112"/>
      <c r="CO11" s="29"/>
      <c r="CP11" s="29"/>
      <c r="CQ11" s="29"/>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9"/>
      <c r="EA11" s="29"/>
      <c r="EB11" s="29"/>
      <c r="EC11" s="29"/>
      <c r="ED11" s="29"/>
      <c r="EE11" s="29"/>
      <c r="EF11" s="29"/>
      <c r="EG11" s="29"/>
    </row>
    <row r="12" spans="1:137" s="64" customFormat="1" ht="30.75" customHeight="1" x14ac:dyDescent="0.25">
      <c r="A12" s="26"/>
      <c r="B12" s="1787" t="s">
        <v>23</v>
      </c>
      <c r="C12" s="1788"/>
      <c r="D12" s="1788"/>
      <c r="E12" s="1788"/>
      <c r="F12" s="1788"/>
      <c r="G12" s="1788"/>
      <c r="H12" s="1788"/>
      <c r="I12" s="1788"/>
      <c r="J12" s="1788"/>
      <c r="K12" s="1788"/>
      <c r="L12" s="1788"/>
      <c r="M12" s="1788"/>
      <c r="N12" s="1788"/>
      <c r="O12" s="1788"/>
      <c r="P12" s="1788"/>
      <c r="Q12" s="1788"/>
      <c r="R12" s="1788"/>
      <c r="S12" s="1788"/>
      <c r="T12" s="1788"/>
      <c r="U12" s="1788"/>
      <c r="V12" s="1788"/>
      <c r="W12" s="1788"/>
      <c r="X12" s="1788"/>
      <c r="Y12" s="1788"/>
      <c r="Z12" s="1788"/>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9"/>
      <c r="BH12" s="28"/>
      <c r="BJ12" s="168"/>
      <c r="BK12" s="168"/>
      <c r="BL12" s="168"/>
      <c r="BM12" s="169"/>
      <c r="BN12" s="169"/>
      <c r="BO12" s="169"/>
      <c r="BP12" s="168"/>
      <c r="BQ12" s="168"/>
      <c r="BR12" s="168"/>
      <c r="BS12" s="168"/>
      <c r="BT12" s="168"/>
      <c r="BU12" s="168"/>
      <c r="BV12" s="168"/>
      <c r="BW12" s="168"/>
      <c r="BX12" s="168"/>
      <c r="BY12" s="168"/>
      <c r="BZ12" s="168"/>
      <c r="CA12" s="168"/>
      <c r="CB12" s="170"/>
      <c r="CC12" s="168"/>
      <c r="CD12" s="168"/>
      <c r="CE12" s="170"/>
      <c r="CF12" s="170"/>
      <c r="CG12" s="170"/>
      <c r="CH12" s="170"/>
      <c r="CI12" s="168"/>
      <c r="CJ12" s="168"/>
      <c r="CK12" s="170"/>
      <c r="CL12" s="170"/>
      <c r="CM12" s="170"/>
      <c r="CN12" s="113"/>
      <c r="CO12" s="36"/>
      <c r="CP12" s="36"/>
      <c r="CQ12" s="36"/>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6"/>
      <c r="EA12" s="36"/>
      <c r="EB12" s="36"/>
      <c r="EC12" s="36"/>
      <c r="ED12" s="36"/>
      <c r="EE12" s="36"/>
      <c r="EF12" s="36"/>
      <c r="EG12" s="36"/>
    </row>
    <row r="13" spans="1:137" s="27" customFormat="1" ht="16.5" thickBot="1" x14ac:dyDescent="0.3">
      <c r="A13" s="26"/>
      <c r="B13" s="1035"/>
      <c r="C13" s="1036"/>
      <c r="D13" s="1036"/>
      <c r="E13" s="1036"/>
      <c r="F13" s="1036"/>
      <c r="G13" s="1036"/>
      <c r="H13" s="1036"/>
      <c r="I13" s="1036"/>
      <c r="J13" s="1036"/>
      <c r="K13" s="1036"/>
      <c r="L13" s="1036"/>
      <c r="M13" s="1036"/>
      <c r="N13" s="1036"/>
      <c r="O13" s="1036"/>
      <c r="P13" s="1036"/>
      <c r="Q13" s="1036"/>
      <c r="R13" s="1036"/>
      <c r="S13" s="1036"/>
      <c r="T13" s="1036"/>
      <c r="U13" s="1036"/>
      <c r="V13" s="1036"/>
      <c r="W13" s="1036"/>
      <c r="X13" s="1036"/>
      <c r="Y13" s="1036"/>
      <c r="Z13" s="1036"/>
      <c r="AA13" s="1037"/>
      <c r="AB13" s="1038"/>
      <c r="AC13" s="1039"/>
      <c r="AD13" s="1038"/>
      <c r="AE13" s="1040"/>
      <c r="AF13" s="1036"/>
      <c r="AG13" s="1036"/>
      <c r="AH13" s="1041"/>
      <c r="AI13" s="1038"/>
      <c r="AJ13" s="1039"/>
      <c r="AK13" s="1038"/>
      <c r="AL13" s="1036"/>
      <c r="AM13" s="1036"/>
      <c r="AN13" s="1036"/>
      <c r="AO13" s="1036"/>
      <c r="AP13" s="1038"/>
      <c r="AQ13" s="1039"/>
      <c r="AR13" s="1038"/>
      <c r="AS13" s="1036"/>
      <c r="AT13" s="1036"/>
      <c r="AU13" s="1036"/>
      <c r="AV13" s="1038"/>
      <c r="AW13" s="1039"/>
      <c r="AX13" s="1038"/>
      <c r="AY13" s="1036"/>
      <c r="AZ13" s="1036"/>
      <c r="BA13" s="1042"/>
      <c r="BB13" s="1043"/>
      <c r="BC13" s="1038"/>
      <c r="BD13" s="1039"/>
      <c r="BE13" s="1038"/>
      <c r="BF13" s="1038"/>
      <c r="BG13" s="1044"/>
      <c r="BH13" s="28"/>
      <c r="BI13" s="64"/>
      <c r="BJ13" s="168"/>
      <c r="BK13" s="168"/>
      <c r="BL13" s="168"/>
      <c r="BM13" s="169"/>
      <c r="BN13" s="169"/>
      <c r="BO13" s="169"/>
      <c r="BP13" s="168"/>
      <c r="BQ13" s="168"/>
      <c r="BR13" s="168"/>
      <c r="BS13" s="168"/>
      <c r="BT13" s="168"/>
      <c r="BU13" s="168"/>
      <c r="BV13" s="168"/>
      <c r="BW13" s="168"/>
      <c r="BX13" s="168"/>
      <c r="BY13" s="168"/>
      <c r="BZ13" s="168"/>
      <c r="CA13" s="168"/>
      <c r="CB13" s="170"/>
      <c r="CC13" s="168"/>
      <c r="CD13" s="168"/>
      <c r="CE13" s="170"/>
      <c r="CF13" s="170"/>
      <c r="CG13" s="170"/>
      <c r="CH13" s="170"/>
      <c r="CI13" s="168"/>
      <c r="CJ13" s="168"/>
      <c r="CK13" s="170"/>
      <c r="CL13" s="170"/>
      <c r="CM13" s="170"/>
      <c r="CN13" s="113"/>
      <c r="CO13" s="36"/>
      <c r="CP13" s="36"/>
      <c r="CQ13" s="36"/>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6"/>
      <c r="EA13" s="36"/>
      <c r="EB13" s="36"/>
      <c r="EC13" s="36"/>
      <c r="ED13" s="36"/>
      <c r="EE13" s="36"/>
      <c r="EF13" s="36"/>
      <c r="EG13" s="36"/>
    </row>
    <row r="14" spans="1:137" s="27" customFormat="1" ht="24.75" customHeight="1" x14ac:dyDescent="0.25">
      <c r="A14" s="26"/>
      <c r="B14" s="1790" t="s">
        <v>51</v>
      </c>
      <c r="C14" s="1791"/>
      <c r="D14" s="1791"/>
      <c r="E14" s="1791"/>
      <c r="F14" s="1791"/>
      <c r="G14" s="1791"/>
      <c r="H14" s="1791"/>
      <c r="I14" s="1791"/>
      <c r="J14" s="1791"/>
      <c r="K14" s="1791"/>
      <c r="L14" s="1791"/>
      <c r="M14" s="1791"/>
      <c r="N14" s="1791"/>
      <c r="O14" s="1791"/>
      <c r="P14" s="1791"/>
      <c r="Q14" s="1791"/>
      <c r="R14" s="1791"/>
      <c r="S14" s="1791"/>
      <c r="T14" s="1791"/>
      <c r="U14" s="1791"/>
      <c r="V14" s="1791"/>
      <c r="W14" s="1791"/>
      <c r="X14" s="1791"/>
      <c r="Y14" s="1791"/>
      <c r="Z14" s="1791"/>
      <c r="AA14" s="1791"/>
      <c r="AB14" s="1791"/>
      <c r="AC14" s="1791"/>
      <c r="AD14" s="1791"/>
      <c r="AE14" s="1791"/>
      <c r="AF14" s="1791"/>
      <c r="AG14" s="1791"/>
      <c r="AH14" s="1791"/>
      <c r="AI14" s="1791"/>
      <c r="AJ14" s="1791"/>
      <c r="AK14" s="1791"/>
      <c r="AL14" s="1791"/>
      <c r="AM14" s="1791"/>
      <c r="AN14" s="1791"/>
      <c r="AO14" s="1791"/>
      <c r="AP14" s="1791"/>
      <c r="AQ14" s="1791"/>
      <c r="AR14" s="1791"/>
      <c r="AS14" s="1791"/>
      <c r="AT14" s="1791"/>
      <c r="AU14" s="1791"/>
      <c r="AV14" s="1791"/>
      <c r="AW14" s="1791"/>
      <c r="AX14" s="1791"/>
      <c r="AY14" s="1791"/>
      <c r="AZ14" s="1791"/>
      <c r="BA14" s="1791"/>
      <c r="BB14" s="1791"/>
      <c r="BC14" s="1791"/>
      <c r="BD14" s="1791"/>
      <c r="BE14" s="1791"/>
      <c r="BF14" s="1791"/>
      <c r="BG14" s="1792"/>
      <c r="BH14" s="28"/>
      <c r="BI14" s="64"/>
      <c r="BJ14" s="168"/>
      <c r="BK14" s="168"/>
      <c r="BL14" s="168"/>
      <c r="BM14" s="169"/>
      <c r="BN14" s="169"/>
      <c r="BO14" s="169"/>
      <c r="BP14" s="168"/>
      <c r="BQ14" s="168"/>
      <c r="BR14" s="168"/>
      <c r="BS14" s="168"/>
      <c r="BT14" s="168"/>
      <c r="BU14" s="168"/>
      <c r="BV14" s="168"/>
      <c r="BW14" s="168"/>
      <c r="BX14" s="168"/>
      <c r="BY14" s="168"/>
      <c r="BZ14" s="168"/>
      <c r="CA14" s="168"/>
      <c r="CB14" s="170"/>
      <c r="CC14" s="168"/>
      <c r="CD14" s="168"/>
      <c r="CE14" s="170"/>
      <c r="CF14" s="170"/>
      <c r="CG14" s="170"/>
      <c r="CH14" s="170"/>
      <c r="CI14" s="168"/>
      <c r="CJ14" s="168"/>
      <c r="CK14" s="170"/>
      <c r="CL14" s="170"/>
      <c r="CM14" s="170"/>
      <c r="CN14" s="113"/>
      <c r="CO14" s="36"/>
      <c r="CP14" s="36"/>
      <c r="CQ14" s="36"/>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6"/>
      <c r="EA14" s="36"/>
      <c r="EB14" s="36"/>
      <c r="EC14" s="36"/>
      <c r="ED14" s="36"/>
      <c r="EE14" s="36"/>
      <c r="EF14" s="36"/>
      <c r="EG14" s="36"/>
    </row>
    <row r="15" spans="1:137" s="64" customFormat="1" ht="15" customHeight="1" x14ac:dyDescent="0.25">
      <c r="A15" s="26"/>
      <c r="B15" s="1793" t="s">
        <v>283</v>
      </c>
      <c r="C15" s="1795" t="s">
        <v>287</v>
      </c>
      <c r="D15" s="1795" t="s">
        <v>25</v>
      </c>
      <c r="E15" s="1795"/>
      <c r="F15" s="1795"/>
      <c r="G15" s="1795"/>
      <c r="H15" s="1795"/>
      <c r="I15" s="1795"/>
      <c r="J15" s="1795"/>
      <c r="K15" s="1795"/>
      <c r="L15" s="1795"/>
      <c r="M15" s="1795"/>
      <c r="N15" s="1795"/>
      <c r="O15" s="1795"/>
      <c r="P15" s="1795"/>
      <c r="Q15" s="1795"/>
      <c r="R15" s="1795"/>
      <c r="S15" s="1795" t="s">
        <v>193</v>
      </c>
      <c r="T15" s="1795"/>
      <c r="U15" s="1795"/>
      <c r="V15" s="1795"/>
      <c r="W15" s="1795"/>
      <c r="X15" s="1796" t="s">
        <v>201</v>
      </c>
      <c r="Y15" s="1796"/>
      <c r="Z15" s="1796"/>
      <c r="AA15" s="1796"/>
      <c r="AB15" s="1796"/>
      <c r="AC15" s="1796"/>
      <c r="AD15" s="1796"/>
      <c r="AE15" s="1796" t="s">
        <v>200</v>
      </c>
      <c r="AF15" s="1796"/>
      <c r="AG15" s="1796"/>
      <c r="AH15" s="1796"/>
      <c r="AI15" s="1796"/>
      <c r="AJ15" s="1796"/>
      <c r="AK15" s="1796"/>
      <c r="AL15" s="1796" t="s">
        <v>199</v>
      </c>
      <c r="AM15" s="1796"/>
      <c r="AN15" s="1796"/>
      <c r="AO15" s="1796"/>
      <c r="AP15" s="1796"/>
      <c r="AQ15" s="1796"/>
      <c r="AR15" s="1796"/>
      <c r="AS15" s="1796" t="s">
        <v>363</v>
      </c>
      <c r="AT15" s="1796"/>
      <c r="AU15" s="1796"/>
      <c r="AV15" s="1796"/>
      <c r="AW15" s="1796"/>
      <c r="AX15" s="1796"/>
      <c r="AY15" s="1796" t="s">
        <v>198</v>
      </c>
      <c r="AZ15" s="1796"/>
      <c r="BA15" s="1796"/>
      <c r="BB15" s="1796"/>
      <c r="BC15" s="1796"/>
      <c r="BD15" s="1796"/>
      <c r="BE15" s="1796"/>
      <c r="BF15" s="1774" t="s">
        <v>604</v>
      </c>
      <c r="BG15" s="1797" t="s">
        <v>26</v>
      </c>
      <c r="BH15" s="28"/>
      <c r="BJ15" s="168"/>
      <c r="BK15" s="168"/>
      <c r="BL15" s="168"/>
      <c r="BM15" s="169"/>
      <c r="BN15" s="169"/>
      <c r="BO15" s="169"/>
      <c r="BP15" s="168"/>
      <c r="BQ15" s="168"/>
      <c r="BR15" s="168"/>
      <c r="BS15" s="168"/>
      <c r="BT15" s="168"/>
      <c r="BU15" s="168"/>
      <c r="BV15" s="168"/>
      <c r="BW15" s="168"/>
      <c r="BX15" s="168"/>
      <c r="BY15" s="168"/>
      <c r="BZ15" s="168"/>
      <c r="CA15" s="168"/>
      <c r="CB15" s="170"/>
      <c r="CC15" s="168"/>
      <c r="CD15" s="168"/>
      <c r="CE15" s="170"/>
      <c r="CF15" s="170"/>
      <c r="CG15" s="170"/>
      <c r="CH15" s="170"/>
      <c r="CI15" s="168"/>
      <c r="CJ15" s="168"/>
      <c r="CK15" s="170"/>
      <c r="CL15" s="170"/>
      <c r="CM15" s="170"/>
      <c r="CN15" s="113"/>
      <c r="CO15" s="36"/>
      <c r="CP15" s="36"/>
      <c r="CQ15" s="36"/>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6"/>
      <c r="EA15" s="36"/>
      <c r="EB15" s="36"/>
      <c r="EC15" s="36"/>
      <c r="ED15" s="36"/>
      <c r="EE15" s="36"/>
      <c r="EF15" s="36"/>
      <c r="EG15" s="36"/>
    </row>
    <row r="16" spans="1:137" s="64" customFormat="1" ht="60" x14ac:dyDescent="0.25">
      <c r="A16" s="26"/>
      <c r="B16" s="1794"/>
      <c r="C16" s="1795"/>
      <c r="D16" s="1045" t="s">
        <v>27</v>
      </c>
      <c r="E16" s="1045" t="s">
        <v>28</v>
      </c>
      <c r="F16" s="1045" t="s">
        <v>29</v>
      </c>
      <c r="G16" s="1045" t="s">
        <v>30</v>
      </c>
      <c r="H16" s="1045" t="s">
        <v>31</v>
      </c>
      <c r="I16" s="1045" t="s">
        <v>32</v>
      </c>
      <c r="J16" s="1045" t="s">
        <v>33</v>
      </c>
      <c r="K16" s="1045" t="s">
        <v>34</v>
      </c>
      <c r="L16" s="1045" t="s">
        <v>35</v>
      </c>
      <c r="M16" s="1045" t="s">
        <v>36</v>
      </c>
      <c r="N16" s="1045" t="s">
        <v>37</v>
      </c>
      <c r="O16" s="1045" t="s">
        <v>38</v>
      </c>
      <c r="P16" s="1045" t="s">
        <v>39</v>
      </c>
      <c r="Q16" s="1045" t="s">
        <v>40</v>
      </c>
      <c r="R16" s="1045" t="s">
        <v>41</v>
      </c>
      <c r="S16" s="1045" t="s">
        <v>42</v>
      </c>
      <c r="T16" s="1045" t="s">
        <v>43</v>
      </c>
      <c r="U16" s="1045" t="s">
        <v>44</v>
      </c>
      <c r="V16" s="1046" t="s">
        <v>210</v>
      </c>
      <c r="W16" s="1047" t="s">
        <v>193</v>
      </c>
      <c r="X16" s="1774" t="s">
        <v>194</v>
      </c>
      <c r="Y16" s="1774"/>
      <c r="Z16" s="1045" t="s">
        <v>202</v>
      </c>
      <c r="AA16" s="1048" t="s">
        <v>605</v>
      </c>
      <c r="AB16" s="1048" t="s">
        <v>617</v>
      </c>
      <c r="AC16" s="1045" t="s">
        <v>203</v>
      </c>
      <c r="AD16" s="1048" t="s">
        <v>294</v>
      </c>
      <c r="AE16" s="1774" t="s">
        <v>195</v>
      </c>
      <c r="AF16" s="1774"/>
      <c r="AG16" s="1047" t="s">
        <v>204</v>
      </c>
      <c r="AH16" s="1049" t="s">
        <v>618</v>
      </c>
      <c r="AI16" s="1049" t="s">
        <v>619</v>
      </c>
      <c r="AJ16" s="1045" t="s">
        <v>205</v>
      </c>
      <c r="AK16" s="1048" t="s">
        <v>294</v>
      </c>
      <c r="AL16" s="1774" t="s">
        <v>196</v>
      </c>
      <c r="AM16" s="1774"/>
      <c r="AN16" s="1045" t="s">
        <v>206</v>
      </c>
      <c r="AO16" s="1045" t="s">
        <v>620</v>
      </c>
      <c r="AP16" s="1045" t="s">
        <v>621</v>
      </c>
      <c r="AQ16" s="1045" t="s">
        <v>207</v>
      </c>
      <c r="AR16" s="1048" t="s">
        <v>294</v>
      </c>
      <c r="AS16" s="1774" t="s">
        <v>622</v>
      </c>
      <c r="AT16" s="1774"/>
      <c r="AU16" s="1047" t="s">
        <v>365</v>
      </c>
      <c r="AV16" s="1048" t="s">
        <v>623</v>
      </c>
      <c r="AW16" s="1045" t="s">
        <v>364</v>
      </c>
      <c r="AX16" s="1048" t="s">
        <v>294</v>
      </c>
      <c r="AY16" s="1774" t="s">
        <v>197</v>
      </c>
      <c r="AZ16" s="1774"/>
      <c r="BA16" s="1045" t="s">
        <v>208</v>
      </c>
      <c r="BB16" s="1048" t="s">
        <v>624</v>
      </c>
      <c r="BC16" s="1048" t="s">
        <v>625</v>
      </c>
      <c r="BD16" s="1045" t="s">
        <v>209</v>
      </c>
      <c r="BE16" s="1048" t="s">
        <v>294</v>
      </c>
      <c r="BF16" s="1774"/>
      <c r="BG16" s="1797"/>
      <c r="BH16" s="28"/>
      <c r="BJ16" s="168"/>
      <c r="BK16" s="168"/>
      <c r="BL16" s="168"/>
      <c r="BM16" s="169"/>
      <c r="BN16" s="169"/>
      <c r="BO16" s="169"/>
      <c r="BP16" s="168"/>
      <c r="BQ16" s="168"/>
      <c r="BR16" s="168"/>
      <c r="BS16" s="168"/>
      <c r="BT16" s="168"/>
      <c r="BU16" s="168"/>
      <c r="BV16" s="168"/>
      <c r="BW16" s="168"/>
      <c r="BX16" s="168"/>
      <c r="BY16" s="168"/>
      <c r="BZ16" s="168"/>
      <c r="CA16" s="168"/>
      <c r="CB16" s="170"/>
      <c r="CC16" s="168"/>
      <c r="CD16" s="168"/>
      <c r="CE16" s="170"/>
      <c r="CF16" s="170"/>
      <c r="CG16" s="170"/>
      <c r="CH16" s="170"/>
      <c r="CI16" s="168"/>
      <c r="CJ16" s="168"/>
      <c r="CK16" s="170"/>
      <c r="CL16" s="170"/>
      <c r="CM16" s="170"/>
      <c r="CN16" s="113"/>
      <c r="CO16" s="127"/>
      <c r="CP16" s="127"/>
      <c r="CQ16" s="12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6"/>
      <c r="EA16" s="36"/>
      <c r="EB16" s="36"/>
      <c r="EC16" s="36"/>
      <c r="ED16" s="36"/>
      <c r="EE16" s="36"/>
      <c r="EF16" s="36"/>
      <c r="EG16" s="36"/>
    </row>
    <row r="17" spans="1:137" s="27" customFormat="1" ht="15" customHeight="1" x14ac:dyDescent="0.25">
      <c r="A17" s="26"/>
      <c r="B17" s="1775" t="s">
        <v>1341</v>
      </c>
      <c r="C17" s="553" t="s">
        <v>586</v>
      </c>
      <c r="D17" s="1050" t="str">
        <f t="shared" ref="D17:D23" si="0">VLOOKUP($C17,$BI$72:$CM$454,2,FALSE)</f>
        <v>kg DBO</v>
      </c>
      <c r="E17" s="421">
        <v>38.68</v>
      </c>
      <c r="F17" s="421"/>
      <c r="G17" s="421"/>
      <c r="H17" s="426"/>
      <c r="I17" s="426"/>
      <c r="J17" s="426"/>
      <c r="K17" s="426"/>
      <c r="L17" s="426"/>
      <c r="M17" s="426"/>
      <c r="N17" s="426"/>
      <c r="O17" s="426"/>
      <c r="P17" s="426"/>
      <c r="Q17" s="422">
        <f t="shared" ref="Q17:Q23" si="1">SUM(E17:P17)</f>
        <v>38.68</v>
      </c>
      <c r="R17" s="423">
        <f t="shared" ref="R17:R23" si="2">COUNT(E17:P17)</f>
        <v>1</v>
      </c>
      <c r="S17" s="422">
        <f t="shared" ref="S17:S23" si="3">IF(R17&gt;1,AVERAGE(E17:P17),0)</f>
        <v>0</v>
      </c>
      <c r="T17" s="422">
        <f t="shared" ref="T17:T23" si="4">IF(R17&gt;1,STDEV(E17:P17),0)</f>
        <v>0</v>
      </c>
      <c r="U17" s="422">
        <f t="shared" ref="U17:U23" si="5">IF(R17&gt;1,VLOOKUP($R17,$BI$406:$BJ$418,2,FALSE),0)</f>
        <v>0</v>
      </c>
      <c r="V17" s="424"/>
      <c r="W17" s="425">
        <f t="shared" ref="W17:W23" si="6">IF(R17&gt;1,1-((S17-((T17*U17)/(SQRT(R17))))/S17),VLOOKUP($C17,$BI$72:$CS$454,34,FALSE))</f>
        <v>0.95999999999999985</v>
      </c>
      <c r="X17" s="1030">
        <v>0</v>
      </c>
      <c r="Y17" s="1031">
        <v>0</v>
      </c>
      <c r="Z17" s="1032">
        <v>0</v>
      </c>
      <c r="AA17" s="1033">
        <f t="shared" ref="AA17:AA23" si="7">($Q17*X17)/1000</f>
        <v>0</v>
      </c>
      <c r="AB17" s="1033">
        <f t="shared" ref="AB17:AB23" si="8">AA17*$BJ$424</f>
        <v>0</v>
      </c>
      <c r="AC17" s="1032">
        <f t="shared" ref="AC17:AC23" si="9">IF(AA17&gt;0,SQRT(($W17*$W17)+(Z17*Z17)+($V17*$V17)),0)</f>
        <v>0</v>
      </c>
      <c r="AD17" s="1033">
        <f t="shared" ref="AD17:AD24" si="10">(AB17*AC17)^2</f>
        <v>0</v>
      </c>
      <c r="AE17" s="1051">
        <f t="shared" ref="AE17:AE23" si="11">VLOOKUP($C17,$BI$72:$CM$454,3,FALSE)</f>
        <v>0.48</v>
      </c>
      <c r="AF17" s="1031" t="str">
        <f t="shared" ref="AF17:AF23" si="12">VLOOKUP($C17,$BI$72:$CM$454,4,FALSE)</f>
        <v>kgCH4/kg DBO</v>
      </c>
      <c r="AG17" s="1032">
        <f t="shared" ref="AG17:AG23" si="13">IF($Q17&gt;0,VLOOKUP($C17,$BI$72:$CM$454,6,FALSE),0)</f>
        <v>1.4999999999999998</v>
      </c>
      <c r="AH17" s="1033">
        <f t="shared" ref="AH17:AH23" si="14">($Q17*AE17)/1000</f>
        <v>1.8566399999999997E-2</v>
      </c>
      <c r="AI17" s="1052">
        <f t="shared" ref="AI17:AI23" si="15">AH17*$BJ$425</f>
        <v>0.51985919999999997</v>
      </c>
      <c r="AJ17" s="1032">
        <f t="shared" ref="AJ17:AJ23" si="16">IF(AH17&gt;0,SQRT(($W17*$W17)+(AG17*AG17)+($V17*$V17)),0)</f>
        <v>1.7808986495586994</v>
      </c>
      <c r="AK17" s="1033">
        <f t="shared" ref="AK17:AK24" si="17">(AI17*AJ17)^2</f>
        <v>0.85713627914462787</v>
      </c>
      <c r="AL17" s="1053">
        <f t="shared" ref="AL17:AL23" si="18">VLOOKUP($C17,$BI$72:$CM$454,9,FALSE)</f>
        <v>0</v>
      </c>
      <c r="AM17" s="1031">
        <f t="shared" ref="AM17:AM23" si="19">VLOOKUP($C17,$BI$72:$CM$454,10,FALSE)</f>
        <v>0</v>
      </c>
      <c r="AN17" s="1032">
        <f t="shared" ref="AN17:AN23" si="20">IF($Q17&gt;0,VLOOKUP($C17,$BI$72:$CM$454,12,FALSE),0)</f>
        <v>0</v>
      </c>
      <c r="AO17" s="1052">
        <f t="shared" ref="AO17:AO23" si="21">(W17*AL17)/1000</f>
        <v>0</v>
      </c>
      <c r="AP17" s="1052">
        <f t="shared" ref="AP17:AP23" si="22">AO17*$BJ$426</f>
        <v>0</v>
      </c>
      <c r="AQ17" s="1032">
        <f t="shared" ref="AQ17:AQ23" si="23">IF(AO17&gt;0,SQRT(($W17*$W17)+(AN17*AN17)+($V17*$V17)),0)</f>
        <v>0</v>
      </c>
      <c r="AR17" s="1033">
        <f t="shared" ref="AR17:AR24" si="24">(AP17*AQ17)^2</f>
        <v>0</v>
      </c>
      <c r="AS17" s="1030">
        <v>0</v>
      </c>
      <c r="AT17" s="1031">
        <v>0</v>
      </c>
      <c r="AU17" s="1032">
        <v>0</v>
      </c>
      <c r="AV17" s="1052">
        <v>0</v>
      </c>
      <c r="AW17" s="1032">
        <v>0</v>
      </c>
      <c r="AX17" s="1033">
        <f t="shared" ref="AX17:AX24" si="25">(AV17*AW17)^2</f>
        <v>0</v>
      </c>
      <c r="AY17" s="1030">
        <v>0</v>
      </c>
      <c r="AZ17" s="1031">
        <v>0</v>
      </c>
      <c r="BA17" s="1032">
        <v>0</v>
      </c>
      <c r="BB17" s="1052">
        <f t="shared" ref="BB17:BB23" si="26">($Q17*AY17)/1000</f>
        <v>0</v>
      </c>
      <c r="BC17" s="1052">
        <f t="shared" ref="BC17:BC23" si="27">BB17*$BJ$427</f>
        <v>0</v>
      </c>
      <c r="BD17" s="1032">
        <v>0</v>
      </c>
      <c r="BE17" s="1033">
        <f t="shared" ref="BE17:BE24" si="28">(BC17*BD17)^2</f>
        <v>0</v>
      </c>
      <c r="BF17" s="1006">
        <f t="shared" ref="BF17:BF23" si="29">AB17+AI17+AP17+AV17+BC17</f>
        <v>0.51985919999999997</v>
      </c>
      <c r="BG17" s="1007">
        <f t="shared" ref="BG17:BG23" si="30">IF(BF17&gt;0,SQRT(AD17+AK17+AR17+AX17+BE17)/BF17,0)</f>
        <v>1.7808986495586994</v>
      </c>
      <c r="BH17" s="28">
        <f t="shared" ref="BH17:BH24" si="31">(BF17*BG17)^2</f>
        <v>0.85713627914462787</v>
      </c>
      <c r="BI17" s="64"/>
      <c r="BJ17" s="168"/>
      <c r="BK17" s="168"/>
      <c r="BL17" s="168"/>
      <c r="BM17" s="169"/>
      <c r="BN17" s="169"/>
      <c r="BO17" s="169"/>
      <c r="BP17" s="168"/>
      <c r="BQ17" s="168"/>
      <c r="BR17" s="168"/>
      <c r="BS17" s="168"/>
      <c r="BT17" s="168"/>
      <c r="BU17" s="168"/>
      <c r="BV17" s="168"/>
      <c r="BW17" s="168"/>
      <c r="BX17" s="168"/>
      <c r="BY17" s="168"/>
      <c r="BZ17" s="168"/>
      <c r="CA17" s="168"/>
      <c r="CB17" s="170"/>
      <c r="CC17" s="168"/>
      <c r="CD17" s="168"/>
      <c r="CE17" s="170"/>
      <c r="CF17" s="170"/>
      <c r="CG17" s="170"/>
      <c r="CH17" s="170"/>
      <c r="CI17" s="168"/>
      <c r="CJ17" s="168"/>
      <c r="CK17" s="170"/>
      <c r="CL17" s="170"/>
      <c r="CM17" s="170"/>
      <c r="CN17" s="113"/>
      <c r="CO17" s="127"/>
      <c r="CP17" s="127"/>
      <c r="CQ17" s="12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6"/>
      <c r="EA17" s="36"/>
      <c r="EB17" s="36"/>
      <c r="EC17" s="36"/>
      <c r="ED17" s="36"/>
      <c r="EE17" s="36"/>
      <c r="EF17" s="36"/>
      <c r="EG17" s="36"/>
    </row>
    <row r="18" spans="1:137" s="27" customFormat="1" x14ac:dyDescent="0.25">
      <c r="A18" s="26"/>
      <c r="B18" s="1776"/>
      <c r="C18" s="553" t="s">
        <v>519</v>
      </c>
      <c r="D18" s="1050" t="str">
        <f t="shared" si="0"/>
        <v>kg DQO</v>
      </c>
      <c r="E18" s="421"/>
      <c r="F18" s="421"/>
      <c r="G18" s="421"/>
      <c r="H18" s="426"/>
      <c r="I18" s="426"/>
      <c r="J18" s="426"/>
      <c r="K18" s="426"/>
      <c r="L18" s="426"/>
      <c r="M18" s="426"/>
      <c r="N18" s="426"/>
      <c r="O18" s="426"/>
      <c r="P18" s="426"/>
      <c r="Q18" s="422">
        <f>SUM(E18:P18)</f>
        <v>0</v>
      </c>
      <c r="R18" s="423">
        <f>COUNT(E18:P18)</f>
        <v>0</v>
      </c>
      <c r="S18" s="422">
        <f>IF(R18&gt;1,AVERAGE(E18:P18),0)</f>
        <v>0</v>
      </c>
      <c r="T18" s="422">
        <f>IF(R18&gt;1,STDEV(E18:P18),0)</f>
        <v>0</v>
      </c>
      <c r="U18" s="422">
        <f t="shared" si="5"/>
        <v>0</v>
      </c>
      <c r="V18" s="424"/>
      <c r="W18" s="425">
        <f t="shared" si="6"/>
        <v>1.125</v>
      </c>
      <c r="X18" s="1030">
        <v>0</v>
      </c>
      <c r="Y18" s="1031">
        <v>0</v>
      </c>
      <c r="Z18" s="1032">
        <v>0</v>
      </c>
      <c r="AA18" s="1033">
        <f>($Q18*X18)/1000</f>
        <v>0</v>
      </c>
      <c r="AB18" s="1033">
        <f t="shared" si="8"/>
        <v>0</v>
      </c>
      <c r="AC18" s="1032">
        <f>IF(AA18&gt;0,SQRT(($W18*$W18)+(Z18*Z18)+($V18*$V18)),0)</f>
        <v>0</v>
      </c>
      <c r="AD18" s="1033">
        <f>(AB18*AC18)^2</f>
        <v>0</v>
      </c>
      <c r="AE18" s="1051">
        <f t="shared" si="11"/>
        <v>0.2</v>
      </c>
      <c r="AF18" s="1031" t="str">
        <f t="shared" si="12"/>
        <v>kgCH4/kg DQO</v>
      </c>
      <c r="AG18" s="1032">
        <f t="shared" si="13"/>
        <v>0</v>
      </c>
      <c r="AH18" s="1033">
        <f>($Q18*AE18)/1000</f>
        <v>0</v>
      </c>
      <c r="AI18" s="1052">
        <f t="shared" si="15"/>
        <v>0</v>
      </c>
      <c r="AJ18" s="1032">
        <f>IF(AH18&gt;0,SQRT(($W18*$W18)+(AG18*AG18)+($V18*$V18)),0)</f>
        <v>0</v>
      </c>
      <c r="AK18" s="1033">
        <f>(AI18*AJ18)^2</f>
        <v>0</v>
      </c>
      <c r="AL18" s="1053">
        <f t="shared" si="18"/>
        <v>0</v>
      </c>
      <c r="AM18" s="1031">
        <f t="shared" si="19"/>
        <v>0</v>
      </c>
      <c r="AN18" s="1032">
        <f t="shared" si="20"/>
        <v>0</v>
      </c>
      <c r="AO18" s="1052">
        <f>(W18*AL18)/1000</f>
        <v>0</v>
      </c>
      <c r="AP18" s="1052">
        <f t="shared" si="22"/>
        <v>0</v>
      </c>
      <c r="AQ18" s="1032">
        <f>IF(AO18&gt;0,SQRT(($W18*$W18)+(AN18*AN18)+($V18*$V18)),0)</f>
        <v>0</v>
      </c>
      <c r="AR18" s="1033">
        <f>(AP18*AQ18)^2</f>
        <v>0</v>
      </c>
      <c r="AS18" s="1030">
        <v>0</v>
      </c>
      <c r="AT18" s="1031">
        <v>0</v>
      </c>
      <c r="AU18" s="1032">
        <v>0</v>
      </c>
      <c r="AV18" s="1052">
        <v>0</v>
      </c>
      <c r="AW18" s="1032">
        <v>0</v>
      </c>
      <c r="AX18" s="1033">
        <f>(AV18*AW18)^2</f>
        <v>0</v>
      </c>
      <c r="AY18" s="1030">
        <v>0</v>
      </c>
      <c r="AZ18" s="1031">
        <v>0</v>
      </c>
      <c r="BA18" s="1032">
        <v>0</v>
      </c>
      <c r="BB18" s="1052">
        <f>($Q18*AY18)/1000</f>
        <v>0</v>
      </c>
      <c r="BC18" s="1052">
        <f t="shared" si="27"/>
        <v>0</v>
      </c>
      <c r="BD18" s="1032">
        <v>0</v>
      </c>
      <c r="BE18" s="1033">
        <f>(BC18*BD18)^2</f>
        <v>0</v>
      </c>
      <c r="BF18" s="1006">
        <f>AB18+AI18+AP18+AV18+BC18</f>
        <v>0</v>
      </c>
      <c r="BG18" s="1007">
        <f>IF(BF18&gt;0,SQRT(AD18+AK18+AR18+AX18+BE18)/BF18,0)</f>
        <v>0</v>
      </c>
      <c r="BH18" s="28">
        <f>(BF18*BG18)^2</f>
        <v>0</v>
      </c>
      <c r="BI18" s="64"/>
      <c r="BJ18" s="168"/>
      <c r="BK18" s="168"/>
      <c r="BL18" s="168"/>
      <c r="BM18" s="169"/>
      <c r="BN18" s="169"/>
      <c r="BO18" s="169"/>
      <c r="BP18" s="168"/>
      <c r="BQ18" s="168"/>
      <c r="BR18" s="168"/>
      <c r="BS18" s="168"/>
      <c r="BT18" s="168"/>
      <c r="BU18" s="168"/>
      <c r="BV18" s="168"/>
      <c r="BW18" s="168"/>
      <c r="BX18" s="168"/>
      <c r="BY18" s="168"/>
      <c r="BZ18" s="168"/>
      <c r="CA18" s="168"/>
      <c r="CB18" s="170"/>
      <c r="CC18" s="168"/>
      <c r="CD18" s="168"/>
      <c r="CE18" s="170"/>
      <c r="CF18" s="170"/>
      <c r="CG18" s="170"/>
      <c r="CH18" s="170"/>
      <c r="CI18" s="168"/>
      <c r="CJ18" s="168"/>
      <c r="CK18" s="170"/>
      <c r="CL18" s="170"/>
      <c r="CM18" s="170"/>
      <c r="CN18" s="113"/>
      <c r="CO18" s="127"/>
      <c r="CP18" s="127"/>
      <c r="CQ18" s="12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6"/>
      <c r="EA18" s="36"/>
      <c r="EB18" s="36"/>
      <c r="EC18" s="36"/>
      <c r="ED18" s="36"/>
      <c r="EE18" s="36"/>
      <c r="EF18" s="36"/>
      <c r="EG18" s="36"/>
    </row>
    <row r="19" spans="1:137" s="27" customFormat="1" x14ac:dyDescent="0.25">
      <c r="A19" s="26"/>
      <c r="B19" s="1776"/>
      <c r="C19" s="553"/>
      <c r="D19" s="1050">
        <f t="shared" si="0"/>
        <v>0</v>
      </c>
      <c r="E19" s="421"/>
      <c r="F19" s="421"/>
      <c r="G19" s="421"/>
      <c r="H19" s="426"/>
      <c r="I19" s="426"/>
      <c r="J19" s="426"/>
      <c r="K19" s="426"/>
      <c r="L19" s="426"/>
      <c r="M19" s="426"/>
      <c r="N19" s="426"/>
      <c r="O19" s="426"/>
      <c r="P19" s="426"/>
      <c r="Q19" s="422">
        <f t="shared" si="1"/>
        <v>0</v>
      </c>
      <c r="R19" s="423">
        <f t="shared" si="2"/>
        <v>0</v>
      </c>
      <c r="S19" s="422">
        <f t="shared" si="3"/>
        <v>0</v>
      </c>
      <c r="T19" s="422">
        <f t="shared" si="4"/>
        <v>0</v>
      </c>
      <c r="U19" s="422">
        <f t="shared" si="5"/>
        <v>0</v>
      </c>
      <c r="V19" s="424"/>
      <c r="W19" s="425">
        <f t="shared" si="6"/>
        <v>0</v>
      </c>
      <c r="X19" s="1030">
        <v>0</v>
      </c>
      <c r="Y19" s="1031">
        <v>0</v>
      </c>
      <c r="Z19" s="1032">
        <v>0</v>
      </c>
      <c r="AA19" s="1033">
        <f t="shared" si="7"/>
        <v>0</v>
      </c>
      <c r="AB19" s="1033">
        <f t="shared" si="8"/>
        <v>0</v>
      </c>
      <c r="AC19" s="1032">
        <f t="shared" si="9"/>
        <v>0</v>
      </c>
      <c r="AD19" s="1033">
        <f t="shared" si="10"/>
        <v>0</v>
      </c>
      <c r="AE19" s="1051">
        <f t="shared" si="11"/>
        <v>0</v>
      </c>
      <c r="AF19" s="1031">
        <f t="shared" si="12"/>
        <v>0</v>
      </c>
      <c r="AG19" s="1032">
        <f t="shared" si="13"/>
        <v>0</v>
      </c>
      <c r="AH19" s="1033">
        <f t="shared" si="14"/>
        <v>0</v>
      </c>
      <c r="AI19" s="1052">
        <f t="shared" si="15"/>
        <v>0</v>
      </c>
      <c r="AJ19" s="1032">
        <f t="shared" si="16"/>
        <v>0</v>
      </c>
      <c r="AK19" s="1033">
        <f t="shared" si="17"/>
        <v>0</v>
      </c>
      <c r="AL19" s="1053">
        <f t="shared" si="18"/>
        <v>0</v>
      </c>
      <c r="AM19" s="1031">
        <f t="shared" si="19"/>
        <v>0</v>
      </c>
      <c r="AN19" s="1032">
        <f t="shared" si="20"/>
        <v>0</v>
      </c>
      <c r="AO19" s="1052">
        <f t="shared" si="21"/>
        <v>0</v>
      </c>
      <c r="AP19" s="1052">
        <f t="shared" si="22"/>
        <v>0</v>
      </c>
      <c r="AQ19" s="1032">
        <f t="shared" si="23"/>
        <v>0</v>
      </c>
      <c r="AR19" s="1033">
        <f t="shared" si="24"/>
        <v>0</v>
      </c>
      <c r="AS19" s="1030">
        <v>0</v>
      </c>
      <c r="AT19" s="1031">
        <v>0</v>
      </c>
      <c r="AU19" s="1032">
        <v>0</v>
      </c>
      <c r="AV19" s="1052">
        <v>0</v>
      </c>
      <c r="AW19" s="1032">
        <v>0</v>
      </c>
      <c r="AX19" s="1033">
        <f t="shared" si="25"/>
        <v>0</v>
      </c>
      <c r="AY19" s="1030">
        <v>0</v>
      </c>
      <c r="AZ19" s="1031">
        <v>0</v>
      </c>
      <c r="BA19" s="1032">
        <v>0</v>
      </c>
      <c r="BB19" s="1052">
        <f t="shared" si="26"/>
        <v>0</v>
      </c>
      <c r="BC19" s="1052">
        <f t="shared" si="27"/>
        <v>0</v>
      </c>
      <c r="BD19" s="1032">
        <v>0</v>
      </c>
      <c r="BE19" s="1033">
        <f t="shared" si="28"/>
        <v>0</v>
      </c>
      <c r="BF19" s="1006">
        <f t="shared" si="29"/>
        <v>0</v>
      </c>
      <c r="BG19" s="1007">
        <f t="shared" si="30"/>
        <v>0</v>
      </c>
      <c r="BH19" s="28">
        <f t="shared" si="31"/>
        <v>0</v>
      </c>
      <c r="BI19" s="64"/>
      <c r="BJ19" s="168"/>
      <c r="BK19" s="168"/>
      <c r="BL19" s="168"/>
      <c r="BM19" s="169"/>
      <c r="BN19" s="169"/>
      <c r="BO19" s="169"/>
      <c r="BP19" s="168"/>
      <c r="BQ19" s="168"/>
      <c r="BR19" s="168"/>
      <c r="BS19" s="168"/>
      <c r="BT19" s="168"/>
      <c r="BU19" s="168"/>
      <c r="BV19" s="168"/>
      <c r="BW19" s="168"/>
      <c r="BX19" s="168"/>
      <c r="BY19" s="168"/>
      <c r="BZ19" s="168"/>
      <c r="CA19" s="168"/>
      <c r="CB19" s="170"/>
      <c r="CC19" s="168"/>
      <c r="CD19" s="168"/>
      <c r="CE19" s="170"/>
      <c r="CF19" s="170"/>
      <c r="CG19" s="170"/>
      <c r="CH19" s="170"/>
      <c r="CI19" s="168"/>
      <c r="CJ19" s="168"/>
      <c r="CK19" s="170"/>
      <c r="CL19" s="170"/>
      <c r="CM19" s="170"/>
      <c r="CN19" s="113"/>
      <c r="CO19" s="127"/>
      <c r="CP19" s="127"/>
      <c r="CQ19" s="12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6"/>
      <c r="EA19" s="36"/>
      <c r="EB19" s="36"/>
      <c r="EC19" s="36"/>
      <c r="ED19" s="36"/>
      <c r="EE19" s="36"/>
      <c r="EF19" s="36"/>
      <c r="EG19" s="36"/>
    </row>
    <row r="20" spans="1:137" s="27" customFormat="1" ht="15" customHeight="1" x14ac:dyDescent="0.25">
      <c r="A20" s="26"/>
      <c r="B20" s="1776"/>
      <c r="C20" s="553"/>
      <c r="D20" s="1050">
        <f t="shared" si="0"/>
        <v>0</v>
      </c>
      <c r="E20" s="421"/>
      <c r="F20" s="421"/>
      <c r="G20" s="421"/>
      <c r="H20" s="426"/>
      <c r="I20" s="426"/>
      <c r="J20" s="426"/>
      <c r="K20" s="426"/>
      <c r="L20" s="426"/>
      <c r="M20" s="426"/>
      <c r="N20" s="426"/>
      <c r="O20" s="426"/>
      <c r="P20" s="426"/>
      <c r="Q20" s="422">
        <f t="shared" si="1"/>
        <v>0</v>
      </c>
      <c r="R20" s="423">
        <f t="shared" si="2"/>
        <v>0</v>
      </c>
      <c r="S20" s="422">
        <f t="shared" si="3"/>
        <v>0</v>
      </c>
      <c r="T20" s="422">
        <f t="shared" si="4"/>
        <v>0</v>
      </c>
      <c r="U20" s="422">
        <f t="shared" si="5"/>
        <v>0</v>
      </c>
      <c r="V20" s="424"/>
      <c r="W20" s="425">
        <f t="shared" si="6"/>
        <v>0</v>
      </c>
      <c r="X20" s="1030">
        <v>0</v>
      </c>
      <c r="Y20" s="1031">
        <v>0</v>
      </c>
      <c r="Z20" s="1032">
        <v>0</v>
      </c>
      <c r="AA20" s="1033">
        <f t="shared" si="7"/>
        <v>0</v>
      </c>
      <c r="AB20" s="1033">
        <f t="shared" si="8"/>
        <v>0</v>
      </c>
      <c r="AC20" s="1032">
        <f t="shared" si="9"/>
        <v>0</v>
      </c>
      <c r="AD20" s="1033">
        <f t="shared" si="10"/>
        <v>0</v>
      </c>
      <c r="AE20" s="1051">
        <f t="shared" si="11"/>
        <v>0</v>
      </c>
      <c r="AF20" s="1031">
        <f t="shared" si="12"/>
        <v>0</v>
      </c>
      <c r="AG20" s="1032">
        <f t="shared" si="13"/>
        <v>0</v>
      </c>
      <c r="AH20" s="1033">
        <f t="shared" si="14"/>
        <v>0</v>
      </c>
      <c r="AI20" s="1052">
        <f t="shared" si="15"/>
        <v>0</v>
      </c>
      <c r="AJ20" s="1032">
        <f t="shared" si="16"/>
        <v>0</v>
      </c>
      <c r="AK20" s="1033">
        <f t="shared" si="17"/>
        <v>0</v>
      </c>
      <c r="AL20" s="1053">
        <f t="shared" si="18"/>
        <v>0</v>
      </c>
      <c r="AM20" s="1031">
        <f t="shared" si="19"/>
        <v>0</v>
      </c>
      <c r="AN20" s="1032">
        <f t="shared" si="20"/>
        <v>0</v>
      </c>
      <c r="AO20" s="1052">
        <f t="shared" si="21"/>
        <v>0</v>
      </c>
      <c r="AP20" s="1052">
        <f t="shared" si="22"/>
        <v>0</v>
      </c>
      <c r="AQ20" s="1032">
        <f t="shared" si="23"/>
        <v>0</v>
      </c>
      <c r="AR20" s="1033">
        <f t="shared" si="24"/>
        <v>0</v>
      </c>
      <c r="AS20" s="1030">
        <v>0</v>
      </c>
      <c r="AT20" s="1031">
        <v>0</v>
      </c>
      <c r="AU20" s="1032">
        <v>0</v>
      </c>
      <c r="AV20" s="1052">
        <v>0</v>
      </c>
      <c r="AW20" s="1032">
        <v>0</v>
      </c>
      <c r="AX20" s="1033">
        <f t="shared" si="25"/>
        <v>0</v>
      </c>
      <c r="AY20" s="1030">
        <v>0</v>
      </c>
      <c r="AZ20" s="1031">
        <v>0</v>
      </c>
      <c r="BA20" s="1032">
        <v>0</v>
      </c>
      <c r="BB20" s="1052">
        <f t="shared" si="26"/>
        <v>0</v>
      </c>
      <c r="BC20" s="1052">
        <f t="shared" si="27"/>
        <v>0</v>
      </c>
      <c r="BD20" s="1032">
        <v>0</v>
      </c>
      <c r="BE20" s="1033">
        <f t="shared" si="28"/>
        <v>0</v>
      </c>
      <c r="BF20" s="1006">
        <f t="shared" si="29"/>
        <v>0</v>
      </c>
      <c r="BG20" s="1007">
        <f t="shared" si="30"/>
        <v>0</v>
      </c>
      <c r="BH20" s="28">
        <f t="shared" si="31"/>
        <v>0</v>
      </c>
      <c r="BI20" s="64"/>
      <c r="BJ20" s="168"/>
      <c r="BK20" s="168"/>
      <c r="BL20" s="168"/>
      <c r="BM20" s="169"/>
      <c r="BN20" s="169"/>
      <c r="BO20" s="169"/>
      <c r="BP20" s="168"/>
      <c r="BQ20" s="168"/>
      <c r="BR20" s="168"/>
      <c r="BS20" s="168"/>
      <c r="BT20" s="168"/>
      <c r="BU20" s="168"/>
      <c r="BV20" s="168"/>
      <c r="BW20" s="168"/>
      <c r="BX20" s="168"/>
      <c r="BY20" s="168"/>
      <c r="BZ20" s="168"/>
      <c r="CA20" s="168"/>
      <c r="CB20" s="170"/>
      <c r="CC20" s="168"/>
      <c r="CD20" s="168"/>
      <c r="CE20" s="170"/>
      <c r="CF20" s="170"/>
      <c r="CG20" s="170"/>
      <c r="CH20" s="170"/>
      <c r="CI20" s="168"/>
      <c r="CJ20" s="168"/>
      <c r="CK20" s="170"/>
      <c r="CL20" s="170"/>
      <c r="CM20" s="170"/>
      <c r="CN20" s="113"/>
      <c r="CO20" s="127"/>
      <c r="CP20" s="127"/>
      <c r="CQ20" s="12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6"/>
      <c r="EA20" s="36"/>
      <c r="EB20" s="36"/>
      <c r="EC20" s="36"/>
      <c r="ED20" s="36"/>
      <c r="EE20" s="36"/>
      <c r="EF20" s="36"/>
      <c r="EG20" s="36"/>
    </row>
    <row r="21" spans="1:137" s="27" customFormat="1" x14ac:dyDescent="0.25">
      <c r="A21" s="26"/>
      <c r="B21" s="1776"/>
      <c r="C21" s="553"/>
      <c r="D21" s="1050">
        <f t="shared" si="0"/>
        <v>0</v>
      </c>
      <c r="E21" s="421"/>
      <c r="F21" s="421"/>
      <c r="G21" s="421"/>
      <c r="H21" s="426"/>
      <c r="I21" s="426"/>
      <c r="J21" s="426"/>
      <c r="K21" s="426"/>
      <c r="L21" s="426"/>
      <c r="M21" s="426"/>
      <c r="N21" s="426"/>
      <c r="O21" s="426"/>
      <c r="P21" s="426"/>
      <c r="Q21" s="422">
        <f t="shared" si="1"/>
        <v>0</v>
      </c>
      <c r="R21" s="423">
        <f t="shared" si="2"/>
        <v>0</v>
      </c>
      <c r="S21" s="422">
        <f t="shared" si="3"/>
        <v>0</v>
      </c>
      <c r="T21" s="422">
        <f t="shared" si="4"/>
        <v>0</v>
      </c>
      <c r="U21" s="422">
        <f t="shared" si="5"/>
        <v>0</v>
      </c>
      <c r="V21" s="424"/>
      <c r="W21" s="425">
        <f t="shared" si="6"/>
        <v>0</v>
      </c>
      <c r="X21" s="1030">
        <v>0</v>
      </c>
      <c r="Y21" s="1031">
        <v>0</v>
      </c>
      <c r="Z21" s="1032">
        <v>0</v>
      </c>
      <c r="AA21" s="1033">
        <f t="shared" si="7"/>
        <v>0</v>
      </c>
      <c r="AB21" s="1033">
        <f t="shared" si="8"/>
        <v>0</v>
      </c>
      <c r="AC21" s="1032">
        <f t="shared" si="9"/>
        <v>0</v>
      </c>
      <c r="AD21" s="1033">
        <f t="shared" si="10"/>
        <v>0</v>
      </c>
      <c r="AE21" s="1051">
        <f t="shared" si="11"/>
        <v>0</v>
      </c>
      <c r="AF21" s="1031">
        <f t="shared" si="12"/>
        <v>0</v>
      </c>
      <c r="AG21" s="1032">
        <f t="shared" si="13"/>
        <v>0</v>
      </c>
      <c r="AH21" s="1033">
        <f t="shared" si="14"/>
        <v>0</v>
      </c>
      <c r="AI21" s="1052">
        <f t="shared" si="15"/>
        <v>0</v>
      </c>
      <c r="AJ21" s="1032">
        <f t="shared" si="16"/>
        <v>0</v>
      </c>
      <c r="AK21" s="1033">
        <f t="shared" si="17"/>
        <v>0</v>
      </c>
      <c r="AL21" s="1053">
        <f t="shared" si="18"/>
        <v>0</v>
      </c>
      <c r="AM21" s="1031">
        <f t="shared" si="19"/>
        <v>0</v>
      </c>
      <c r="AN21" s="1032">
        <f t="shared" si="20"/>
        <v>0</v>
      </c>
      <c r="AO21" s="1052">
        <f t="shared" si="21"/>
        <v>0</v>
      </c>
      <c r="AP21" s="1052">
        <f t="shared" si="22"/>
        <v>0</v>
      </c>
      <c r="AQ21" s="1032">
        <f t="shared" si="23"/>
        <v>0</v>
      </c>
      <c r="AR21" s="1033">
        <f t="shared" si="24"/>
        <v>0</v>
      </c>
      <c r="AS21" s="1030">
        <v>0</v>
      </c>
      <c r="AT21" s="1031">
        <v>0</v>
      </c>
      <c r="AU21" s="1032">
        <v>0</v>
      </c>
      <c r="AV21" s="1052">
        <v>0</v>
      </c>
      <c r="AW21" s="1032">
        <v>0</v>
      </c>
      <c r="AX21" s="1033">
        <f t="shared" si="25"/>
        <v>0</v>
      </c>
      <c r="AY21" s="1030">
        <v>0</v>
      </c>
      <c r="AZ21" s="1031">
        <v>0</v>
      </c>
      <c r="BA21" s="1032">
        <v>0</v>
      </c>
      <c r="BB21" s="1052">
        <f t="shared" si="26"/>
        <v>0</v>
      </c>
      <c r="BC21" s="1052">
        <f t="shared" si="27"/>
        <v>0</v>
      </c>
      <c r="BD21" s="1032">
        <v>0</v>
      </c>
      <c r="BE21" s="1033">
        <f t="shared" si="28"/>
        <v>0</v>
      </c>
      <c r="BF21" s="1006">
        <f t="shared" si="29"/>
        <v>0</v>
      </c>
      <c r="BG21" s="1007">
        <f t="shared" si="30"/>
        <v>0</v>
      </c>
      <c r="BH21" s="28">
        <f t="shared" si="31"/>
        <v>0</v>
      </c>
      <c r="BI21" s="64"/>
      <c r="BJ21" s="168"/>
      <c r="BK21" s="168"/>
      <c r="BL21" s="168"/>
      <c r="BM21" s="169"/>
      <c r="BN21" s="169"/>
      <c r="BO21" s="169"/>
      <c r="BP21" s="168"/>
      <c r="BQ21" s="168"/>
      <c r="BR21" s="168"/>
      <c r="BS21" s="168"/>
      <c r="BT21" s="168"/>
      <c r="BU21" s="168"/>
      <c r="BV21" s="168"/>
      <c r="BW21" s="168"/>
      <c r="BX21" s="168"/>
      <c r="BY21" s="168"/>
      <c r="BZ21" s="168"/>
      <c r="CA21" s="168"/>
      <c r="CB21" s="170"/>
      <c r="CC21" s="168"/>
      <c r="CD21" s="168"/>
      <c r="CE21" s="170"/>
      <c r="CF21" s="170"/>
      <c r="CG21" s="170"/>
      <c r="CH21" s="170"/>
      <c r="CI21" s="168"/>
      <c r="CJ21" s="168"/>
      <c r="CK21" s="170"/>
      <c r="CL21" s="170"/>
      <c r="CM21" s="170"/>
      <c r="CN21" s="113"/>
      <c r="CO21" s="127"/>
      <c r="CP21" s="127"/>
      <c r="CQ21" s="12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6"/>
      <c r="EA21" s="36"/>
      <c r="EB21" s="36"/>
      <c r="EC21" s="36"/>
      <c r="ED21" s="36"/>
      <c r="EE21" s="36"/>
      <c r="EF21" s="36"/>
      <c r="EG21" s="36"/>
    </row>
    <row r="22" spans="1:137" s="27" customFormat="1" ht="15" customHeight="1" x14ac:dyDescent="0.25">
      <c r="A22" s="26"/>
      <c r="B22" s="1776"/>
      <c r="C22" s="553"/>
      <c r="D22" s="1050">
        <f t="shared" si="0"/>
        <v>0</v>
      </c>
      <c r="E22" s="421"/>
      <c r="F22" s="421"/>
      <c r="G22" s="421"/>
      <c r="H22" s="426"/>
      <c r="I22" s="426"/>
      <c r="J22" s="426"/>
      <c r="K22" s="426"/>
      <c r="L22" s="426"/>
      <c r="M22" s="426"/>
      <c r="N22" s="426"/>
      <c r="O22" s="426"/>
      <c r="P22" s="426"/>
      <c r="Q22" s="422">
        <f t="shared" si="1"/>
        <v>0</v>
      </c>
      <c r="R22" s="423">
        <f t="shared" si="2"/>
        <v>0</v>
      </c>
      <c r="S22" s="422">
        <f t="shared" si="3"/>
        <v>0</v>
      </c>
      <c r="T22" s="422">
        <f t="shared" si="4"/>
        <v>0</v>
      </c>
      <c r="U22" s="422">
        <f t="shared" si="5"/>
        <v>0</v>
      </c>
      <c r="V22" s="424"/>
      <c r="W22" s="425">
        <f t="shared" si="6"/>
        <v>0</v>
      </c>
      <c r="X22" s="1030">
        <v>0</v>
      </c>
      <c r="Y22" s="1031">
        <v>0</v>
      </c>
      <c r="Z22" s="1032">
        <v>0</v>
      </c>
      <c r="AA22" s="1033">
        <f t="shared" si="7"/>
        <v>0</v>
      </c>
      <c r="AB22" s="1033">
        <f t="shared" si="8"/>
        <v>0</v>
      </c>
      <c r="AC22" s="1032">
        <f t="shared" si="9"/>
        <v>0</v>
      </c>
      <c r="AD22" s="1033">
        <f t="shared" si="10"/>
        <v>0</v>
      </c>
      <c r="AE22" s="1051">
        <f t="shared" si="11"/>
        <v>0</v>
      </c>
      <c r="AF22" s="1031">
        <f t="shared" si="12"/>
        <v>0</v>
      </c>
      <c r="AG22" s="1032">
        <f t="shared" si="13"/>
        <v>0</v>
      </c>
      <c r="AH22" s="1033">
        <f t="shared" si="14"/>
        <v>0</v>
      </c>
      <c r="AI22" s="1052">
        <f t="shared" si="15"/>
        <v>0</v>
      </c>
      <c r="AJ22" s="1032">
        <f t="shared" si="16"/>
        <v>0</v>
      </c>
      <c r="AK22" s="1033">
        <f t="shared" si="17"/>
        <v>0</v>
      </c>
      <c r="AL22" s="1053">
        <f t="shared" si="18"/>
        <v>0</v>
      </c>
      <c r="AM22" s="1031">
        <f t="shared" si="19"/>
        <v>0</v>
      </c>
      <c r="AN22" s="1032">
        <f t="shared" si="20"/>
        <v>0</v>
      </c>
      <c r="AO22" s="1052">
        <f t="shared" si="21"/>
        <v>0</v>
      </c>
      <c r="AP22" s="1052">
        <f t="shared" si="22"/>
        <v>0</v>
      </c>
      <c r="AQ22" s="1032">
        <f t="shared" si="23"/>
        <v>0</v>
      </c>
      <c r="AR22" s="1033">
        <f t="shared" si="24"/>
        <v>0</v>
      </c>
      <c r="AS22" s="1030">
        <v>0</v>
      </c>
      <c r="AT22" s="1031">
        <v>0</v>
      </c>
      <c r="AU22" s="1032">
        <v>0</v>
      </c>
      <c r="AV22" s="1052">
        <v>0</v>
      </c>
      <c r="AW22" s="1032">
        <v>0</v>
      </c>
      <c r="AX22" s="1033">
        <f t="shared" si="25"/>
        <v>0</v>
      </c>
      <c r="AY22" s="1030">
        <v>0</v>
      </c>
      <c r="AZ22" s="1031">
        <v>0</v>
      </c>
      <c r="BA22" s="1032">
        <v>0</v>
      </c>
      <c r="BB22" s="1052">
        <f t="shared" si="26"/>
        <v>0</v>
      </c>
      <c r="BC22" s="1052">
        <f t="shared" si="27"/>
        <v>0</v>
      </c>
      <c r="BD22" s="1032">
        <v>0</v>
      </c>
      <c r="BE22" s="1033">
        <f t="shared" si="28"/>
        <v>0</v>
      </c>
      <c r="BF22" s="1006">
        <f t="shared" si="29"/>
        <v>0</v>
      </c>
      <c r="BG22" s="1007">
        <f t="shared" si="30"/>
        <v>0</v>
      </c>
      <c r="BH22" s="28">
        <f t="shared" si="31"/>
        <v>0</v>
      </c>
      <c r="BI22" s="64"/>
      <c r="BJ22" s="168"/>
      <c r="BK22" s="168"/>
      <c r="BL22" s="168"/>
      <c r="BM22" s="169"/>
      <c r="BN22" s="169"/>
      <c r="BO22" s="169"/>
      <c r="BP22" s="168"/>
      <c r="BQ22" s="168"/>
      <c r="BR22" s="168"/>
      <c r="BS22" s="168"/>
      <c r="BT22" s="168"/>
      <c r="BU22" s="168"/>
      <c r="BV22" s="168"/>
      <c r="BW22" s="168"/>
      <c r="BX22" s="168"/>
      <c r="BY22" s="168"/>
      <c r="BZ22" s="168"/>
      <c r="CA22" s="168"/>
      <c r="CB22" s="170"/>
      <c r="CC22" s="168"/>
      <c r="CD22" s="168"/>
      <c r="CE22" s="170"/>
      <c r="CF22" s="170"/>
      <c r="CG22" s="170"/>
      <c r="CH22" s="170"/>
      <c r="CI22" s="168"/>
      <c r="CJ22" s="168"/>
      <c r="CK22" s="170"/>
      <c r="CL22" s="170"/>
      <c r="CM22" s="170"/>
      <c r="CN22" s="113"/>
      <c r="CO22" s="127"/>
      <c r="CP22" s="127"/>
      <c r="CQ22" s="12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6"/>
      <c r="EA22" s="36"/>
      <c r="EB22" s="36"/>
      <c r="EC22" s="36"/>
      <c r="ED22" s="36"/>
      <c r="EE22" s="36"/>
      <c r="EF22" s="36"/>
      <c r="EG22" s="36"/>
    </row>
    <row r="23" spans="1:137" s="27" customFormat="1" x14ac:dyDescent="0.25">
      <c r="A23" s="26"/>
      <c r="B23" s="1777"/>
      <c r="C23" s="553"/>
      <c r="D23" s="1050">
        <f t="shared" si="0"/>
        <v>0</v>
      </c>
      <c r="E23" s="421"/>
      <c r="F23" s="421"/>
      <c r="G23" s="421"/>
      <c r="H23" s="426"/>
      <c r="I23" s="426"/>
      <c r="J23" s="426"/>
      <c r="K23" s="426"/>
      <c r="L23" s="426"/>
      <c r="M23" s="426"/>
      <c r="N23" s="426"/>
      <c r="O23" s="426"/>
      <c r="P23" s="426"/>
      <c r="Q23" s="422">
        <f t="shared" si="1"/>
        <v>0</v>
      </c>
      <c r="R23" s="423">
        <f t="shared" si="2"/>
        <v>0</v>
      </c>
      <c r="S23" s="422">
        <f t="shared" si="3"/>
        <v>0</v>
      </c>
      <c r="T23" s="422">
        <f t="shared" si="4"/>
        <v>0</v>
      </c>
      <c r="U23" s="422">
        <f t="shared" si="5"/>
        <v>0</v>
      </c>
      <c r="V23" s="424"/>
      <c r="W23" s="425">
        <f t="shared" si="6"/>
        <v>0</v>
      </c>
      <c r="X23" s="1030">
        <v>0</v>
      </c>
      <c r="Y23" s="1031">
        <v>0</v>
      </c>
      <c r="Z23" s="1032">
        <v>0</v>
      </c>
      <c r="AA23" s="1033">
        <f t="shared" si="7"/>
        <v>0</v>
      </c>
      <c r="AB23" s="1033">
        <f t="shared" si="8"/>
        <v>0</v>
      </c>
      <c r="AC23" s="1032">
        <f t="shared" si="9"/>
        <v>0</v>
      </c>
      <c r="AD23" s="1033">
        <f t="shared" si="10"/>
        <v>0</v>
      </c>
      <c r="AE23" s="1051">
        <f t="shared" si="11"/>
        <v>0</v>
      </c>
      <c r="AF23" s="1031">
        <f t="shared" si="12"/>
        <v>0</v>
      </c>
      <c r="AG23" s="1032">
        <f t="shared" si="13"/>
        <v>0</v>
      </c>
      <c r="AH23" s="1033">
        <f t="shared" si="14"/>
        <v>0</v>
      </c>
      <c r="AI23" s="1052">
        <f t="shared" si="15"/>
        <v>0</v>
      </c>
      <c r="AJ23" s="1032">
        <f t="shared" si="16"/>
        <v>0</v>
      </c>
      <c r="AK23" s="1033">
        <f t="shared" si="17"/>
        <v>0</v>
      </c>
      <c r="AL23" s="1053">
        <f t="shared" si="18"/>
        <v>0</v>
      </c>
      <c r="AM23" s="1031">
        <f t="shared" si="19"/>
        <v>0</v>
      </c>
      <c r="AN23" s="1032">
        <f t="shared" si="20"/>
        <v>0</v>
      </c>
      <c r="AO23" s="1052">
        <f t="shared" si="21"/>
        <v>0</v>
      </c>
      <c r="AP23" s="1052">
        <f t="shared" si="22"/>
        <v>0</v>
      </c>
      <c r="AQ23" s="1032">
        <f t="shared" si="23"/>
        <v>0</v>
      </c>
      <c r="AR23" s="1033">
        <f t="shared" si="24"/>
        <v>0</v>
      </c>
      <c r="AS23" s="1030">
        <v>0</v>
      </c>
      <c r="AT23" s="1031">
        <v>0</v>
      </c>
      <c r="AU23" s="1032">
        <v>0</v>
      </c>
      <c r="AV23" s="1052">
        <v>0</v>
      </c>
      <c r="AW23" s="1032">
        <v>0</v>
      </c>
      <c r="AX23" s="1033">
        <f t="shared" si="25"/>
        <v>0</v>
      </c>
      <c r="AY23" s="1030">
        <v>0</v>
      </c>
      <c r="AZ23" s="1031">
        <v>0</v>
      </c>
      <c r="BA23" s="1032">
        <v>0</v>
      </c>
      <c r="BB23" s="1052">
        <f t="shared" si="26"/>
        <v>0</v>
      </c>
      <c r="BC23" s="1052">
        <f t="shared" si="27"/>
        <v>0</v>
      </c>
      <c r="BD23" s="1032">
        <v>0</v>
      </c>
      <c r="BE23" s="1033">
        <f t="shared" si="28"/>
        <v>0</v>
      </c>
      <c r="BF23" s="1006">
        <f t="shared" si="29"/>
        <v>0</v>
      </c>
      <c r="BG23" s="1007">
        <f t="shared" si="30"/>
        <v>0</v>
      </c>
      <c r="BH23" s="28">
        <f t="shared" si="31"/>
        <v>0</v>
      </c>
      <c r="BI23" s="64"/>
      <c r="BJ23" s="168"/>
      <c r="BK23" s="168"/>
      <c r="BL23" s="168"/>
      <c r="BM23" s="169"/>
      <c r="BN23" s="169"/>
      <c r="BO23" s="169"/>
      <c r="BP23" s="168"/>
      <c r="BQ23" s="168"/>
      <c r="BR23" s="168"/>
      <c r="BS23" s="168"/>
      <c r="BT23" s="168"/>
      <c r="BU23" s="168"/>
      <c r="BV23" s="168"/>
      <c r="BW23" s="168"/>
      <c r="BX23" s="168"/>
      <c r="BY23" s="168"/>
      <c r="BZ23" s="168"/>
      <c r="CA23" s="168"/>
      <c r="CB23" s="170"/>
      <c r="CC23" s="168"/>
      <c r="CD23" s="168"/>
      <c r="CE23" s="170"/>
      <c r="CF23" s="170"/>
      <c r="CG23" s="170"/>
      <c r="CH23" s="170"/>
      <c r="CI23" s="168"/>
      <c r="CJ23" s="168"/>
      <c r="CK23" s="170"/>
      <c r="CL23" s="170"/>
      <c r="CM23" s="170"/>
      <c r="CN23" s="113"/>
      <c r="CO23" s="127"/>
      <c r="CP23" s="127"/>
      <c r="CQ23" s="12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6"/>
      <c r="EA23" s="36"/>
      <c r="EB23" s="36"/>
      <c r="EC23" s="36"/>
      <c r="ED23" s="36"/>
      <c r="EE23" s="36"/>
      <c r="EF23" s="36"/>
      <c r="EG23" s="36"/>
    </row>
    <row r="24" spans="1:137" s="37" customFormat="1" ht="15.75" customHeight="1" x14ac:dyDescent="0.25">
      <c r="A24" s="28"/>
      <c r="B24" s="1017" t="s">
        <v>63</v>
      </c>
      <c r="C24" s="1054"/>
      <c r="D24" s="1054"/>
      <c r="E24" s="1054"/>
      <c r="F24" s="1054"/>
      <c r="G24" s="1054"/>
      <c r="H24" s="1054"/>
      <c r="I24" s="1054"/>
      <c r="J24" s="1054"/>
      <c r="K24" s="1054"/>
      <c r="L24" s="1054"/>
      <c r="M24" s="1054"/>
      <c r="N24" s="1054"/>
      <c r="O24" s="1054"/>
      <c r="P24" s="1054"/>
      <c r="Q24" s="1054"/>
      <c r="R24" s="1054"/>
      <c r="S24" s="1054"/>
      <c r="T24" s="1054"/>
      <c r="U24" s="1054"/>
      <c r="V24" s="1054"/>
      <c r="W24" s="1054"/>
      <c r="X24" s="1054"/>
      <c r="Y24" s="1054"/>
      <c r="Z24" s="1054"/>
      <c r="AA24" s="1055"/>
      <c r="AB24" s="1056">
        <f>SUM(AB17:AB23)</f>
        <v>0</v>
      </c>
      <c r="AC24" s="1057">
        <f>IF(AB24&gt;0,SQRT(SUM(AD17:AD23))/AB24,0)</f>
        <v>0</v>
      </c>
      <c r="AD24" s="1056">
        <f t="shared" si="10"/>
        <v>0</v>
      </c>
      <c r="AE24" s="1058"/>
      <c r="AF24" s="1054"/>
      <c r="AG24" s="1054"/>
      <c r="AH24" s="1059"/>
      <c r="AI24" s="1056">
        <f>SUM(AI17:AI23)</f>
        <v>0.51985919999999997</v>
      </c>
      <c r="AJ24" s="1057">
        <f>IF(AI24&gt;0,SQRT(SUM(AK17:AK23))/AI24,0)</f>
        <v>1.7808986495586994</v>
      </c>
      <c r="AK24" s="1056">
        <f t="shared" si="17"/>
        <v>0.85713627914462787</v>
      </c>
      <c r="AL24" s="1054"/>
      <c r="AM24" s="1054"/>
      <c r="AN24" s="1054"/>
      <c r="AO24" s="1054"/>
      <c r="AP24" s="1056">
        <f>SUM(AP17:AP23)</f>
        <v>0</v>
      </c>
      <c r="AQ24" s="1057">
        <f>IF(AP24&gt;0,SQRT(SUM(AR17:AR23))/AP24,0)</f>
        <v>0</v>
      </c>
      <c r="AR24" s="1056">
        <f t="shared" si="24"/>
        <v>0</v>
      </c>
      <c r="AS24" s="1054"/>
      <c r="AT24" s="1054"/>
      <c r="AU24" s="1054"/>
      <c r="AV24" s="1056">
        <f>SUM(AV17:AV23)</f>
        <v>0</v>
      </c>
      <c r="AW24" s="1057">
        <f>IF(AV24&gt;0,SQRT(SUM(AX17:AX23))/AV24,0)</f>
        <v>0</v>
      </c>
      <c r="AX24" s="1056">
        <f t="shared" si="25"/>
        <v>0</v>
      </c>
      <c r="AY24" s="1054"/>
      <c r="AZ24" s="1054"/>
      <c r="BA24" s="1060"/>
      <c r="BB24" s="1061"/>
      <c r="BC24" s="1056">
        <f>SUM(BC17:BC23)</f>
        <v>0</v>
      </c>
      <c r="BD24" s="1057">
        <f>IF(BC24&gt;0,SQRT(SUM(BE17:BE23))/BC24,0)</f>
        <v>0</v>
      </c>
      <c r="BE24" s="1056">
        <f t="shared" si="28"/>
        <v>0</v>
      </c>
      <c r="BF24" s="1056">
        <f>SUM(BF17:BF23)</f>
        <v>0.51985919999999997</v>
      </c>
      <c r="BG24" s="1018">
        <f>IF(BF24&gt;0,SQRT(SUM(BH17:BH23))/BF24,0)</f>
        <v>1.7808986495586994</v>
      </c>
      <c r="BH24" s="28">
        <f t="shared" si="31"/>
        <v>0.85713627914462787</v>
      </c>
      <c r="BJ24" s="658"/>
      <c r="BK24" s="658"/>
      <c r="BL24" s="658"/>
      <c r="BM24" s="659"/>
      <c r="BN24" s="659"/>
      <c r="BO24" s="659"/>
      <c r="BP24" s="658"/>
      <c r="BQ24" s="658"/>
      <c r="BR24" s="658"/>
      <c r="BS24" s="658"/>
      <c r="BT24" s="658"/>
      <c r="BU24" s="658"/>
      <c r="BV24" s="658"/>
      <c r="BW24" s="658"/>
      <c r="BX24" s="658"/>
      <c r="BY24" s="658"/>
      <c r="BZ24" s="658"/>
      <c r="CA24" s="658"/>
      <c r="CB24" s="113"/>
      <c r="CC24" s="658"/>
      <c r="CD24" s="658"/>
      <c r="CE24" s="113"/>
      <c r="CF24" s="113"/>
      <c r="CG24" s="113"/>
      <c r="CH24" s="113"/>
      <c r="CI24" s="658"/>
      <c r="CJ24" s="658"/>
      <c r="CK24" s="113"/>
      <c r="CL24" s="113"/>
      <c r="CM24" s="113"/>
      <c r="CN24" s="113"/>
    </row>
    <row r="25" spans="1:137" s="27" customFormat="1" ht="15.75" customHeight="1" x14ac:dyDescent="0.25">
      <c r="A25" s="26"/>
      <c r="B25" s="1062"/>
      <c r="C25" s="1063"/>
      <c r="D25" s="1063"/>
      <c r="E25" s="1063"/>
      <c r="F25" s="1063"/>
      <c r="G25" s="1063"/>
      <c r="H25" s="1063"/>
      <c r="I25" s="1063"/>
      <c r="J25" s="1063"/>
      <c r="K25" s="1063"/>
      <c r="L25" s="1063"/>
      <c r="M25" s="1063"/>
      <c r="N25" s="1063"/>
      <c r="O25" s="1063"/>
      <c r="P25" s="1063"/>
      <c r="Q25" s="1063"/>
      <c r="R25" s="1063"/>
      <c r="S25" s="1063"/>
      <c r="T25" s="1063"/>
      <c r="U25" s="1063"/>
      <c r="V25" s="1063"/>
      <c r="W25" s="1063"/>
      <c r="X25" s="1063"/>
      <c r="Y25" s="1063"/>
      <c r="Z25" s="1063"/>
      <c r="AA25" s="1064"/>
      <c r="AB25" s="1065"/>
      <c r="AC25" s="1066"/>
      <c r="AD25" s="1065"/>
      <c r="AE25" s="1067"/>
      <c r="AF25" s="1063"/>
      <c r="AG25" s="1063"/>
      <c r="AH25" s="1068"/>
      <c r="AI25" s="1065"/>
      <c r="AJ25" s="1066"/>
      <c r="AK25" s="1065"/>
      <c r="AL25" s="1063"/>
      <c r="AM25" s="1063"/>
      <c r="AN25" s="1063"/>
      <c r="AO25" s="1063"/>
      <c r="AP25" s="1065"/>
      <c r="AQ25" s="1066"/>
      <c r="AR25" s="1065"/>
      <c r="AS25" s="1063"/>
      <c r="AT25" s="1063"/>
      <c r="AU25" s="1063"/>
      <c r="AV25" s="1065"/>
      <c r="AW25" s="1066"/>
      <c r="AX25" s="1065"/>
      <c r="AY25" s="1063"/>
      <c r="AZ25" s="1063"/>
      <c r="BA25" s="1069"/>
      <c r="BB25" s="1070"/>
      <c r="BC25" s="1065"/>
      <c r="BD25" s="1066"/>
      <c r="BE25" s="1065"/>
      <c r="BF25" s="1065"/>
      <c r="BG25" s="1071"/>
      <c r="BH25" s="28"/>
      <c r="BI25" s="64"/>
      <c r="BJ25" s="168"/>
      <c r="BK25" s="168"/>
      <c r="BL25" s="168"/>
      <c r="BM25" s="169"/>
      <c r="BN25" s="169"/>
      <c r="BO25" s="169"/>
      <c r="BP25" s="168"/>
      <c r="BQ25" s="168"/>
      <c r="BR25" s="168"/>
      <c r="BS25" s="168"/>
      <c r="BT25" s="168"/>
      <c r="BU25" s="168"/>
      <c r="BV25" s="168"/>
      <c r="BW25" s="168"/>
      <c r="BX25" s="168"/>
      <c r="BY25" s="168"/>
      <c r="BZ25" s="168"/>
      <c r="CA25" s="168"/>
      <c r="CB25" s="170"/>
      <c r="CC25" s="168"/>
      <c r="CD25" s="168"/>
      <c r="CE25" s="170"/>
      <c r="CF25" s="170"/>
      <c r="CG25" s="170"/>
      <c r="CH25" s="170"/>
      <c r="CI25" s="168"/>
      <c r="CJ25" s="168"/>
      <c r="CK25" s="170"/>
      <c r="CL25" s="170"/>
      <c r="CM25" s="170"/>
      <c r="CN25" s="113"/>
      <c r="CO25" s="36"/>
      <c r="CP25" s="36"/>
      <c r="CQ25" s="36"/>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6"/>
      <c r="EA25" s="36"/>
      <c r="EB25" s="36"/>
      <c r="EC25" s="36"/>
      <c r="ED25" s="36"/>
      <c r="EE25" s="36"/>
      <c r="EF25" s="36"/>
      <c r="EG25" s="36"/>
    </row>
    <row r="26" spans="1:137" s="82" customFormat="1" ht="30.75" customHeight="1" thickBot="1" x14ac:dyDescent="0.3">
      <c r="A26" s="26"/>
      <c r="B26" s="983" t="s">
        <v>64</v>
      </c>
      <c r="C26" s="984"/>
      <c r="D26" s="984"/>
      <c r="E26" s="984"/>
      <c r="F26" s="984"/>
      <c r="G26" s="984"/>
      <c r="H26" s="984"/>
      <c r="I26" s="984"/>
      <c r="J26" s="984"/>
      <c r="K26" s="984"/>
      <c r="L26" s="984"/>
      <c r="M26" s="984"/>
      <c r="N26" s="984"/>
      <c r="O26" s="984"/>
      <c r="P26" s="984"/>
      <c r="Q26" s="984"/>
      <c r="R26" s="984"/>
      <c r="S26" s="984"/>
      <c r="T26" s="984"/>
      <c r="U26" s="984"/>
      <c r="V26" s="984"/>
      <c r="W26" s="984"/>
      <c r="X26" s="984"/>
      <c r="Y26" s="984"/>
      <c r="Z26" s="984"/>
      <c r="AA26" s="985"/>
      <c r="AB26" s="986">
        <f>AB24</f>
        <v>0</v>
      </c>
      <c r="AC26" s="987">
        <f>IF(AB26&gt;0,(SQRT(#REF!+#REF!+AD24))/AB26,0)</f>
        <v>0</v>
      </c>
      <c r="AD26" s="986">
        <f>(AB26*AC26)^2</f>
        <v>0</v>
      </c>
      <c r="AE26" s="988"/>
      <c r="AF26" s="984"/>
      <c r="AG26" s="984"/>
      <c r="AH26" s="989"/>
      <c r="AI26" s="986">
        <f>AI24</f>
        <v>0.51985919999999997</v>
      </c>
      <c r="AJ26" s="987" t="e">
        <f>IF(AI26&gt;0,(SQRT(#REF!+#REF!+AK24))/AI26,0)</f>
        <v>#REF!</v>
      </c>
      <c r="AK26" s="986" t="e">
        <f>(AI26*AJ26)^2</f>
        <v>#REF!</v>
      </c>
      <c r="AL26" s="984"/>
      <c r="AM26" s="984"/>
      <c r="AN26" s="984"/>
      <c r="AO26" s="984"/>
      <c r="AP26" s="986">
        <f>AP24</f>
        <v>0</v>
      </c>
      <c r="AQ26" s="987">
        <f>IF(AP26&gt;0,(SQRT(#REF!+#REF!+AR24))/AP26,0)</f>
        <v>0</v>
      </c>
      <c r="AR26" s="986">
        <f>(AP26*AQ26)^2</f>
        <v>0</v>
      </c>
      <c r="AS26" s="984"/>
      <c r="AT26" s="984"/>
      <c r="AU26" s="984"/>
      <c r="AV26" s="986">
        <f>AV24</f>
        <v>0</v>
      </c>
      <c r="AW26" s="987">
        <f>IF(AV26&gt;0,(SQRT(#REF!+#REF!+AX24))/AV26,0)</f>
        <v>0</v>
      </c>
      <c r="AX26" s="986">
        <f>(AV26*AW26)^2</f>
        <v>0</v>
      </c>
      <c r="AY26" s="984"/>
      <c r="AZ26" s="984"/>
      <c r="BA26" s="990"/>
      <c r="BB26" s="991"/>
      <c r="BC26" s="986">
        <f>BC24</f>
        <v>0</v>
      </c>
      <c r="BD26" s="987">
        <f>IF(BC26&gt;0,(SQRT(#REF!+#REF!+BE24))/BC26,0)</f>
        <v>0</v>
      </c>
      <c r="BE26" s="986">
        <f>(BC26*BD26)^2</f>
        <v>0</v>
      </c>
      <c r="BF26" s="986">
        <f>BF24</f>
        <v>0.51985919999999997</v>
      </c>
      <c r="BG26" s="992">
        <f>BG24</f>
        <v>1.7808986495586994</v>
      </c>
      <c r="BH26" s="28">
        <f>(BF26*BG26)^2</f>
        <v>0.85713627914462787</v>
      </c>
      <c r="BI26" s="174"/>
      <c r="BJ26" s="175"/>
      <c r="BK26" s="175"/>
      <c r="BL26" s="175"/>
      <c r="BM26" s="176"/>
      <c r="BN26" s="176"/>
      <c r="BO26" s="176"/>
      <c r="BP26" s="175"/>
      <c r="BQ26" s="175"/>
      <c r="BR26" s="175"/>
      <c r="BS26" s="175"/>
      <c r="BT26" s="175"/>
      <c r="BU26" s="175"/>
      <c r="BV26" s="175"/>
      <c r="BW26" s="175"/>
      <c r="BX26" s="175"/>
      <c r="BY26" s="175"/>
      <c r="BZ26" s="175"/>
      <c r="CA26" s="175"/>
      <c r="CB26" s="177"/>
      <c r="CC26" s="175"/>
      <c r="CD26" s="175"/>
      <c r="CE26" s="177"/>
      <c r="CF26" s="177"/>
      <c r="CG26" s="177"/>
      <c r="CH26" s="177"/>
      <c r="CI26" s="175"/>
      <c r="CJ26" s="175"/>
      <c r="CK26" s="177"/>
      <c r="CL26" s="177"/>
      <c r="CM26" s="177"/>
      <c r="CN26" s="114"/>
      <c r="CO26" s="36"/>
      <c r="CP26" s="36"/>
      <c r="CQ26" s="36"/>
      <c r="CR26" s="81"/>
      <c r="CS26" s="81"/>
      <c r="CT26" s="81"/>
      <c r="CU26" s="81"/>
      <c r="CV26" s="81"/>
      <c r="CW26" s="81"/>
      <c r="CX26" s="81"/>
      <c r="CY26" s="81"/>
      <c r="CZ26" s="81"/>
      <c r="DA26" s="81"/>
      <c r="DB26" s="81"/>
      <c r="DC26" s="81"/>
      <c r="DD26" s="81"/>
      <c r="DE26" s="81"/>
      <c r="DF26" s="81"/>
      <c r="DG26" s="81"/>
      <c r="DH26" s="81"/>
      <c r="DI26" s="81"/>
      <c r="DJ26" s="81"/>
      <c r="DK26" s="81"/>
      <c r="DL26" s="81"/>
      <c r="DM26" s="81"/>
      <c r="DN26" s="81"/>
      <c r="DO26" s="81"/>
      <c r="DP26" s="81"/>
      <c r="DQ26" s="81"/>
      <c r="DR26" s="81"/>
      <c r="DS26" s="81"/>
      <c r="DT26" s="81"/>
      <c r="DU26" s="81"/>
      <c r="DV26" s="81"/>
      <c r="DW26" s="81"/>
      <c r="DX26" s="81"/>
      <c r="DY26" s="81"/>
      <c r="DZ26" s="80"/>
      <c r="EA26" s="80"/>
      <c r="EB26" s="80"/>
      <c r="EC26" s="80"/>
      <c r="ED26" s="80"/>
      <c r="EE26" s="80"/>
      <c r="EF26" s="80"/>
      <c r="EG26" s="80"/>
    </row>
    <row r="27" spans="1:137" s="26" customFormat="1" ht="21.75" thickBot="1" x14ac:dyDescent="0.3">
      <c r="B27" s="1072"/>
      <c r="C27" s="1010"/>
      <c r="D27" s="1010"/>
      <c r="E27" s="1011"/>
      <c r="F27" s="1011"/>
      <c r="G27" s="1011"/>
      <c r="H27" s="1011"/>
      <c r="I27" s="1011"/>
      <c r="J27" s="1011"/>
      <c r="K27" s="1011"/>
      <c r="L27" s="1011"/>
      <c r="M27" s="1011"/>
      <c r="N27" s="1011"/>
      <c r="O27" s="1011"/>
      <c r="P27" s="1011"/>
      <c r="Q27" s="1011"/>
      <c r="R27" s="1012"/>
      <c r="S27" s="1011"/>
      <c r="T27" s="1011"/>
      <c r="U27" s="1011"/>
      <c r="V27" s="1013"/>
      <c r="W27" s="1013"/>
      <c r="X27" s="1010"/>
      <c r="Y27" s="1010"/>
      <c r="Z27" s="1013"/>
      <c r="AA27" s="1014"/>
      <c r="AB27" s="1014"/>
      <c r="AC27" s="1013"/>
      <c r="AD27" s="1014"/>
      <c r="AE27" s="1015"/>
      <c r="AF27" s="1010"/>
      <c r="AG27" s="1013"/>
      <c r="AH27" s="1016"/>
      <c r="AI27" s="1016"/>
      <c r="AJ27" s="1013"/>
      <c r="AK27" s="1014"/>
      <c r="AL27" s="1010"/>
      <c r="AM27" s="1010"/>
      <c r="AN27" s="1013"/>
      <c r="AO27" s="1013"/>
      <c r="AP27" s="1013"/>
      <c r="AQ27" s="1013"/>
      <c r="AR27" s="1014"/>
      <c r="AS27" s="1010"/>
      <c r="AT27" s="1010"/>
      <c r="AU27" s="1013"/>
      <c r="AV27" s="1014"/>
      <c r="AW27" s="1013"/>
      <c r="AX27" s="1014"/>
      <c r="AY27" s="1010"/>
      <c r="AZ27" s="1010"/>
      <c r="BA27" s="1013"/>
      <c r="BB27" s="1014"/>
      <c r="BC27" s="1014"/>
      <c r="BD27" s="1013"/>
      <c r="BE27" s="1014"/>
      <c r="BF27" s="1011"/>
      <c r="BG27" s="1073"/>
      <c r="BH27" s="28">
        <f>(BF27*BG27)^2</f>
        <v>0</v>
      </c>
      <c r="BI27" s="164"/>
      <c r="BJ27" s="165"/>
      <c r="BK27" s="165"/>
      <c r="BL27" s="165"/>
      <c r="BM27" s="166"/>
      <c r="BN27" s="166"/>
      <c r="BO27" s="166"/>
      <c r="BP27" s="165"/>
      <c r="BQ27" s="165"/>
      <c r="BR27" s="165"/>
      <c r="BS27" s="165"/>
      <c r="BT27" s="165"/>
      <c r="BU27" s="165"/>
      <c r="BV27" s="165"/>
      <c r="BW27" s="165"/>
      <c r="BX27" s="165"/>
      <c r="BY27" s="165"/>
      <c r="BZ27" s="165"/>
      <c r="CA27" s="165"/>
      <c r="CB27" s="167"/>
      <c r="CC27" s="165"/>
      <c r="CD27" s="165"/>
      <c r="CE27" s="167"/>
      <c r="CF27" s="167"/>
      <c r="CG27" s="167"/>
      <c r="CH27" s="167"/>
      <c r="CI27" s="165"/>
      <c r="CJ27" s="165"/>
      <c r="CK27" s="167"/>
      <c r="CL27" s="167"/>
      <c r="CM27" s="167"/>
      <c r="CN27" s="112"/>
      <c r="CO27" s="36"/>
      <c r="CP27" s="36"/>
      <c r="CQ27" s="36"/>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9"/>
      <c r="EA27" s="29"/>
      <c r="EB27" s="29"/>
      <c r="EC27" s="29"/>
      <c r="ED27" s="29"/>
      <c r="EE27" s="29"/>
      <c r="EF27" s="29"/>
      <c r="EG27" s="29"/>
    </row>
    <row r="28" spans="1:137" s="64" customFormat="1" ht="30.75" customHeight="1" x14ac:dyDescent="0.25">
      <c r="A28" s="26"/>
      <c r="B28" s="1787" t="s">
        <v>1343</v>
      </c>
      <c r="C28" s="1788"/>
      <c r="D28" s="1788"/>
      <c r="E28" s="1788"/>
      <c r="F28" s="1788"/>
      <c r="G28" s="1788"/>
      <c r="H28" s="1788"/>
      <c r="I28" s="1788"/>
      <c r="J28" s="1788"/>
      <c r="K28" s="1788"/>
      <c r="L28" s="1788"/>
      <c r="M28" s="1788"/>
      <c r="N28" s="1788"/>
      <c r="O28" s="1788"/>
      <c r="P28" s="1788"/>
      <c r="Q28" s="1788"/>
      <c r="R28" s="1788"/>
      <c r="S28" s="1788"/>
      <c r="T28" s="1788"/>
      <c r="U28" s="1788"/>
      <c r="V28" s="1788"/>
      <c r="W28" s="1788"/>
      <c r="X28" s="1788"/>
      <c r="Y28" s="1788"/>
      <c r="Z28" s="1788"/>
      <c r="AA28" s="1788"/>
      <c r="AB28" s="1788"/>
      <c r="AC28" s="1788"/>
      <c r="AD28" s="1788"/>
      <c r="AE28" s="1788"/>
      <c r="AF28" s="1788"/>
      <c r="AG28" s="1788"/>
      <c r="AH28" s="1788"/>
      <c r="AI28" s="1788"/>
      <c r="AJ28" s="1788"/>
      <c r="AK28" s="1788"/>
      <c r="AL28" s="1788"/>
      <c r="AM28" s="1788"/>
      <c r="AN28" s="1788"/>
      <c r="AO28" s="1788"/>
      <c r="AP28" s="1788"/>
      <c r="AQ28" s="1788"/>
      <c r="AR28" s="1788"/>
      <c r="AS28" s="1788"/>
      <c r="AT28" s="1788"/>
      <c r="AU28" s="1788"/>
      <c r="AV28" s="1788"/>
      <c r="AW28" s="1788"/>
      <c r="AX28" s="1788"/>
      <c r="AY28" s="1788"/>
      <c r="AZ28" s="1788"/>
      <c r="BA28" s="1788"/>
      <c r="BB28" s="1788"/>
      <c r="BC28" s="1788"/>
      <c r="BD28" s="1788"/>
      <c r="BE28" s="1788"/>
      <c r="BF28" s="1788"/>
      <c r="BG28" s="1789"/>
      <c r="BH28" s="28"/>
      <c r="BJ28" s="168"/>
      <c r="BK28" s="168"/>
      <c r="BL28" s="168"/>
      <c r="BM28" s="169"/>
      <c r="BN28" s="169"/>
      <c r="BO28" s="169"/>
      <c r="BP28" s="168"/>
      <c r="BQ28" s="168"/>
      <c r="BR28" s="168"/>
      <c r="BS28" s="168"/>
      <c r="BT28" s="168"/>
      <c r="BU28" s="168"/>
      <c r="BV28" s="168"/>
      <c r="BW28" s="168"/>
      <c r="BX28" s="168"/>
      <c r="BY28" s="168"/>
      <c r="BZ28" s="168"/>
      <c r="CA28" s="168"/>
      <c r="CB28" s="170"/>
      <c r="CC28" s="168"/>
      <c r="CD28" s="168"/>
      <c r="CE28" s="170"/>
      <c r="CF28" s="170"/>
      <c r="CG28" s="170"/>
      <c r="CH28" s="170"/>
      <c r="CI28" s="168"/>
      <c r="CJ28" s="168"/>
      <c r="CK28" s="170"/>
      <c r="CL28" s="170"/>
      <c r="CM28" s="170"/>
      <c r="CN28" s="113"/>
      <c r="CO28" s="36"/>
      <c r="CP28" s="36"/>
      <c r="CQ28" s="36"/>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6"/>
      <c r="EA28" s="36"/>
      <c r="EB28" s="36"/>
      <c r="EC28" s="36"/>
      <c r="ED28" s="36"/>
      <c r="EE28" s="36"/>
      <c r="EF28" s="36"/>
      <c r="EG28" s="36"/>
    </row>
    <row r="29" spans="1:137" s="27" customFormat="1" ht="15.75" x14ac:dyDescent="0.25">
      <c r="A29" s="26"/>
      <c r="B29" s="1008"/>
      <c r="C29" s="1074"/>
      <c r="D29" s="1074"/>
      <c r="E29" s="1074"/>
      <c r="F29" s="1074"/>
      <c r="G29" s="1074"/>
      <c r="H29" s="1074"/>
      <c r="I29" s="1074"/>
      <c r="J29" s="1074"/>
      <c r="K29" s="1074"/>
      <c r="L29" s="1074"/>
      <c r="M29" s="1074"/>
      <c r="N29" s="1074"/>
      <c r="O29" s="1074"/>
      <c r="P29" s="1074"/>
      <c r="Q29" s="1074"/>
      <c r="R29" s="1074"/>
      <c r="S29" s="1074"/>
      <c r="T29" s="1074"/>
      <c r="U29" s="1074"/>
      <c r="V29" s="1074"/>
      <c r="W29" s="1074"/>
      <c r="X29" s="1074"/>
      <c r="Y29" s="1074"/>
      <c r="Z29" s="1074"/>
      <c r="AA29" s="1075"/>
      <c r="AB29" s="1076"/>
      <c r="AC29" s="1077"/>
      <c r="AD29" s="1076"/>
      <c r="AE29" s="1078"/>
      <c r="AF29" s="1074"/>
      <c r="AG29" s="1074"/>
      <c r="AH29" s="1079"/>
      <c r="AI29" s="1076"/>
      <c r="AJ29" s="1077"/>
      <c r="AK29" s="1076"/>
      <c r="AL29" s="1074"/>
      <c r="AM29" s="1074"/>
      <c r="AN29" s="1074"/>
      <c r="AO29" s="1074"/>
      <c r="AP29" s="1076"/>
      <c r="AQ29" s="1077"/>
      <c r="AR29" s="1076"/>
      <c r="AS29" s="1074"/>
      <c r="AT29" s="1074"/>
      <c r="AU29" s="1074"/>
      <c r="AV29" s="1076"/>
      <c r="AW29" s="1077"/>
      <c r="AX29" s="1076"/>
      <c r="AY29" s="1074"/>
      <c r="AZ29" s="1074"/>
      <c r="BA29" s="1080"/>
      <c r="BB29" s="1081"/>
      <c r="BC29" s="1076"/>
      <c r="BD29" s="1077"/>
      <c r="BE29" s="1076"/>
      <c r="BF29" s="1076"/>
      <c r="BG29" s="1009"/>
      <c r="BH29" s="28"/>
      <c r="BI29" s="64"/>
      <c r="BJ29" s="168"/>
      <c r="BK29" s="168"/>
      <c r="BL29" s="168"/>
      <c r="BM29" s="169"/>
      <c r="BN29" s="169"/>
      <c r="BO29" s="169"/>
      <c r="BP29" s="168"/>
      <c r="BQ29" s="168"/>
      <c r="BR29" s="168"/>
      <c r="BS29" s="168"/>
      <c r="BT29" s="168"/>
      <c r="BU29" s="168"/>
      <c r="BV29" s="168"/>
      <c r="BW29" s="168"/>
      <c r="BX29" s="168"/>
      <c r="BY29" s="168"/>
      <c r="BZ29" s="168"/>
      <c r="CA29" s="168"/>
      <c r="CB29" s="170"/>
      <c r="CC29" s="168"/>
      <c r="CD29" s="168"/>
      <c r="CE29" s="170"/>
      <c r="CF29" s="170"/>
      <c r="CG29" s="170"/>
      <c r="CH29" s="170"/>
      <c r="CI29" s="168"/>
      <c r="CJ29" s="168"/>
      <c r="CK29" s="170"/>
      <c r="CL29" s="170"/>
      <c r="CM29" s="170"/>
      <c r="CN29" s="113"/>
      <c r="CO29" s="36"/>
      <c r="CP29" s="36"/>
      <c r="CQ29" s="36"/>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6"/>
      <c r="EA29" s="36"/>
      <c r="EB29" s="36"/>
      <c r="EC29" s="36"/>
      <c r="ED29" s="36"/>
      <c r="EE29" s="36"/>
      <c r="EF29" s="36"/>
      <c r="EG29" s="36"/>
    </row>
    <row r="30" spans="1:137" s="27" customFormat="1" ht="24.75" customHeight="1" x14ac:dyDescent="0.25">
      <c r="A30" s="26"/>
      <c r="B30" s="1799" t="s">
        <v>51</v>
      </c>
      <c r="C30" s="1800"/>
      <c r="D30" s="1800"/>
      <c r="E30" s="1800"/>
      <c r="F30" s="1800"/>
      <c r="G30" s="1800"/>
      <c r="H30" s="1800"/>
      <c r="I30" s="1800"/>
      <c r="J30" s="1800"/>
      <c r="K30" s="1800"/>
      <c r="L30" s="1800"/>
      <c r="M30" s="1800"/>
      <c r="N30" s="1800"/>
      <c r="O30" s="1800"/>
      <c r="P30" s="1800"/>
      <c r="Q30" s="1800"/>
      <c r="R30" s="1800"/>
      <c r="S30" s="1800"/>
      <c r="T30" s="1800"/>
      <c r="U30" s="1800"/>
      <c r="V30" s="1800"/>
      <c r="W30" s="1800"/>
      <c r="X30" s="1800"/>
      <c r="Y30" s="1800"/>
      <c r="Z30" s="1800"/>
      <c r="AA30" s="1800"/>
      <c r="AB30" s="1800"/>
      <c r="AC30" s="1800"/>
      <c r="AD30" s="1800"/>
      <c r="AE30" s="1800"/>
      <c r="AF30" s="1800"/>
      <c r="AG30" s="1800"/>
      <c r="AH30" s="1800"/>
      <c r="AI30" s="1800"/>
      <c r="AJ30" s="1800"/>
      <c r="AK30" s="1800"/>
      <c r="AL30" s="1800"/>
      <c r="AM30" s="1800"/>
      <c r="AN30" s="1800"/>
      <c r="AO30" s="1800"/>
      <c r="AP30" s="1800"/>
      <c r="AQ30" s="1800"/>
      <c r="AR30" s="1800"/>
      <c r="AS30" s="1800"/>
      <c r="AT30" s="1800"/>
      <c r="AU30" s="1800"/>
      <c r="AV30" s="1800"/>
      <c r="AW30" s="1800"/>
      <c r="AX30" s="1800"/>
      <c r="AY30" s="1800"/>
      <c r="AZ30" s="1800"/>
      <c r="BA30" s="1800"/>
      <c r="BB30" s="1800"/>
      <c r="BC30" s="1800"/>
      <c r="BD30" s="1800"/>
      <c r="BE30" s="1800"/>
      <c r="BF30" s="1800"/>
      <c r="BG30" s="1801"/>
      <c r="BH30" s="28"/>
      <c r="BI30" s="64"/>
      <c r="BJ30" s="168"/>
      <c r="BK30" s="168"/>
      <c r="BL30" s="168"/>
      <c r="BM30" s="169"/>
      <c r="BN30" s="169"/>
      <c r="BO30" s="169"/>
      <c r="BP30" s="168"/>
      <c r="BQ30" s="168"/>
      <c r="BR30" s="168"/>
      <c r="BS30" s="168"/>
      <c r="BT30" s="168"/>
      <c r="BU30" s="168"/>
      <c r="BV30" s="168"/>
      <c r="BW30" s="168"/>
      <c r="BX30" s="168"/>
      <c r="BY30" s="168"/>
      <c r="BZ30" s="168"/>
      <c r="CA30" s="168"/>
      <c r="CB30" s="170"/>
      <c r="CC30" s="168"/>
      <c r="CD30" s="168"/>
      <c r="CE30" s="170"/>
      <c r="CF30" s="170"/>
      <c r="CG30" s="170"/>
      <c r="CH30" s="170"/>
      <c r="CI30" s="168"/>
      <c r="CJ30" s="168"/>
      <c r="CK30" s="170"/>
      <c r="CL30" s="170"/>
      <c r="CM30" s="170"/>
      <c r="CN30" s="113"/>
      <c r="CO30" s="36"/>
      <c r="CP30" s="36"/>
      <c r="CQ30" s="36"/>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6"/>
      <c r="EA30" s="36"/>
      <c r="EB30" s="36"/>
      <c r="EC30" s="36"/>
      <c r="ED30" s="36"/>
      <c r="EE30" s="36"/>
      <c r="EF30" s="36"/>
      <c r="EG30" s="36"/>
    </row>
    <row r="31" spans="1:137" s="64" customFormat="1" ht="15" customHeight="1" x14ac:dyDescent="0.25">
      <c r="A31" s="26"/>
      <c r="B31" s="1793" t="s">
        <v>283</v>
      </c>
      <c r="C31" s="1795" t="s">
        <v>287</v>
      </c>
      <c r="D31" s="1795" t="s">
        <v>25</v>
      </c>
      <c r="E31" s="1795"/>
      <c r="F31" s="1795"/>
      <c r="G31" s="1795"/>
      <c r="H31" s="1795"/>
      <c r="I31" s="1795"/>
      <c r="J31" s="1795"/>
      <c r="K31" s="1795"/>
      <c r="L31" s="1795"/>
      <c r="M31" s="1795"/>
      <c r="N31" s="1795"/>
      <c r="O31" s="1795"/>
      <c r="P31" s="1795"/>
      <c r="Q31" s="1795"/>
      <c r="R31" s="1795"/>
      <c r="S31" s="1795" t="s">
        <v>193</v>
      </c>
      <c r="T31" s="1795"/>
      <c r="U31" s="1795"/>
      <c r="V31" s="1795"/>
      <c r="W31" s="1795"/>
      <c r="X31" s="1796" t="s">
        <v>201</v>
      </c>
      <c r="Y31" s="1796"/>
      <c r="Z31" s="1796"/>
      <c r="AA31" s="1796"/>
      <c r="AB31" s="1796"/>
      <c r="AC31" s="1796"/>
      <c r="AD31" s="1796"/>
      <c r="AE31" s="1796" t="s">
        <v>200</v>
      </c>
      <c r="AF31" s="1796"/>
      <c r="AG31" s="1796"/>
      <c r="AH31" s="1796"/>
      <c r="AI31" s="1796"/>
      <c r="AJ31" s="1796"/>
      <c r="AK31" s="1796"/>
      <c r="AL31" s="1796" t="s">
        <v>199</v>
      </c>
      <c r="AM31" s="1796"/>
      <c r="AN31" s="1796"/>
      <c r="AO31" s="1796"/>
      <c r="AP31" s="1796"/>
      <c r="AQ31" s="1796"/>
      <c r="AR31" s="1796"/>
      <c r="AS31" s="1796" t="s">
        <v>363</v>
      </c>
      <c r="AT31" s="1796"/>
      <c r="AU31" s="1796"/>
      <c r="AV31" s="1796"/>
      <c r="AW31" s="1796"/>
      <c r="AX31" s="1796"/>
      <c r="AY31" s="1796" t="s">
        <v>198</v>
      </c>
      <c r="AZ31" s="1796"/>
      <c r="BA31" s="1796"/>
      <c r="BB31" s="1796"/>
      <c r="BC31" s="1796"/>
      <c r="BD31" s="1796"/>
      <c r="BE31" s="1796"/>
      <c r="BF31" s="1774" t="s">
        <v>604</v>
      </c>
      <c r="BG31" s="1797" t="s">
        <v>26</v>
      </c>
      <c r="BH31" s="28"/>
      <c r="BJ31" s="168"/>
      <c r="BK31" s="168"/>
      <c r="BL31" s="168"/>
      <c r="BM31" s="169"/>
      <c r="BN31" s="169"/>
      <c r="BO31" s="169"/>
      <c r="BP31" s="168"/>
      <c r="BQ31" s="168"/>
      <c r="BR31" s="168"/>
      <c r="BS31" s="168"/>
      <c r="BT31" s="168"/>
      <c r="BU31" s="168"/>
      <c r="BV31" s="168"/>
      <c r="BW31" s="168"/>
      <c r="BX31" s="168"/>
      <c r="BY31" s="168"/>
      <c r="BZ31" s="168"/>
      <c r="CA31" s="168"/>
      <c r="CB31" s="170"/>
      <c r="CC31" s="168"/>
      <c r="CD31" s="168"/>
      <c r="CE31" s="170"/>
      <c r="CF31" s="170"/>
      <c r="CG31" s="170"/>
      <c r="CH31" s="170"/>
      <c r="CI31" s="168"/>
      <c r="CJ31" s="168"/>
      <c r="CK31" s="170"/>
      <c r="CL31" s="170"/>
      <c r="CM31" s="170"/>
      <c r="CN31" s="113"/>
      <c r="CO31" s="36"/>
      <c r="CP31" s="36"/>
      <c r="CQ31" s="36"/>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6"/>
      <c r="EA31" s="36"/>
      <c r="EB31" s="36"/>
      <c r="EC31" s="36"/>
      <c r="ED31" s="36"/>
      <c r="EE31" s="36"/>
      <c r="EF31" s="36"/>
      <c r="EG31" s="36"/>
    </row>
    <row r="32" spans="1:137" s="64" customFormat="1" ht="60" x14ac:dyDescent="0.25">
      <c r="A32" s="26"/>
      <c r="B32" s="1794"/>
      <c r="C32" s="1795"/>
      <c r="D32" s="1045" t="s">
        <v>27</v>
      </c>
      <c r="E32" s="1045" t="s">
        <v>28</v>
      </c>
      <c r="F32" s="1045" t="s">
        <v>29</v>
      </c>
      <c r="G32" s="1045" t="s">
        <v>30</v>
      </c>
      <c r="H32" s="1045" t="s">
        <v>31</v>
      </c>
      <c r="I32" s="1045" t="s">
        <v>32</v>
      </c>
      <c r="J32" s="1045" t="s">
        <v>33</v>
      </c>
      <c r="K32" s="1045" t="s">
        <v>34</v>
      </c>
      <c r="L32" s="1045" t="s">
        <v>35</v>
      </c>
      <c r="M32" s="1045" t="s">
        <v>36</v>
      </c>
      <c r="N32" s="1045" t="s">
        <v>37</v>
      </c>
      <c r="O32" s="1045" t="s">
        <v>38</v>
      </c>
      <c r="P32" s="1045" t="s">
        <v>39</v>
      </c>
      <c r="Q32" s="1045" t="s">
        <v>40</v>
      </c>
      <c r="R32" s="1045" t="s">
        <v>41</v>
      </c>
      <c r="S32" s="1045" t="s">
        <v>42</v>
      </c>
      <c r="T32" s="1045" t="s">
        <v>43</v>
      </c>
      <c r="U32" s="1045" t="s">
        <v>44</v>
      </c>
      <c r="V32" s="1046" t="s">
        <v>210</v>
      </c>
      <c r="W32" s="1047" t="s">
        <v>193</v>
      </c>
      <c r="X32" s="1774" t="s">
        <v>194</v>
      </c>
      <c r="Y32" s="1774"/>
      <c r="Z32" s="1045" t="s">
        <v>202</v>
      </c>
      <c r="AA32" s="1048" t="s">
        <v>605</v>
      </c>
      <c r="AB32" s="1048" t="s">
        <v>617</v>
      </c>
      <c r="AC32" s="1045" t="s">
        <v>203</v>
      </c>
      <c r="AD32" s="1048" t="s">
        <v>294</v>
      </c>
      <c r="AE32" s="1774" t="s">
        <v>195</v>
      </c>
      <c r="AF32" s="1774"/>
      <c r="AG32" s="1047" t="s">
        <v>204</v>
      </c>
      <c r="AH32" s="1049" t="s">
        <v>618</v>
      </c>
      <c r="AI32" s="1049" t="s">
        <v>619</v>
      </c>
      <c r="AJ32" s="1045" t="s">
        <v>205</v>
      </c>
      <c r="AK32" s="1048" t="s">
        <v>294</v>
      </c>
      <c r="AL32" s="1774" t="s">
        <v>196</v>
      </c>
      <c r="AM32" s="1774"/>
      <c r="AN32" s="1045" t="s">
        <v>206</v>
      </c>
      <c r="AO32" s="1045" t="s">
        <v>620</v>
      </c>
      <c r="AP32" s="1045" t="s">
        <v>621</v>
      </c>
      <c r="AQ32" s="1045" t="s">
        <v>207</v>
      </c>
      <c r="AR32" s="1048" t="s">
        <v>294</v>
      </c>
      <c r="AS32" s="1774" t="s">
        <v>622</v>
      </c>
      <c r="AT32" s="1774"/>
      <c r="AU32" s="1047" t="s">
        <v>365</v>
      </c>
      <c r="AV32" s="1048" t="s">
        <v>623</v>
      </c>
      <c r="AW32" s="1045" t="s">
        <v>364</v>
      </c>
      <c r="AX32" s="1048" t="s">
        <v>294</v>
      </c>
      <c r="AY32" s="1774" t="s">
        <v>197</v>
      </c>
      <c r="AZ32" s="1774"/>
      <c r="BA32" s="1045" t="s">
        <v>208</v>
      </c>
      <c r="BB32" s="1048" t="s">
        <v>624</v>
      </c>
      <c r="BC32" s="1048" t="s">
        <v>625</v>
      </c>
      <c r="BD32" s="1045" t="s">
        <v>209</v>
      </c>
      <c r="BE32" s="1048" t="s">
        <v>294</v>
      </c>
      <c r="BF32" s="1774"/>
      <c r="BG32" s="1797"/>
      <c r="BH32" s="28"/>
      <c r="BJ32" s="168"/>
      <c r="BK32" s="168"/>
      <c r="BL32" s="168"/>
      <c r="BM32" s="169"/>
      <c r="BN32" s="169"/>
      <c r="BO32" s="169"/>
      <c r="BP32" s="168"/>
      <c r="BQ32" s="168"/>
      <c r="BR32" s="168"/>
      <c r="BS32" s="168"/>
      <c r="BT32" s="168"/>
      <c r="BU32" s="168"/>
      <c r="BV32" s="168"/>
      <c r="BW32" s="168"/>
      <c r="BX32" s="168"/>
      <c r="BY32" s="168"/>
      <c r="BZ32" s="168"/>
      <c r="CA32" s="168"/>
      <c r="CB32" s="170"/>
      <c r="CC32" s="168"/>
      <c r="CD32" s="168"/>
      <c r="CE32" s="170"/>
      <c r="CF32" s="170"/>
      <c r="CG32" s="170"/>
      <c r="CH32" s="170"/>
      <c r="CI32" s="168"/>
      <c r="CJ32" s="168"/>
      <c r="CK32" s="170"/>
      <c r="CL32" s="170"/>
      <c r="CM32" s="170"/>
      <c r="CN32" s="113"/>
      <c r="CO32" s="127"/>
      <c r="CP32" s="127"/>
      <c r="CQ32" s="12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6"/>
      <c r="EA32" s="36"/>
      <c r="EB32" s="36"/>
      <c r="EC32" s="36"/>
      <c r="ED32" s="36"/>
      <c r="EE32" s="36"/>
      <c r="EF32" s="36"/>
      <c r="EG32" s="36"/>
    </row>
    <row r="33" spans="1:137" s="27" customFormat="1" x14ac:dyDescent="0.25">
      <c r="A33" s="26"/>
      <c r="B33" s="1775" t="s">
        <v>1341</v>
      </c>
      <c r="C33" s="553"/>
      <c r="D33" s="1050">
        <f t="shared" ref="D33:D39" si="32">VLOOKUP($C33,$BI$72:$CM$454,2,FALSE)</f>
        <v>0</v>
      </c>
      <c r="E33" s="421"/>
      <c r="F33" s="421"/>
      <c r="G33" s="421"/>
      <c r="H33" s="426"/>
      <c r="I33" s="426"/>
      <c r="J33" s="426"/>
      <c r="K33" s="426"/>
      <c r="L33" s="426"/>
      <c r="M33" s="426"/>
      <c r="N33" s="426"/>
      <c r="O33" s="426"/>
      <c r="P33" s="426"/>
      <c r="Q33" s="422">
        <f t="shared" ref="Q33:Q39" si="33">SUM(E33:P33)</f>
        <v>0</v>
      </c>
      <c r="R33" s="423">
        <f t="shared" ref="R33:R39" si="34">COUNT(E33:P33)</f>
        <v>0</v>
      </c>
      <c r="S33" s="422">
        <f t="shared" ref="S33:S39" si="35">IF(R33&gt;1,AVERAGE(E33:P33),0)</f>
        <v>0</v>
      </c>
      <c r="T33" s="422">
        <f t="shared" ref="T33:T39" si="36">IF(R33&gt;1,STDEV(E33:P33),0)</f>
        <v>0</v>
      </c>
      <c r="U33" s="422">
        <f t="shared" ref="U33:U39" si="37">IF(R33&gt;1,VLOOKUP($R33,$BI$406:$BJ$418,2,FALSE),0)</f>
        <v>0</v>
      </c>
      <c r="V33" s="424"/>
      <c r="W33" s="425">
        <f t="shared" ref="W33:W39" si="38">IF(R33&gt;1,1-((S33-((T33*U33)/(SQRT(R33))))/S33),VLOOKUP($C33,$BI$72:$CS$454,34,FALSE))</f>
        <v>0</v>
      </c>
      <c r="X33" s="1030">
        <v>0</v>
      </c>
      <c r="Y33" s="1031">
        <v>0</v>
      </c>
      <c r="Z33" s="1032">
        <v>0</v>
      </c>
      <c r="AA33" s="1033">
        <f t="shared" ref="AA33:AA39" si="39">($Q33*X33)/1000</f>
        <v>0</v>
      </c>
      <c r="AB33" s="1033">
        <f t="shared" ref="AB33:AB39" si="40">AA33*$BJ$424</f>
        <v>0</v>
      </c>
      <c r="AC33" s="1032">
        <f t="shared" ref="AC33:AC39" si="41">IF(AA33&gt;0,SQRT(($W33*$W33)+(Z33*Z33)+($V33*$V33)),0)</f>
        <v>0</v>
      </c>
      <c r="AD33" s="1033">
        <f t="shared" ref="AD33:AD40" si="42">(AB33*AC33)^2</f>
        <v>0</v>
      </c>
      <c r="AE33" s="1051">
        <f t="shared" ref="AE33:AE39" si="43">VLOOKUP($C33,$BI$72:$CM$454,3,FALSE)</f>
        <v>0</v>
      </c>
      <c r="AF33" s="1031">
        <f t="shared" ref="AF33:AF39" si="44">VLOOKUP($C33,$BI$72:$CM$454,4,FALSE)</f>
        <v>0</v>
      </c>
      <c r="AG33" s="1032">
        <f t="shared" ref="AG33:AG39" si="45">IF($Q33&gt;0,VLOOKUP($C33,$BI$72:$CM$454,6,FALSE),0)</f>
        <v>0</v>
      </c>
      <c r="AH33" s="1033">
        <f t="shared" ref="AH33:AH39" si="46">($Q33*AE33)/1000</f>
        <v>0</v>
      </c>
      <c r="AI33" s="1052">
        <f t="shared" ref="AI33:AI39" si="47">AH33*$BJ$425</f>
        <v>0</v>
      </c>
      <c r="AJ33" s="1032">
        <f t="shared" ref="AJ33:AJ39" si="48">IF(AH33&gt;0,SQRT(($W33*$W33)+(AG33*AG33)+($V33*$V33)),0)</f>
        <v>0</v>
      </c>
      <c r="AK33" s="1033">
        <f t="shared" ref="AK33:AK40" si="49">(AI33*AJ33)^2</f>
        <v>0</v>
      </c>
      <c r="AL33" s="1053">
        <f>VLOOKUP($C33,$BI$72:$CM$454,9,FALSE)</f>
        <v>0</v>
      </c>
      <c r="AM33" s="1031">
        <f>VLOOKUP($C33,$BI$72:$CM$454,10,FALSE)</f>
        <v>0</v>
      </c>
      <c r="AN33" s="1032">
        <f>IF($Q33&gt;0,VLOOKUP($C33,$BI$72:$CM$454,12,FALSE),0)</f>
        <v>0</v>
      </c>
      <c r="AO33" s="1052">
        <f>(W33*AL33)/1000</f>
        <v>0</v>
      </c>
      <c r="AP33" s="1052">
        <f>AO33*$BJ$426</f>
        <v>0</v>
      </c>
      <c r="AQ33" s="1032">
        <f t="shared" ref="AQ33:AQ39" si="50">IF(AO33&gt;0,SQRT(($W33*$W33)+(AN33*AN33)+($V33*$V33)),0)</f>
        <v>0</v>
      </c>
      <c r="AR33" s="1033">
        <f t="shared" ref="AR33:AR40" si="51">(AP33*AQ33)^2</f>
        <v>0</v>
      </c>
      <c r="AS33" s="1030">
        <v>0</v>
      </c>
      <c r="AT33" s="1031">
        <v>0</v>
      </c>
      <c r="AU33" s="1032">
        <v>0</v>
      </c>
      <c r="AV33" s="1052">
        <v>0</v>
      </c>
      <c r="AW33" s="1032">
        <v>0</v>
      </c>
      <c r="AX33" s="1033">
        <f t="shared" ref="AX33:AX40" si="52">(AV33*AW33)^2</f>
        <v>0</v>
      </c>
      <c r="AY33" s="1030">
        <v>0</v>
      </c>
      <c r="AZ33" s="1031">
        <v>0</v>
      </c>
      <c r="BA33" s="1032">
        <v>0</v>
      </c>
      <c r="BB33" s="1052">
        <f t="shared" ref="BB33:BB39" si="53">($Q33*AY33)/1000</f>
        <v>0</v>
      </c>
      <c r="BC33" s="1052">
        <f t="shared" ref="BC33:BC39" si="54">BB33*$BJ$427</f>
        <v>0</v>
      </c>
      <c r="BD33" s="1032">
        <v>0</v>
      </c>
      <c r="BE33" s="1033">
        <f t="shared" ref="BE33:BE40" si="55">(BC33*BD33)^2</f>
        <v>0</v>
      </c>
      <c r="BF33" s="1006">
        <f t="shared" ref="BF33:BF39" si="56">AB33+AI33+AP33+AV33+BC33</f>
        <v>0</v>
      </c>
      <c r="BG33" s="1007">
        <f t="shared" ref="BG33:BG39" si="57">IF(BF33&gt;0,SQRT(AD33+AK33+AR33+AX33+BE33)/BF33,0)</f>
        <v>0</v>
      </c>
      <c r="BH33" s="28">
        <f t="shared" ref="BH33:BH40" si="58">(BF33*BG33)^2</f>
        <v>0</v>
      </c>
      <c r="BI33" s="64"/>
      <c r="BJ33" s="168"/>
      <c r="BK33" s="168"/>
      <c r="BL33" s="168"/>
      <c r="BM33" s="169"/>
      <c r="BN33" s="169"/>
      <c r="BO33" s="169"/>
      <c r="BP33" s="168"/>
      <c r="BQ33" s="168"/>
      <c r="BR33" s="168"/>
      <c r="BS33" s="168"/>
      <c r="BT33" s="168"/>
      <c r="BU33" s="168"/>
      <c r="BV33" s="168"/>
      <c r="BW33" s="168"/>
      <c r="BX33" s="168"/>
      <c r="BY33" s="168"/>
      <c r="BZ33" s="168"/>
      <c r="CA33" s="168"/>
      <c r="CB33" s="170"/>
      <c r="CC33" s="168"/>
      <c r="CD33" s="168"/>
      <c r="CE33" s="170"/>
      <c r="CF33" s="170"/>
      <c r="CG33" s="170"/>
      <c r="CH33" s="170"/>
      <c r="CI33" s="168"/>
      <c r="CJ33" s="168"/>
      <c r="CK33" s="170"/>
      <c r="CL33" s="170"/>
      <c r="CM33" s="170"/>
      <c r="CN33" s="113"/>
      <c r="CO33" s="127"/>
      <c r="CP33" s="127"/>
      <c r="CQ33" s="12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6"/>
      <c r="EA33" s="36"/>
      <c r="EB33" s="36"/>
      <c r="EC33" s="36"/>
      <c r="ED33" s="36"/>
      <c r="EE33" s="36"/>
      <c r="EF33" s="36"/>
      <c r="EG33" s="36"/>
    </row>
    <row r="34" spans="1:137" s="27" customFormat="1" ht="15" customHeight="1" x14ac:dyDescent="0.25">
      <c r="A34" s="26"/>
      <c r="B34" s="1776"/>
      <c r="C34" s="553"/>
      <c r="D34" s="1050">
        <f t="shared" si="32"/>
        <v>0</v>
      </c>
      <c r="E34" s="421"/>
      <c r="F34" s="421"/>
      <c r="G34" s="421"/>
      <c r="H34" s="426"/>
      <c r="I34" s="426"/>
      <c r="J34" s="426"/>
      <c r="K34" s="426"/>
      <c r="L34" s="426"/>
      <c r="M34" s="426"/>
      <c r="N34" s="426"/>
      <c r="O34" s="426"/>
      <c r="P34" s="426"/>
      <c r="Q34" s="422">
        <f t="shared" si="33"/>
        <v>0</v>
      </c>
      <c r="R34" s="423">
        <f t="shared" si="34"/>
        <v>0</v>
      </c>
      <c r="S34" s="422">
        <f t="shared" si="35"/>
        <v>0</v>
      </c>
      <c r="T34" s="422">
        <f t="shared" si="36"/>
        <v>0</v>
      </c>
      <c r="U34" s="422">
        <f t="shared" si="37"/>
        <v>0</v>
      </c>
      <c r="V34" s="424"/>
      <c r="W34" s="425">
        <f t="shared" si="38"/>
        <v>0</v>
      </c>
      <c r="X34" s="1030">
        <v>0</v>
      </c>
      <c r="Y34" s="1031">
        <v>0</v>
      </c>
      <c r="Z34" s="1032">
        <v>0</v>
      </c>
      <c r="AA34" s="1033">
        <f t="shared" si="39"/>
        <v>0</v>
      </c>
      <c r="AB34" s="1033">
        <f t="shared" si="40"/>
        <v>0</v>
      </c>
      <c r="AC34" s="1032">
        <f t="shared" si="41"/>
        <v>0</v>
      </c>
      <c r="AD34" s="1033">
        <f t="shared" si="42"/>
        <v>0</v>
      </c>
      <c r="AE34" s="1051">
        <f t="shared" si="43"/>
        <v>0</v>
      </c>
      <c r="AF34" s="1031">
        <f t="shared" si="44"/>
        <v>0</v>
      </c>
      <c r="AG34" s="1032">
        <f t="shared" si="45"/>
        <v>0</v>
      </c>
      <c r="AH34" s="1033">
        <f t="shared" si="46"/>
        <v>0</v>
      </c>
      <c r="AI34" s="1052">
        <f t="shared" si="47"/>
        <v>0</v>
      </c>
      <c r="AJ34" s="1032">
        <f t="shared" si="48"/>
        <v>0</v>
      </c>
      <c r="AK34" s="1033">
        <f t="shared" si="49"/>
        <v>0</v>
      </c>
      <c r="AL34" s="1053">
        <f t="shared" ref="AL34:AL39" si="59">VLOOKUP($C34,$BI$72:$CM$454,9,FALSE)</f>
        <v>0</v>
      </c>
      <c r="AM34" s="1031">
        <f t="shared" ref="AM34:AM39" si="60">VLOOKUP($C34,$BI$72:$CM$454,10,FALSE)</f>
        <v>0</v>
      </c>
      <c r="AN34" s="1032">
        <f t="shared" ref="AN34:AN39" si="61">IF($Q34&gt;0,VLOOKUP($C34,$BI$72:$CM$454,12,FALSE),0)</f>
        <v>0</v>
      </c>
      <c r="AO34" s="1052">
        <f t="shared" ref="AO34:AO39" si="62">(W34*AL34)/1000</f>
        <v>0</v>
      </c>
      <c r="AP34" s="1052">
        <f t="shared" ref="AP34:AP39" si="63">AO34*$BJ$426</f>
        <v>0</v>
      </c>
      <c r="AQ34" s="1032">
        <f t="shared" si="50"/>
        <v>0</v>
      </c>
      <c r="AR34" s="1033">
        <f t="shared" si="51"/>
        <v>0</v>
      </c>
      <c r="AS34" s="1030">
        <v>0</v>
      </c>
      <c r="AT34" s="1031">
        <v>0</v>
      </c>
      <c r="AU34" s="1032">
        <v>0</v>
      </c>
      <c r="AV34" s="1052">
        <v>0</v>
      </c>
      <c r="AW34" s="1032">
        <v>0</v>
      </c>
      <c r="AX34" s="1033">
        <f t="shared" si="52"/>
        <v>0</v>
      </c>
      <c r="AY34" s="1030">
        <v>0</v>
      </c>
      <c r="AZ34" s="1031">
        <v>0</v>
      </c>
      <c r="BA34" s="1032">
        <v>0</v>
      </c>
      <c r="BB34" s="1052">
        <f t="shared" si="53"/>
        <v>0</v>
      </c>
      <c r="BC34" s="1052">
        <f t="shared" si="54"/>
        <v>0</v>
      </c>
      <c r="BD34" s="1032">
        <v>0</v>
      </c>
      <c r="BE34" s="1033">
        <f t="shared" si="55"/>
        <v>0</v>
      </c>
      <c r="BF34" s="1006">
        <f t="shared" si="56"/>
        <v>0</v>
      </c>
      <c r="BG34" s="1007">
        <f t="shared" si="57"/>
        <v>0</v>
      </c>
      <c r="BH34" s="28">
        <f t="shared" si="58"/>
        <v>0</v>
      </c>
      <c r="BI34" s="64"/>
      <c r="BJ34" s="168"/>
      <c r="BK34" s="168"/>
      <c r="BL34" s="168"/>
      <c r="BM34" s="169"/>
      <c r="BN34" s="169"/>
      <c r="BO34" s="169"/>
      <c r="BP34" s="168"/>
      <c r="BQ34" s="168"/>
      <c r="BR34" s="168"/>
      <c r="BS34" s="168"/>
      <c r="BT34" s="168"/>
      <c r="BU34" s="168"/>
      <c r="BV34" s="168"/>
      <c r="BW34" s="168"/>
      <c r="BX34" s="168"/>
      <c r="BY34" s="168"/>
      <c r="BZ34" s="168"/>
      <c r="CA34" s="168"/>
      <c r="CB34" s="170"/>
      <c r="CC34" s="168"/>
      <c r="CD34" s="168"/>
      <c r="CE34" s="170"/>
      <c r="CF34" s="170"/>
      <c r="CG34" s="170"/>
      <c r="CH34" s="170"/>
      <c r="CI34" s="168"/>
      <c r="CJ34" s="168"/>
      <c r="CK34" s="170"/>
      <c r="CL34" s="170"/>
      <c r="CM34" s="170"/>
      <c r="CN34" s="113"/>
      <c r="CO34" s="127"/>
      <c r="CP34" s="127"/>
      <c r="CQ34" s="12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6"/>
      <c r="EA34" s="36"/>
      <c r="EB34" s="36"/>
      <c r="EC34" s="36"/>
      <c r="ED34" s="36"/>
      <c r="EE34" s="36"/>
      <c r="EF34" s="36"/>
      <c r="EG34" s="36"/>
    </row>
    <row r="35" spans="1:137" s="27" customFormat="1" x14ac:dyDescent="0.25">
      <c r="A35" s="26"/>
      <c r="B35" s="1776"/>
      <c r="C35" s="553"/>
      <c r="D35" s="1050">
        <f t="shared" si="32"/>
        <v>0</v>
      </c>
      <c r="E35" s="421"/>
      <c r="F35" s="421"/>
      <c r="G35" s="421"/>
      <c r="H35" s="426"/>
      <c r="I35" s="426"/>
      <c r="J35" s="426"/>
      <c r="K35" s="426"/>
      <c r="L35" s="426"/>
      <c r="M35" s="426"/>
      <c r="N35" s="426"/>
      <c r="O35" s="426"/>
      <c r="P35" s="426"/>
      <c r="Q35" s="422">
        <f t="shared" si="33"/>
        <v>0</v>
      </c>
      <c r="R35" s="423">
        <f t="shared" si="34"/>
        <v>0</v>
      </c>
      <c r="S35" s="422">
        <f t="shared" si="35"/>
        <v>0</v>
      </c>
      <c r="T35" s="422">
        <f t="shared" si="36"/>
        <v>0</v>
      </c>
      <c r="U35" s="422">
        <f t="shared" si="37"/>
        <v>0</v>
      </c>
      <c r="V35" s="424"/>
      <c r="W35" s="425">
        <f t="shared" si="38"/>
        <v>0</v>
      </c>
      <c r="X35" s="1030">
        <v>0</v>
      </c>
      <c r="Y35" s="1031">
        <v>0</v>
      </c>
      <c r="Z35" s="1032">
        <v>0</v>
      </c>
      <c r="AA35" s="1033">
        <f t="shared" si="39"/>
        <v>0</v>
      </c>
      <c r="AB35" s="1033">
        <f t="shared" si="40"/>
        <v>0</v>
      </c>
      <c r="AC35" s="1032">
        <f t="shared" si="41"/>
        <v>0</v>
      </c>
      <c r="AD35" s="1033">
        <f t="shared" si="42"/>
        <v>0</v>
      </c>
      <c r="AE35" s="1051">
        <f t="shared" si="43"/>
        <v>0</v>
      </c>
      <c r="AF35" s="1031">
        <f t="shared" si="44"/>
        <v>0</v>
      </c>
      <c r="AG35" s="1032">
        <f t="shared" si="45"/>
        <v>0</v>
      </c>
      <c r="AH35" s="1033">
        <f t="shared" si="46"/>
        <v>0</v>
      </c>
      <c r="AI35" s="1052">
        <f t="shared" si="47"/>
        <v>0</v>
      </c>
      <c r="AJ35" s="1032">
        <f t="shared" si="48"/>
        <v>0</v>
      </c>
      <c r="AK35" s="1033">
        <f t="shared" si="49"/>
        <v>0</v>
      </c>
      <c r="AL35" s="1053">
        <f t="shared" si="59"/>
        <v>0</v>
      </c>
      <c r="AM35" s="1031">
        <f t="shared" si="60"/>
        <v>0</v>
      </c>
      <c r="AN35" s="1032">
        <f t="shared" si="61"/>
        <v>0</v>
      </c>
      <c r="AO35" s="1052">
        <f t="shared" si="62"/>
        <v>0</v>
      </c>
      <c r="AP35" s="1052">
        <f t="shared" si="63"/>
        <v>0</v>
      </c>
      <c r="AQ35" s="1032">
        <f t="shared" si="50"/>
        <v>0</v>
      </c>
      <c r="AR35" s="1033">
        <f t="shared" si="51"/>
        <v>0</v>
      </c>
      <c r="AS35" s="1030">
        <v>0</v>
      </c>
      <c r="AT35" s="1031">
        <v>0</v>
      </c>
      <c r="AU35" s="1032">
        <v>0</v>
      </c>
      <c r="AV35" s="1052">
        <v>0</v>
      </c>
      <c r="AW35" s="1032">
        <v>0</v>
      </c>
      <c r="AX35" s="1033">
        <f t="shared" si="52"/>
        <v>0</v>
      </c>
      <c r="AY35" s="1030">
        <v>0</v>
      </c>
      <c r="AZ35" s="1031">
        <v>0</v>
      </c>
      <c r="BA35" s="1032">
        <v>0</v>
      </c>
      <c r="BB35" s="1052">
        <f t="shared" si="53"/>
        <v>0</v>
      </c>
      <c r="BC35" s="1052">
        <f t="shared" si="54"/>
        <v>0</v>
      </c>
      <c r="BD35" s="1032">
        <v>0</v>
      </c>
      <c r="BE35" s="1033">
        <f t="shared" si="55"/>
        <v>0</v>
      </c>
      <c r="BF35" s="1006">
        <f t="shared" si="56"/>
        <v>0</v>
      </c>
      <c r="BG35" s="1007">
        <f t="shared" si="57"/>
        <v>0</v>
      </c>
      <c r="BH35" s="28">
        <f t="shared" si="58"/>
        <v>0</v>
      </c>
      <c r="BI35" s="64"/>
      <c r="BJ35" s="168"/>
      <c r="BK35" s="168"/>
      <c r="BL35" s="168"/>
      <c r="BM35" s="169"/>
      <c r="BN35" s="169"/>
      <c r="BO35" s="169"/>
      <c r="BP35" s="168"/>
      <c r="BQ35" s="168"/>
      <c r="BR35" s="168"/>
      <c r="BS35" s="168"/>
      <c r="BT35" s="168"/>
      <c r="BU35" s="168"/>
      <c r="BV35" s="168"/>
      <c r="BW35" s="168"/>
      <c r="BX35" s="168"/>
      <c r="BY35" s="168"/>
      <c r="BZ35" s="168"/>
      <c r="CA35" s="168"/>
      <c r="CB35" s="170"/>
      <c r="CC35" s="168"/>
      <c r="CD35" s="168"/>
      <c r="CE35" s="170"/>
      <c r="CF35" s="170"/>
      <c r="CG35" s="170"/>
      <c r="CH35" s="170"/>
      <c r="CI35" s="168"/>
      <c r="CJ35" s="168"/>
      <c r="CK35" s="170"/>
      <c r="CL35" s="170"/>
      <c r="CM35" s="170"/>
      <c r="CN35" s="113"/>
      <c r="CO35" s="127"/>
      <c r="CP35" s="127"/>
      <c r="CQ35" s="12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6"/>
      <c r="EA35" s="36"/>
      <c r="EB35" s="36"/>
      <c r="EC35" s="36"/>
      <c r="ED35" s="36"/>
      <c r="EE35" s="36"/>
      <c r="EF35" s="36"/>
      <c r="EG35" s="36"/>
    </row>
    <row r="36" spans="1:137" s="27" customFormat="1" ht="15" customHeight="1" x14ac:dyDescent="0.25">
      <c r="A36" s="26"/>
      <c r="B36" s="1776"/>
      <c r="C36" s="553"/>
      <c r="D36" s="1050">
        <f t="shared" si="32"/>
        <v>0</v>
      </c>
      <c r="E36" s="421"/>
      <c r="F36" s="421"/>
      <c r="G36" s="421"/>
      <c r="H36" s="426"/>
      <c r="I36" s="426"/>
      <c r="J36" s="426"/>
      <c r="K36" s="426"/>
      <c r="L36" s="426"/>
      <c r="M36" s="426"/>
      <c r="N36" s="426"/>
      <c r="O36" s="426"/>
      <c r="P36" s="426"/>
      <c r="Q36" s="422">
        <f t="shared" si="33"/>
        <v>0</v>
      </c>
      <c r="R36" s="423">
        <f t="shared" si="34"/>
        <v>0</v>
      </c>
      <c r="S36" s="422">
        <f t="shared" si="35"/>
        <v>0</v>
      </c>
      <c r="T36" s="422">
        <f t="shared" si="36"/>
        <v>0</v>
      </c>
      <c r="U36" s="422">
        <f t="shared" si="37"/>
        <v>0</v>
      </c>
      <c r="V36" s="424"/>
      <c r="W36" s="425">
        <f t="shared" si="38"/>
        <v>0</v>
      </c>
      <c r="X36" s="1030">
        <v>0</v>
      </c>
      <c r="Y36" s="1031">
        <v>0</v>
      </c>
      <c r="Z36" s="1032">
        <v>0</v>
      </c>
      <c r="AA36" s="1033">
        <f t="shared" si="39"/>
        <v>0</v>
      </c>
      <c r="AB36" s="1033">
        <f t="shared" si="40"/>
        <v>0</v>
      </c>
      <c r="AC36" s="1032">
        <f t="shared" si="41"/>
        <v>0</v>
      </c>
      <c r="AD36" s="1033">
        <f t="shared" si="42"/>
        <v>0</v>
      </c>
      <c r="AE36" s="1051">
        <f t="shared" si="43"/>
        <v>0</v>
      </c>
      <c r="AF36" s="1031">
        <f t="shared" si="44"/>
        <v>0</v>
      </c>
      <c r="AG36" s="1032">
        <f t="shared" si="45"/>
        <v>0</v>
      </c>
      <c r="AH36" s="1033">
        <f t="shared" si="46"/>
        <v>0</v>
      </c>
      <c r="AI36" s="1052">
        <f t="shared" si="47"/>
        <v>0</v>
      </c>
      <c r="AJ36" s="1032">
        <f t="shared" si="48"/>
        <v>0</v>
      </c>
      <c r="AK36" s="1033">
        <f t="shared" si="49"/>
        <v>0</v>
      </c>
      <c r="AL36" s="1053">
        <f t="shared" si="59"/>
        <v>0</v>
      </c>
      <c r="AM36" s="1031">
        <f t="shared" si="60"/>
        <v>0</v>
      </c>
      <c r="AN36" s="1032">
        <f t="shared" si="61"/>
        <v>0</v>
      </c>
      <c r="AO36" s="1052">
        <f t="shared" si="62"/>
        <v>0</v>
      </c>
      <c r="AP36" s="1052">
        <f t="shared" si="63"/>
        <v>0</v>
      </c>
      <c r="AQ36" s="1032">
        <f t="shared" si="50"/>
        <v>0</v>
      </c>
      <c r="AR36" s="1033">
        <f t="shared" si="51"/>
        <v>0</v>
      </c>
      <c r="AS36" s="1030">
        <v>0</v>
      </c>
      <c r="AT36" s="1031">
        <v>0</v>
      </c>
      <c r="AU36" s="1032">
        <v>0</v>
      </c>
      <c r="AV36" s="1052">
        <v>0</v>
      </c>
      <c r="AW36" s="1032">
        <v>0</v>
      </c>
      <c r="AX36" s="1033">
        <f t="shared" si="52"/>
        <v>0</v>
      </c>
      <c r="AY36" s="1030">
        <v>0</v>
      </c>
      <c r="AZ36" s="1031">
        <v>0</v>
      </c>
      <c r="BA36" s="1032">
        <v>0</v>
      </c>
      <c r="BB36" s="1052">
        <f t="shared" si="53"/>
        <v>0</v>
      </c>
      <c r="BC36" s="1052">
        <f t="shared" si="54"/>
        <v>0</v>
      </c>
      <c r="BD36" s="1032">
        <v>0</v>
      </c>
      <c r="BE36" s="1033">
        <f t="shared" si="55"/>
        <v>0</v>
      </c>
      <c r="BF36" s="1006">
        <f t="shared" si="56"/>
        <v>0</v>
      </c>
      <c r="BG36" s="1007">
        <f t="shared" si="57"/>
        <v>0</v>
      </c>
      <c r="BH36" s="28">
        <f t="shared" si="58"/>
        <v>0</v>
      </c>
      <c r="BI36" s="64"/>
      <c r="BJ36" s="168"/>
      <c r="BK36" s="168"/>
      <c r="BL36" s="168"/>
      <c r="BM36" s="169"/>
      <c r="BN36" s="169"/>
      <c r="BO36" s="169"/>
      <c r="BP36" s="168"/>
      <c r="BQ36" s="168"/>
      <c r="BR36" s="168"/>
      <c r="BS36" s="168"/>
      <c r="BT36" s="168"/>
      <c r="BU36" s="168"/>
      <c r="BV36" s="168"/>
      <c r="BW36" s="168"/>
      <c r="BX36" s="168"/>
      <c r="BY36" s="168"/>
      <c r="BZ36" s="168"/>
      <c r="CA36" s="168"/>
      <c r="CB36" s="170"/>
      <c r="CC36" s="168"/>
      <c r="CD36" s="168"/>
      <c r="CE36" s="170"/>
      <c r="CF36" s="170"/>
      <c r="CG36" s="170"/>
      <c r="CH36" s="170"/>
      <c r="CI36" s="168"/>
      <c r="CJ36" s="168"/>
      <c r="CK36" s="170"/>
      <c r="CL36" s="170"/>
      <c r="CM36" s="170"/>
      <c r="CN36" s="113"/>
      <c r="CO36" s="127"/>
      <c r="CP36" s="127"/>
      <c r="CQ36" s="12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6"/>
      <c r="EA36" s="36"/>
      <c r="EB36" s="36"/>
      <c r="EC36" s="36"/>
      <c r="ED36" s="36"/>
      <c r="EE36" s="36"/>
      <c r="EF36" s="36"/>
      <c r="EG36" s="36"/>
    </row>
    <row r="37" spans="1:137" s="27" customFormat="1" x14ac:dyDescent="0.25">
      <c r="A37" s="26"/>
      <c r="B37" s="1776"/>
      <c r="C37" s="553"/>
      <c r="D37" s="1050">
        <f t="shared" si="32"/>
        <v>0</v>
      </c>
      <c r="E37" s="421"/>
      <c r="F37" s="421"/>
      <c r="G37" s="421"/>
      <c r="H37" s="426"/>
      <c r="I37" s="426"/>
      <c r="J37" s="426"/>
      <c r="K37" s="426"/>
      <c r="L37" s="426"/>
      <c r="M37" s="426"/>
      <c r="N37" s="426"/>
      <c r="O37" s="426"/>
      <c r="P37" s="426"/>
      <c r="Q37" s="422">
        <f t="shared" si="33"/>
        <v>0</v>
      </c>
      <c r="R37" s="423">
        <f t="shared" si="34"/>
        <v>0</v>
      </c>
      <c r="S37" s="422">
        <f t="shared" si="35"/>
        <v>0</v>
      </c>
      <c r="T37" s="422">
        <f t="shared" si="36"/>
        <v>0</v>
      </c>
      <c r="U37" s="422">
        <f t="shared" si="37"/>
        <v>0</v>
      </c>
      <c r="V37" s="424"/>
      <c r="W37" s="425">
        <f t="shared" si="38"/>
        <v>0</v>
      </c>
      <c r="X37" s="1030">
        <v>0</v>
      </c>
      <c r="Y37" s="1031">
        <v>0</v>
      </c>
      <c r="Z37" s="1032">
        <v>0</v>
      </c>
      <c r="AA37" s="1033">
        <f t="shared" si="39"/>
        <v>0</v>
      </c>
      <c r="AB37" s="1033">
        <f t="shared" si="40"/>
        <v>0</v>
      </c>
      <c r="AC37" s="1032">
        <f t="shared" si="41"/>
        <v>0</v>
      </c>
      <c r="AD37" s="1033">
        <f t="shared" si="42"/>
        <v>0</v>
      </c>
      <c r="AE37" s="1051">
        <f t="shared" si="43"/>
        <v>0</v>
      </c>
      <c r="AF37" s="1031">
        <f t="shared" si="44"/>
        <v>0</v>
      </c>
      <c r="AG37" s="1032">
        <f t="shared" si="45"/>
        <v>0</v>
      </c>
      <c r="AH37" s="1033">
        <f t="shared" si="46"/>
        <v>0</v>
      </c>
      <c r="AI37" s="1052">
        <f t="shared" si="47"/>
        <v>0</v>
      </c>
      <c r="AJ37" s="1032">
        <f t="shared" si="48"/>
        <v>0</v>
      </c>
      <c r="AK37" s="1033">
        <f t="shared" si="49"/>
        <v>0</v>
      </c>
      <c r="AL37" s="1053">
        <f t="shared" si="59"/>
        <v>0</v>
      </c>
      <c r="AM37" s="1031">
        <f t="shared" si="60"/>
        <v>0</v>
      </c>
      <c r="AN37" s="1032">
        <f t="shared" si="61"/>
        <v>0</v>
      </c>
      <c r="AO37" s="1052">
        <f t="shared" si="62"/>
        <v>0</v>
      </c>
      <c r="AP37" s="1052">
        <f t="shared" si="63"/>
        <v>0</v>
      </c>
      <c r="AQ37" s="1032">
        <f t="shared" si="50"/>
        <v>0</v>
      </c>
      <c r="AR37" s="1033">
        <f t="shared" si="51"/>
        <v>0</v>
      </c>
      <c r="AS37" s="1030">
        <v>0</v>
      </c>
      <c r="AT37" s="1031">
        <v>0</v>
      </c>
      <c r="AU37" s="1032">
        <v>0</v>
      </c>
      <c r="AV37" s="1052">
        <v>0</v>
      </c>
      <c r="AW37" s="1032">
        <v>0</v>
      </c>
      <c r="AX37" s="1033">
        <f t="shared" si="52"/>
        <v>0</v>
      </c>
      <c r="AY37" s="1030">
        <v>0</v>
      </c>
      <c r="AZ37" s="1031">
        <v>0</v>
      </c>
      <c r="BA37" s="1032">
        <v>0</v>
      </c>
      <c r="BB37" s="1052">
        <f t="shared" si="53"/>
        <v>0</v>
      </c>
      <c r="BC37" s="1052">
        <f t="shared" si="54"/>
        <v>0</v>
      </c>
      <c r="BD37" s="1032">
        <v>0</v>
      </c>
      <c r="BE37" s="1033">
        <f t="shared" si="55"/>
        <v>0</v>
      </c>
      <c r="BF37" s="1006">
        <f t="shared" si="56"/>
        <v>0</v>
      </c>
      <c r="BG37" s="1007">
        <f t="shared" si="57"/>
        <v>0</v>
      </c>
      <c r="BH37" s="28">
        <f t="shared" si="58"/>
        <v>0</v>
      </c>
      <c r="BI37" s="64"/>
      <c r="BJ37" s="168"/>
      <c r="BK37" s="168"/>
      <c r="BL37" s="168"/>
      <c r="BM37" s="169"/>
      <c r="BN37" s="169"/>
      <c r="BO37" s="169"/>
      <c r="BP37" s="168"/>
      <c r="BQ37" s="168"/>
      <c r="BR37" s="168"/>
      <c r="BS37" s="168"/>
      <c r="BT37" s="168"/>
      <c r="BU37" s="168"/>
      <c r="BV37" s="168"/>
      <c r="BW37" s="168"/>
      <c r="BX37" s="168"/>
      <c r="BY37" s="168"/>
      <c r="BZ37" s="168"/>
      <c r="CA37" s="168"/>
      <c r="CB37" s="170"/>
      <c r="CC37" s="168"/>
      <c r="CD37" s="168"/>
      <c r="CE37" s="170"/>
      <c r="CF37" s="170"/>
      <c r="CG37" s="170"/>
      <c r="CH37" s="170"/>
      <c r="CI37" s="168"/>
      <c r="CJ37" s="168"/>
      <c r="CK37" s="170"/>
      <c r="CL37" s="170"/>
      <c r="CM37" s="170"/>
      <c r="CN37" s="113"/>
      <c r="CO37" s="127"/>
      <c r="CP37" s="127"/>
      <c r="CQ37" s="12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6"/>
      <c r="EA37" s="36"/>
      <c r="EB37" s="36"/>
      <c r="EC37" s="36"/>
      <c r="ED37" s="36"/>
      <c r="EE37" s="36"/>
      <c r="EF37" s="36"/>
      <c r="EG37" s="36"/>
    </row>
    <row r="38" spans="1:137" s="27" customFormat="1" ht="15" customHeight="1" x14ac:dyDescent="0.25">
      <c r="A38" s="26"/>
      <c r="B38" s="1776"/>
      <c r="C38" s="553"/>
      <c r="D38" s="1050">
        <f t="shared" si="32"/>
        <v>0</v>
      </c>
      <c r="E38" s="421"/>
      <c r="F38" s="421"/>
      <c r="G38" s="421"/>
      <c r="H38" s="426"/>
      <c r="I38" s="426"/>
      <c r="J38" s="426"/>
      <c r="K38" s="426"/>
      <c r="L38" s="426"/>
      <c r="M38" s="426"/>
      <c r="N38" s="426"/>
      <c r="O38" s="426"/>
      <c r="P38" s="426"/>
      <c r="Q38" s="422">
        <f t="shared" si="33"/>
        <v>0</v>
      </c>
      <c r="R38" s="423">
        <f t="shared" si="34"/>
        <v>0</v>
      </c>
      <c r="S38" s="422">
        <f t="shared" si="35"/>
        <v>0</v>
      </c>
      <c r="T38" s="422">
        <f t="shared" si="36"/>
        <v>0</v>
      </c>
      <c r="U38" s="422">
        <f t="shared" si="37"/>
        <v>0</v>
      </c>
      <c r="V38" s="424"/>
      <c r="W38" s="425">
        <f t="shared" si="38"/>
        <v>0</v>
      </c>
      <c r="X38" s="1030">
        <v>0</v>
      </c>
      <c r="Y38" s="1031">
        <v>0</v>
      </c>
      <c r="Z38" s="1032">
        <v>0</v>
      </c>
      <c r="AA38" s="1033">
        <f t="shared" si="39"/>
        <v>0</v>
      </c>
      <c r="AB38" s="1033">
        <f t="shared" si="40"/>
        <v>0</v>
      </c>
      <c r="AC38" s="1032">
        <f t="shared" si="41"/>
        <v>0</v>
      </c>
      <c r="AD38" s="1033">
        <f t="shared" si="42"/>
        <v>0</v>
      </c>
      <c r="AE38" s="1051">
        <f t="shared" si="43"/>
        <v>0</v>
      </c>
      <c r="AF38" s="1031">
        <f t="shared" si="44"/>
        <v>0</v>
      </c>
      <c r="AG38" s="1032">
        <f t="shared" si="45"/>
        <v>0</v>
      </c>
      <c r="AH38" s="1033">
        <f t="shared" si="46"/>
        <v>0</v>
      </c>
      <c r="AI38" s="1052">
        <f t="shared" si="47"/>
        <v>0</v>
      </c>
      <c r="AJ38" s="1032">
        <f t="shared" si="48"/>
        <v>0</v>
      </c>
      <c r="AK38" s="1033">
        <f t="shared" si="49"/>
        <v>0</v>
      </c>
      <c r="AL38" s="1053">
        <f t="shared" si="59"/>
        <v>0</v>
      </c>
      <c r="AM38" s="1031">
        <f t="shared" si="60"/>
        <v>0</v>
      </c>
      <c r="AN38" s="1032">
        <f t="shared" si="61"/>
        <v>0</v>
      </c>
      <c r="AO38" s="1052">
        <f t="shared" si="62"/>
        <v>0</v>
      </c>
      <c r="AP38" s="1052">
        <f t="shared" si="63"/>
        <v>0</v>
      </c>
      <c r="AQ38" s="1032">
        <f t="shared" si="50"/>
        <v>0</v>
      </c>
      <c r="AR38" s="1033">
        <f t="shared" si="51"/>
        <v>0</v>
      </c>
      <c r="AS38" s="1030">
        <v>0</v>
      </c>
      <c r="AT38" s="1031">
        <v>0</v>
      </c>
      <c r="AU38" s="1032">
        <v>0</v>
      </c>
      <c r="AV38" s="1052">
        <v>0</v>
      </c>
      <c r="AW38" s="1032">
        <v>0</v>
      </c>
      <c r="AX38" s="1033">
        <f t="shared" si="52"/>
        <v>0</v>
      </c>
      <c r="AY38" s="1030">
        <v>0</v>
      </c>
      <c r="AZ38" s="1031">
        <v>0</v>
      </c>
      <c r="BA38" s="1032">
        <v>0</v>
      </c>
      <c r="BB38" s="1052">
        <f t="shared" si="53"/>
        <v>0</v>
      </c>
      <c r="BC38" s="1052">
        <f t="shared" si="54"/>
        <v>0</v>
      </c>
      <c r="BD38" s="1032">
        <v>0</v>
      </c>
      <c r="BE38" s="1033">
        <f t="shared" si="55"/>
        <v>0</v>
      </c>
      <c r="BF38" s="1006">
        <f t="shared" si="56"/>
        <v>0</v>
      </c>
      <c r="BG38" s="1007">
        <f t="shared" si="57"/>
        <v>0</v>
      </c>
      <c r="BH38" s="28">
        <f t="shared" si="58"/>
        <v>0</v>
      </c>
      <c r="BI38" s="64"/>
      <c r="BJ38" s="168"/>
      <c r="BK38" s="168"/>
      <c r="BL38" s="168"/>
      <c r="BM38" s="169"/>
      <c r="BN38" s="169"/>
      <c r="BO38" s="169"/>
      <c r="BP38" s="168"/>
      <c r="BQ38" s="168"/>
      <c r="BR38" s="168"/>
      <c r="BS38" s="168"/>
      <c r="BT38" s="168"/>
      <c r="BU38" s="168"/>
      <c r="BV38" s="168"/>
      <c r="BW38" s="168"/>
      <c r="BX38" s="168"/>
      <c r="BY38" s="168"/>
      <c r="BZ38" s="168"/>
      <c r="CA38" s="168"/>
      <c r="CB38" s="170"/>
      <c r="CC38" s="168"/>
      <c r="CD38" s="168"/>
      <c r="CE38" s="170"/>
      <c r="CF38" s="170"/>
      <c r="CG38" s="170"/>
      <c r="CH38" s="170"/>
      <c r="CI38" s="168"/>
      <c r="CJ38" s="168"/>
      <c r="CK38" s="170"/>
      <c r="CL38" s="170"/>
      <c r="CM38" s="170"/>
      <c r="CN38" s="113"/>
      <c r="CO38" s="127"/>
      <c r="CP38" s="127"/>
      <c r="CQ38" s="12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6"/>
      <c r="EA38" s="36"/>
      <c r="EB38" s="36"/>
      <c r="EC38" s="36"/>
      <c r="ED38" s="36"/>
      <c r="EE38" s="36"/>
      <c r="EF38" s="36"/>
      <c r="EG38" s="36"/>
    </row>
    <row r="39" spans="1:137" s="27" customFormat="1" x14ac:dyDescent="0.25">
      <c r="A39" s="26"/>
      <c r="B39" s="1777"/>
      <c r="C39" s="553"/>
      <c r="D39" s="1050">
        <f t="shared" si="32"/>
        <v>0</v>
      </c>
      <c r="E39" s="421"/>
      <c r="F39" s="421"/>
      <c r="G39" s="421"/>
      <c r="H39" s="426"/>
      <c r="I39" s="426"/>
      <c r="J39" s="426"/>
      <c r="K39" s="426"/>
      <c r="L39" s="426"/>
      <c r="M39" s="426"/>
      <c r="N39" s="426"/>
      <c r="O39" s="426"/>
      <c r="P39" s="426"/>
      <c r="Q39" s="422">
        <f t="shared" si="33"/>
        <v>0</v>
      </c>
      <c r="R39" s="423">
        <f t="shared" si="34"/>
        <v>0</v>
      </c>
      <c r="S39" s="422">
        <f t="shared" si="35"/>
        <v>0</v>
      </c>
      <c r="T39" s="422">
        <f t="shared" si="36"/>
        <v>0</v>
      </c>
      <c r="U39" s="422">
        <f t="shared" si="37"/>
        <v>0</v>
      </c>
      <c r="V39" s="424"/>
      <c r="W39" s="425">
        <f t="shared" si="38"/>
        <v>0</v>
      </c>
      <c r="X39" s="1030">
        <v>0</v>
      </c>
      <c r="Y39" s="1031">
        <v>0</v>
      </c>
      <c r="Z39" s="1032">
        <v>0</v>
      </c>
      <c r="AA39" s="1033">
        <f t="shared" si="39"/>
        <v>0</v>
      </c>
      <c r="AB39" s="1033">
        <f t="shared" si="40"/>
        <v>0</v>
      </c>
      <c r="AC39" s="1032">
        <f t="shared" si="41"/>
        <v>0</v>
      </c>
      <c r="AD39" s="1033">
        <f t="shared" si="42"/>
        <v>0</v>
      </c>
      <c r="AE39" s="1051">
        <f t="shared" si="43"/>
        <v>0</v>
      </c>
      <c r="AF39" s="1031">
        <f t="shared" si="44"/>
        <v>0</v>
      </c>
      <c r="AG39" s="1032">
        <f t="shared" si="45"/>
        <v>0</v>
      </c>
      <c r="AH39" s="1033">
        <f t="shared" si="46"/>
        <v>0</v>
      </c>
      <c r="AI39" s="1052">
        <f t="shared" si="47"/>
        <v>0</v>
      </c>
      <c r="AJ39" s="1032">
        <f t="shared" si="48"/>
        <v>0</v>
      </c>
      <c r="AK39" s="1033">
        <f t="shared" si="49"/>
        <v>0</v>
      </c>
      <c r="AL39" s="1053">
        <f t="shared" si="59"/>
        <v>0</v>
      </c>
      <c r="AM39" s="1031">
        <f t="shared" si="60"/>
        <v>0</v>
      </c>
      <c r="AN39" s="1032">
        <f t="shared" si="61"/>
        <v>0</v>
      </c>
      <c r="AO39" s="1052">
        <f t="shared" si="62"/>
        <v>0</v>
      </c>
      <c r="AP39" s="1052">
        <f t="shared" si="63"/>
        <v>0</v>
      </c>
      <c r="AQ39" s="1032">
        <f t="shared" si="50"/>
        <v>0</v>
      </c>
      <c r="AR39" s="1033">
        <f t="shared" si="51"/>
        <v>0</v>
      </c>
      <c r="AS39" s="1030">
        <v>0</v>
      </c>
      <c r="AT39" s="1031">
        <v>0</v>
      </c>
      <c r="AU39" s="1032">
        <v>0</v>
      </c>
      <c r="AV39" s="1052">
        <v>0</v>
      </c>
      <c r="AW39" s="1032">
        <v>0</v>
      </c>
      <c r="AX39" s="1033">
        <f t="shared" si="52"/>
        <v>0</v>
      </c>
      <c r="AY39" s="1030">
        <v>0</v>
      </c>
      <c r="AZ39" s="1031">
        <v>0</v>
      </c>
      <c r="BA39" s="1032">
        <v>0</v>
      </c>
      <c r="BB39" s="1052">
        <f t="shared" si="53"/>
        <v>0</v>
      </c>
      <c r="BC39" s="1052">
        <f t="shared" si="54"/>
        <v>0</v>
      </c>
      <c r="BD39" s="1032">
        <v>0</v>
      </c>
      <c r="BE39" s="1033">
        <f t="shared" si="55"/>
        <v>0</v>
      </c>
      <c r="BF39" s="1006">
        <f t="shared" si="56"/>
        <v>0</v>
      </c>
      <c r="BG39" s="1007">
        <f t="shared" si="57"/>
        <v>0</v>
      </c>
      <c r="BH39" s="28">
        <f t="shared" si="58"/>
        <v>0</v>
      </c>
      <c r="BI39" s="64"/>
      <c r="BJ39" s="168"/>
      <c r="BK39" s="168"/>
      <c r="BL39" s="168"/>
      <c r="BM39" s="169"/>
      <c r="BN39" s="169"/>
      <c r="BO39" s="169"/>
      <c r="BP39" s="168"/>
      <c r="BQ39" s="168"/>
      <c r="BR39" s="168"/>
      <c r="BS39" s="168"/>
      <c r="BT39" s="168"/>
      <c r="BU39" s="168"/>
      <c r="BV39" s="168"/>
      <c r="BW39" s="168"/>
      <c r="BX39" s="168"/>
      <c r="BY39" s="168"/>
      <c r="BZ39" s="168"/>
      <c r="CA39" s="168"/>
      <c r="CB39" s="170"/>
      <c r="CC39" s="168"/>
      <c r="CD39" s="168"/>
      <c r="CE39" s="170"/>
      <c r="CF39" s="170"/>
      <c r="CG39" s="170"/>
      <c r="CH39" s="170"/>
      <c r="CI39" s="168"/>
      <c r="CJ39" s="168"/>
      <c r="CK39" s="170"/>
      <c r="CL39" s="170"/>
      <c r="CM39" s="170"/>
      <c r="CN39" s="113"/>
      <c r="CO39" s="127"/>
      <c r="CP39" s="127"/>
      <c r="CQ39" s="12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6"/>
      <c r="EA39" s="36"/>
      <c r="EB39" s="36"/>
      <c r="EC39" s="36"/>
      <c r="ED39" s="36"/>
      <c r="EE39" s="36"/>
      <c r="EF39" s="36"/>
      <c r="EG39" s="36"/>
    </row>
    <row r="40" spans="1:137" s="37" customFormat="1" ht="15.75" customHeight="1" x14ac:dyDescent="0.25">
      <c r="A40" s="28"/>
      <c r="B40" s="1017" t="s">
        <v>63</v>
      </c>
      <c r="C40" s="1054"/>
      <c r="D40" s="1054"/>
      <c r="E40" s="1054"/>
      <c r="F40" s="1054"/>
      <c r="G40" s="1054"/>
      <c r="H40" s="1054"/>
      <c r="I40" s="1054"/>
      <c r="J40" s="1054"/>
      <c r="K40" s="1054"/>
      <c r="L40" s="1054"/>
      <c r="M40" s="1054"/>
      <c r="N40" s="1054"/>
      <c r="O40" s="1054"/>
      <c r="P40" s="1054"/>
      <c r="Q40" s="1054"/>
      <c r="R40" s="1054"/>
      <c r="S40" s="1054"/>
      <c r="T40" s="1054"/>
      <c r="U40" s="1054"/>
      <c r="V40" s="1054"/>
      <c r="W40" s="1054"/>
      <c r="X40" s="1054"/>
      <c r="Y40" s="1054"/>
      <c r="Z40" s="1054"/>
      <c r="AA40" s="1055"/>
      <c r="AB40" s="1056">
        <f>SUM(AB33:AB39)</f>
        <v>0</v>
      </c>
      <c r="AC40" s="1057">
        <f>IF(AB40&gt;0,SQRT(SUM(AD33:AD39))/AB40,0)</f>
        <v>0</v>
      </c>
      <c r="AD40" s="1056">
        <f t="shared" si="42"/>
        <v>0</v>
      </c>
      <c r="AE40" s="1058"/>
      <c r="AF40" s="1054"/>
      <c r="AG40" s="1054"/>
      <c r="AH40" s="1059"/>
      <c r="AI40" s="1056">
        <f>SUM(AI33:AI39)</f>
        <v>0</v>
      </c>
      <c r="AJ40" s="1057">
        <f>IF(AI40&gt;0,SQRT(SUM(AK33:AK39))/AI40,0)</f>
        <v>0</v>
      </c>
      <c r="AK40" s="1056">
        <f t="shared" si="49"/>
        <v>0</v>
      </c>
      <c r="AL40" s="1054"/>
      <c r="AM40" s="1054"/>
      <c r="AN40" s="1054"/>
      <c r="AO40" s="1054"/>
      <c r="AP40" s="1056">
        <f>SUM(AP33:AP39)</f>
        <v>0</v>
      </c>
      <c r="AQ40" s="1057">
        <f>IF(AP40&gt;0,SQRT(SUM(AR33:AR39))/AP40,0)</f>
        <v>0</v>
      </c>
      <c r="AR40" s="1056">
        <f t="shared" si="51"/>
        <v>0</v>
      </c>
      <c r="AS40" s="1054"/>
      <c r="AT40" s="1054"/>
      <c r="AU40" s="1054"/>
      <c r="AV40" s="1056">
        <f>SUM(AV33:AV39)</f>
        <v>0</v>
      </c>
      <c r="AW40" s="1057">
        <f>IF(AV40&gt;0,SQRT(SUM(AX33:AX39))/AV40,0)</f>
        <v>0</v>
      </c>
      <c r="AX40" s="1056">
        <f t="shared" si="52"/>
        <v>0</v>
      </c>
      <c r="AY40" s="1054"/>
      <c r="AZ40" s="1054"/>
      <c r="BA40" s="1060"/>
      <c r="BB40" s="1061"/>
      <c r="BC40" s="1056">
        <f>SUM(BC33:BC39)</f>
        <v>0</v>
      </c>
      <c r="BD40" s="1057">
        <f>IF(BC40&gt;0,SQRT(SUM(BE33:BE39))/BC40,0)</f>
        <v>0</v>
      </c>
      <c r="BE40" s="1056">
        <f t="shared" si="55"/>
        <v>0</v>
      </c>
      <c r="BF40" s="1056">
        <f>SUM(BF33:BF39)</f>
        <v>0</v>
      </c>
      <c r="BG40" s="1018">
        <f>IF(BF40&gt;0,SQRT(SUM(BH33:BH39))/BF40,0)</f>
        <v>0</v>
      </c>
      <c r="BH40" s="28">
        <f t="shared" si="58"/>
        <v>0</v>
      </c>
      <c r="BJ40" s="658"/>
      <c r="BK40" s="658"/>
      <c r="BL40" s="658"/>
      <c r="BM40" s="659"/>
      <c r="BN40" s="659"/>
      <c r="BO40" s="659"/>
      <c r="BP40" s="658"/>
      <c r="BQ40" s="658"/>
      <c r="BR40" s="658"/>
      <c r="BS40" s="658"/>
      <c r="BT40" s="658"/>
      <c r="BU40" s="658"/>
      <c r="BV40" s="658"/>
      <c r="BW40" s="658"/>
      <c r="BX40" s="658"/>
      <c r="BY40" s="658"/>
      <c r="BZ40" s="658"/>
      <c r="CA40" s="658"/>
      <c r="CB40" s="113"/>
      <c r="CC40" s="658"/>
      <c r="CD40" s="658"/>
      <c r="CE40" s="113"/>
      <c r="CF40" s="113"/>
      <c r="CG40" s="113"/>
      <c r="CH40" s="113"/>
      <c r="CI40" s="658"/>
      <c r="CJ40" s="658"/>
      <c r="CK40" s="113"/>
      <c r="CL40" s="113"/>
      <c r="CM40" s="113"/>
      <c r="CN40" s="113"/>
    </row>
    <row r="41" spans="1:137" s="27" customFormat="1" ht="15.75" customHeight="1" x14ac:dyDescent="0.25">
      <c r="A41" s="26"/>
      <c r="B41" s="1062"/>
      <c r="C41" s="1063"/>
      <c r="D41" s="1063"/>
      <c r="E41" s="1063"/>
      <c r="F41" s="1063"/>
      <c r="G41" s="1063"/>
      <c r="H41" s="1063"/>
      <c r="I41" s="1063"/>
      <c r="J41" s="1063"/>
      <c r="K41" s="1063"/>
      <c r="L41" s="1063"/>
      <c r="M41" s="1063"/>
      <c r="N41" s="1063"/>
      <c r="O41" s="1063"/>
      <c r="P41" s="1063"/>
      <c r="Q41" s="1063"/>
      <c r="R41" s="1063"/>
      <c r="S41" s="1063"/>
      <c r="T41" s="1063"/>
      <c r="U41" s="1063"/>
      <c r="V41" s="1063"/>
      <c r="W41" s="1063"/>
      <c r="X41" s="1063"/>
      <c r="Y41" s="1063"/>
      <c r="Z41" s="1063"/>
      <c r="AA41" s="1064"/>
      <c r="AB41" s="1065"/>
      <c r="AC41" s="1066"/>
      <c r="AD41" s="1065"/>
      <c r="AE41" s="1067"/>
      <c r="AF41" s="1063"/>
      <c r="AG41" s="1063"/>
      <c r="AH41" s="1068"/>
      <c r="AI41" s="1065"/>
      <c r="AJ41" s="1066"/>
      <c r="AK41" s="1065"/>
      <c r="AL41" s="1063"/>
      <c r="AM41" s="1063"/>
      <c r="AN41" s="1063"/>
      <c r="AO41" s="1063"/>
      <c r="AP41" s="1065"/>
      <c r="AQ41" s="1066"/>
      <c r="AR41" s="1065"/>
      <c r="AS41" s="1063"/>
      <c r="AT41" s="1063"/>
      <c r="AU41" s="1063"/>
      <c r="AV41" s="1065"/>
      <c r="AW41" s="1066"/>
      <c r="AX41" s="1065"/>
      <c r="AY41" s="1063"/>
      <c r="AZ41" s="1063"/>
      <c r="BA41" s="1069"/>
      <c r="BB41" s="1070"/>
      <c r="BC41" s="1065"/>
      <c r="BD41" s="1066"/>
      <c r="BE41" s="1065"/>
      <c r="BF41" s="1065"/>
      <c r="BG41" s="1071"/>
      <c r="BH41" s="28"/>
      <c r="BI41" s="64"/>
      <c r="BJ41" s="168"/>
      <c r="BK41" s="168"/>
      <c r="BL41" s="168"/>
      <c r="BM41" s="169"/>
      <c r="BN41" s="169"/>
      <c r="BO41" s="169"/>
      <c r="BP41" s="168"/>
      <c r="BQ41" s="168"/>
      <c r="BR41" s="168"/>
      <c r="BS41" s="168"/>
      <c r="BT41" s="168"/>
      <c r="BU41" s="168"/>
      <c r="BV41" s="168"/>
      <c r="BW41" s="168"/>
      <c r="BX41" s="168"/>
      <c r="BY41" s="168"/>
      <c r="BZ41" s="168"/>
      <c r="CA41" s="168"/>
      <c r="CB41" s="170"/>
      <c r="CC41" s="168"/>
      <c r="CD41" s="168"/>
      <c r="CE41" s="170"/>
      <c r="CF41" s="170"/>
      <c r="CG41" s="170"/>
      <c r="CH41" s="170"/>
      <c r="CI41" s="168"/>
      <c r="CJ41" s="168"/>
      <c r="CK41" s="170"/>
      <c r="CL41" s="170"/>
      <c r="CM41" s="170"/>
      <c r="CN41" s="113"/>
      <c r="CO41" s="36"/>
      <c r="CP41" s="36"/>
      <c r="CQ41" s="36"/>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6"/>
      <c r="EA41" s="36"/>
      <c r="EB41" s="36"/>
      <c r="EC41" s="36"/>
      <c r="ED41" s="36"/>
      <c r="EE41" s="36"/>
      <c r="EF41" s="36"/>
      <c r="EG41" s="36"/>
    </row>
    <row r="42" spans="1:137" s="82" customFormat="1" ht="30.75" customHeight="1" thickBot="1" x14ac:dyDescent="0.3">
      <c r="A42" s="26"/>
      <c r="B42" s="983" t="s">
        <v>1342</v>
      </c>
      <c r="C42" s="984"/>
      <c r="D42" s="984"/>
      <c r="E42" s="984"/>
      <c r="F42" s="984"/>
      <c r="G42" s="984"/>
      <c r="H42" s="984"/>
      <c r="I42" s="984"/>
      <c r="J42" s="984"/>
      <c r="K42" s="984"/>
      <c r="L42" s="984"/>
      <c r="M42" s="984"/>
      <c r="N42" s="984"/>
      <c r="O42" s="984"/>
      <c r="P42" s="984"/>
      <c r="Q42" s="984"/>
      <c r="R42" s="984"/>
      <c r="S42" s="984"/>
      <c r="T42" s="984"/>
      <c r="U42" s="984"/>
      <c r="V42" s="984"/>
      <c r="W42" s="984"/>
      <c r="X42" s="984"/>
      <c r="Y42" s="984"/>
      <c r="Z42" s="984"/>
      <c r="AA42" s="985"/>
      <c r="AB42" s="986">
        <f>AB40</f>
        <v>0</v>
      </c>
      <c r="AC42" s="987">
        <f>IF(AB42&gt;0,(SQRT(#REF!+#REF!+AD40))/AB42,0)</f>
        <v>0</v>
      </c>
      <c r="AD42" s="986">
        <f>(AB42*AC42)^2</f>
        <v>0</v>
      </c>
      <c r="AE42" s="988"/>
      <c r="AF42" s="984"/>
      <c r="AG42" s="984"/>
      <c r="AH42" s="989"/>
      <c r="AI42" s="986">
        <f>AI40</f>
        <v>0</v>
      </c>
      <c r="AJ42" s="987">
        <f>IF(AI42&gt;0,(SQRT(#REF!+#REF!+AK40))/AI42,0)</f>
        <v>0</v>
      </c>
      <c r="AK42" s="986">
        <f>(AI42*AJ42)^2</f>
        <v>0</v>
      </c>
      <c r="AL42" s="984"/>
      <c r="AM42" s="984"/>
      <c r="AN42" s="984"/>
      <c r="AO42" s="984"/>
      <c r="AP42" s="986">
        <f>AP40</f>
        <v>0</v>
      </c>
      <c r="AQ42" s="987">
        <f>IF(AP42&gt;0,(SQRT(#REF!+#REF!+AR40))/AP42,0)</f>
        <v>0</v>
      </c>
      <c r="AR42" s="986">
        <f>(AP42*AQ42)^2</f>
        <v>0</v>
      </c>
      <c r="AS42" s="984"/>
      <c r="AT42" s="984"/>
      <c r="AU42" s="984"/>
      <c r="AV42" s="986">
        <f>AV40</f>
        <v>0</v>
      </c>
      <c r="AW42" s="987">
        <f>IF(AV42&gt;0,(SQRT(#REF!+#REF!+AX40))/AV42,0)</f>
        <v>0</v>
      </c>
      <c r="AX42" s="986">
        <f>(AV42*AW42)^2</f>
        <v>0</v>
      </c>
      <c r="AY42" s="984"/>
      <c r="AZ42" s="984"/>
      <c r="BA42" s="990"/>
      <c r="BB42" s="991"/>
      <c r="BC42" s="986">
        <f>BC40</f>
        <v>0</v>
      </c>
      <c r="BD42" s="987">
        <f>IF(BC42&gt;0,(SQRT(#REF!+#REF!+BE40))/BC42,0)</f>
        <v>0</v>
      </c>
      <c r="BE42" s="986">
        <f>(BC42*BD42)^2</f>
        <v>0</v>
      </c>
      <c r="BF42" s="986">
        <f>BF40</f>
        <v>0</v>
      </c>
      <c r="BG42" s="992">
        <f>BG40</f>
        <v>0</v>
      </c>
      <c r="BH42" s="28">
        <f>(BF42*BG42)^2</f>
        <v>0</v>
      </c>
      <c r="BI42" s="174"/>
      <c r="BJ42" s="175"/>
      <c r="BK42" s="175"/>
      <c r="BL42" s="175"/>
      <c r="BM42" s="176"/>
      <c r="BN42" s="176"/>
      <c r="BO42" s="176"/>
      <c r="BP42" s="175"/>
      <c r="BQ42" s="175"/>
      <c r="BR42" s="175"/>
      <c r="BS42" s="175"/>
      <c r="BT42" s="175"/>
      <c r="BU42" s="175"/>
      <c r="BV42" s="175"/>
      <c r="BW42" s="175"/>
      <c r="BX42" s="175"/>
      <c r="BY42" s="175"/>
      <c r="BZ42" s="175"/>
      <c r="CA42" s="175"/>
      <c r="CB42" s="177"/>
      <c r="CC42" s="175"/>
      <c r="CD42" s="175"/>
      <c r="CE42" s="177"/>
      <c r="CF42" s="177"/>
      <c r="CG42" s="177"/>
      <c r="CH42" s="177"/>
      <c r="CI42" s="175"/>
      <c r="CJ42" s="175"/>
      <c r="CK42" s="177"/>
      <c r="CL42" s="177"/>
      <c r="CM42" s="177"/>
      <c r="CN42" s="114"/>
      <c r="CO42" s="36"/>
      <c r="CP42" s="36"/>
      <c r="CQ42" s="36"/>
      <c r="CR42" s="81"/>
      <c r="CS42" s="81"/>
      <c r="CT42" s="81"/>
      <c r="CU42" s="81"/>
      <c r="CV42" s="81"/>
      <c r="CW42" s="81"/>
      <c r="CX42" s="81"/>
      <c r="CY42" s="81"/>
      <c r="CZ42" s="81"/>
      <c r="DA42" s="81"/>
      <c r="DB42" s="81"/>
      <c r="DC42" s="81"/>
      <c r="DD42" s="81"/>
      <c r="DE42" s="81"/>
      <c r="DF42" s="81"/>
      <c r="DG42" s="81"/>
      <c r="DH42" s="81"/>
      <c r="DI42" s="81"/>
      <c r="DJ42" s="81"/>
      <c r="DK42" s="81"/>
      <c r="DL42" s="81"/>
      <c r="DM42" s="81"/>
      <c r="DN42" s="81"/>
      <c r="DO42" s="81"/>
      <c r="DP42" s="81"/>
      <c r="DQ42" s="81"/>
      <c r="DR42" s="81"/>
      <c r="DS42" s="81"/>
      <c r="DT42" s="81"/>
      <c r="DU42" s="81"/>
      <c r="DV42" s="81"/>
      <c r="DW42" s="81"/>
      <c r="DX42" s="81"/>
      <c r="DY42" s="81"/>
      <c r="DZ42" s="80"/>
      <c r="EA42" s="80"/>
      <c r="EB42" s="80"/>
      <c r="EC42" s="80"/>
      <c r="ED42" s="80"/>
      <c r="EE42" s="80"/>
      <c r="EF42" s="80"/>
      <c r="EG42" s="80"/>
    </row>
    <row r="43" spans="1:137" s="26" customFormat="1" ht="21" x14ac:dyDescent="0.25">
      <c r="B43" s="1072"/>
      <c r="C43" s="1010"/>
      <c r="D43" s="1010"/>
      <c r="E43" s="1011"/>
      <c r="F43" s="1011"/>
      <c r="G43" s="1011"/>
      <c r="H43" s="1011"/>
      <c r="I43" s="1011"/>
      <c r="J43" s="1011"/>
      <c r="K43" s="1011"/>
      <c r="L43" s="1011"/>
      <c r="M43" s="1011"/>
      <c r="N43" s="1011"/>
      <c r="O43" s="1011"/>
      <c r="P43" s="1011"/>
      <c r="Q43" s="1011"/>
      <c r="R43" s="1012"/>
      <c r="S43" s="1011"/>
      <c r="T43" s="1011"/>
      <c r="U43" s="1011"/>
      <c r="V43" s="1013"/>
      <c r="W43" s="1013"/>
      <c r="X43" s="1010"/>
      <c r="Y43" s="1010"/>
      <c r="Z43" s="1013"/>
      <c r="AA43" s="1014"/>
      <c r="AB43" s="1014"/>
      <c r="AC43" s="1013"/>
      <c r="AD43" s="1014"/>
      <c r="AE43" s="1015"/>
      <c r="AF43" s="1010"/>
      <c r="AG43" s="1013"/>
      <c r="AH43" s="1016"/>
      <c r="AI43" s="1016"/>
      <c r="AJ43" s="1013"/>
      <c r="AK43" s="1014"/>
      <c r="AL43" s="1010"/>
      <c r="AM43" s="1010"/>
      <c r="AN43" s="1013"/>
      <c r="AO43" s="1013"/>
      <c r="AP43" s="1013"/>
      <c r="AQ43" s="1013"/>
      <c r="AR43" s="1014"/>
      <c r="AS43" s="1010"/>
      <c r="AT43" s="1010"/>
      <c r="AU43" s="1013"/>
      <c r="AV43" s="1014"/>
      <c r="AW43" s="1013"/>
      <c r="AX43" s="1014"/>
      <c r="AY43" s="1010"/>
      <c r="AZ43" s="1010"/>
      <c r="BA43" s="1013"/>
      <c r="BB43" s="1014"/>
      <c r="BC43" s="1014"/>
      <c r="BD43" s="1013"/>
      <c r="BE43" s="1014"/>
      <c r="BF43" s="1011"/>
      <c r="BG43" s="1073"/>
      <c r="BH43" s="28">
        <f>(BF43*BG43)^2</f>
        <v>0</v>
      </c>
      <c r="BI43" s="164"/>
      <c r="BJ43" s="165"/>
      <c r="BK43" s="165"/>
      <c r="BL43" s="165"/>
      <c r="BM43" s="166"/>
      <c r="BN43" s="166"/>
      <c r="BO43" s="166"/>
      <c r="BP43" s="165"/>
      <c r="BQ43" s="165"/>
      <c r="BR43" s="165"/>
      <c r="BS43" s="165"/>
      <c r="BT43" s="165"/>
      <c r="BU43" s="165"/>
      <c r="BV43" s="165"/>
      <c r="BW43" s="165"/>
      <c r="BX43" s="165"/>
      <c r="BY43" s="165"/>
      <c r="BZ43" s="165"/>
      <c r="CA43" s="165"/>
      <c r="CB43" s="167"/>
      <c r="CC43" s="165"/>
      <c r="CD43" s="165"/>
      <c r="CE43" s="167"/>
      <c r="CF43" s="167"/>
      <c r="CG43" s="167"/>
      <c r="CH43" s="167"/>
      <c r="CI43" s="165"/>
      <c r="CJ43" s="165"/>
      <c r="CK43" s="167"/>
      <c r="CL43" s="167"/>
      <c r="CM43" s="167"/>
      <c r="CN43" s="112"/>
      <c r="CO43" s="36"/>
      <c r="CP43" s="36"/>
      <c r="CQ43" s="36"/>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9"/>
      <c r="EA43" s="29"/>
      <c r="EB43" s="29"/>
      <c r="EC43" s="29"/>
      <c r="ED43" s="29"/>
      <c r="EE43" s="29"/>
      <c r="EF43" s="29"/>
      <c r="EG43" s="29"/>
    </row>
    <row r="44" spans="1:137" s="27" customFormat="1" ht="30.75" customHeight="1" thickBot="1" x14ac:dyDescent="0.3">
      <c r="A44" s="26"/>
      <c r="B44" s="983" t="s">
        <v>663</v>
      </c>
      <c r="C44" s="1082"/>
      <c r="D44" s="1082"/>
      <c r="E44" s="1082"/>
      <c r="F44" s="1082"/>
      <c r="G44" s="1082"/>
      <c r="H44" s="1082"/>
      <c r="I44" s="1082"/>
      <c r="J44" s="1082"/>
      <c r="K44" s="1082"/>
      <c r="L44" s="1082"/>
      <c r="M44" s="1082"/>
      <c r="N44" s="1082"/>
      <c r="O44" s="1082"/>
      <c r="P44" s="1082"/>
      <c r="Q44" s="1082"/>
      <c r="R44" s="1082"/>
      <c r="S44" s="1082"/>
      <c r="T44" s="1082"/>
      <c r="U44" s="1082"/>
      <c r="V44" s="1082"/>
      <c r="W44" s="1082"/>
      <c r="X44" s="1082"/>
      <c r="Y44" s="1082"/>
      <c r="Z44" s="1082"/>
      <c r="AA44" s="1082"/>
      <c r="AB44" s="986">
        <f>AB42+AB26</f>
        <v>0</v>
      </c>
      <c r="AC44" s="1083">
        <f>IF(AB44&gt;0,SQRT(AD42+#REF!+#REF!)/AB44,0)</f>
        <v>0</v>
      </c>
      <c r="AD44" s="986">
        <f>(AB44*AC44)^2</f>
        <v>0</v>
      </c>
      <c r="AE44" s="1082"/>
      <c r="AF44" s="1082"/>
      <c r="AG44" s="1082"/>
      <c r="AH44" s="1082"/>
      <c r="AI44" s="986">
        <f>AI42+AI26</f>
        <v>0.51985919999999997</v>
      </c>
      <c r="AJ44" s="1083" t="e">
        <f>IF(AI44&gt;0,SQRT(AK42+#REF!+#REF!)/AI44,0)</f>
        <v>#REF!</v>
      </c>
      <c r="AK44" s="986" t="e">
        <f>(AI44*AJ44)^2</f>
        <v>#REF!</v>
      </c>
      <c r="AL44" s="1082"/>
      <c r="AM44" s="1082"/>
      <c r="AN44" s="1082"/>
      <c r="AO44" s="1082"/>
      <c r="AP44" s="986">
        <f>AP42+AP26</f>
        <v>0</v>
      </c>
      <c r="AQ44" s="1083">
        <f>IF(AP44&gt;0,SQRT(AR42+#REF!+#REF!)/AP44,0)</f>
        <v>0</v>
      </c>
      <c r="AR44" s="986">
        <f>(AP44*AQ44)^2</f>
        <v>0</v>
      </c>
      <c r="AS44" s="1082"/>
      <c r="AT44" s="1082"/>
      <c r="AU44" s="1082"/>
      <c r="AV44" s="986">
        <f>AV42+AV26</f>
        <v>0</v>
      </c>
      <c r="AW44" s="1083">
        <f>IF(AV44&gt;0,SQRT(AX42+#REF!+#REF!)/AV44,0)</f>
        <v>0</v>
      </c>
      <c r="AX44" s="986">
        <f>(AV44*AW44)^2</f>
        <v>0</v>
      </c>
      <c r="AY44" s="1082"/>
      <c r="AZ44" s="1082"/>
      <c r="BA44" s="1082"/>
      <c r="BB44" s="1084"/>
      <c r="BC44" s="986">
        <f>BC42+BC26</f>
        <v>0</v>
      </c>
      <c r="BD44" s="1083">
        <f>IF(BC44&gt;0,SQRT(BE42+#REF!+#REF!)/BC44,0)</f>
        <v>0</v>
      </c>
      <c r="BE44" s="986">
        <f>(BC44*BD44)^2</f>
        <v>0</v>
      </c>
      <c r="BF44" s="1085">
        <f>BF42+BF26</f>
        <v>0.51985919999999997</v>
      </c>
      <c r="BG44" s="1086">
        <f>IF(BF44&gt;0,SQRT(BH42+BH26)/BF44,0)</f>
        <v>1.7808986495586994</v>
      </c>
      <c r="BH44" s="28">
        <f>(BF44*BG44)^2</f>
        <v>0.85713627914462787</v>
      </c>
      <c r="BI44" s="64"/>
      <c r="BJ44" s="168"/>
      <c r="BK44" s="168"/>
      <c r="BL44" s="168"/>
      <c r="BM44" s="169"/>
      <c r="BN44" s="169"/>
      <c r="BO44" s="169"/>
      <c r="BP44" s="168"/>
      <c r="BQ44" s="168"/>
      <c r="BR44" s="168"/>
      <c r="BS44" s="168"/>
      <c r="BT44" s="168"/>
      <c r="BU44" s="168"/>
      <c r="BV44" s="168"/>
      <c r="BW44" s="168"/>
      <c r="BX44" s="168"/>
      <c r="BY44" s="168"/>
      <c r="BZ44" s="168"/>
      <c r="CA44" s="168"/>
      <c r="CB44" s="170"/>
      <c r="CC44" s="168"/>
      <c r="CD44" s="168"/>
      <c r="CE44" s="170"/>
      <c r="CF44" s="170"/>
      <c r="CG44" s="170"/>
      <c r="CH44" s="170"/>
      <c r="CI44" s="168"/>
      <c r="CJ44" s="168"/>
      <c r="CK44" s="170"/>
      <c r="CL44" s="170"/>
      <c r="CM44" s="170"/>
      <c r="CN44" s="113"/>
      <c r="CO44" s="36"/>
      <c r="CP44" s="36"/>
      <c r="CQ44" s="36"/>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6"/>
      <c r="EA44" s="36"/>
      <c r="EB44" s="36"/>
      <c r="EC44" s="36"/>
      <c r="ED44" s="36"/>
      <c r="EE44" s="36"/>
      <c r="EF44" s="36"/>
      <c r="EG44" s="36"/>
    </row>
    <row r="45" spans="1:137" s="27" customFormat="1" x14ac:dyDescent="0.25">
      <c r="A45" s="26"/>
      <c r="E45" s="91"/>
      <c r="F45" s="91"/>
      <c r="G45" s="91"/>
      <c r="H45" s="91"/>
      <c r="I45" s="91"/>
      <c r="J45" s="91"/>
      <c r="K45" s="91"/>
      <c r="L45" s="91"/>
      <c r="M45" s="91"/>
      <c r="N45" s="91"/>
      <c r="O45" s="91"/>
      <c r="P45" s="91"/>
      <c r="Q45" s="91"/>
      <c r="R45" s="92"/>
      <c r="S45" s="91"/>
      <c r="T45" s="91"/>
      <c r="U45" s="91"/>
      <c r="V45" s="93"/>
      <c r="W45" s="93"/>
      <c r="Z45" s="93"/>
      <c r="AA45" s="94"/>
      <c r="AB45" s="94"/>
      <c r="AC45" s="93"/>
      <c r="AD45" s="94"/>
      <c r="AE45" s="95"/>
      <c r="AG45" s="93"/>
      <c r="AH45" s="96"/>
      <c r="AI45" s="96"/>
      <c r="AJ45" s="93"/>
      <c r="AK45" s="94"/>
      <c r="AN45" s="93"/>
      <c r="AO45" s="93"/>
      <c r="AP45" s="93"/>
      <c r="AQ45" s="93"/>
      <c r="AR45" s="94"/>
      <c r="AU45" s="93"/>
      <c r="AV45" s="94"/>
      <c r="AW45" s="93"/>
      <c r="AX45" s="94"/>
      <c r="BA45" s="93"/>
      <c r="BB45" s="94"/>
      <c r="BC45" s="94"/>
      <c r="BD45" s="93"/>
      <c r="BE45" s="94"/>
      <c r="BF45" s="91"/>
      <c r="BG45" s="93"/>
      <c r="BH45" s="28"/>
      <c r="BI45" s="64"/>
      <c r="BJ45" s="168"/>
      <c r="BK45" s="168"/>
      <c r="BL45" s="168"/>
      <c r="BM45" s="169"/>
      <c r="BN45" s="169"/>
      <c r="BO45" s="169"/>
      <c r="BP45" s="168"/>
      <c r="BQ45" s="168"/>
      <c r="BR45" s="168"/>
      <c r="BS45" s="168"/>
      <c r="BT45" s="168"/>
      <c r="BU45" s="168"/>
      <c r="BV45" s="168"/>
      <c r="BW45" s="168"/>
      <c r="BX45" s="168"/>
      <c r="BY45" s="168"/>
      <c r="BZ45" s="168"/>
      <c r="CA45" s="168"/>
      <c r="CB45" s="170"/>
      <c r="CC45" s="168"/>
      <c r="CD45" s="168"/>
      <c r="CE45" s="170"/>
      <c r="CF45" s="170"/>
      <c r="CG45" s="170"/>
      <c r="CH45" s="170"/>
      <c r="CI45" s="168"/>
      <c r="CJ45" s="168"/>
      <c r="CK45" s="170"/>
      <c r="CL45" s="170"/>
      <c r="CM45" s="170"/>
      <c r="CN45" s="113"/>
      <c r="CO45" s="36"/>
      <c r="CP45" s="36"/>
      <c r="CQ45" s="36"/>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6"/>
      <c r="EA45" s="36"/>
      <c r="EB45" s="36"/>
      <c r="EC45" s="36"/>
      <c r="ED45" s="36"/>
      <c r="EE45" s="36"/>
      <c r="EF45" s="36"/>
      <c r="EG45" s="36"/>
    </row>
    <row r="46" spans="1:137" s="27" customFormat="1" x14ac:dyDescent="0.25">
      <c r="A46" s="26"/>
      <c r="E46" s="91"/>
      <c r="F46" s="91"/>
      <c r="G46" s="91"/>
      <c r="H46" s="91"/>
      <c r="I46" s="91"/>
      <c r="J46" s="91"/>
      <c r="K46" s="91"/>
      <c r="L46" s="91"/>
      <c r="M46" s="91"/>
      <c r="N46" s="91"/>
      <c r="O46" s="91"/>
      <c r="P46" s="91"/>
      <c r="Q46" s="91"/>
      <c r="R46" s="92"/>
      <c r="S46" s="91"/>
      <c r="T46" s="91"/>
      <c r="U46" s="91"/>
      <c r="V46" s="93"/>
      <c r="W46" s="93"/>
      <c r="Z46" s="93"/>
      <c r="AA46" s="94"/>
      <c r="AB46" s="94"/>
      <c r="AC46" s="93"/>
      <c r="AD46" s="94"/>
      <c r="AE46" s="95"/>
      <c r="AG46" s="93"/>
      <c r="AH46" s="96"/>
      <c r="AI46" s="96"/>
      <c r="AJ46" s="93"/>
      <c r="AK46" s="94"/>
      <c r="AN46" s="93"/>
      <c r="AO46" s="93"/>
      <c r="AP46" s="93"/>
      <c r="AQ46" s="93"/>
      <c r="AR46" s="94"/>
      <c r="AU46" s="93"/>
      <c r="AV46" s="94"/>
      <c r="AW46" s="93"/>
      <c r="AX46" s="94"/>
      <c r="BA46" s="93"/>
      <c r="BB46" s="94"/>
      <c r="BC46" s="94"/>
      <c r="BD46" s="93"/>
      <c r="BE46" s="94"/>
      <c r="BF46" s="91"/>
      <c r="BG46" s="93"/>
      <c r="BH46" s="28"/>
      <c r="BI46" s="64"/>
      <c r="BJ46" s="168"/>
      <c r="BK46" s="168"/>
      <c r="BL46" s="168"/>
      <c r="BM46" s="169"/>
      <c r="BN46" s="169"/>
      <c r="BO46" s="169"/>
      <c r="BP46" s="168"/>
      <c r="BQ46" s="168"/>
      <c r="BR46" s="168"/>
      <c r="BS46" s="168"/>
      <c r="BT46" s="168"/>
      <c r="BU46" s="168"/>
      <c r="BV46" s="168"/>
      <c r="BW46" s="168"/>
      <c r="BX46" s="168"/>
      <c r="BY46" s="168"/>
      <c r="BZ46" s="168"/>
      <c r="CA46" s="168"/>
      <c r="CB46" s="170"/>
      <c r="CC46" s="168"/>
      <c r="CD46" s="168"/>
      <c r="CE46" s="170"/>
      <c r="CF46" s="170"/>
      <c r="CG46" s="170"/>
      <c r="CH46" s="170"/>
      <c r="CI46" s="168"/>
      <c r="CJ46" s="168"/>
      <c r="CK46" s="170"/>
      <c r="CL46" s="170"/>
      <c r="CM46" s="170"/>
      <c r="CN46" s="113"/>
      <c r="CO46" s="36"/>
      <c r="CP46" s="36"/>
      <c r="CQ46" s="36"/>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6"/>
      <c r="EA46" s="36"/>
      <c r="EB46" s="36"/>
      <c r="EC46" s="36"/>
      <c r="ED46" s="36"/>
      <c r="EE46" s="36"/>
      <c r="EF46" s="36"/>
      <c r="EG46" s="36"/>
    </row>
    <row r="47" spans="1:137" s="27" customFormat="1" x14ac:dyDescent="0.25">
      <c r="A47" s="26"/>
      <c r="E47" s="91"/>
      <c r="F47" s="91"/>
      <c r="G47" s="91"/>
      <c r="H47" s="91"/>
      <c r="I47" s="91"/>
      <c r="J47" s="91"/>
      <c r="K47" s="91"/>
      <c r="L47" s="91"/>
      <c r="M47" s="91"/>
      <c r="N47" s="91"/>
      <c r="O47" s="91"/>
      <c r="P47" s="91"/>
      <c r="Q47" s="91"/>
      <c r="R47" s="92"/>
      <c r="S47" s="91"/>
      <c r="T47" s="91"/>
      <c r="U47" s="91"/>
      <c r="V47" s="93"/>
      <c r="W47" s="93"/>
      <c r="Z47" s="93"/>
      <c r="AA47" s="94"/>
      <c r="AB47" s="94"/>
      <c r="AC47" s="93"/>
      <c r="AD47" s="94"/>
      <c r="AE47" s="95"/>
      <c r="AG47" s="93"/>
      <c r="AH47" s="96"/>
      <c r="AI47" s="96"/>
      <c r="AJ47" s="93"/>
      <c r="AK47" s="94"/>
      <c r="AN47" s="93"/>
      <c r="AO47" s="93"/>
      <c r="AP47" s="93"/>
      <c r="AQ47" s="93"/>
      <c r="AR47" s="94"/>
      <c r="AU47" s="93"/>
      <c r="AV47" s="94"/>
      <c r="AW47" s="93"/>
      <c r="AX47" s="94"/>
      <c r="BA47" s="93"/>
      <c r="BB47" s="94"/>
      <c r="BC47" s="94"/>
      <c r="BD47" s="93"/>
      <c r="BE47" s="94"/>
      <c r="BF47" s="91"/>
      <c r="BG47" s="93"/>
      <c r="BH47" s="28"/>
      <c r="BI47" s="64"/>
      <c r="BJ47" s="168"/>
      <c r="BK47" s="168"/>
      <c r="BL47" s="168"/>
      <c r="BM47" s="169"/>
      <c r="BN47" s="169"/>
      <c r="BO47" s="169"/>
      <c r="BP47" s="168"/>
      <c r="BQ47" s="168"/>
      <c r="BR47" s="168"/>
      <c r="BS47" s="168"/>
      <c r="BT47" s="168"/>
      <c r="BU47" s="168"/>
      <c r="BV47" s="168"/>
      <c r="BW47" s="168"/>
      <c r="BX47" s="168"/>
      <c r="BY47" s="168"/>
      <c r="BZ47" s="168"/>
      <c r="CA47" s="168"/>
      <c r="CB47" s="170"/>
      <c r="CC47" s="168"/>
      <c r="CD47" s="168"/>
      <c r="CE47" s="170"/>
      <c r="CF47" s="170"/>
      <c r="CG47" s="170"/>
      <c r="CH47" s="170"/>
      <c r="CI47" s="168"/>
      <c r="CJ47" s="168"/>
      <c r="CK47" s="170"/>
      <c r="CL47" s="170"/>
      <c r="CM47" s="170"/>
      <c r="CN47" s="113"/>
      <c r="CO47" s="36"/>
      <c r="CP47" s="36"/>
      <c r="CQ47" s="36"/>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6"/>
      <c r="EA47" s="36"/>
      <c r="EB47" s="36"/>
      <c r="EC47" s="36"/>
      <c r="ED47" s="36"/>
      <c r="EE47" s="36"/>
      <c r="EF47" s="36"/>
      <c r="EG47" s="36"/>
    </row>
    <row r="48" spans="1:137" s="27" customFormat="1" x14ac:dyDescent="0.25">
      <c r="A48" s="26"/>
      <c r="E48" s="91"/>
      <c r="F48" s="91"/>
      <c r="G48" s="91"/>
      <c r="H48" s="91"/>
      <c r="I48" s="91"/>
      <c r="J48" s="91"/>
      <c r="K48" s="91"/>
      <c r="L48" s="91"/>
      <c r="M48" s="91"/>
      <c r="N48" s="91"/>
      <c r="O48" s="91"/>
      <c r="P48" s="91"/>
      <c r="Q48" s="91"/>
      <c r="R48" s="92"/>
      <c r="S48" s="91"/>
      <c r="T48" s="91"/>
      <c r="U48" s="91"/>
      <c r="V48" s="93"/>
      <c r="W48" s="93"/>
      <c r="Z48" s="93"/>
      <c r="AA48" s="94"/>
      <c r="AB48" s="94"/>
      <c r="AC48" s="93"/>
      <c r="AD48" s="94"/>
      <c r="AE48" s="95"/>
      <c r="AG48" s="93"/>
      <c r="AH48" s="96"/>
      <c r="AI48" s="96"/>
      <c r="AJ48" s="93"/>
      <c r="AK48" s="94"/>
      <c r="AN48" s="93"/>
      <c r="AO48" s="93"/>
      <c r="AP48" s="93"/>
      <c r="AQ48" s="93"/>
      <c r="AR48" s="94"/>
      <c r="AU48" s="93"/>
      <c r="AV48" s="94"/>
      <c r="AW48" s="93"/>
      <c r="AX48" s="94"/>
      <c r="BA48" s="93"/>
      <c r="BB48" s="94"/>
      <c r="BC48" s="94"/>
      <c r="BD48" s="93"/>
      <c r="BE48" s="94"/>
      <c r="BF48" s="91"/>
      <c r="BG48" s="93"/>
      <c r="BH48" s="28"/>
      <c r="BI48" s="64"/>
      <c r="BJ48" s="168"/>
      <c r="BK48" s="168"/>
      <c r="BL48" s="168"/>
      <c r="BM48" s="169"/>
      <c r="BN48" s="169"/>
      <c r="BO48" s="169"/>
      <c r="BP48" s="168"/>
      <c r="BQ48" s="168"/>
      <c r="BR48" s="168"/>
      <c r="BS48" s="168"/>
      <c r="BT48" s="168"/>
      <c r="BU48" s="168"/>
      <c r="BV48" s="168"/>
      <c r="BW48" s="168"/>
      <c r="BX48" s="168"/>
      <c r="BY48" s="168"/>
      <c r="BZ48" s="168"/>
      <c r="CA48" s="168"/>
      <c r="CB48" s="170"/>
      <c r="CC48" s="168"/>
      <c r="CD48" s="168"/>
      <c r="CE48" s="170"/>
      <c r="CF48" s="170"/>
      <c r="CG48" s="170"/>
      <c r="CH48" s="170"/>
      <c r="CI48" s="168"/>
      <c r="CJ48" s="168"/>
      <c r="CK48" s="170"/>
      <c r="CL48" s="170"/>
      <c r="CM48" s="170"/>
      <c r="CN48" s="113"/>
      <c r="CO48" s="36"/>
      <c r="CP48" s="36"/>
      <c r="CQ48" s="36"/>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6"/>
      <c r="EA48" s="36"/>
      <c r="EB48" s="36"/>
      <c r="EC48" s="36"/>
      <c r="ED48" s="36"/>
      <c r="EE48" s="36"/>
      <c r="EF48" s="36"/>
      <c r="EG48" s="36"/>
    </row>
    <row r="49" spans="1:137" s="27" customFormat="1" ht="15.75" thickBot="1" x14ac:dyDescent="0.3">
      <c r="A49" s="26"/>
      <c r="E49" s="91"/>
      <c r="F49" s="91"/>
      <c r="G49" s="91"/>
      <c r="H49" s="91"/>
      <c r="I49" s="91"/>
      <c r="J49" s="91"/>
      <c r="K49" s="91"/>
      <c r="L49" s="91"/>
      <c r="M49" s="91"/>
      <c r="N49" s="91"/>
      <c r="O49" s="91"/>
      <c r="P49" s="91"/>
      <c r="Q49" s="91"/>
      <c r="R49" s="92"/>
      <c r="S49" s="91"/>
      <c r="T49" s="91"/>
      <c r="U49" s="91"/>
      <c r="V49" s="93"/>
      <c r="W49" s="93"/>
      <c r="Z49" s="93"/>
      <c r="AA49" s="94"/>
      <c r="AB49" s="94"/>
      <c r="AC49" s="93"/>
      <c r="AD49" s="94"/>
      <c r="AE49" s="95"/>
      <c r="AG49" s="93"/>
      <c r="AH49" s="96"/>
      <c r="AI49" s="96"/>
      <c r="AJ49" s="93"/>
      <c r="AK49" s="94"/>
      <c r="AN49" s="93"/>
      <c r="AO49" s="93"/>
      <c r="AP49" s="93"/>
      <c r="AQ49" s="93"/>
      <c r="AR49" s="94"/>
      <c r="AU49" s="93"/>
      <c r="AV49" s="94"/>
      <c r="AW49" s="93"/>
      <c r="AX49" s="94"/>
      <c r="BA49" s="93"/>
      <c r="BB49" s="94"/>
      <c r="BC49" s="94"/>
      <c r="BD49" s="93"/>
      <c r="BE49" s="94"/>
      <c r="BF49" s="91"/>
      <c r="BG49" s="93"/>
      <c r="BH49" s="28"/>
      <c r="BI49" s="64"/>
      <c r="BJ49" s="168"/>
      <c r="BK49" s="168"/>
      <c r="BL49" s="168"/>
      <c r="BM49" s="169"/>
      <c r="BN49" s="169"/>
      <c r="BO49" s="169"/>
      <c r="BP49" s="168"/>
      <c r="BQ49" s="168"/>
      <c r="BR49" s="168"/>
      <c r="BS49" s="168"/>
      <c r="BT49" s="168"/>
      <c r="BU49" s="168"/>
      <c r="BV49" s="168"/>
      <c r="BW49" s="168"/>
      <c r="BX49" s="168"/>
      <c r="BY49" s="168"/>
      <c r="BZ49" s="168"/>
      <c r="CA49" s="168"/>
      <c r="CB49" s="170"/>
      <c r="CC49" s="168"/>
      <c r="CD49" s="168"/>
      <c r="CE49" s="170"/>
      <c r="CF49" s="170"/>
      <c r="CG49" s="170"/>
      <c r="CH49" s="170"/>
      <c r="CI49" s="168"/>
      <c r="CJ49" s="168"/>
      <c r="CK49" s="170"/>
      <c r="CL49" s="170"/>
      <c r="CM49" s="170"/>
      <c r="CN49" s="113"/>
      <c r="CO49" s="36"/>
      <c r="CP49" s="36"/>
      <c r="CQ49" s="36"/>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6"/>
      <c r="EA49" s="36"/>
      <c r="EB49" s="36"/>
      <c r="EC49" s="36"/>
      <c r="ED49" s="36"/>
      <c r="EE49" s="36"/>
      <c r="EF49" s="36"/>
      <c r="EG49" s="36"/>
    </row>
    <row r="50" spans="1:137" s="64" customFormat="1" ht="32.25" thickBot="1" x14ac:dyDescent="0.3">
      <c r="A50" s="26"/>
      <c r="B50" s="993" t="s">
        <v>306</v>
      </c>
      <c r="C50" s="994"/>
      <c r="D50" s="994"/>
      <c r="E50" s="994"/>
      <c r="F50" s="994"/>
      <c r="G50" s="994"/>
      <c r="H50" s="994"/>
      <c r="I50" s="994"/>
      <c r="J50" s="994"/>
      <c r="K50" s="994"/>
      <c r="L50" s="994"/>
      <c r="M50" s="994"/>
      <c r="N50" s="994"/>
      <c r="O50" s="994"/>
      <c r="P50" s="994"/>
      <c r="Q50" s="994"/>
      <c r="R50" s="994"/>
      <c r="S50" s="994"/>
      <c r="T50" s="994"/>
      <c r="U50" s="994"/>
      <c r="V50" s="994"/>
      <c r="W50" s="994"/>
      <c r="X50" s="994"/>
      <c r="Y50" s="994"/>
      <c r="Z50" s="994"/>
      <c r="AA50" s="994"/>
      <c r="AB50" s="994"/>
      <c r="AC50" s="994"/>
      <c r="AD50" s="994"/>
      <c r="AE50" s="1022"/>
      <c r="AF50" s="1023"/>
      <c r="AG50" s="28"/>
      <c r="AI50" s="168"/>
      <c r="AJ50" s="168"/>
      <c r="AK50" s="168"/>
      <c r="AL50" s="169"/>
      <c r="AM50" s="169"/>
      <c r="AN50" s="169"/>
      <c r="AO50" s="168"/>
      <c r="AP50" s="168"/>
      <c r="AQ50" s="168"/>
      <c r="AR50" s="168"/>
      <c r="AS50" s="168"/>
      <c r="AT50" s="168"/>
      <c r="AU50" s="168"/>
      <c r="AV50" s="168"/>
      <c r="AW50" s="168"/>
      <c r="AX50" s="168"/>
      <c r="AY50" s="168"/>
      <c r="AZ50" s="168"/>
      <c r="BA50" s="170"/>
      <c r="BB50" s="168"/>
      <c r="BC50" s="168"/>
      <c r="BD50" s="170"/>
      <c r="BE50" s="170"/>
      <c r="BF50" s="168"/>
      <c r="BG50" s="168"/>
      <c r="BH50" s="168"/>
      <c r="BI50" s="168"/>
      <c r="BJ50" s="170"/>
      <c r="BK50" s="170"/>
      <c r="BL50" s="170"/>
      <c r="BM50" s="113"/>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6"/>
      <c r="CP50" s="36"/>
      <c r="CQ50" s="36"/>
      <c r="CR50" s="37"/>
      <c r="CS50" s="37"/>
      <c r="CT50" s="37"/>
      <c r="CU50" s="37"/>
      <c r="CV50" s="37"/>
      <c r="CW50" s="37"/>
      <c r="CX50" s="37"/>
      <c r="CY50" s="36"/>
      <c r="CZ50" s="36"/>
      <c r="DA50" s="36"/>
      <c r="DB50" s="36"/>
      <c r="DC50" s="36"/>
      <c r="DD50" s="36"/>
      <c r="DE50" s="36"/>
      <c r="DF50" s="36"/>
    </row>
    <row r="51" spans="1:137" s="27" customFormat="1" ht="15.75" customHeight="1" thickBot="1" x14ac:dyDescent="0.3">
      <c r="A51" s="26"/>
      <c r="B51" s="1024"/>
      <c r="C51" s="1025"/>
      <c r="D51" s="1025"/>
      <c r="E51" s="1025"/>
      <c r="F51" s="1025"/>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04"/>
      <c r="AF51" s="1034"/>
      <c r="AG51" s="28">
        <f>(BF51*B51)^2</f>
        <v>0</v>
      </c>
      <c r="AH51" s="64"/>
      <c r="AI51" s="168"/>
      <c r="AJ51" s="168"/>
      <c r="AK51" s="168"/>
      <c r="AL51" s="169"/>
      <c r="AM51" s="169"/>
      <c r="AN51" s="169"/>
      <c r="AO51" s="168"/>
      <c r="AP51" s="168"/>
      <c r="AQ51" s="168"/>
      <c r="AR51" s="168"/>
      <c r="AS51" s="168"/>
      <c r="AT51" s="168"/>
      <c r="AU51" s="168"/>
      <c r="AV51" s="168"/>
      <c r="AW51" s="168"/>
      <c r="AX51" s="168"/>
      <c r="AY51" s="168"/>
      <c r="AZ51" s="168"/>
      <c r="BA51" s="170"/>
      <c r="BB51" s="168"/>
      <c r="BC51" s="168"/>
      <c r="BD51" s="170"/>
      <c r="BE51" s="170"/>
      <c r="BF51" s="168"/>
      <c r="BG51" s="168"/>
      <c r="BH51" s="168"/>
      <c r="BI51" s="168"/>
      <c r="BJ51" s="170"/>
      <c r="BK51" s="170"/>
      <c r="BL51" s="170"/>
      <c r="BM51" s="113"/>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100"/>
      <c r="CP51" s="100"/>
      <c r="CQ51" s="100"/>
      <c r="CR51" s="37"/>
      <c r="CS51" s="37"/>
      <c r="CT51" s="37"/>
      <c r="CU51" s="37"/>
      <c r="CV51" s="37"/>
      <c r="CW51" s="37"/>
      <c r="CX51" s="37"/>
      <c r="CY51" s="36"/>
      <c r="CZ51" s="36"/>
      <c r="DA51" s="36"/>
      <c r="DB51" s="36"/>
      <c r="DC51" s="36"/>
      <c r="DD51" s="36"/>
      <c r="DE51" s="36"/>
      <c r="DF51" s="36"/>
    </row>
    <row r="52" spans="1:137" s="27" customFormat="1" x14ac:dyDescent="0.25">
      <c r="A52" s="26"/>
      <c r="B52" s="1000" t="s">
        <v>51</v>
      </c>
      <c r="C52" s="1001"/>
      <c r="D52" s="1001"/>
      <c r="E52" s="1001"/>
      <c r="F52" s="1001"/>
      <c r="G52" s="1001"/>
      <c r="H52" s="1001"/>
      <c r="I52" s="1001"/>
      <c r="J52" s="1001"/>
      <c r="K52" s="1001"/>
      <c r="L52" s="1001"/>
      <c r="M52" s="1001"/>
      <c r="N52" s="1001"/>
      <c r="O52" s="1001"/>
      <c r="P52" s="1001"/>
      <c r="Q52" s="1001"/>
      <c r="R52" s="1001"/>
      <c r="S52" s="1001"/>
      <c r="T52" s="1001"/>
      <c r="U52" s="1001"/>
      <c r="V52" s="1001"/>
      <c r="W52" s="1001"/>
      <c r="X52" s="1001"/>
      <c r="Y52" s="1001"/>
      <c r="Z52" s="1001"/>
      <c r="AA52" s="1001"/>
      <c r="AB52" s="1001"/>
      <c r="AC52" s="1001"/>
      <c r="AD52" s="1001"/>
      <c r="AE52" s="1026"/>
      <c r="AF52" s="1027"/>
      <c r="AG52" s="28"/>
      <c r="AH52" s="64"/>
      <c r="AI52" s="168"/>
      <c r="AJ52" s="168"/>
      <c r="AK52" s="168"/>
      <c r="AL52" s="169"/>
      <c r="AM52" s="169"/>
      <c r="AN52" s="169"/>
      <c r="AO52" s="168"/>
      <c r="AP52" s="168"/>
      <c r="AQ52" s="168"/>
      <c r="AR52" s="168"/>
      <c r="AS52" s="168"/>
      <c r="AT52" s="168"/>
      <c r="AU52" s="168"/>
      <c r="AV52" s="168"/>
      <c r="AW52" s="168"/>
      <c r="AX52" s="168"/>
      <c r="AY52" s="168"/>
      <c r="AZ52" s="168"/>
      <c r="BA52" s="170"/>
      <c r="BB52" s="168"/>
      <c r="BC52" s="168"/>
      <c r="BD52" s="170"/>
      <c r="BE52" s="170"/>
      <c r="BF52" s="168"/>
      <c r="BG52" s="168"/>
      <c r="BH52" s="168"/>
      <c r="BI52" s="168"/>
      <c r="BJ52" s="170"/>
      <c r="BK52" s="170"/>
      <c r="BL52" s="170"/>
      <c r="BM52" s="113"/>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100"/>
      <c r="CP52" s="100"/>
      <c r="CQ52" s="100"/>
      <c r="CR52" s="37"/>
      <c r="CS52" s="37"/>
      <c r="CT52" s="37"/>
      <c r="CU52" s="37"/>
      <c r="CV52" s="37"/>
      <c r="CW52" s="37"/>
      <c r="CX52" s="37"/>
      <c r="CY52" s="36"/>
      <c r="CZ52" s="36"/>
      <c r="DA52" s="36"/>
      <c r="DB52" s="36"/>
      <c r="DC52" s="36"/>
      <c r="DD52" s="36"/>
      <c r="DE52" s="36"/>
      <c r="DF52" s="36"/>
    </row>
    <row r="53" spans="1:137" s="64" customFormat="1" ht="15" customHeight="1" x14ac:dyDescent="0.25">
      <c r="A53" s="26"/>
      <c r="B53" s="1802" t="s">
        <v>283</v>
      </c>
      <c r="C53" s="1803" t="s">
        <v>287</v>
      </c>
      <c r="D53" s="1785" t="s">
        <v>25</v>
      </c>
      <c r="E53" s="1785"/>
      <c r="F53" s="1785"/>
      <c r="G53" s="1785"/>
      <c r="H53" s="1785"/>
      <c r="I53" s="1785"/>
      <c r="J53" s="1785"/>
      <c r="K53" s="1785"/>
      <c r="L53" s="1785"/>
      <c r="M53" s="1785"/>
      <c r="N53" s="1785"/>
      <c r="O53" s="1785"/>
      <c r="P53" s="1785"/>
      <c r="Q53" s="1785"/>
      <c r="R53" s="1785"/>
      <c r="S53" s="1785" t="s">
        <v>193</v>
      </c>
      <c r="T53" s="1785"/>
      <c r="U53" s="1785"/>
      <c r="V53" s="1785"/>
      <c r="W53" s="1785"/>
      <c r="X53" s="1785" t="s">
        <v>201</v>
      </c>
      <c r="Y53" s="1785"/>
      <c r="Z53" s="1785"/>
      <c r="AA53" s="1785"/>
      <c r="AB53" s="1785"/>
      <c r="AC53" s="1785"/>
      <c r="AD53" s="1785"/>
      <c r="AE53" s="1785" t="s">
        <v>638</v>
      </c>
      <c r="AF53" s="1786" t="s">
        <v>26</v>
      </c>
      <c r="AG53" s="28"/>
      <c r="AH53" s="28"/>
      <c r="AI53" s="168"/>
      <c r="AJ53" s="168"/>
      <c r="AK53" s="168"/>
      <c r="AL53" s="169"/>
      <c r="AM53" s="169"/>
      <c r="AN53" s="169"/>
      <c r="AO53" s="168"/>
      <c r="AP53" s="168"/>
      <c r="AQ53" s="168"/>
      <c r="AR53" s="168"/>
      <c r="AS53" s="168"/>
      <c r="AT53" s="168"/>
      <c r="AU53" s="168"/>
      <c r="AV53" s="168"/>
      <c r="AW53" s="168"/>
      <c r="AX53" s="168"/>
      <c r="AY53" s="168"/>
      <c r="AZ53" s="168"/>
      <c r="BA53" s="170"/>
      <c r="BB53" s="168"/>
      <c r="BC53" s="168"/>
      <c r="BD53" s="170"/>
      <c r="BE53" s="170"/>
      <c r="BF53" s="168"/>
      <c r="BG53" s="168"/>
      <c r="BH53" s="168"/>
      <c r="BI53" s="168"/>
      <c r="BJ53" s="170"/>
      <c r="BK53" s="170"/>
      <c r="BL53" s="170"/>
      <c r="BM53" s="113"/>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224">
        <v>33</v>
      </c>
      <c r="CP53" s="224">
        <v>34</v>
      </c>
      <c r="CQ53" s="224">
        <v>35</v>
      </c>
      <c r="CR53" s="37"/>
      <c r="CS53" s="37"/>
      <c r="CT53" s="37"/>
      <c r="CU53" s="37"/>
      <c r="CV53" s="37"/>
      <c r="CW53" s="37"/>
      <c r="CX53" s="37"/>
      <c r="CY53" s="36"/>
      <c r="CZ53" s="36"/>
      <c r="DA53" s="36"/>
      <c r="DB53" s="36"/>
      <c r="DC53" s="36"/>
      <c r="DD53" s="36"/>
      <c r="DE53" s="36"/>
      <c r="DF53" s="36"/>
    </row>
    <row r="54" spans="1:137" s="64" customFormat="1" ht="36" customHeight="1" x14ac:dyDescent="0.25">
      <c r="A54" s="26"/>
      <c r="B54" s="1802"/>
      <c r="C54" s="1803"/>
      <c r="D54" s="1028" t="s">
        <v>27</v>
      </c>
      <c r="E54" s="1028" t="s">
        <v>28</v>
      </c>
      <c r="F54" s="1028" t="s">
        <v>29</v>
      </c>
      <c r="G54" s="1028" t="s">
        <v>30</v>
      </c>
      <c r="H54" s="1028" t="s">
        <v>31</v>
      </c>
      <c r="I54" s="1028" t="s">
        <v>32</v>
      </c>
      <c r="J54" s="1028" t="s">
        <v>33</v>
      </c>
      <c r="K54" s="1028" t="s">
        <v>34</v>
      </c>
      <c r="L54" s="1028" t="s">
        <v>35</v>
      </c>
      <c r="M54" s="1028" t="s">
        <v>36</v>
      </c>
      <c r="N54" s="1028" t="s">
        <v>37</v>
      </c>
      <c r="O54" s="1028" t="s">
        <v>38</v>
      </c>
      <c r="P54" s="1028" t="s">
        <v>39</v>
      </c>
      <c r="Q54" s="1028" t="s">
        <v>40</v>
      </c>
      <c r="R54" s="1028" t="s">
        <v>41</v>
      </c>
      <c r="S54" s="1028" t="s">
        <v>42</v>
      </c>
      <c r="T54" s="1028" t="s">
        <v>43</v>
      </c>
      <c r="U54" s="1028" t="s">
        <v>44</v>
      </c>
      <c r="V54" s="1028" t="s">
        <v>210</v>
      </c>
      <c r="W54" s="1028" t="s">
        <v>193</v>
      </c>
      <c r="X54" s="1028" t="s">
        <v>194</v>
      </c>
      <c r="Y54" s="1028"/>
      <c r="Z54" s="1028" t="s">
        <v>202</v>
      </c>
      <c r="AA54" s="1028" t="s">
        <v>639</v>
      </c>
      <c r="AB54" s="1028" t="s">
        <v>640</v>
      </c>
      <c r="AC54" s="1028" t="s">
        <v>203</v>
      </c>
      <c r="AD54" s="1028" t="s">
        <v>294</v>
      </c>
      <c r="AE54" s="1785"/>
      <c r="AF54" s="1786"/>
      <c r="AG54" s="28"/>
      <c r="AH54" s="28"/>
      <c r="AI54" s="168"/>
      <c r="AJ54" s="168"/>
      <c r="AK54" s="168"/>
      <c r="AL54" s="169"/>
      <c r="AM54" s="169"/>
      <c r="AN54" s="169"/>
      <c r="AO54" s="168"/>
      <c r="AP54" s="168"/>
      <c r="AQ54" s="168"/>
      <c r="AR54" s="168"/>
      <c r="AS54" s="168"/>
      <c r="AT54" s="168"/>
      <c r="AU54" s="168"/>
      <c r="AV54" s="168"/>
      <c r="AW54" s="168"/>
      <c r="AX54" s="168"/>
      <c r="AY54" s="168"/>
      <c r="AZ54" s="168"/>
      <c r="BA54" s="170"/>
      <c r="BB54" s="168"/>
      <c r="BC54" s="168"/>
      <c r="BD54" s="170"/>
      <c r="BE54" s="170"/>
      <c r="BF54" s="168"/>
      <c r="BG54" s="168"/>
      <c r="BH54" s="168"/>
      <c r="BI54" s="168"/>
      <c r="BJ54" s="170"/>
      <c r="BK54" s="170"/>
      <c r="BL54" s="170"/>
      <c r="BM54" s="113"/>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100" t="s">
        <v>295</v>
      </c>
      <c r="CP54" s="100"/>
      <c r="CQ54" s="100"/>
      <c r="CR54" s="37"/>
      <c r="CS54" s="37"/>
      <c r="CT54" s="37"/>
      <c r="CU54" s="37"/>
      <c r="CV54" s="37"/>
      <c r="CW54" s="37"/>
      <c r="CX54" s="37"/>
      <c r="CY54" s="36"/>
      <c r="CZ54" s="36"/>
      <c r="DA54" s="36"/>
      <c r="DB54" s="36"/>
      <c r="DC54" s="36"/>
      <c r="DD54" s="36"/>
      <c r="DE54" s="36"/>
      <c r="DF54" s="36"/>
    </row>
    <row r="55" spans="1:137" s="27" customFormat="1" x14ac:dyDescent="0.25">
      <c r="A55" s="26"/>
      <c r="B55" s="1005" t="s">
        <v>292</v>
      </c>
      <c r="C55" s="553"/>
      <c r="D55" s="1029">
        <f>VLOOKUP($C55,$BI$436:$BO$466,2,FALSE)</f>
        <v>0</v>
      </c>
      <c r="E55" s="421"/>
      <c r="F55" s="421"/>
      <c r="G55" s="421"/>
      <c r="H55" s="421"/>
      <c r="I55" s="421"/>
      <c r="J55" s="421"/>
      <c r="K55" s="421"/>
      <c r="L55" s="421"/>
      <c r="M55" s="421"/>
      <c r="N55" s="421"/>
      <c r="O55" s="421"/>
      <c r="P55" s="421"/>
      <c r="Q55" s="665">
        <f>SUM(E55:P55)</f>
        <v>0</v>
      </c>
      <c r="R55" s="665">
        <f>COUNT(E55:P55)</f>
        <v>0</v>
      </c>
      <c r="S55" s="665">
        <f>IF(R55&gt;1,AVERAGE(E55:P55),0)</f>
        <v>0</v>
      </c>
      <c r="T55" s="665">
        <f>IF(R55&gt;1,STDEV(E55:P55),0)</f>
        <v>0</v>
      </c>
      <c r="U55" s="665">
        <f>IF(R55&gt;1,VLOOKUP($R55,$AH$33:$AI$43,2,FALSE),0)</f>
        <v>0</v>
      </c>
      <c r="V55" s="424"/>
      <c r="W55" s="666">
        <f>IF(R55&gt;1,1-((S55-((T55*U55)/(SQRT(R55))))/S55),VLOOKUP($C55,$BI$436:$BQ$466,8,FALSE))</f>
        <v>0</v>
      </c>
      <c r="X55" s="1030">
        <f>VLOOKUP($C55,$BI$436:$BO$466,3,FALSE)</f>
        <v>0</v>
      </c>
      <c r="Y55" s="1031">
        <f>VLOOKUP($C55,$BI$436:$BO$466,4,FALSE)</f>
        <v>0</v>
      </c>
      <c r="Z55" s="1032">
        <f>IF($Q55&gt;0,VLOOKUP($C55,$BI$436:$BO$466,6,FALSE),0)</f>
        <v>0</v>
      </c>
      <c r="AA55" s="1033">
        <f>($Q55*X55)/1000</f>
        <v>0</v>
      </c>
      <c r="AB55" s="1033">
        <f>AA55*1</f>
        <v>0</v>
      </c>
      <c r="AC55" s="1032">
        <f>IF(AA55&gt;0,SQRT(($W55*$W55)+(Z55*Z55)+($V55*$V55)),0)</f>
        <v>0</v>
      </c>
      <c r="AD55" s="1033">
        <f>(AB55*AC55)^2</f>
        <v>0</v>
      </c>
      <c r="AE55" s="1006">
        <f>AB55</f>
        <v>0</v>
      </c>
      <c r="AF55" s="1007">
        <f>AC55</f>
        <v>0</v>
      </c>
      <c r="AG55" s="28">
        <f>(AE55*AF55)^2</f>
        <v>0</v>
      </c>
      <c r="AH55" s="28"/>
      <c r="AI55" s="168"/>
      <c r="AJ55" s="168"/>
      <c r="AK55" s="168"/>
      <c r="AL55" s="169"/>
      <c r="AM55" s="169"/>
      <c r="AN55" s="169"/>
      <c r="AO55" s="168"/>
      <c r="AP55" s="168"/>
      <c r="AQ55" s="168"/>
      <c r="AR55" s="168"/>
      <c r="AS55" s="168"/>
      <c r="AT55" s="168"/>
      <c r="AU55" s="168"/>
      <c r="AV55" s="168"/>
      <c r="AW55" s="168"/>
      <c r="AX55" s="168"/>
      <c r="AY55" s="168"/>
      <c r="AZ55" s="168"/>
      <c r="BA55" s="170"/>
      <c r="BB55" s="168"/>
      <c r="BC55" s="168"/>
      <c r="BD55" s="170"/>
      <c r="BE55" s="170"/>
      <c r="BF55" s="168"/>
      <c r="BG55" s="168"/>
      <c r="BH55" s="168"/>
      <c r="BI55" s="168"/>
      <c r="BJ55" s="170"/>
      <c r="BK55" s="170"/>
      <c r="BL55" s="170"/>
      <c r="BM55" s="113"/>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100" t="s">
        <v>296</v>
      </c>
      <c r="CP55" s="100" t="s">
        <v>296</v>
      </c>
      <c r="CQ55" s="100" t="s">
        <v>297</v>
      </c>
      <c r="CR55" s="37"/>
      <c r="CS55" s="37"/>
      <c r="CT55" s="37"/>
      <c r="CU55" s="37"/>
      <c r="CV55" s="37"/>
      <c r="CW55" s="37"/>
      <c r="CX55" s="37"/>
      <c r="CY55" s="36"/>
      <c r="CZ55" s="36"/>
      <c r="DA55" s="36"/>
      <c r="DB55" s="36"/>
      <c r="DC55" s="36"/>
      <c r="DD55" s="36"/>
      <c r="DE55" s="36"/>
      <c r="DF55" s="36"/>
    </row>
    <row r="56" spans="1:137" s="37" customFormat="1" ht="15.75" customHeight="1" thickBot="1" x14ac:dyDescent="0.3">
      <c r="A56" s="28"/>
      <c r="B56" s="1778" t="s">
        <v>63</v>
      </c>
      <c r="C56" s="1779"/>
      <c r="D56" s="1779"/>
      <c r="E56" s="1779"/>
      <c r="F56" s="1779"/>
      <c r="G56" s="1779"/>
      <c r="H56" s="1779"/>
      <c r="I56" s="1779"/>
      <c r="J56" s="1779"/>
      <c r="K56" s="1779"/>
      <c r="L56" s="1779"/>
      <c r="M56" s="1779"/>
      <c r="N56" s="1779"/>
      <c r="O56" s="1779"/>
      <c r="P56" s="1779"/>
      <c r="Q56" s="1779"/>
      <c r="R56" s="1779"/>
      <c r="S56" s="1779"/>
      <c r="T56" s="1779"/>
      <c r="U56" s="1779"/>
      <c r="V56" s="1779"/>
      <c r="W56" s="1779"/>
      <c r="X56" s="1779"/>
      <c r="Y56" s="1779"/>
      <c r="Z56" s="1779"/>
      <c r="AA56" s="1780"/>
      <c r="AB56" s="1019">
        <f>SUM(AB53:AB55)</f>
        <v>0</v>
      </c>
      <c r="AC56" s="1020">
        <f>IF(AB56&gt;0,SQRT(SUM(AD53:AD55))/AB56,0)</f>
        <v>0</v>
      </c>
      <c r="AD56" s="1019">
        <f>(AB56*AC56)^2</f>
        <v>0</v>
      </c>
      <c r="AE56" s="1019">
        <f>AE55</f>
        <v>0</v>
      </c>
      <c r="AF56" s="1021">
        <f>AF55</f>
        <v>0</v>
      </c>
      <c r="AG56" s="28">
        <f>(AE56*AF56)^2</f>
        <v>0</v>
      </c>
      <c r="AH56" s="28"/>
      <c r="AI56" s="658"/>
      <c r="AJ56" s="658"/>
      <c r="AK56" s="658"/>
      <c r="AL56" s="659"/>
      <c r="AM56" s="659"/>
      <c r="AN56" s="659"/>
      <c r="AO56" s="658"/>
      <c r="AP56" s="658"/>
      <c r="AQ56" s="658"/>
      <c r="AR56" s="658"/>
      <c r="AS56" s="658"/>
      <c r="AT56" s="658"/>
      <c r="AU56" s="658"/>
      <c r="AV56" s="658"/>
      <c r="AW56" s="658"/>
      <c r="AX56" s="658"/>
      <c r="AY56" s="658"/>
      <c r="AZ56" s="658"/>
      <c r="BA56" s="113"/>
      <c r="BB56" s="658"/>
      <c r="BC56" s="658"/>
      <c r="BD56" s="113"/>
      <c r="BE56" s="113"/>
      <c r="BF56" s="658"/>
      <c r="BG56" s="658"/>
      <c r="BH56" s="658"/>
      <c r="BI56" s="658"/>
      <c r="BJ56" s="113"/>
      <c r="BK56" s="113"/>
      <c r="BL56" s="113"/>
      <c r="BM56" s="113"/>
      <c r="CO56" s="101">
        <v>0.15</v>
      </c>
      <c r="CP56" s="101">
        <f>(CO56+CQ56)/2</f>
        <v>0.17499999999999999</v>
      </c>
      <c r="CQ56" s="101">
        <v>0.2</v>
      </c>
    </row>
    <row r="57" spans="1:137" s="27" customFormat="1" ht="15.75" customHeight="1" thickBot="1" x14ac:dyDescent="0.3">
      <c r="A57" s="26"/>
      <c r="B57" s="1002"/>
      <c r="C57" s="1003"/>
      <c r="D57" s="1003"/>
      <c r="E57" s="1003"/>
      <c r="F57" s="1003"/>
      <c r="G57" s="1003"/>
      <c r="H57" s="1003"/>
      <c r="I57" s="1003"/>
      <c r="J57" s="1003"/>
      <c r="K57" s="1003"/>
      <c r="L57" s="1003"/>
      <c r="M57" s="1003"/>
      <c r="N57" s="1003"/>
      <c r="O57" s="1003"/>
      <c r="P57" s="1003"/>
      <c r="Q57" s="1003"/>
      <c r="R57" s="1003"/>
      <c r="S57" s="1003"/>
      <c r="T57" s="1003"/>
      <c r="U57" s="1003"/>
      <c r="V57" s="1003"/>
      <c r="W57" s="1003"/>
      <c r="X57" s="1003"/>
      <c r="Y57" s="1003"/>
      <c r="Z57" s="1003"/>
      <c r="AA57" s="1003"/>
      <c r="AB57" s="1003"/>
      <c r="AC57" s="1003"/>
      <c r="AD57" s="1003"/>
      <c r="AE57" s="1004"/>
      <c r="AF57" s="1034"/>
      <c r="AG57" s="28">
        <f>(AE57*AF57)^2</f>
        <v>0</v>
      </c>
      <c r="AH57" s="64"/>
      <c r="AI57" s="168"/>
      <c r="AJ57" s="168"/>
      <c r="AK57" s="168"/>
      <c r="AL57" s="169"/>
      <c r="AM57" s="169"/>
      <c r="AN57" s="169"/>
      <c r="AO57" s="168"/>
      <c r="AP57" s="168"/>
      <c r="AQ57" s="168"/>
      <c r="AR57" s="168"/>
      <c r="AS57" s="168"/>
      <c r="AT57" s="168"/>
      <c r="AU57" s="168"/>
      <c r="AV57" s="168"/>
      <c r="AW57" s="168"/>
      <c r="AX57" s="168"/>
      <c r="AY57" s="168"/>
      <c r="AZ57" s="168"/>
      <c r="BA57" s="170"/>
      <c r="BB57" s="168"/>
      <c r="BC57" s="168"/>
      <c r="BD57" s="170"/>
      <c r="BE57" s="170"/>
      <c r="BF57" s="168"/>
      <c r="BG57" s="168"/>
      <c r="BH57" s="168"/>
      <c r="BI57" s="168"/>
      <c r="BJ57" s="170"/>
      <c r="BK57" s="170"/>
      <c r="BL57" s="170"/>
      <c r="BM57" s="113"/>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100">
        <v>0.15</v>
      </c>
      <c r="CP57" s="100">
        <f t="shared" ref="CP57:CP79" si="64">(CO57+CQ57)/2</f>
        <v>0.17499999999999999</v>
      </c>
      <c r="CQ57" s="100">
        <v>0.2</v>
      </c>
      <c r="CR57" s="37"/>
      <c r="CS57" s="37"/>
      <c r="CT57" s="37"/>
      <c r="CU57" s="37"/>
      <c r="CV57" s="37"/>
      <c r="CW57" s="37"/>
      <c r="CX57" s="37"/>
      <c r="CY57" s="36"/>
      <c r="CZ57" s="36"/>
      <c r="DA57" s="36"/>
      <c r="DB57" s="36"/>
      <c r="DC57" s="36"/>
      <c r="DD57" s="36"/>
      <c r="DE57" s="36"/>
      <c r="DF57" s="36"/>
    </row>
    <row r="58" spans="1:137" s="82" customFormat="1" ht="32.25" thickBot="1" x14ac:dyDescent="0.3">
      <c r="A58" s="26"/>
      <c r="B58" s="1781" t="s">
        <v>303</v>
      </c>
      <c r="C58" s="1782"/>
      <c r="D58" s="1782"/>
      <c r="E58" s="1782"/>
      <c r="F58" s="1782"/>
      <c r="G58" s="1782"/>
      <c r="H58" s="1782"/>
      <c r="I58" s="1782"/>
      <c r="J58" s="1782"/>
      <c r="K58" s="1782"/>
      <c r="L58" s="1782"/>
      <c r="M58" s="1782"/>
      <c r="N58" s="1782"/>
      <c r="O58" s="1782"/>
      <c r="P58" s="1782"/>
      <c r="Q58" s="1782"/>
      <c r="R58" s="1782"/>
      <c r="S58" s="1782"/>
      <c r="T58" s="1782"/>
      <c r="U58" s="1782"/>
      <c r="V58" s="1782"/>
      <c r="W58" s="1782"/>
      <c r="X58" s="1782"/>
      <c r="Y58" s="1782"/>
      <c r="Z58" s="1782"/>
      <c r="AA58" s="1783"/>
      <c r="AB58" s="995"/>
      <c r="AC58" s="996">
        <f>IF(AB58&gt;0,(SQRT(#REF!+#REF!+AD56))/AB58,0)</f>
        <v>0</v>
      </c>
      <c r="AD58" s="995">
        <f>(AB58*AC58)^2</f>
        <v>0</v>
      </c>
      <c r="AE58" s="997">
        <f>AE56</f>
        <v>0</v>
      </c>
      <c r="AF58" s="998">
        <f>AF56</f>
        <v>0</v>
      </c>
      <c r="AG58" s="28">
        <f>(AE58*AF58)^2</f>
        <v>0</v>
      </c>
      <c r="AH58" s="174"/>
      <c r="AI58" s="175"/>
      <c r="AJ58" s="175"/>
      <c r="AK58" s="175"/>
      <c r="AL58" s="176"/>
      <c r="AM58" s="176"/>
      <c r="AN58" s="176"/>
      <c r="AO58" s="175"/>
      <c r="AP58" s="175"/>
      <c r="AQ58" s="175"/>
      <c r="AR58" s="175"/>
      <c r="AS58" s="175"/>
      <c r="AT58" s="175"/>
      <c r="AU58" s="175"/>
      <c r="AV58" s="175"/>
      <c r="AW58" s="175"/>
      <c r="AX58" s="175"/>
      <c r="AY58" s="175"/>
      <c r="AZ58" s="175"/>
      <c r="BA58" s="177"/>
      <c r="BB58" s="175"/>
      <c r="BC58" s="175"/>
      <c r="BD58" s="177"/>
      <c r="BE58" s="177"/>
      <c r="BF58" s="168"/>
      <c r="BG58" s="168"/>
      <c r="BH58" s="168"/>
      <c r="BI58" s="168"/>
      <c r="BJ58" s="177"/>
      <c r="BK58" s="177"/>
      <c r="BL58" s="177"/>
      <c r="BM58" s="114"/>
      <c r="BN58" s="81"/>
      <c r="BO58" s="81"/>
      <c r="BP58" s="81"/>
      <c r="BQ58" s="81"/>
      <c r="BR58" s="81"/>
      <c r="BS58" s="81"/>
      <c r="BT58" s="81"/>
      <c r="BU58" s="81"/>
      <c r="BV58" s="81"/>
      <c r="BW58" s="81"/>
      <c r="BX58" s="81"/>
      <c r="BY58" s="81"/>
      <c r="BZ58" s="81"/>
      <c r="CA58" s="81"/>
      <c r="CB58" s="81"/>
      <c r="CC58" s="81"/>
      <c r="CD58" s="81"/>
      <c r="CE58" s="81"/>
      <c r="CF58" s="81"/>
      <c r="CG58" s="81"/>
      <c r="CH58" s="81"/>
      <c r="CI58" s="81"/>
      <c r="CJ58" s="81"/>
      <c r="CK58" s="81"/>
      <c r="CL58" s="81"/>
      <c r="CM58" s="81"/>
      <c r="CN58" s="81"/>
      <c r="CO58" s="100">
        <v>0.15</v>
      </c>
      <c r="CP58" s="100">
        <f t="shared" si="64"/>
        <v>0.17499999999999999</v>
      </c>
      <c r="CQ58" s="100">
        <v>0.2</v>
      </c>
      <c r="CR58" s="81"/>
      <c r="CS58" s="81"/>
      <c r="CT58" s="81"/>
      <c r="CU58" s="81"/>
      <c r="CV58" s="81"/>
      <c r="CW58" s="81"/>
      <c r="CX58" s="81"/>
      <c r="CY58" s="80"/>
      <c r="CZ58" s="80"/>
      <c r="DA58" s="80"/>
      <c r="DB58" s="80"/>
      <c r="DC58" s="80"/>
      <c r="DD58" s="80"/>
      <c r="DE58" s="80"/>
      <c r="DF58" s="80"/>
    </row>
    <row r="59" spans="1:137" s="26" customFormat="1" ht="21" x14ac:dyDescent="0.25">
      <c r="B59" s="136"/>
      <c r="C59" s="136"/>
      <c r="D59" s="136"/>
      <c r="E59" s="137"/>
      <c r="F59" s="137"/>
      <c r="G59" s="137"/>
      <c r="H59" s="137"/>
      <c r="I59" s="137"/>
      <c r="J59" s="137"/>
      <c r="K59" s="137"/>
      <c r="L59" s="137"/>
      <c r="M59" s="137"/>
      <c r="N59" s="137"/>
      <c r="O59" s="137"/>
      <c r="P59" s="137"/>
      <c r="Q59" s="137"/>
      <c r="R59" s="138"/>
      <c r="S59" s="137"/>
      <c r="T59" s="137"/>
      <c r="U59" s="137"/>
      <c r="V59" s="139"/>
      <c r="W59" s="139"/>
      <c r="X59" s="136"/>
      <c r="Y59" s="136"/>
      <c r="Z59" s="139"/>
      <c r="AA59" s="140"/>
      <c r="AB59" s="140"/>
      <c r="AC59" s="139"/>
      <c r="AD59" s="140"/>
      <c r="AG59" s="28">
        <f>(BF59*BG59)^2</f>
        <v>0</v>
      </c>
      <c r="AH59" s="164"/>
      <c r="AI59" s="165"/>
      <c r="AJ59" s="165"/>
      <c r="AK59" s="165"/>
      <c r="AL59" s="166"/>
      <c r="AM59" s="166"/>
      <c r="AN59" s="166"/>
      <c r="AO59" s="165"/>
      <c r="AP59" s="165"/>
      <c r="AQ59" s="165"/>
      <c r="AR59" s="165"/>
      <c r="AS59" s="165"/>
      <c r="AT59" s="165"/>
      <c r="AU59" s="165"/>
      <c r="AV59" s="165"/>
      <c r="AW59" s="165"/>
      <c r="AX59" s="165"/>
      <c r="AY59" s="165"/>
      <c r="AZ59" s="165"/>
      <c r="BA59" s="167"/>
      <c r="BB59" s="165"/>
      <c r="BC59" s="165"/>
      <c r="BD59" s="167"/>
      <c r="BE59" s="167"/>
      <c r="BF59" s="168"/>
      <c r="BG59" s="168"/>
      <c r="BH59" s="168"/>
      <c r="BI59" s="168"/>
      <c r="BJ59" s="167"/>
      <c r="BK59" s="167"/>
      <c r="BL59" s="167"/>
      <c r="BM59" s="112"/>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100">
        <v>0.15</v>
      </c>
      <c r="CP59" s="100">
        <f t="shared" si="64"/>
        <v>0.17499999999999999</v>
      </c>
      <c r="CQ59" s="100">
        <v>0.2</v>
      </c>
      <c r="CR59" s="28"/>
      <c r="CS59" s="28"/>
      <c r="CT59" s="28"/>
      <c r="CU59" s="28"/>
      <c r="CV59" s="28"/>
      <c r="CW59" s="28"/>
      <c r="CX59" s="28"/>
      <c r="CY59" s="29"/>
      <c r="CZ59" s="29"/>
      <c r="DA59" s="29"/>
      <c r="DB59" s="29"/>
      <c r="DC59" s="29"/>
      <c r="DD59" s="29"/>
      <c r="DE59" s="29"/>
      <c r="DF59" s="29"/>
    </row>
    <row r="60" spans="1:137" x14ac:dyDescent="0.25">
      <c r="BF60" s="168"/>
      <c r="BG60" s="168"/>
      <c r="BH60" s="168"/>
      <c r="BI60" s="168"/>
      <c r="CO60" s="100">
        <v>0.15</v>
      </c>
      <c r="CP60" s="100">
        <f t="shared" si="64"/>
        <v>0.17499999999999999</v>
      </c>
      <c r="CQ60" s="100">
        <v>0.2</v>
      </c>
    </row>
    <row r="61" spans="1:137" x14ac:dyDescent="0.25">
      <c r="BF61" s="168"/>
      <c r="BG61" s="168"/>
      <c r="BH61" s="168"/>
      <c r="BI61" s="168"/>
      <c r="CO61" s="100">
        <v>0.15</v>
      </c>
      <c r="CP61" s="100">
        <f t="shared" si="64"/>
        <v>0.17499999999999999</v>
      </c>
      <c r="CQ61" s="100">
        <v>0.2</v>
      </c>
    </row>
    <row r="62" spans="1:137" x14ac:dyDescent="0.25">
      <c r="BF62" s="168"/>
      <c r="BG62" s="168"/>
      <c r="BH62" s="168"/>
      <c r="BI62" s="168"/>
      <c r="CO62" s="100">
        <v>0.15</v>
      </c>
      <c r="CP62" s="100">
        <f t="shared" si="64"/>
        <v>0.17499999999999999</v>
      </c>
      <c r="CQ62" s="100">
        <v>0.2</v>
      </c>
    </row>
    <row r="63" spans="1:137" x14ac:dyDescent="0.25">
      <c r="BF63" s="168"/>
      <c r="BG63" s="168"/>
      <c r="BH63" s="168"/>
      <c r="BI63" s="168"/>
      <c r="CO63" s="100">
        <v>0.15</v>
      </c>
      <c r="CP63" s="100">
        <f t="shared" si="64"/>
        <v>0.17499999999999999</v>
      </c>
      <c r="CQ63" s="100">
        <v>0.2</v>
      </c>
    </row>
    <row r="64" spans="1:137" x14ac:dyDescent="0.25">
      <c r="BF64" s="168"/>
      <c r="BG64" s="168"/>
      <c r="BH64" s="168"/>
      <c r="BI64" s="168"/>
      <c r="CO64" s="100">
        <v>0.15</v>
      </c>
      <c r="CP64" s="100">
        <f t="shared" si="64"/>
        <v>0.17499999999999999</v>
      </c>
      <c r="CQ64" s="100">
        <v>0.2</v>
      </c>
    </row>
    <row r="65" spans="1:137" hidden="1" x14ac:dyDescent="0.25">
      <c r="BF65" s="168"/>
      <c r="BG65" s="168"/>
      <c r="BH65" s="168"/>
      <c r="BI65" s="168"/>
      <c r="CO65" s="100">
        <v>0.15</v>
      </c>
      <c r="CP65" s="100">
        <f t="shared" si="64"/>
        <v>0.17499999999999999</v>
      </c>
      <c r="CQ65" s="100">
        <v>0.2</v>
      </c>
    </row>
    <row r="66" spans="1:137" ht="15" hidden="1" customHeight="1" x14ac:dyDescent="0.25">
      <c r="BF66" s="168"/>
      <c r="BG66" s="168"/>
      <c r="BH66" s="168"/>
      <c r="BI66" s="168"/>
      <c r="CO66" s="100">
        <v>0.6</v>
      </c>
      <c r="CP66" s="100">
        <f t="shared" si="64"/>
        <v>0.8</v>
      </c>
      <c r="CQ66" s="100">
        <v>1</v>
      </c>
    </row>
    <row r="67" spans="1:137" ht="15" hidden="1" customHeight="1" x14ac:dyDescent="0.25">
      <c r="BF67" s="168"/>
      <c r="BG67" s="168"/>
      <c r="BH67" s="168"/>
      <c r="BI67" s="168"/>
      <c r="CO67" s="100">
        <v>0.6</v>
      </c>
      <c r="CP67" s="100">
        <f t="shared" si="64"/>
        <v>0.8</v>
      </c>
      <c r="CQ67" s="100">
        <v>1</v>
      </c>
      <c r="CT67" s="98"/>
      <c r="CU67" s="98"/>
      <c r="CV67" s="98"/>
      <c r="CW67" s="98"/>
      <c r="CX67" s="98"/>
      <c r="CY67" s="98"/>
      <c r="CZ67" s="98"/>
      <c r="DA67" s="98"/>
      <c r="DB67" s="98"/>
      <c r="DC67" s="98"/>
      <c r="DD67" s="98"/>
      <c r="DE67" s="98"/>
      <c r="DF67" s="98"/>
      <c r="DG67" s="98"/>
      <c r="DH67" s="98"/>
      <c r="DI67" s="98"/>
      <c r="DJ67" s="98"/>
      <c r="DK67" s="98"/>
      <c r="DL67" s="98"/>
      <c r="DM67" s="98"/>
      <c r="DN67" s="98"/>
      <c r="DO67" s="98"/>
      <c r="DP67" s="98"/>
      <c r="DQ67" s="98"/>
      <c r="DR67" s="98"/>
      <c r="DS67" s="98"/>
      <c r="DT67" s="98"/>
      <c r="DU67" s="98"/>
      <c r="DV67" s="98"/>
      <c r="DW67" s="98"/>
      <c r="DX67" s="98"/>
      <c r="DY67" s="98"/>
      <c r="DZ67" s="98"/>
      <c r="EA67" s="98"/>
      <c r="EB67" s="98"/>
      <c r="EC67" s="98"/>
      <c r="ED67" s="98"/>
      <c r="EE67" s="98"/>
      <c r="EF67" s="98"/>
      <c r="EG67" s="98"/>
    </row>
    <row r="68" spans="1:137" ht="15" hidden="1" customHeight="1" x14ac:dyDescent="0.25">
      <c r="BF68" s="168"/>
      <c r="BG68" s="168"/>
      <c r="BH68" s="168"/>
      <c r="BI68" s="168"/>
      <c r="CO68" s="100">
        <v>0.6</v>
      </c>
      <c r="CP68" s="100">
        <f t="shared" si="64"/>
        <v>0.8</v>
      </c>
      <c r="CQ68" s="100">
        <v>1</v>
      </c>
      <c r="CT68" s="98"/>
      <c r="CU68" s="98"/>
      <c r="CV68" s="98"/>
      <c r="CW68" s="98"/>
      <c r="CX68" s="98"/>
      <c r="CY68" s="98"/>
      <c r="CZ68" s="98"/>
      <c r="DA68" s="98"/>
      <c r="DB68" s="98"/>
      <c r="DC68" s="98"/>
      <c r="DD68" s="98"/>
      <c r="DE68" s="98"/>
      <c r="DF68" s="98"/>
      <c r="DG68" s="98"/>
      <c r="DH68" s="98"/>
      <c r="DI68" s="98"/>
      <c r="DJ68" s="98"/>
      <c r="DK68" s="98"/>
      <c r="DL68" s="98"/>
      <c r="DM68" s="98"/>
      <c r="DN68" s="98"/>
      <c r="DO68" s="98"/>
      <c r="DP68" s="98"/>
      <c r="DQ68" s="98"/>
      <c r="DR68" s="98"/>
      <c r="DS68" s="98"/>
      <c r="DT68" s="98"/>
      <c r="DU68" s="98"/>
      <c r="DV68" s="98"/>
      <c r="DW68" s="98"/>
      <c r="DX68" s="98"/>
      <c r="DY68" s="98"/>
      <c r="DZ68" s="98"/>
      <c r="EA68" s="98"/>
      <c r="EB68" s="98"/>
      <c r="EC68" s="98"/>
      <c r="ED68" s="98"/>
      <c r="EE68" s="98"/>
      <c r="EF68" s="98"/>
      <c r="EG68" s="98"/>
    </row>
    <row r="69" spans="1:137" ht="15" hidden="1" customHeight="1" x14ac:dyDescent="0.25">
      <c r="BF69" s="168"/>
      <c r="BG69" s="168"/>
      <c r="BH69" s="168"/>
      <c r="BI69" s="168"/>
      <c r="CO69" s="100">
        <v>0.6</v>
      </c>
      <c r="CP69" s="100">
        <f t="shared" si="64"/>
        <v>0.8</v>
      </c>
      <c r="CQ69" s="100">
        <v>1</v>
      </c>
      <c r="CT69" s="98"/>
      <c r="CU69" s="98"/>
      <c r="CV69" s="98"/>
      <c r="CW69" s="98"/>
      <c r="CX69" s="98"/>
      <c r="CY69" s="98"/>
      <c r="CZ69" s="98"/>
      <c r="DA69" s="98"/>
      <c r="DB69" s="98"/>
      <c r="DC69" s="98"/>
      <c r="DD69" s="98"/>
      <c r="DE69" s="98"/>
      <c r="DF69" s="98"/>
      <c r="DG69" s="98"/>
      <c r="DH69" s="98"/>
      <c r="DI69" s="98"/>
      <c r="DJ69" s="98"/>
      <c r="DK69" s="98"/>
      <c r="DL69" s="98"/>
      <c r="DM69" s="98"/>
      <c r="DN69" s="98"/>
      <c r="DO69" s="98"/>
      <c r="DP69" s="98"/>
      <c r="DQ69" s="98"/>
      <c r="DR69" s="98"/>
      <c r="DS69" s="98"/>
      <c r="DT69" s="98"/>
      <c r="DU69" s="98"/>
      <c r="DV69" s="98"/>
      <c r="DW69" s="98"/>
      <c r="DX69" s="98"/>
      <c r="DY69" s="98"/>
      <c r="DZ69" s="98"/>
      <c r="EA69" s="98"/>
      <c r="EB69" s="98"/>
      <c r="EC69" s="98"/>
      <c r="ED69" s="98"/>
      <c r="EE69" s="98"/>
      <c r="EF69" s="98"/>
      <c r="EG69" s="98"/>
    </row>
    <row r="70" spans="1:137" s="101" customFormat="1" ht="15" hidden="1" customHeight="1" x14ac:dyDescent="0.25">
      <c r="A70" s="99"/>
      <c r="V70" s="103"/>
      <c r="AA70" s="104"/>
      <c r="AB70" s="104"/>
      <c r="AD70" s="104"/>
      <c r="AE70" s="105"/>
      <c r="AH70" s="106"/>
      <c r="AI70" s="106"/>
      <c r="AK70" s="104"/>
      <c r="AR70" s="104"/>
      <c r="AV70" s="104"/>
      <c r="AX70" s="104"/>
      <c r="BB70" s="104"/>
      <c r="BC70" s="104"/>
      <c r="BE70" s="104"/>
      <c r="BF70" s="168"/>
      <c r="BG70" s="168"/>
      <c r="BH70" s="168"/>
      <c r="BI70" s="168"/>
      <c r="BJ70" s="178"/>
      <c r="BK70" s="178"/>
      <c r="BL70" s="178"/>
      <c r="BM70" s="169"/>
      <c r="BN70" s="169"/>
      <c r="BO70" s="169"/>
      <c r="BP70" s="179"/>
      <c r="BQ70" s="179"/>
      <c r="BR70" s="179"/>
      <c r="BS70" s="179"/>
      <c r="BT70" s="179"/>
      <c r="BU70" s="179"/>
      <c r="BV70" s="178"/>
      <c r="BW70" s="179"/>
      <c r="BX70" s="179"/>
      <c r="BY70" s="178"/>
      <c r="BZ70" s="178"/>
      <c r="CA70" s="178"/>
      <c r="CB70" s="180"/>
      <c r="CC70" s="179"/>
      <c r="CD70" s="179"/>
      <c r="CE70" s="180"/>
      <c r="CF70" s="180"/>
      <c r="CG70" s="180"/>
      <c r="CH70" s="180"/>
      <c r="CI70" s="179"/>
      <c r="CJ70" s="179"/>
      <c r="CK70" s="180"/>
      <c r="CL70" s="180"/>
      <c r="CM70" s="180"/>
      <c r="CN70" s="116"/>
      <c r="CO70" s="100">
        <v>0.6</v>
      </c>
      <c r="CP70" s="100">
        <f t="shared" si="64"/>
        <v>0.8</v>
      </c>
      <c r="CQ70" s="100">
        <v>1</v>
      </c>
    </row>
    <row r="71" spans="1:137" s="101" customFormat="1" ht="15" hidden="1" customHeight="1" thickBot="1" x14ac:dyDescent="0.3">
      <c r="A71" s="99"/>
      <c r="V71" s="103"/>
      <c r="AA71" s="104"/>
      <c r="AB71" s="104"/>
      <c r="AD71" s="104"/>
      <c r="AE71" s="105"/>
      <c r="AH71" s="106"/>
      <c r="AI71" s="106"/>
      <c r="AK71" s="104"/>
      <c r="AR71" s="104"/>
      <c r="AV71" s="104"/>
      <c r="AX71" s="104"/>
      <c r="BB71" s="104"/>
      <c r="BC71" s="104"/>
      <c r="BE71" s="104"/>
      <c r="BF71" s="168"/>
      <c r="BG71" s="168"/>
      <c r="BH71" s="168"/>
      <c r="BI71" s="102">
        <v>1</v>
      </c>
      <c r="BJ71" s="178">
        <v>2</v>
      </c>
      <c r="BK71" s="178">
        <v>3</v>
      </c>
      <c r="BL71" s="178">
        <v>4</v>
      </c>
      <c r="BM71" s="178">
        <v>5</v>
      </c>
      <c r="BN71" s="178">
        <v>6</v>
      </c>
      <c r="BO71" s="178">
        <v>7</v>
      </c>
      <c r="BP71" s="178">
        <v>8</v>
      </c>
      <c r="BQ71" s="178">
        <v>9</v>
      </c>
      <c r="BR71" s="178">
        <v>10</v>
      </c>
      <c r="BS71" s="178">
        <v>11</v>
      </c>
      <c r="BT71" s="178">
        <v>12</v>
      </c>
      <c r="BU71" s="178">
        <v>13</v>
      </c>
      <c r="BV71" s="178">
        <v>14</v>
      </c>
      <c r="BW71" s="178">
        <v>15</v>
      </c>
      <c r="BX71" s="178">
        <v>16</v>
      </c>
      <c r="BY71" s="178">
        <v>17</v>
      </c>
      <c r="BZ71" s="178">
        <v>18</v>
      </c>
      <c r="CA71" s="178">
        <v>19</v>
      </c>
      <c r="CB71" s="178">
        <v>20</v>
      </c>
      <c r="CC71" s="178">
        <v>21</v>
      </c>
      <c r="CD71" s="178">
        <v>22</v>
      </c>
      <c r="CE71" s="178">
        <v>23</v>
      </c>
      <c r="CF71" s="178">
        <v>24</v>
      </c>
      <c r="CG71" s="178">
        <v>25</v>
      </c>
      <c r="CH71" s="178">
        <v>26</v>
      </c>
      <c r="CI71" s="178">
        <v>27</v>
      </c>
      <c r="CJ71" s="178">
        <v>28</v>
      </c>
      <c r="CK71" s="178">
        <v>29</v>
      </c>
      <c r="CL71" s="178">
        <v>30</v>
      </c>
      <c r="CM71" s="178">
        <v>31</v>
      </c>
      <c r="CN71" s="115">
        <v>32</v>
      </c>
      <c r="CO71" s="100">
        <v>0.6</v>
      </c>
      <c r="CP71" s="100">
        <f t="shared" si="64"/>
        <v>0.8</v>
      </c>
      <c r="CQ71" s="100">
        <v>1</v>
      </c>
      <c r="CR71" s="115">
        <v>33</v>
      </c>
      <c r="CS71" s="115">
        <v>34</v>
      </c>
    </row>
    <row r="72" spans="1:137" s="101" customFormat="1" ht="26.25" hidden="1" customHeight="1" thickBot="1" x14ac:dyDescent="0.3">
      <c r="A72" s="99"/>
      <c r="V72" s="103"/>
      <c r="AA72" s="104"/>
      <c r="AB72" s="104"/>
      <c r="AD72" s="104"/>
      <c r="AE72" s="105"/>
      <c r="AH72" s="106"/>
      <c r="AI72" s="106"/>
      <c r="AK72" s="104"/>
      <c r="AR72" s="104"/>
      <c r="AV72" s="104"/>
      <c r="AX72" s="104"/>
      <c r="BB72" s="104"/>
      <c r="BC72" s="104"/>
      <c r="BE72" s="104"/>
      <c r="BF72" s="168"/>
      <c r="BG72" s="168"/>
      <c r="BH72" s="168"/>
      <c r="BI72" s="182"/>
      <c r="BJ72" s="251"/>
      <c r="BK72" s="1606" t="s">
        <v>607</v>
      </c>
      <c r="BL72" s="251"/>
      <c r="BM72" s="1606" t="s">
        <v>233</v>
      </c>
      <c r="BN72" s="1606" t="s">
        <v>233</v>
      </c>
      <c r="BO72" s="1606" t="s">
        <v>240</v>
      </c>
      <c r="BP72" s="1608" t="s">
        <v>172</v>
      </c>
      <c r="BQ72" s="1609"/>
      <c r="BR72" s="1609"/>
      <c r="BS72" s="1609"/>
      <c r="BT72" s="1609"/>
      <c r="BU72" s="1609"/>
      <c r="BV72" s="1609"/>
      <c r="BW72" s="1609"/>
      <c r="BX72" s="1609"/>
      <c r="BY72" s="1609"/>
      <c r="BZ72" s="1609"/>
      <c r="CA72" s="1610"/>
      <c r="CB72" s="1608" t="s">
        <v>173</v>
      </c>
      <c r="CC72" s="1609"/>
      <c r="CD72" s="1609"/>
      <c r="CE72" s="1609"/>
      <c r="CF72" s="1609"/>
      <c r="CG72" s="1609"/>
      <c r="CH72" s="1609"/>
      <c r="CI72" s="1609"/>
      <c r="CJ72" s="1609"/>
      <c r="CK72" s="1609"/>
      <c r="CL72" s="1609"/>
      <c r="CM72" s="1610"/>
      <c r="CN72" s="116"/>
      <c r="CO72" s="100">
        <v>0.6</v>
      </c>
      <c r="CP72" s="100">
        <f t="shared" si="64"/>
        <v>0.8</v>
      </c>
      <c r="CQ72" s="100">
        <v>1</v>
      </c>
      <c r="CR72" s="101" t="s">
        <v>295</v>
      </c>
    </row>
    <row r="73" spans="1:137" s="101" customFormat="1" ht="58.5" hidden="1" customHeight="1" thickBot="1" x14ac:dyDescent="0.3">
      <c r="A73" s="99"/>
      <c r="V73" s="103"/>
      <c r="X73" s="107"/>
      <c r="Y73" s="107"/>
      <c r="Z73" s="107"/>
      <c r="AA73" s="110"/>
      <c r="AB73" s="110"/>
      <c r="AC73" s="107"/>
      <c r="AD73" s="110"/>
      <c r="AE73" s="109"/>
      <c r="AF73" s="107"/>
      <c r="AG73" s="107"/>
      <c r="AH73" s="111"/>
      <c r="AI73" s="111"/>
      <c r="AJ73" s="107"/>
      <c r="AK73" s="110"/>
      <c r="AL73" s="107"/>
      <c r="AM73" s="107"/>
      <c r="AN73" s="107"/>
      <c r="AO73" s="107"/>
      <c r="AP73" s="107"/>
      <c r="AQ73" s="107"/>
      <c r="AR73" s="110"/>
      <c r="AS73" s="107"/>
      <c r="AT73" s="107"/>
      <c r="AU73" s="107"/>
      <c r="AV73" s="110"/>
      <c r="AW73" s="107"/>
      <c r="AX73" s="110"/>
      <c r="AY73" s="107"/>
      <c r="AZ73" s="107"/>
      <c r="BA73" s="107"/>
      <c r="BB73" s="110"/>
      <c r="BC73" s="110"/>
      <c r="BD73" s="107"/>
      <c r="BE73" s="110"/>
      <c r="BF73" s="168"/>
      <c r="BG73" s="168"/>
      <c r="BH73" s="168"/>
      <c r="BI73" s="182" t="s">
        <v>366</v>
      </c>
      <c r="BJ73" s="252" t="s">
        <v>253</v>
      </c>
      <c r="BK73" s="1607"/>
      <c r="BL73" s="252" t="s">
        <v>251</v>
      </c>
      <c r="BM73" s="1607"/>
      <c r="BN73" s="1607"/>
      <c r="BO73" s="1607"/>
      <c r="BP73" s="185" t="s">
        <v>608</v>
      </c>
      <c r="BQ73" s="185" t="s">
        <v>609</v>
      </c>
      <c r="BR73" s="252" t="s">
        <v>251</v>
      </c>
      <c r="BS73" s="185" t="s">
        <v>233</v>
      </c>
      <c r="BT73" s="185" t="s">
        <v>233</v>
      </c>
      <c r="BU73" s="185" t="s">
        <v>240</v>
      </c>
      <c r="BV73" s="185" t="s">
        <v>265</v>
      </c>
      <c r="BW73" s="185" t="s">
        <v>610</v>
      </c>
      <c r="BX73" s="252" t="s">
        <v>251</v>
      </c>
      <c r="BY73" s="185" t="s">
        <v>233</v>
      </c>
      <c r="BZ73" s="185" t="s">
        <v>233</v>
      </c>
      <c r="CA73" s="185" t="s">
        <v>240</v>
      </c>
      <c r="CB73" s="185" t="s">
        <v>266</v>
      </c>
      <c r="CC73" s="185" t="s">
        <v>609</v>
      </c>
      <c r="CD73" s="252" t="s">
        <v>251</v>
      </c>
      <c r="CE73" s="185" t="s">
        <v>233</v>
      </c>
      <c r="CF73" s="185" t="s">
        <v>233</v>
      </c>
      <c r="CG73" s="185" t="s">
        <v>240</v>
      </c>
      <c r="CH73" s="185" t="s">
        <v>265</v>
      </c>
      <c r="CI73" s="185" t="s">
        <v>610</v>
      </c>
      <c r="CJ73" s="252" t="s">
        <v>251</v>
      </c>
      <c r="CK73" s="185" t="s">
        <v>233</v>
      </c>
      <c r="CL73" s="185" t="s">
        <v>233</v>
      </c>
      <c r="CM73" s="185" t="s">
        <v>240</v>
      </c>
      <c r="CN73" s="116"/>
      <c r="CO73" s="100">
        <v>0.6</v>
      </c>
      <c r="CP73" s="100">
        <f t="shared" si="64"/>
        <v>0.8</v>
      </c>
      <c r="CQ73" s="100">
        <v>1</v>
      </c>
      <c r="CR73" s="101" t="s">
        <v>296</v>
      </c>
      <c r="CS73" s="101" t="s">
        <v>297</v>
      </c>
    </row>
    <row r="74" spans="1:137" s="101" customFormat="1" ht="16.5" hidden="1" customHeight="1" thickBot="1" x14ac:dyDescent="0.3">
      <c r="A74" s="99"/>
      <c r="V74" s="103"/>
      <c r="X74" s="107"/>
      <c r="Y74" s="107"/>
      <c r="Z74" s="107"/>
      <c r="AA74" s="110"/>
      <c r="AB74" s="110"/>
      <c r="AC74" s="107"/>
      <c r="AD74" s="110"/>
      <c r="AE74" s="109"/>
      <c r="AF74" s="107"/>
      <c r="AG74" s="107"/>
      <c r="AH74" s="111"/>
      <c r="AI74" s="111"/>
      <c r="AJ74" s="107"/>
      <c r="AK74" s="110"/>
      <c r="AL74" s="107"/>
      <c r="AM74" s="107"/>
      <c r="AN74" s="107"/>
      <c r="AO74" s="107"/>
      <c r="AP74" s="107"/>
      <c r="AQ74" s="107"/>
      <c r="AR74" s="110"/>
      <c r="AS74" s="107"/>
      <c r="AT74" s="107"/>
      <c r="AU74" s="107"/>
      <c r="AV74" s="110"/>
      <c r="AW74" s="107"/>
      <c r="AX74" s="110"/>
      <c r="AY74" s="107"/>
      <c r="AZ74" s="107"/>
      <c r="BA74" s="107"/>
      <c r="BB74" s="110"/>
      <c r="BC74" s="110"/>
      <c r="BD74" s="107"/>
      <c r="BE74" s="110"/>
      <c r="BF74" s="168"/>
      <c r="BG74" s="168"/>
      <c r="BH74" s="168"/>
      <c r="BI74" s="186" t="s">
        <v>2</v>
      </c>
      <c r="BJ74" s="187" t="s">
        <v>611</v>
      </c>
      <c r="BK74" s="187">
        <v>2534.8130000000001</v>
      </c>
      <c r="BL74" s="187" t="s">
        <v>612</v>
      </c>
      <c r="BM74" s="188">
        <v>2.64E-3</v>
      </c>
      <c r="BN74" s="188">
        <v>2.64E-3</v>
      </c>
      <c r="BO74" s="188" t="s">
        <v>241</v>
      </c>
      <c r="BP74" s="187">
        <v>28.760200000000001</v>
      </c>
      <c r="BQ74" s="187">
        <f>BP74/1000</f>
        <v>2.87602E-2</v>
      </c>
      <c r="BR74" s="187" t="s">
        <v>613</v>
      </c>
      <c r="BS74" s="189">
        <v>3.0000000000000001E-3</v>
      </c>
      <c r="BT74" s="189">
        <v>0.03</v>
      </c>
      <c r="BU74" s="187" t="s">
        <v>242</v>
      </c>
      <c r="BV74" s="187">
        <v>43.1404</v>
      </c>
      <c r="BW74" s="187">
        <f>BV74/1000</f>
        <v>4.3140400000000002E-2</v>
      </c>
      <c r="BX74" s="187" t="s">
        <v>614</v>
      </c>
      <c r="BY74" s="189">
        <v>5.0000000000000001E-3</v>
      </c>
      <c r="BZ74" s="189">
        <v>0.05</v>
      </c>
      <c r="CA74" s="187" t="s">
        <v>242</v>
      </c>
      <c r="CB74" s="187">
        <v>0</v>
      </c>
      <c r="CC74" s="187">
        <f>CB74/1000</f>
        <v>0</v>
      </c>
      <c r="CD74" s="187" t="s">
        <v>613</v>
      </c>
      <c r="CE74" s="189">
        <v>0</v>
      </c>
      <c r="CF74" s="189">
        <v>0</v>
      </c>
      <c r="CG74" s="187" t="s">
        <v>242</v>
      </c>
      <c r="CH74" s="187">
        <v>0</v>
      </c>
      <c r="CI74" s="187">
        <f>CH74/1000</f>
        <v>0</v>
      </c>
      <c r="CJ74" s="187" t="s">
        <v>614</v>
      </c>
      <c r="CK74" s="189">
        <v>0</v>
      </c>
      <c r="CL74" s="189">
        <v>0</v>
      </c>
      <c r="CM74" s="187" t="s">
        <v>242</v>
      </c>
      <c r="CN74" s="116"/>
      <c r="CO74" s="100">
        <v>0.6</v>
      </c>
      <c r="CP74" s="100">
        <f t="shared" si="64"/>
        <v>0.8</v>
      </c>
      <c r="CQ74" s="100">
        <v>1</v>
      </c>
      <c r="CR74" s="101">
        <v>0.15</v>
      </c>
      <c r="CS74" s="101">
        <v>0.2</v>
      </c>
    </row>
    <row r="75" spans="1:137" s="101" customFormat="1" ht="16.5" hidden="1" customHeight="1" thickBot="1" x14ac:dyDescent="0.3">
      <c r="A75" s="99"/>
      <c r="V75" s="103"/>
      <c r="X75" s="107"/>
      <c r="Y75" s="107"/>
      <c r="Z75" s="107"/>
      <c r="AA75" s="110"/>
      <c r="AB75" s="110"/>
      <c r="AC75" s="107"/>
      <c r="AD75" s="110"/>
      <c r="AE75" s="109"/>
      <c r="AF75" s="107"/>
      <c r="AG75" s="107"/>
      <c r="AH75" s="111"/>
      <c r="AI75" s="111"/>
      <c r="AJ75" s="107"/>
      <c r="AK75" s="110"/>
      <c r="AL75" s="107"/>
      <c r="AM75" s="107"/>
      <c r="AN75" s="107"/>
      <c r="AO75" s="107"/>
      <c r="AP75" s="107"/>
      <c r="AQ75" s="107"/>
      <c r="AR75" s="110"/>
      <c r="AS75" s="107"/>
      <c r="AT75" s="107"/>
      <c r="AU75" s="107"/>
      <c r="AV75" s="110"/>
      <c r="AW75" s="107"/>
      <c r="AX75" s="110"/>
      <c r="AY75" s="107"/>
      <c r="AZ75" s="107"/>
      <c r="BA75" s="107"/>
      <c r="BB75" s="110"/>
      <c r="BC75" s="110"/>
      <c r="BD75" s="107"/>
      <c r="BE75" s="110"/>
      <c r="BF75" s="168"/>
      <c r="BG75" s="168"/>
      <c r="BH75" s="168"/>
      <c r="BI75" s="190" t="s">
        <v>211</v>
      </c>
      <c r="BJ75" s="187" t="s">
        <v>615</v>
      </c>
      <c r="BK75" s="181">
        <v>2160.7550000000001</v>
      </c>
      <c r="BL75" s="187" t="s">
        <v>612</v>
      </c>
      <c r="BM75" s="189">
        <v>3.0399999999999997E-3</v>
      </c>
      <c r="BN75" s="189">
        <v>3.0399999999999997E-3</v>
      </c>
      <c r="BO75" s="188" t="s">
        <v>241</v>
      </c>
      <c r="BP75" s="191">
        <v>26.622399999999999</v>
      </c>
      <c r="BQ75" s="187">
        <f t="shared" ref="BQ75:BQ98" si="65">BP75/1000</f>
        <v>2.6622399999999997E-2</v>
      </c>
      <c r="BR75" s="187" t="s">
        <v>616</v>
      </c>
      <c r="BS75" s="189">
        <v>3.0000000000000001E-3</v>
      </c>
      <c r="BT75" s="189">
        <v>0.03</v>
      </c>
      <c r="BU75" s="187" t="s">
        <v>242</v>
      </c>
      <c r="BV75" s="181">
        <v>39.933500000000002</v>
      </c>
      <c r="BW75" s="187">
        <f t="shared" ref="BW75:BW98" si="66">BV75/1000</f>
        <v>3.9933500000000004E-2</v>
      </c>
      <c r="BX75" s="187" t="s">
        <v>614</v>
      </c>
      <c r="BY75" s="189">
        <v>5.0000000000000001E-3</v>
      </c>
      <c r="BZ75" s="189">
        <v>0.05</v>
      </c>
      <c r="CA75" s="187" t="s">
        <v>242</v>
      </c>
      <c r="CB75" s="187">
        <v>0</v>
      </c>
      <c r="CC75" s="187">
        <f t="shared" ref="CC75:CC98" si="67">CB75/1000</f>
        <v>0</v>
      </c>
      <c r="CD75" s="187" t="s">
        <v>613</v>
      </c>
      <c r="CE75" s="189">
        <v>0</v>
      </c>
      <c r="CF75" s="189">
        <v>0</v>
      </c>
      <c r="CG75" s="187" t="s">
        <v>242</v>
      </c>
      <c r="CH75" s="181">
        <v>0</v>
      </c>
      <c r="CI75" s="187">
        <f t="shared" ref="CI75:CI98" si="68">CH75/1000</f>
        <v>0</v>
      </c>
      <c r="CJ75" s="187" t="s">
        <v>614</v>
      </c>
      <c r="CK75" s="189">
        <v>0</v>
      </c>
      <c r="CL75" s="189">
        <v>0</v>
      </c>
      <c r="CM75" s="187" t="s">
        <v>242</v>
      </c>
      <c r="CN75" s="116"/>
      <c r="CO75" s="100">
        <v>0.6</v>
      </c>
      <c r="CP75" s="100">
        <f t="shared" si="64"/>
        <v>0.8</v>
      </c>
      <c r="CQ75" s="100">
        <v>1</v>
      </c>
      <c r="CR75" s="101">
        <v>0.15</v>
      </c>
      <c r="CS75" s="101">
        <v>0.2</v>
      </c>
    </row>
    <row r="76" spans="1:137" s="101" customFormat="1" ht="16.5" hidden="1" customHeight="1" thickBot="1" x14ac:dyDescent="0.3">
      <c r="A76" s="99"/>
      <c r="V76" s="103"/>
      <c r="X76" s="107"/>
      <c r="Y76" s="107"/>
      <c r="Z76" s="107"/>
      <c r="AA76" s="110"/>
      <c r="AB76" s="110"/>
      <c r="AC76" s="107"/>
      <c r="AD76" s="110"/>
      <c r="AE76" s="109"/>
      <c r="AF76" s="107"/>
      <c r="AG76" s="107"/>
      <c r="AH76" s="111"/>
      <c r="AI76" s="111"/>
      <c r="AJ76" s="107"/>
      <c r="AK76" s="110"/>
      <c r="AL76" s="107"/>
      <c r="AM76" s="107"/>
      <c r="AN76" s="107"/>
      <c r="AO76" s="107"/>
      <c r="AP76" s="107"/>
      <c r="AQ76" s="107"/>
      <c r="AR76" s="110"/>
      <c r="AS76" s="107"/>
      <c r="AT76" s="107"/>
      <c r="AU76" s="107"/>
      <c r="AV76" s="110"/>
      <c r="AW76" s="107"/>
      <c r="AX76" s="110"/>
      <c r="AY76" s="107"/>
      <c r="AZ76" s="107"/>
      <c r="BA76" s="107"/>
      <c r="BB76" s="110"/>
      <c r="BC76" s="110"/>
      <c r="BD76" s="107"/>
      <c r="BE76" s="110"/>
      <c r="BF76" s="168"/>
      <c r="BG76" s="168"/>
      <c r="BH76" s="168"/>
      <c r="BI76" s="190" t="s">
        <v>212</v>
      </c>
      <c r="BJ76" s="187" t="s">
        <v>615</v>
      </c>
      <c r="BK76" s="181">
        <v>2894.0590000000002</v>
      </c>
      <c r="BL76" s="187" t="s">
        <v>612</v>
      </c>
      <c r="BM76" s="189">
        <v>2.3499999999999997E-3</v>
      </c>
      <c r="BN76" s="189">
        <v>2.3499999999999997E-3</v>
      </c>
      <c r="BO76" s="188" t="s">
        <v>241</v>
      </c>
      <c r="BP76" s="191">
        <v>30.416899999999998</v>
      </c>
      <c r="BQ76" s="187">
        <f t="shared" si="65"/>
        <v>3.0416899999999997E-2</v>
      </c>
      <c r="BR76" s="187" t="s">
        <v>613</v>
      </c>
      <c r="BS76" s="189">
        <v>3.0000000000000001E-3</v>
      </c>
      <c r="BT76" s="189">
        <v>0.03</v>
      </c>
      <c r="BU76" s="187" t="s">
        <v>242</v>
      </c>
      <c r="BV76" s="181">
        <v>45.625300000000003</v>
      </c>
      <c r="BW76" s="187">
        <f t="shared" si="66"/>
        <v>4.5625300000000001E-2</v>
      </c>
      <c r="BX76" s="187" t="s">
        <v>614</v>
      </c>
      <c r="BY76" s="189">
        <v>5.0000000000000001E-3</v>
      </c>
      <c r="BZ76" s="189">
        <v>0.05</v>
      </c>
      <c r="CA76" s="187" t="s">
        <v>242</v>
      </c>
      <c r="CB76" s="187">
        <v>0</v>
      </c>
      <c r="CC76" s="187">
        <f t="shared" si="67"/>
        <v>0</v>
      </c>
      <c r="CD76" s="187" t="s">
        <v>613</v>
      </c>
      <c r="CE76" s="189">
        <v>0</v>
      </c>
      <c r="CF76" s="189">
        <v>0</v>
      </c>
      <c r="CG76" s="187" t="s">
        <v>242</v>
      </c>
      <c r="CH76" s="181">
        <v>0</v>
      </c>
      <c r="CI76" s="187">
        <f t="shared" si="68"/>
        <v>0</v>
      </c>
      <c r="CJ76" s="187" t="s">
        <v>614</v>
      </c>
      <c r="CK76" s="189">
        <v>0</v>
      </c>
      <c r="CL76" s="189">
        <v>0</v>
      </c>
      <c r="CM76" s="187" t="s">
        <v>242</v>
      </c>
      <c r="CN76" s="116"/>
      <c r="CO76" s="100">
        <v>0.6</v>
      </c>
      <c r="CP76" s="100">
        <f t="shared" si="64"/>
        <v>0.8</v>
      </c>
      <c r="CQ76" s="100">
        <v>1</v>
      </c>
      <c r="CR76" s="101">
        <v>0.15</v>
      </c>
      <c r="CS76" s="101">
        <v>0.2</v>
      </c>
    </row>
    <row r="77" spans="1:137" s="101" customFormat="1" ht="16.5" hidden="1" customHeight="1" thickBot="1" x14ac:dyDescent="0.3">
      <c r="A77" s="99"/>
      <c r="V77" s="103"/>
      <c r="X77" s="107"/>
      <c r="Y77" s="107"/>
      <c r="Z77" s="107"/>
      <c r="AA77" s="110"/>
      <c r="AB77" s="110"/>
      <c r="AC77" s="107"/>
      <c r="AD77" s="110"/>
      <c r="AE77" s="109"/>
      <c r="AF77" s="107"/>
      <c r="AG77" s="107"/>
      <c r="AH77" s="111"/>
      <c r="AI77" s="111"/>
      <c r="AJ77" s="107"/>
      <c r="AK77" s="110"/>
      <c r="AL77" s="107"/>
      <c r="AM77" s="107"/>
      <c r="AN77" s="107"/>
      <c r="AO77" s="107"/>
      <c r="AP77" s="107"/>
      <c r="AQ77" s="107"/>
      <c r="AR77" s="110"/>
      <c r="AS77" s="107"/>
      <c r="AT77" s="107"/>
      <c r="AU77" s="107"/>
      <c r="AV77" s="110"/>
      <c r="AW77" s="107"/>
      <c r="AX77" s="110"/>
      <c r="AY77" s="107"/>
      <c r="AZ77" s="107"/>
      <c r="BA77" s="107"/>
      <c r="BB77" s="110"/>
      <c r="BC77" s="110"/>
      <c r="BD77" s="107"/>
      <c r="BE77" s="110"/>
      <c r="BF77" s="168"/>
      <c r="BG77" s="168"/>
      <c r="BH77" s="168"/>
      <c r="BI77" s="190" t="s">
        <v>213</v>
      </c>
      <c r="BJ77" s="187" t="s">
        <v>615</v>
      </c>
      <c r="BK77" s="181">
        <v>2214.4580000000001</v>
      </c>
      <c r="BL77" s="187" t="s">
        <v>612</v>
      </c>
      <c r="BM77" s="189">
        <v>2.9299999999999999E-3</v>
      </c>
      <c r="BN77" s="189">
        <v>2.9299999999999999E-3</v>
      </c>
      <c r="BO77" s="188" t="s">
        <v>241</v>
      </c>
      <c r="BP77" s="191">
        <v>29.170200000000001</v>
      </c>
      <c r="BQ77" s="187">
        <f t="shared" si="65"/>
        <v>2.91702E-2</v>
      </c>
      <c r="BR77" s="187" t="s">
        <v>613</v>
      </c>
      <c r="BS77" s="189">
        <v>3.0000000000000001E-3</v>
      </c>
      <c r="BT77" s="189">
        <v>0.03</v>
      </c>
      <c r="BU77" s="187" t="s">
        <v>242</v>
      </c>
      <c r="BV77" s="181">
        <v>43.755299999999998</v>
      </c>
      <c r="BW77" s="187">
        <f t="shared" si="66"/>
        <v>4.3755299999999997E-2</v>
      </c>
      <c r="BX77" s="187" t="s">
        <v>614</v>
      </c>
      <c r="BY77" s="189">
        <v>5.0000000000000001E-3</v>
      </c>
      <c r="BZ77" s="189">
        <v>0.05</v>
      </c>
      <c r="CA77" s="187" t="s">
        <v>242</v>
      </c>
      <c r="CB77" s="187">
        <v>0</v>
      </c>
      <c r="CC77" s="187">
        <f t="shared" si="67"/>
        <v>0</v>
      </c>
      <c r="CD77" s="187" t="s">
        <v>613</v>
      </c>
      <c r="CE77" s="189">
        <v>0</v>
      </c>
      <c r="CF77" s="189">
        <v>0</v>
      </c>
      <c r="CG77" s="187" t="s">
        <v>242</v>
      </c>
      <c r="CH77" s="181">
        <v>0</v>
      </c>
      <c r="CI77" s="187">
        <f t="shared" si="68"/>
        <v>0</v>
      </c>
      <c r="CJ77" s="187" t="s">
        <v>614</v>
      </c>
      <c r="CK77" s="189">
        <v>0</v>
      </c>
      <c r="CL77" s="189">
        <v>0</v>
      </c>
      <c r="CM77" s="187" t="s">
        <v>242</v>
      </c>
      <c r="CN77" s="116"/>
      <c r="CO77" s="100">
        <v>0.6</v>
      </c>
      <c r="CP77" s="100">
        <f t="shared" si="64"/>
        <v>0.8</v>
      </c>
      <c r="CQ77" s="100">
        <v>1</v>
      </c>
      <c r="CR77" s="101">
        <v>0.15</v>
      </c>
      <c r="CS77" s="101">
        <v>0.2</v>
      </c>
    </row>
    <row r="78" spans="1:137" s="101" customFormat="1" ht="16.5" hidden="1" customHeight="1" thickBot="1" x14ac:dyDescent="0.3">
      <c r="A78" s="99"/>
      <c r="V78" s="103"/>
      <c r="X78" s="107"/>
      <c r="Y78" s="107"/>
      <c r="Z78" s="107"/>
      <c r="AA78" s="110"/>
      <c r="AB78" s="110"/>
      <c r="AC78" s="107"/>
      <c r="AD78" s="110"/>
      <c r="AE78" s="109"/>
      <c r="AF78" s="107"/>
      <c r="AG78" s="107"/>
      <c r="AH78" s="111"/>
      <c r="AI78" s="111"/>
      <c r="AJ78" s="107"/>
      <c r="AK78" s="110"/>
      <c r="AL78" s="107"/>
      <c r="AM78" s="107"/>
      <c r="AN78" s="107"/>
      <c r="AO78" s="107"/>
      <c r="AP78" s="107"/>
      <c r="AQ78" s="107"/>
      <c r="AR78" s="110"/>
      <c r="AS78" s="107"/>
      <c r="AT78" s="107"/>
      <c r="AU78" s="107"/>
      <c r="AV78" s="110"/>
      <c r="AW78" s="107"/>
      <c r="AX78" s="110"/>
      <c r="AY78" s="107"/>
      <c r="AZ78" s="107"/>
      <c r="BA78" s="107"/>
      <c r="BB78" s="110"/>
      <c r="BC78" s="110"/>
      <c r="BD78" s="107"/>
      <c r="BE78" s="110"/>
      <c r="BF78" s="168"/>
      <c r="BG78" s="168"/>
      <c r="BH78" s="168"/>
      <c r="BI78" s="190" t="s">
        <v>214</v>
      </c>
      <c r="BJ78" s="187" t="s">
        <v>615</v>
      </c>
      <c r="BK78" s="181">
        <v>2507.6329999999998</v>
      </c>
      <c r="BL78" s="187" t="s">
        <v>612</v>
      </c>
      <c r="BM78" s="189">
        <v>2.6099999999999999E-3</v>
      </c>
      <c r="BN78" s="189">
        <v>2.6099999999999999E-3</v>
      </c>
      <c r="BO78" s="188" t="s">
        <v>241</v>
      </c>
      <c r="BP78" s="191">
        <v>31.212299999999999</v>
      </c>
      <c r="BQ78" s="187">
        <f t="shared" si="65"/>
        <v>3.1212299999999998E-2</v>
      </c>
      <c r="BR78" s="187" t="s">
        <v>613</v>
      </c>
      <c r="BS78" s="189">
        <v>3.0000000000000001E-3</v>
      </c>
      <c r="BT78" s="189">
        <v>0.03</v>
      </c>
      <c r="BU78" s="187" t="s">
        <v>242</v>
      </c>
      <c r="BV78" s="181">
        <v>46.818399999999997</v>
      </c>
      <c r="BW78" s="187">
        <f t="shared" si="66"/>
        <v>4.6818399999999996E-2</v>
      </c>
      <c r="BX78" s="187" t="s">
        <v>614</v>
      </c>
      <c r="BY78" s="189">
        <v>5.0000000000000001E-3</v>
      </c>
      <c r="BZ78" s="189">
        <v>0.05</v>
      </c>
      <c r="CA78" s="187" t="s">
        <v>242</v>
      </c>
      <c r="CB78" s="187">
        <v>0</v>
      </c>
      <c r="CC78" s="187">
        <f t="shared" si="67"/>
        <v>0</v>
      </c>
      <c r="CD78" s="187" t="s">
        <v>613</v>
      </c>
      <c r="CE78" s="189">
        <v>0</v>
      </c>
      <c r="CF78" s="189">
        <v>0</v>
      </c>
      <c r="CG78" s="187" t="s">
        <v>242</v>
      </c>
      <c r="CH78" s="181">
        <v>0</v>
      </c>
      <c r="CI78" s="187">
        <f t="shared" si="68"/>
        <v>0</v>
      </c>
      <c r="CJ78" s="187" t="s">
        <v>614</v>
      </c>
      <c r="CK78" s="189">
        <v>0</v>
      </c>
      <c r="CL78" s="189">
        <v>0</v>
      </c>
      <c r="CM78" s="187" t="s">
        <v>242</v>
      </c>
      <c r="CN78" s="116"/>
      <c r="CO78" s="100">
        <v>0.6</v>
      </c>
      <c r="CP78" s="100">
        <f t="shared" si="64"/>
        <v>0.8</v>
      </c>
      <c r="CQ78" s="100">
        <v>1</v>
      </c>
      <c r="CR78" s="101">
        <v>0.15</v>
      </c>
      <c r="CS78" s="101">
        <v>0.2</v>
      </c>
    </row>
    <row r="79" spans="1:137" s="101" customFormat="1" ht="16.5" hidden="1" customHeight="1" thickBot="1" x14ac:dyDescent="0.3">
      <c r="A79" s="99"/>
      <c r="V79" s="103"/>
      <c r="X79" s="107"/>
      <c r="Y79" s="107"/>
      <c r="Z79" s="107"/>
      <c r="AA79" s="110"/>
      <c r="AB79" s="110"/>
      <c r="AC79" s="107"/>
      <c r="AD79" s="110"/>
      <c r="AE79" s="109"/>
      <c r="AF79" s="107"/>
      <c r="AG79" s="107"/>
      <c r="AH79" s="111"/>
      <c r="AI79" s="111"/>
      <c r="AJ79" s="107"/>
      <c r="AK79" s="110"/>
      <c r="AL79" s="107"/>
      <c r="AM79" s="107"/>
      <c r="AN79" s="107"/>
      <c r="AO79" s="107"/>
      <c r="AP79" s="107"/>
      <c r="AQ79" s="107"/>
      <c r="AR79" s="110"/>
      <c r="AS79" s="107"/>
      <c r="AT79" s="107"/>
      <c r="AU79" s="107"/>
      <c r="AV79" s="110"/>
      <c r="AW79" s="107"/>
      <c r="AX79" s="110"/>
      <c r="AY79" s="107"/>
      <c r="AZ79" s="107"/>
      <c r="BA79" s="107"/>
      <c r="BB79" s="110"/>
      <c r="BC79" s="110"/>
      <c r="BD79" s="107"/>
      <c r="BE79" s="110"/>
      <c r="BF79" s="168"/>
      <c r="BG79" s="168"/>
      <c r="BH79" s="168"/>
      <c r="BI79" s="190" t="s">
        <v>215</v>
      </c>
      <c r="BJ79" s="187" t="s">
        <v>615</v>
      </c>
      <c r="BK79" s="181">
        <v>2812.7539999999999</v>
      </c>
      <c r="BL79" s="187" t="s">
        <v>612</v>
      </c>
      <c r="BM79" s="189">
        <v>2.3899999999999998E-3</v>
      </c>
      <c r="BN79" s="189">
        <v>2.3899999999999998E-3</v>
      </c>
      <c r="BO79" s="188" t="s">
        <v>241</v>
      </c>
      <c r="BP79" s="191">
        <v>31.229299999999999</v>
      </c>
      <c r="BQ79" s="187">
        <f t="shared" si="65"/>
        <v>3.1229299999999998E-2</v>
      </c>
      <c r="BR79" s="187" t="s">
        <v>613</v>
      </c>
      <c r="BS79" s="189">
        <v>3.0000000000000001E-3</v>
      </c>
      <c r="BT79" s="189">
        <v>0.03</v>
      </c>
      <c r="BU79" s="187" t="s">
        <v>242</v>
      </c>
      <c r="BV79" s="181">
        <v>46.843899999999998</v>
      </c>
      <c r="BW79" s="187">
        <f t="shared" si="66"/>
        <v>4.6843900000000001E-2</v>
      </c>
      <c r="BX79" s="187" t="s">
        <v>614</v>
      </c>
      <c r="BY79" s="189">
        <v>5.0000000000000001E-3</v>
      </c>
      <c r="BZ79" s="189">
        <v>0.05</v>
      </c>
      <c r="CA79" s="187" t="s">
        <v>242</v>
      </c>
      <c r="CB79" s="187">
        <v>0</v>
      </c>
      <c r="CC79" s="187">
        <f t="shared" si="67"/>
        <v>0</v>
      </c>
      <c r="CD79" s="187" t="s">
        <v>613</v>
      </c>
      <c r="CE79" s="189">
        <v>0</v>
      </c>
      <c r="CF79" s="189">
        <v>0</v>
      </c>
      <c r="CG79" s="187" t="s">
        <v>242</v>
      </c>
      <c r="CH79" s="181">
        <v>0</v>
      </c>
      <c r="CI79" s="187">
        <f t="shared" si="68"/>
        <v>0</v>
      </c>
      <c r="CJ79" s="187" t="s">
        <v>614</v>
      </c>
      <c r="CK79" s="189">
        <v>0</v>
      </c>
      <c r="CL79" s="189">
        <v>0</v>
      </c>
      <c r="CM79" s="187" t="s">
        <v>242</v>
      </c>
      <c r="CN79" s="116"/>
      <c r="CO79" s="100">
        <v>0.15</v>
      </c>
      <c r="CP79" s="100">
        <f t="shared" si="64"/>
        <v>0.17499999999999999</v>
      </c>
      <c r="CQ79" s="100">
        <v>0.2</v>
      </c>
      <c r="CR79" s="101">
        <v>0.15</v>
      </c>
      <c r="CS79" s="101">
        <v>0.2</v>
      </c>
    </row>
    <row r="80" spans="1:137" s="101" customFormat="1" ht="16.5" hidden="1" customHeight="1" thickBot="1" x14ac:dyDescent="0.3">
      <c r="A80" s="99"/>
      <c r="V80" s="103"/>
      <c r="X80" s="107"/>
      <c r="Y80" s="107"/>
      <c r="Z80" s="107"/>
      <c r="AA80" s="110"/>
      <c r="AB80" s="110"/>
      <c r="AC80" s="107"/>
      <c r="AD80" s="110"/>
      <c r="AE80" s="109"/>
      <c r="AF80" s="107"/>
      <c r="AG80" s="107"/>
      <c r="AH80" s="111"/>
      <c r="AI80" s="111"/>
      <c r="AJ80" s="107"/>
      <c r="AK80" s="110"/>
      <c r="AL80" s="107"/>
      <c r="AM80" s="107"/>
      <c r="AN80" s="107"/>
      <c r="AO80" s="107"/>
      <c r="AP80" s="107"/>
      <c r="AQ80" s="107"/>
      <c r="AR80" s="110"/>
      <c r="AS80" s="107"/>
      <c r="AT80" s="107"/>
      <c r="AU80" s="107"/>
      <c r="AV80" s="110"/>
      <c r="AW80" s="107"/>
      <c r="AX80" s="110"/>
      <c r="AY80" s="107"/>
      <c r="AZ80" s="107"/>
      <c r="BA80" s="107"/>
      <c r="BB80" s="110"/>
      <c r="BC80" s="110"/>
      <c r="BD80" s="107"/>
      <c r="BE80" s="110"/>
      <c r="BF80" s="168"/>
      <c r="BG80" s="168"/>
      <c r="BH80" s="168"/>
      <c r="BI80" s="190" t="s">
        <v>216</v>
      </c>
      <c r="BJ80" s="187" t="s">
        <v>615</v>
      </c>
      <c r="BK80" s="181">
        <v>1903.181</v>
      </c>
      <c r="BL80" s="187" t="s">
        <v>612</v>
      </c>
      <c r="BM80" s="189">
        <v>3.5399999999999997E-3</v>
      </c>
      <c r="BN80" s="189">
        <v>3.5399999999999997E-3</v>
      </c>
      <c r="BO80" s="188" t="s">
        <v>241</v>
      </c>
      <c r="BP80" s="191">
        <v>20.947600000000001</v>
      </c>
      <c r="BQ80" s="187">
        <f t="shared" si="65"/>
        <v>2.09476E-2</v>
      </c>
      <c r="BR80" s="187" t="s">
        <v>613</v>
      </c>
      <c r="BS80" s="189">
        <v>3.0000000000000001E-3</v>
      </c>
      <c r="BT80" s="189">
        <v>0.03</v>
      </c>
      <c r="BU80" s="187" t="s">
        <v>242</v>
      </c>
      <c r="BV80" s="181">
        <v>31.421399999999998</v>
      </c>
      <c r="BW80" s="187">
        <f t="shared" si="66"/>
        <v>3.1421399999999995E-2</v>
      </c>
      <c r="BX80" s="187" t="s">
        <v>614</v>
      </c>
      <c r="BY80" s="189">
        <v>5.0000000000000001E-3</v>
      </c>
      <c r="BZ80" s="189">
        <v>0.05</v>
      </c>
      <c r="CA80" s="187" t="s">
        <v>242</v>
      </c>
      <c r="CB80" s="187">
        <v>0</v>
      </c>
      <c r="CC80" s="187">
        <f t="shared" si="67"/>
        <v>0</v>
      </c>
      <c r="CD80" s="187" t="s">
        <v>613</v>
      </c>
      <c r="CE80" s="189">
        <v>0</v>
      </c>
      <c r="CF80" s="189">
        <v>0</v>
      </c>
      <c r="CG80" s="187" t="s">
        <v>242</v>
      </c>
      <c r="CH80" s="181">
        <v>0</v>
      </c>
      <c r="CI80" s="187">
        <f t="shared" si="68"/>
        <v>0</v>
      </c>
      <c r="CJ80" s="187" t="s">
        <v>614</v>
      </c>
      <c r="CK80" s="189">
        <v>0</v>
      </c>
      <c r="CL80" s="189">
        <v>0</v>
      </c>
      <c r="CM80" s="187" t="s">
        <v>242</v>
      </c>
      <c r="CN80" s="116"/>
      <c r="CO80" s="100"/>
      <c r="CP80" s="100"/>
      <c r="CQ80" s="100"/>
      <c r="CR80" s="101">
        <v>0.15</v>
      </c>
      <c r="CS80" s="101">
        <v>0.2</v>
      </c>
    </row>
    <row r="81" spans="1:97" s="101" customFormat="1" ht="16.5" hidden="1" customHeight="1" thickBot="1" x14ac:dyDescent="0.3">
      <c r="A81" s="99"/>
      <c r="V81" s="103"/>
      <c r="X81" s="107"/>
      <c r="Y81" s="107"/>
      <c r="Z81" s="107"/>
      <c r="AA81" s="110"/>
      <c r="AB81" s="110"/>
      <c r="AC81" s="107"/>
      <c r="AD81" s="110"/>
      <c r="AE81" s="109"/>
      <c r="AF81" s="107"/>
      <c r="AG81" s="107"/>
      <c r="AH81" s="111"/>
      <c r="AI81" s="111"/>
      <c r="AJ81" s="107"/>
      <c r="AK81" s="110"/>
      <c r="AL81" s="107"/>
      <c r="AM81" s="107"/>
      <c r="AN81" s="107"/>
      <c r="AO81" s="107"/>
      <c r="AP81" s="107"/>
      <c r="AQ81" s="107"/>
      <c r="AR81" s="110"/>
      <c r="AS81" s="107"/>
      <c r="AT81" s="107"/>
      <c r="AU81" s="107"/>
      <c r="AV81" s="110"/>
      <c r="AW81" s="107"/>
      <c r="AX81" s="110"/>
      <c r="AY81" s="107"/>
      <c r="AZ81" s="107"/>
      <c r="BA81" s="107"/>
      <c r="BB81" s="110"/>
      <c r="BC81" s="110"/>
      <c r="BD81" s="107"/>
      <c r="BE81" s="110"/>
      <c r="BF81" s="168"/>
      <c r="BG81" s="168"/>
      <c r="BH81" s="168"/>
      <c r="BI81" s="190" t="s">
        <v>217</v>
      </c>
      <c r="BJ81" s="187" t="s">
        <v>615</v>
      </c>
      <c r="BK81" s="181">
        <v>2560.306</v>
      </c>
      <c r="BL81" s="187" t="s">
        <v>612</v>
      </c>
      <c r="BM81" s="189">
        <v>2.5400000000000002E-3</v>
      </c>
      <c r="BN81" s="189">
        <v>2.5400000000000002E-3</v>
      </c>
      <c r="BO81" s="188" t="s">
        <v>241</v>
      </c>
      <c r="BP81" s="191">
        <v>33.076700000000002</v>
      </c>
      <c r="BQ81" s="187">
        <f t="shared" si="65"/>
        <v>3.3076700000000001E-2</v>
      </c>
      <c r="BR81" s="187" t="s">
        <v>613</v>
      </c>
      <c r="BS81" s="189">
        <v>3.0000000000000001E-3</v>
      </c>
      <c r="BT81" s="189">
        <v>0.03</v>
      </c>
      <c r="BU81" s="187" t="s">
        <v>242</v>
      </c>
      <c r="BV81" s="181">
        <v>49.615000000000002</v>
      </c>
      <c r="BW81" s="187">
        <f t="shared" si="66"/>
        <v>4.9614999999999999E-2</v>
      </c>
      <c r="BX81" s="187" t="s">
        <v>614</v>
      </c>
      <c r="BY81" s="189">
        <v>5.0000000000000001E-3</v>
      </c>
      <c r="BZ81" s="189">
        <v>0.05</v>
      </c>
      <c r="CA81" s="187" t="s">
        <v>242</v>
      </c>
      <c r="CB81" s="187">
        <v>0</v>
      </c>
      <c r="CC81" s="187">
        <f t="shared" si="67"/>
        <v>0</v>
      </c>
      <c r="CD81" s="187" t="s">
        <v>613</v>
      </c>
      <c r="CE81" s="189">
        <v>0</v>
      </c>
      <c r="CF81" s="189">
        <v>0</v>
      </c>
      <c r="CG81" s="187" t="s">
        <v>242</v>
      </c>
      <c r="CH81" s="181">
        <v>0</v>
      </c>
      <c r="CI81" s="187">
        <f t="shared" si="68"/>
        <v>0</v>
      </c>
      <c r="CJ81" s="187" t="s">
        <v>614</v>
      </c>
      <c r="CK81" s="189">
        <v>0</v>
      </c>
      <c r="CL81" s="189">
        <v>0</v>
      </c>
      <c r="CM81" s="187" t="s">
        <v>242</v>
      </c>
      <c r="CN81" s="116"/>
      <c r="CO81" s="100"/>
      <c r="CP81" s="100"/>
      <c r="CQ81" s="100"/>
      <c r="CR81" s="101">
        <v>0.15</v>
      </c>
      <c r="CS81" s="101">
        <v>0.2</v>
      </c>
    </row>
    <row r="82" spans="1:97" s="101" customFormat="1" ht="16.5" hidden="1" customHeight="1" thickBot="1" x14ac:dyDescent="0.3">
      <c r="A82" s="99"/>
      <c r="V82" s="103"/>
      <c r="X82" s="107"/>
      <c r="Y82" s="107"/>
      <c r="Z82" s="107"/>
      <c r="AA82" s="110"/>
      <c r="AB82" s="110"/>
      <c r="AC82" s="107"/>
      <c r="AD82" s="110"/>
      <c r="AE82" s="109"/>
      <c r="AF82" s="107"/>
      <c r="AG82" s="107"/>
      <c r="AH82" s="111"/>
      <c r="AI82" s="111"/>
      <c r="AJ82" s="107"/>
      <c r="AK82" s="110"/>
      <c r="AL82" s="107"/>
      <c r="AM82" s="107"/>
      <c r="AN82" s="107"/>
      <c r="AO82" s="107"/>
      <c r="AP82" s="107"/>
      <c r="AQ82" s="107"/>
      <c r="AR82" s="110"/>
      <c r="AS82" s="107"/>
      <c r="AT82" s="107"/>
      <c r="AU82" s="107"/>
      <c r="AV82" s="110"/>
      <c r="AW82" s="107"/>
      <c r="AX82" s="110"/>
      <c r="AY82" s="107"/>
      <c r="AZ82" s="107"/>
      <c r="BA82" s="107"/>
      <c r="BB82" s="110"/>
      <c r="BC82" s="110"/>
      <c r="BD82" s="107"/>
      <c r="BE82" s="110"/>
      <c r="BF82" s="168"/>
      <c r="BG82" s="168"/>
      <c r="BH82" s="168"/>
      <c r="BI82" s="190" t="s">
        <v>218</v>
      </c>
      <c r="BJ82" s="187" t="s">
        <v>615</v>
      </c>
      <c r="BK82" s="181">
        <v>2690.982</v>
      </c>
      <c r="BL82" s="187" t="s">
        <v>612</v>
      </c>
      <c r="BM82" s="189">
        <v>2.5100000000000001E-3</v>
      </c>
      <c r="BN82" s="189">
        <v>2.5100000000000001E-3</v>
      </c>
      <c r="BO82" s="188" t="s">
        <v>241</v>
      </c>
      <c r="BP82" s="191">
        <v>29.204699999999999</v>
      </c>
      <c r="BQ82" s="187">
        <f t="shared" si="65"/>
        <v>2.92047E-2</v>
      </c>
      <c r="BR82" s="187" t="s">
        <v>613</v>
      </c>
      <c r="BS82" s="189">
        <v>3.0000000000000001E-3</v>
      </c>
      <c r="BT82" s="189">
        <v>0.03</v>
      </c>
      <c r="BU82" s="187" t="s">
        <v>242</v>
      </c>
      <c r="BV82" s="181">
        <v>43.807099999999998</v>
      </c>
      <c r="BW82" s="187">
        <f t="shared" si="66"/>
        <v>4.3807100000000002E-2</v>
      </c>
      <c r="BX82" s="187" t="s">
        <v>614</v>
      </c>
      <c r="BY82" s="189">
        <v>5.0000000000000001E-3</v>
      </c>
      <c r="BZ82" s="189">
        <v>0.05</v>
      </c>
      <c r="CA82" s="187" t="s">
        <v>242</v>
      </c>
      <c r="CB82" s="187">
        <v>0</v>
      </c>
      <c r="CC82" s="187">
        <f t="shared" si="67"/>
        <v>0</v>
      </c>
      <c r="CD82" s="187" t="s">
        <v>613</v>
      </c>
      <c r="CE82" s="189">
        <v>0</v>
      </c>
      <c r="CF82" s="189">
        <v>0</v>
      </c>
      <c r="CG82" s="187" t="s">
        <v>242</v>
      </c>
      <c r="CH82" s="181">
        <v>0</v>
      </c>
      <c r="CI82" s="187">
        <f t="shared" si="68"/>
        <v>0</v>
      </c>
      <c r="CJ82" s="187" t="s">
        <v>614</v>
      </c>
      <c r="CK82" s="189">
        <v>0</v>
      </c>
      <c r="CL82" s="189">
        <v>0</v>
      </c>
      <c r="CM82" s="187" t="s">
        <v>242</v>
      </c>
      <c r="CN82" s="116"/>
      <c r="CO82" s="100"/>
      <c r="CP82" s="100"/>
      <c r="CQ82" s="100"/>
      <c r="CR82" s="101">
        <v>0.15</v>
      </c>
      <c r="CS82" s="101">
        <v>0.2</v>
      </c>
    </row>
    <row r="83" spans="1:97" s="101" customFormat="1" ht="16.5" hidden="1" customHeight="1" thickBot="1" x14ac:dyDescent="0.3">
      <c r="A83" s="99"/>
      <c r="V83" s="103"/>
      <c r="AA83" s="104"/>
      <c r="AB83" s="104"/>
      <c r="AD83" s="104"/>
      <c r="AE83" s="105"/>
      <c r="AH83" s="106"/>
      <c r="AI83" s="106"/>
      <c r="AK83" s="104"/>
      <c r="AR83" s="104"/>
      <c r="AV83" s="104"/>
      <c r="AX83" s="104"/>
      <c r="BB83" s="104"/>
      <c r="BC83" s="104"/>
      <c r="BE83" s="104"/>
      <c r="BF83" s="168"/>
      <c r="BG83" s="168"/>
      <c r="BH83" s="168"/>
      <c r="BI83" s="190" t="s">
        <v>219</v>
      </c>
      <c r="BJ83" s="187" t="s">
        <v>615</v>
      </c>
      <c r="BK83" s="181">
        <v>3052.7950000000001</v>
      </c>
      <c r="BL83" s="187" t="s">
        <v>612</v>
      </c>
      <c r="BM83" s="189">
        <v>2.1800000000000001E-3</v>
      </c>
      <c r="BN83" s="189">
        <v>2.1800000000000001E-3</v>
      </c>
      <c r="BO83" s="188" t="s">
        <v>241</v>
      </c>
      <c r="BP83" s="191">
        <v>35.206200000000003</v>
      </c>
      <c r="BQ83" s="187">
        <f t="shared" si="65"/>
        <v>3.52062E-2</v>
      </c>
      <c r="BR83" s="187" t="s">
        <v>613</v>
      </c>
      <c r="BS83" s="189">
        <v>3.0000000000000001E-3</v>
      </c>
      <c r="BT83" s="189">
        <v>0.03</v>
      </c>
      <c r="BU83" s="187" t="s">
        <v>242</v>
      </c>
      <c r="BV83" s="181">
        <v>52.8093</v>
      </c>
      <c r="BW83" s="187">
        <f t="shared" si="66"/>
        <v>5.2809300000000003E-2</v>
      </c>
      <c r="BX83" s="187" t="s">
        <v>614</v>
      </c>
      <c r="BY83" s="189">
        <v>5.0000000000000001E-3</v>
      </c>
      <c r="BZ83" s="189">
        <v>0.05</v>
      </c>
      <c r="CA83" s="187" t="s">
        <v>242</v>
      </c>
      <c r="CB83" s="187">
        <v>0</v>
      </c>
      <c r="CC83" s="187">
        <f t="shared" si="67"/>
        <v>0</v>
      </c>
      <c r="CD83" s="187" t="s">
        <v>613</v>
      </c>
      <c r="CE83" s="189">
        <v>0</v>
      </c>
      <c r="CF83" s="189">
        <v>0</v>
      </c>
      <c r="CG83" s="187" t="s">
        <v>242</v>
      </c>
      <c r="CH83" s="181">
        <v>0</v>
      </c>
      <c r="CI83" s="187">
        <f t="shared" si="68"/>
        <v>0</v>
      </c>
      <c r="CJ83" s="187" t="s">
        <v>614</v>
      </c>
      <c r="CK83" s="189">
        <v>0</v>
      </c>
      <c r="CL83" s="189">
        <v>0</v>
      </c>
      <c r="CM83" s="187" t="s">
        <v>242</v>
      </c>
      <c r="CN83" s="116"/>
      <c r="CO83" s="100"/>
      <c r="CP83" s="100"/>
      <c r="CQ83" s="100"/>
      <c r="CR83" s="101">
        <v>0.15</v>
      </c>
      <c r="CS83" s="101">
        <v>0.2</v>
      </c>
    </row>
    <row r="84" spans="1:97" s="101" customFormat="1" ht="16.5" hidden="1" customHeight="1" thickBot="1" x14ac:dyDescent="0.3">
      <c r="A84" s="99"/>
      <c r="V84" s="103"/>
      <c r="AA84" s="104"/>
      <c r="AB84" s="104"/>
      <c r="AD84" s="104"/>
      <c r="AE84" s="105"/>
      <c r="AH84" s="106"/>
      <c r="AI84" s="106"/>
      <c r="AK84" s="104"/>
      <c r="AR84" s="104"/>
      <c r="AV84" s="104"/>
      <c r="AX84" s="104"/>
      <c r="BB84" s="104"/>
      <c r="BC84" s="104"/>
      <c r="BE84" s="104"/>
      <c r="BF84" s="168"/>
      <c r="BG84" s="168"/>
      <c r="BH84" s="168"/>
      <c r="BI84" s="190" t="s">
        <v>220</v>
      </c>
      <c r="BJ84" s="187" t="s">
        <v>615</v>
      </c>
      <c r="BK84" s="181">
        <v>2277.4490000000001</v>
      </c>
      <c r="BL84" s="187" t="s">
        <v>612</v>
      </c>
      <c r="BM84" s="189">
        <v>2.98E-3</v>
      </c>
      <c r="BN84" s="189">
        <v>2.98E-3</v>
      </c>
      <c r="BO84" s="188" t="s">
        <v>241</v>
      </c>
      <c r="BP84" s="191">
        <v>24.4054</v>
      </c>
      <c r="BQ84" s="187">
        <f t="shared" si="65"/>
        <v>2.4405400000000001E-2</v>
      </c>
      <c r="BR84" s="187" t="s">
        <v>613</v>
      </c>
      <c r="BS84" s="189">
        <v>3.0000000000000001E-3</v>
      </c>
      <c r="BT84" s="189">
        <v>0.03</v>
      </c>
      <c r="BU84" s="187" t="s">
        <v>242</v>
      </c>
      <c r="BV84" s="181">
        <v>36.6081</v>
      </c>
      <c r="BW84" s="187">
        <f t="shared" si="66"/>
        <v>3.6608099999999998E-2</v>
      </c>
      <c r="BX84" s="187" t="s">
        <v>614</v>
      </c>
      <c r="BY84" s="189">
        <v>5.0000000000000001E-3</v>
      </c>
      <c r="BZ84" s="189">
        <v>0.05</v>
      </c>
      <c r="CA84" s="187" t="s">
        <v>242</v>
      </c>
      <c r="CB84" s="187">
        <v>0</v>
      </c>
      <c r="CC84" s="187">
        <f t="shared" si="67"/>
        <v>0</v>
      </c>
      <c r="CD84" s="187" t="s">
        <v>613</v>
      </c>
      <c r="CE84" s="189">
        <v>0</v>
      </c>
      <c r="CF84" s="189">
        <v>0</v>
      </c>
      <c r="CG84" s="187" t="s">
        <v>242</v>
      </c>
      <c r="CH84" s="181">
        <v>0</v>
      </c>
      <c r="CI84" s="187">
        <f t="shared" si="68"/>
        <v>0</v>
      </c>
      <c r="CJ84" s="187" t="s">
        <v>614</v>
      </c>
      <c r="CK84" s="189">
        <v>0</v>
      </c>
      <c r="CL84" s="189">
        <v>0</v>
      </c>
      <c r="CM84" s="187" t="s">
        <v>242</v>
      </c>
      <c r="CN84" s="116"/>
      <c r="CO84" s="100">
        <v>0.15</v>
      </c>
      <c r="CP84" s="100">
        <f t="shared" ref="CP84:CP96" si="69">(CO84+CQ84)/2</f>
        <v>0.17499999999999999</v>
      </c>
      <c r="CQ84" s="100">
        <v>0.2</v>
      </c>
      <c r="CR84" s="101">
        <v>0.15</v>
      </c>
      <c r="CS84" s="101">
        <v>0.2</v>
      </c>
    </row>
    <row r="85" spans="1:97" s="101" customFormat="1" ht="16.5" hidden="1" customHeight="1" thickBot="1" x14ac:dyDescent="0.3">
      <c r="A85" s="99"/>
      <c r="V85" s="103"/>
      <c r="AA85" s="104"/>
      <c r="AB85" s="104"/>
      <c r="AD85" s="104"/>
      <c r="AE85" s="105"/>
      <c r="AH85" s="106"/>
      <c r="AI85" s="106"/>
      <c r="AK85" s="104"/>
      <c r="AR85" s="104"/>
      <c r="AV85" s="104"/>
      <c r="AX85" s="104"/>
      <c r="BB85" s="104"/>
      <c r="BC85" s="104"/>
      <c r="BE85" s="104"/>
      <c r="BF85" s="168"/>
      <c r="BG85" s="168"/>
      <c r="BH85" s="168"/>
      <c r="BI85" s="190" t="s">
        <v>1</v>
      </c>
      <c r="BJ85" s="187" t="s">
        <v>615</v>
      </c>
      <c r="BK85" s="213">
        <v>0</v>
      </c>
      <c r="BL85" s="187" t="s">
        <v>612</v>
      </c>
      <c r="BM85" s="189">
        <v>4.3E-3</v>
      </c>
      <c r="BN85" s="189">
        <v>4.3E-3</v>
      </c>
      <c r="BO85" s="188" t="s">
        <v>241</v>
      </c>
      <c r="BP85" s="191">
        <v>442.28840000000002</v>
      </c>
      <c r="BQ85" s="187">
        <f t="shared" si="65"/>
        <v>0.44228840000000003</v>
      </c>
      <c r="BR85" s="187" t="s">
        <v>613</v>
      </c>
      <c r="BS85" s="189">
        <v>0.1</v>
      </c>
      <c r="BT85" s="189">
        <v>1</v>
      </c>
      <c r="BU85" s="187" t="s">
        <v>242</v>
      </c>
      <c r="BV85" s="181">
        <v>58.971800000000002</v>
      </c>
      <c r="BW85" s="187">
        <f t="shared" si="66"/>
        <v>5.8971800000000005E-2</v>
      </c>
      <c r="BX85" s="187" t="s">
        <v>614</v>
      </c>
      <c r="BY85" s="189">
        <v>1.4999999999999999E-2</v>
      </c>
      <c r="BZ85" s="189">
        <v>0.15</v>
      </c>
      <c r="CA85" s="187" t="s">
        <v>242</v>
      </c>
      <c r="CB85" s="187">
        <v>0</v>
      </c>
      <c r="CC85" s="187">
        <f t="shared" si="67"/>
        <v>0</v>
      </c>
      <c r="CD85" s="187" t="s">
        <v>613</v>
      </c>
      <c r="CE85" s="189">
        <v>0</v>
      </c>
      <c r="CF85" s="189">
        <v>0</v>
      </c>
      <c r="CG85" s="187" t="s">
        <v>242</v>
      </c>
      <c r="CH85" s="181">
        <v>0</v>
      </c>
      <c r="CI85" s="187">
        <f t="shared" si="68"/>
        <v>0</v>
      </c>
      <c r="CJ85" s="187" t="s">
        <v>614</v>
      </c>
      <c r="CK85" s="189">
        <v>0</v>
      </c>
      <c r="CL85" s="189">
        <v>0</v>
      </c>
      <c r="CM85" s="187" t="s">
        <v>242</v>
      </c>
      <c r="CN85" s="116"/>
      <c r="CO85" s="100">
        <v>0.15</v>
      </c>
      <c r="CP85" s="100">
        <f t="shared" si="69"/>
        <v>0.17499999999999999</v>
      </c>
      <c r="CQ85" s="100">
        <v>0.2</v>
      </c>
      <c r="CR85" s="101">
        <v>0.6</v>
      </c>
      <c r="CS85" s="101">
        <v>1</v>
      </c>
    </row>
    <row r="86" spans="1:97" s="101" customFormat="1" ht="16.5" hidden="1" customHeight="1" thickBot="1" x14ac:dyDescent="0.3">
      <c r="A86" s="99"/>
      <c r="V86" s="103"/>
      <c r="AA86" s="104"/>
      <c r="AB86" s="104"/>
      <c r="AD86" s="104"/>
      <c r="AE86" s="105"/>
      <c r="AH86" s="106"/>
      <c r="AI86" s="106"/>
      <c r="AK86" s="104"/>
      <c r="AR86" s="104"/>
      <c r="AV86" s="104"/>
      <c r="AX86" s="104"/>
      <c r="BB86" s="104"/>
      <c r="BC86" s="104"/>
      <c r="BE86" s="104"/>
      <c r="BF86" s="168"/>
      <c r="BG86" s="168"/>
      <c r="BH86" s="168"/>
      <c r="BI86" s="190" t="s">
        <v>221</v>
      </c>
      <c r="BJ86" s="187" t="s">
        <v>615</v>
      </c>
      <c r="BK86" s="213">
        <v>0</v>
      </c>
      <c r="BL86" s="187" t="s">
        <v>612</v>
      </c>
      <c r="BM86" s="189">
        <v>3.82E-3</v>
      </c>
      <c r="BN86" s="189">
        <v>3.82E-3</v>
      </c>
      <c r="BO86" s="188" t="s">
        <v>241</v>
      </c>
      <c r="BP86" s="191">
        <v>499.19130000000001</v>
      </c>
      <c r="BQ86" s="187">
        <f t="shared" si="65"/>
        <v>0.4991913</v>
      </c>
      <c r="BR86" s="187" t="s">
        <v>613</v>
      </c>
      <c r="BS86" s="189">
        <v>0.1</v>
      </c>
      <c r="BT86" s="189">
        <v>1</v>
      </c>
      <c r="BU86" s="187" t="s">
        <v>242</v>
      </c>
      <c r="BV86" s="181">
        <v>66.558800000000005</v>
      </c>
      <c r="BW86" s="187">
        <f t="shared" si="66"/>
        <v>6.6558800000000001E-2</v>
      </c>
      <c r="BX86" s="187" t="s">
        <v>614</v>
      </c>
      <c r="BY86" s="189">
        <v>1.4999999999999999E-2</v>
      </c>
      <c r="BZ86" s="189">
        <v>0.15</v>
      </c>
      <c r="CA86" s="187" t="s">
        <v>242</v>
      </c>
      <c r="CB86" s="187">
        <v>0</v>
      </c>
      <c r="CC86" s="187">
        <f t="shared" si="67"/>
        <v>0</v>
      </c>
      <c r="CD86" s="187" t="s">
        <v>613</v>
      </c>
      <c r="CE86" s="189">
        <v>0</v>
      </c>
      <c r="CF86" s="189">
        <v>0</v>
      </c>
      <c r="CG86" s="187" t="s">
        <v>242</v>
      </c>
      <c r="CH86" s="181">
        <v>0</v>
      </c>
      <c r="CI86" s="187">
        <f t="shared" si="68"/>
        <v>0</v>
      </c>
      <c r="CJ86" s="187" t="s">
        <v>614</v>
      </c>
      <c r="CK86" s="189">
        <v>0</v>
      </c>
      <c r="CL86" s="189">
        <v>0</v>
      </c>
      <c r="CM86" s="187" t="s">
        <v>242</v>
      </c>
      <c r="CN86" s="117"/>
      <c r="CO86" s="100">
        <v>0.15</v>
      </c>
      <c r="CP86" s="100">
        <f t="shared" si="69"/>
        <v>0.17499999999999999</v>
      </c>
      <c r="CQ86" s="100">
        <v>0.2</v>
      </c>
      <c r="CR86" s="101">
        <v>0.6</v>
      </c>
      <c r="CS86" s="101">
        <v>1</v>
      </c>
    </row>
    <row r="87" spans="1:97" s="101" customFormat="1" ht="16.5" hidden="1" customHeight="1" thickBot="1" x14ac:dyDescent="0.3">
      <c r="A87" s="99"/>
      <c r="V87" s="103"/>
      <c r="AA87" s="104"/>
      <c r="AB87" s="104"/>
      <c r="AD87" s="104"/>
      <c r="AE87" s="105"/>
      <c r="AH87" s="106"/>
      <c r="AI87" s="106"/>
      <c r="AK87" s="104"/>
      <c r="AR87" s="104"/>
      <c r="AV87" s="104"/>
      <c r="AX87" s="104"/>
      <c r="BB87" s="104"/>
      <c r="BC87" s="104"/>
      <c r="BE87" s="104"/>
      <c r="BF87" s="168"/>
      <c r="BG87" s="168"/>
      <c r="BH87" s="168"/>
      <c r="BI87" s="190" t="s">
        <v>222</v>
      </c>
      <c r="BJ87" s="187" t="s">
        <v>615</v>
      </c>
      <c r="BK87" s="213">
        <v>0</v>
      </c>
      <c r="BL87" s="187" t="s">
        <v>612</v>
      </c>
      <c r="BM87" s="189">
        <v>3.98E-3</v>
      </c>
      <c r="BN87" s="189">
        <v>3.98E-3</v>
      </c>
      <c r="BO87" s="188" t="s">
        <v>241</v>
      </c>
      <c r="BP87" s="191">
        <v>503.12909999999999</v>
      </c>
      <c r="BQ87" s="187">
        <f t="shared" si="65"/>
        <v>0.5031291</v>
      </c>
      <c r="BR87" s="187" t="s">
        <v>613</v>
      </c>
      <c r="BS87" s="189">
        <v>0.1</v>
      </c>
      <c r="BT87" s="189">
        <v>1</v>
      </c>
      <c r="BU87" s="187" t="s">
        <v>242</v>
      </c>
      <c r="BV87" s="181">
        <v>67.0839</v>
      </c>
      <c r="BW87" s="187">
        <f t="shared" si="66"/>
        <v>6.7083900000000002E-2</v>
      </c>
      <c r="BX87" s="187" t="s">
        <v>614</v>
      </c>
      <c r="BY87" s="189">
        <v>1.4999999999999999E-2</v>
      </c>
      <c r="BZ87" s="189">
        <v>0.15</v>
      </c>
      <c r="CA87" s="187" t="s">
        <v>242</v>
      </c>
      <c r="CB87" s="187">
        <v>0</v>
      </c>
      <c r="CC87" s="187">
        <f t="shared" si="67"/>
        <v>0</v>
      </c>
      <c r="CD87" s="187" t="s">
        <v>613</v>
      </c>
      <c r="CE87" s="189">
        <v>0</v>
      </c>
      <c r="CF87" s="189">
        <v>0</v>
      </c>
      <c r="CG87" s="187" t="s">
        <v>242</v>
      </c>
      <c r="CH87" s="181">
        <v>0</v>
      </c>
      <c r="CI87" s="187">
        <f t="shared" si="68"/>
        <v>0</v>
      </c>
      <c r="CJ87" s="187" t="s">
        <v>614</v>
      </c>
      <c r="CK87" s="189">
        <v>0</v>
      </c>
      <c r="CL87" s="189">
        <v>0</v>
      </c>
      <c r="CM87" s="187" t="s">
        <v>242</v>
      </c>
      <c r="CN87" s="116"/>
      <c r="CO87" s="100">
        <v>0.15</v>
      </c>
      <c r="CP87" s="100">
        <f t="shared" si="69"/>
        <v>0.17499999999999999</v>
      </c>
      <c r="CQ87" s="100">
        <v>0.2</v>
      </c>
      <c r="CR87" s="101">
        <v>0.6</v>
      </c>
      <c r="CS87" s="101">
        <v>1</v>
      </c>
    </row>
    <row r="88" spans="1:97" s="101" customFormat="1" ht="16.5" hidden="1" customHeight="1" thickBot="1" x14ac:dyDescent="0.3">
      <c r="A88" s="99"/>
      <c r="V88" s="103"/>
      <c r="AA88" s="104"/>
      <c r="AB88" s="104"/>
      <c r="AD88" s="104"/>
      <c r="AE88" s="105"/>
      <c r="AH88" s="106"/>
      <c r="AI88" s="106"/>
      <c r="AK88" s="104"/>
      <c r="AR88" s="104"/>
      <c r="AV88" s="104"/>
      <c r="AX88" s="104"/>
      <c r="BB88" s="104"/>
      <c r="BC88" s="104"/>
      <c r="BE88" s="104"/>
      <c r="BF88" s="168"/>
      <c r="BG88" s="168"/>
      <c r="BH88" s="168"/>
      <c r="BI88" s="190" t="s">
        <v>223</v>
      </c>
      <c r="BJ88" s="187" t="s">
        <v>615</v>
      </c>
      <c r="BK88" s="213">
        <v>0</v>
      </c>
      <c r="BL88" s="187" t="s">
        <v>612</v>
      </c>
      <c r="BM88" s="189">
        <v>3.5799999999999998E-3</v>
      </c>
      <c r="BN88" s="189">
        <v>3.5799999999999998E-3</v>
      </c>
      <c r="BO88" s="188" t="s">
        <v>241</v>
      </c>
      <c r="BP88" s="191">
        <v>548.92100000000005</v>
      </c>
      <c r="BQ88" s="187">
        <f t="shared" si="65"/>
        <v>0.5489210000000001</v>
      </c>
      <c r="BR88" s="187" t="s">
        <v>613</v>
      </c>
      <c r="BS88" s="189">
        <v>0.1</v>
      </c>
      <c r="BT88" s="189">
        <v>1</v>
      </c>
      <c r="BU88" s="187" t="s">
        <v>242</v>
      </c>
      <c r="BV88" s="181">
        <v>73.189499999999995</v>
      </c>
      <c r="BW88" s="187">
        <f t="shared" si="66"/>
        <v>7.3189499999999991E-2</v>
      </c>
      <c r="BX88" s="187" t="s">
        <v>614</v>
      </c>
      <c r="BY88" s="189">
        <v>1.4999999999999999E-2</v>
      </c>
      <c r="BZ88" s="189">
        <v>0.15</v>
      </c>
      <c r="CA88" s="187" t="s">
        <v>242</v>
      </c>
      <c r="CB88" s="187">
        <v>0</v>
      </c>
      <c r="CC88" s="187">
        <f t="shared" si="67"/>
        <v>0</v>
      </c>
      <c r="CD88" s="187" t="s">
        <v>613</v>
      </c>
      <c r="CE88" s="189">
        <v>0</v>
      </c>
      <c r="CF88" s="189">
        <v>0</v>
      </c>
      <c r="CG88" s="187" t="s">
        <v>242</v>
      </c>
      <c r="CH88" s="181">
        <v>0</v>
      </c>
      <c r="CI88" s="187">
        <f t="shared" si="68"/>
        <v>0</v>
      </c>
      <c r="CJ88" s="187" t="s">
        <v>614</v>
      </c>
      <c r="CK88" s="189">
        <v>0</v>
      </c>
      <c r="CL88" s="189">
        <v>0</v>
      </c>
      <c r="CM88" s="187" t="s">
        <v>242</v>
      </c>
      <c r="CN88" s="116"/>
      <c r="CO88" s="100">
        <v>0.15</v>
      </c>
      <c r="CP88" s="100">
        <f t="shared" si="69"/>
        <v>0.17499999999999999</v>
      </c>
      <c r="CQ88" s="100">
        <v>0.2</v>
      </c>
      <c r="CR88" s="101">
        <v>0.6</v>
      </c>
      <c r="CS88" s="101">
        <v>1</v>
      </c>
    </row>
    <row r="89" spans="1:97" s="101" customFormat="1" ht="16.5" hidden="1" customHeight="1" thickBot="1" x14ac:dyDescent="0.3">
      <c r="A89" s="99"/>
      <c r="V89" s="103"/>
      <c r="AA89" s="104"/>
      <c r="AB89" s="104"/>
      <c r="AD89" s="104"/>
      <c r="AE89" s="105"/>
      <c r="AH89" s="106"/>
      <c r="AI89" s="106"/>
      <c r="AK89" s="104"/>
      <c r="AR89" s="104"/>
      <c r="AV89" s="104"/>
      <c r="AX89" s="104"/>
      <c r="BB89" s="104"/>
      <c r="BC89" s="104"/>
      <c r="BE89" s="104"/>
      <c r="BF89" s="168"/>
      <c r="BG89" s="168"/>
      <c r="BH89" s="168"/>
      <c r="BI89" s="190" t="s">
        <v>224</v>
      </c>
      <c r="BJ89" s="187" t="s">
        <v>615</v>
      </c>
      <c r="BK89" s="213">
        <v>0</v>
      </c>
      <c r="BL89" s="187" t="s">
        <v>612</v>
      </c>
      <c r="BM89" s="189">
        <v>4.4900000000000001E-3</v>
      </c>
      <c r="BN89" s="189">
        <v>4.4900000000000001E-3</v>
      </c>
      <c r="BO89" s="188" t="s">
        <v>241</v>
      </c>
      <c r="BP89" s="191">
        <v>448.58819999999997</v>
      </c>
      <c r="BQ89" s="187">
        <f t="shared" si="65"/>
        <v>0.44858819999999999</v>
      </c>
      <c r="BR89" s="187" t="s">
        <v>613</v>
      </c>
      <c r="BS89" s="189">
        <v>0.1</v>
      </c>
      <c r="BT89" s="189">
        <v>1</v>
      </c>
      <c r="BU89" s="187" t="s">
        <v>242</v>
      </c>
      <c r="BV89" s="181">
        <v>59.811799999999998</v>
      </c>
      <c r="BW89" s="187">
        <f t="shared" si="66"/>
        <v>5.9811799999999998E-2</v>
      </c>
      <c r="BX89" s="187" t="s">
        <v>614</v>
      </c>
      <c r="BY89" s="189">
        <v>1.4999999999999999E-2</v>
      </c>
      <c r="BZ89" s="189">
        <v>0.15</v>
      </c>
      <c r="CA89" s="187" t="s">
        <v>242</v>
      </c>
      <c r="CB89" s="187">
        <v>0</v>
      </c>
      <c r="CC89" s="187">
        <f t="shared" si="67"/>
        <v>0</v>
      </c>
      <c r="CD89" s="187" t="s">
        <v>613</v>
      </c>
      <c r="CE89" s="189">
        <v>0</v>
      </c>
      <c r="CF89" s="189">
        <v>0</v>
      </c>
      <c r="CG89" s="187" t="s">
        <v>242</v>
      </c>
      <c r="CH89" s="181">
        <v>0</v>
      </c>
      <c r="CI89" s="187">
        <f t="shared" si="68"/>
        <v>0</v>
      </c>
      <c r="CJ89" s="187" t="s">
        <v>614</v>
      </c>
      <c r="CK89" s="189">
        <v>0</v>
      </c>
      <c r="CL89" s="189">
        <v>0</v>
      </c>
      <c r="CM89" s="187" t="s">
        <v>242</v>
      </c>
      <c r="CN89" s="116"/>
      <c r="CO89" s="100">
        <v>0.15</v>
      </c>
      <c r="CP89" s="100">
        <f t="shared" si="69"/>
        <v>0.17499999999999999</v>
      </c>
      <c r="CQ89" s="100">
        <v>0.2</v>
      </c>
      <c r="CR89" s="101">
        <v>0.6</v>
      </c>
      <c r="CS89" s="101">
        <v>1</v>
      </c>
    </row>
    <row r="90" spans="1:97" s="101" customFormat="1" ht="16.5" hidden="1" customHeight="1" thickBot="1" x14ac:dyDescent="0.3">
      <c r="A90" s="99"/>
      <c r="V90" s="103"/>
      <c r="AA90" s="104"/>
      <c r="AB90" s="104"/>
      <c r="AD90" s="104"/>
      <c r="AE90" s="105"/>
      <c r="AH90" s="106"/>
      <c r="AI90" s="106"/>
      <c r="AK90" s="104"/>
      <c r="AR90" s="104"/>
      <c r="AV90" s="104"/>
      <c r="AX90" s="104"/>
      <c r="BB90" s="104"/>
      <c r="BC90" s="104"/>
      <c r="BE90" s="104"/>
      <c r="BF90" s="168"/>
      <c r="BG90" s="168"/>
      <c r="BH90" s="168"/>
      <c r="BI90" s="190" t="s">
        <v>225</v>
      </c>
      <c r="BJ90" s="187" t="s">
        <v>615</v>
      </c>
      <c r="BK90" s="213">
        <v>0</v>
      </c>
      <c r="BL90" s="187" t="s">
        <v>612</v>
      </c>
      <c r="BM90" s="189">
        <v>3.0299999999999997E-3</v>
      </c>
      <c r="BN90" s="189">
        <v>3.0299999999999997E-3</v>
      </c>
      <c r="BO90" s="188" t="s">
        <v>241</v>
      </c>
      <c r="BP90" s="191">
        <v>735.18640000000005</v>
      </c>
      <c r="BQ90" s="187">
        <f t="shared" si="65"/>
        <v>0.73518640000000002</v>
      </c>
      <c r="BR90" s="187" t="s">
        <v>613</v>
      </c>
      <c r="BS90" s="189">
        <v>0.1</v>
      </c>
      <c r="BT90" s="189">
        <v>1</v>
      </c>
      <c r="BU90" s="187" t="s">
        <v>242</v>
      </c>
      <c r="BV90" s="181">
        <v>98.024799999999999</v>
      </c>
      <c r="BW90" s="187">
        <f t="shared" si="66"/>
        <v>9.8024799999999995E-2</v>
      </c>
      <c r="BX90" s="187" t="s">
        <v>614</v>
      </c>
      <c r="BY90" s="189">
        <v>1.4999999999999999E-2</v>
      </c>
      <c r="BZ90" s="189">
        <v>0.15</v>
      </c>
      <c r="CA90" s="187" t="s">
        <v>242</v>
      </c>
      <c r="CB90" s="187">
        <v>0</v>
      </c>
      <c r="CC90" s="187">
        <f t="shared" si="67"/>
        <v>0</v>
      </c>
      <c r="CD90" s="187" t="s">
        <v>613</v>
      </c>
      <c r="CE90" s="189">
        <v>0</v>
      </c>
      <c r="CF90" s="189">
        <v>0</v>
      </c>
      <c r="CG90" s="187" t="s">
        <v>242</v>
      </c>
      <c r="CH90" s="181">
        <v>0</v>
      </c>
      <c r="CI90" s="187">
        <f t="shared" si="68"/>
        <v>0</v>
      </c>
      <c r="CJ90" s="187" t="s">
        <v>614</v>
      </c>
      <c r="CK90" s="189">
        <v>0</v>
      </c>
      <c r="CL90" s="189">
        <v>0</v>
      </c>
      <c r="CM90" s="187" t="s">
        <v>242</v>
      </c>
      <c r="CN90" s="116"/>
      <c r="CO90" s="100">
        <v>0.15</v>
      </c>
      <c r="CP90" s="100">
        <f t="shared" si="69"/>
        <v>0.17499999999999999</v>
      </c>
      <c r="CQ90" s="100">
        <v>0.2</v>
      </c>
      <c r="CR90" s="101">
        <v>0.6</v>
      </c>
      <c r="CS90" s="101">
        <v>1</v>
      </c>
    </row>
    <row r="91" spans="1:97" s="101" customFormat="1" ht="16.5" hidden="1" customHeight="1" thickBot="1" x14ac:dyDescent="0.3">
      <c r="A91" s="99"/>
      <c r="V91" s="103"/>
      <c r="AA91" s="104"/>
      <c r="AB91" s="104"/>
      <c r="AD91" s="104"/>
      <c r="AE91" s="105"/>
      <c r="AH91" s="106"/>
      <c r="AI91" s="106"/>
      <c r="AK91" s="104"/>
      <c r="AR91" s="104"/>
      <c r="AV91" s="104"/>
      <c r="AX91" s="104"/>
      <c r="BB91" s="104"/>
      <c r="BC91" s="104"/>
      <c r="BE91" s="104"/>
      <c r="BF91" s="168"/>
      <c r="BG91" s="168"/>
      <c r="BH91" s="168"/>
      <c r="BI91" s="190" t="s">
        <v>226</v>
      </c>
      <c r="BJ91" s="187" t="s">
        <v>615</v>
      </c>
      <c r="BK91" s="213">
        <v>0</v>
      </c>
      <c r="BL91" s="187" t="s">
        <v>612</v>
      </c>
      <c r="BM91" s="189">
        <v>3.7299999999999998E-3</v>
      </c>
      <c r="BN91" s="189">
        <v>3.7299999999999998E-3</v>
      </c>
      <c r="BO91" s="188" t="s">
        <v>241</v>
      </c>
      <c r="BP91" s="191">
        <v>537.77970000000005</v>
      </c>
      <c r="BQ91" s="187">
        <f t="shared" si="65"/>
        <v>0.53777970000000008</v>
      </c>
      <c r="BR91" s="187" t="s">
        <v>613</v>
      </c>
      <c r="BS91" s="189">
        <v>0.1</v>
      </c>
      <c r="BT91" s="189">
        <v>1</v>
      </c>
      <c r="BU91" s="187" t="s">
        <v>242</v>
      </c>
      <c r="BV91" s="181">
        <v>71.703999999999994</v>
      </c>
      <c r="BW91" s="187">
        <f t="shared" si="66"/>
        <v>7.170399999999999E-2</v>
      </c>
      <c r="BX91" s="187" t="s">
        <v>614</v>
      </c>
      <c r="BY91" s="189">
        <v>1.4999999999999999E-2</v>
      </c>
      <c r="BZ91" s="189">
        <v>0.15</v>
      </c>
      <c r="CA91" s="187" t="s">
        <v>242</v>
      </c>
      <c r="CB91" s="187">
        <v>0</v>
      </c>
      <c r="CC91" s="187">
        <f t="shared" si="67"/>
        <v>0</v>
      </c>
      <c r="CD91" s="187" t="s">
        <v>613</v>
      </c>
      <c r="CE91" s="189">
        <v>0</v>
      </c>
      <c r="CF91" s="189">
        <v>0</v>
      </c>
      <c r="CG91" s="187" t="s">
        <v>242</v>
      </c>
      <c r="CH91" s="181">
        <v>0</v>
      </c>
      <c r="CI91" s="187">
        <f t="shared" si="68"/>
        <v>0</v>
      </c>
      <c r="CJ91" s="187" t="s">
        <v>614</v>
      </c>
      <c r="CK91" s="189">
        <v>0</v>
      </c>
      <c r="CL91" s="189">
        <v>0</v>
      </c>
      <c r="CM91" s="187" t="s">
        <v>242</v>
      </c>
      <c r="CN91" s="116"/>
      <c r="CO91" s="100">
        <v>0.6</v>
      </c>
      <c r="CP91" s="100">
        <f t="shared" si="69"/>
        <v>0.8</v>
      </c>
      <c r="CQ91" s="100">
        <v>1</v>
      </c>
      <c r="CR91" s="101">
        <v>0.6</v>
      </c>
      <c r="CS91" s="101">
        <v>1</v>
      </c>
    </row>
    <row r="92" spans="1:97" s="101" customFormat="1" ht="16.5" hidden="1" customHeight="1" thickBot="1" x14ac:dyDescent="0.3">
      <c r="A92" s="99"/>
      <c r="V92" s="103"/>
      <c r="AA92" s="104"/>
      <c r="AB92" s="104"/>
      <c r="AD92" s="104"/>
      <c r="AE92" s="105"/>
      <c r="AH92" s="106"/>
      <c r="AI92" s="106"/>
      <c r="AK92" s="104"/>
      <c r="AR92" s="104"/>
      <c r="AV92" s="104"/>
      <c r="AX92" s="104"/>
      <c r="BB92" s="104"/>
      <c r="BC92" s="104"/>
      <c r="BE92" s="104"/>
      <c r="BF92" s="168"/>
      <c r="BG92" s="168"/>
      <c r="BH92" s="168"/>
      <c r="BI92" s="190" t="s">
        <v>3</v>
      </c>
      <c r="BJ92" s="187" t="s">
        <v>615</v>
      </c>
      <c r="BK92" s="213">
        <v>0</v>
      </c>
      <c r="BL92" s="187" t="s">
        <v>612</v>
      </c>
      <c r="BM92" s="189">
        <v>4.4099999999999999E-3</v>
      </c>
      <c r="BN92" s="189">
        <v>4.4099999999999999E-3</v>
      </c>
      <c r="BO92" s="188" t="s">
        <v>241</v>
      </c>
      <c r="BP92" s="191">
        <v>509.80349999999999</v>
      </c>
      <c r="BQ92" s="187">
        <f t="shared" si="65"/>
        <v>0.50980349999999997</v>
      </c>
      <c r="BR92" s="187" t="s">
        <v>613</v>
      </c>
      <c r="BS92" s="189">
        <v>0.1</v>
      </c>
      <c r="BT92" s="189">
        <v>1</v>
      </c>
      <c r="BU92" s="187" t="s">
        <v>242</v>
      </c>
      <c r="BV92" s="181">
        <v>67.973799999999997</v>
      </c>
      <c r="BW92" s="187">
        <f t="shared" si="66"/>
        <v>6.7973800000000001E-2</v>
      </c>
      <c r="BX92" s="187" t="s">
        <v>614</v>
      </c>
      <c r="BY92" s="189">
        <v>1.4999999999999999E-2</v>
      </c>
      <c r="BZ92" s="189">
        <v>0.15</v>
      </c>
      <c r="CA92" s="187" t="s">
        <v>242</v>
      </c>
      <c r="CB92" s="187">
        <v>0</v>
      </c>
      <c r="CC92" s="187">
        <f t="shared" si="67"/>
        <v>0</v>
      </c>
      <c r="CD92" s="187" t="s">
        <v>613</v>
      </c>
      <c r="CE92" s="189">
        <v>0</v>
      </c>
      <c r="CF92" s="189">
        <v>0</v>
      </c>
      <c r="CG92" s="187" t="s">
        <v>242</v>
      </c>
      <c r="CH92" s="181">
        <v>0</v>
      </c>
      <c r="CI92" s="187">
        <f t="shared" si="68"/>
        <v>0</v>
      </c>
      <c r="CJ92" s="187" t="s">
        <v>614</v>
      </c>
      <c r="CK92" s="189">
        <v>0</v>
      </c>
      <c r="CL92" s="189">
        <v>0</v>
      </c>
      <c r="CM92" s="187" t="s">
        <v>242</v>
      </c>
      <c r="CN92" s="116"/>
      <c r="CO92" s="100">
        <v>0.6</v>
      </c>
      <c r="CP92" s="100">
        <f t="shared" si="69"/>
        <v>0.8</v>
      </c>
      <c r="CQ92" s="100">
        <v>1</v>
      </c>
      <c r="CR92" s="101">
        <v>0.6</v>
      </c>
      <c r="CS92" s="101">
        <v>1</v>
      </c>
    </row>
    <row r="93" spans="1:97" s="101" customFormat="1" ht="16.5" hidden="1" customHeight="1" thickBot="1" x14ac:dyDescent="0.3">
      <c r="A93" s="99"/>
      <c r="V93" s="103"/>
      <c r="AA93" s="104"/>
      <c r="AB93" s="104"/>
      <c r="AD93" s="104"/>
      <c r="AE93" s="105"/>
      <c r="AH93" s="106"/>
      <c r="AI93" s="106"/>
      <c r="AK93" s="104"/>
      <c r="AR93" s="104"/>
      <c r="AV93" s="104"/>
      <c r="AX93" s="104"/>
      <c r="BB93" s="104"/>
      <c r="BC93" s="104"/>
      <c r="BE93" s="104"/>
      <c r="BF93" s="168"/>
      <c r="BG93" s="168"/>
      <c r="BH93" s="168"/>
      <c r="BI93" s="190" t="s">
        <v>227</v>
      </c>
      <c r="BJ93" s="187" t="s">
        <v>615</v>
      </c>
      <c r="BK93" s="213">
        <v>0</v>
      </c>
      <c r="BL93" s="187" t="s">
        <v>612</v>
      </c>
      <c r="BM93" s="189">
        <v>3.6800000000000001E-3</v>
      </c>
      <c r="BN93" s="189">
        <v>3.6800000000000001E-3</v>
      </c>
      <c r="BO93" s="188" t="s">
        <v>241</v>
      </c>
      <c r="BP93" s="191">
        <v>509.37279999999998</v>
      </c>
      <c r="BQ93" s="187">
        <f t="shared" si="65"/>
        <v>0.50937279999999996</v>
      </c>
      <c r="BR93" s="187" t="s">
        <v>613</v>
      </c>
      <c r="BS93" s="189">
        <v>0.1</v>
      </c>
      <c r="BT93" s="189">
        <v>1</v>
      </c>
      <c r="BU93" s="187" t="s">
        <v>242</v>
      </c>
      <c r="BV93" s="181">
        <v>67.916399999999996</v>
      </c>
      <c r="BW93" s="187">
        <f t="shared" si="66"/>
        <v>6.7916400000000002E-2</v>
      </c>
      <c r="BX93" s="187" t="s">
        <v>614</v>
      </c>
      <c r="BY93" s="189">
        <v>1.4999999999999999E-2</v>
      </c>
      <c r="BZ93" s="189">
        <v>0.15</v>
      </c>
      <c r="CA93" s="187" t="s">
        <v>242</v>
      </c>
      <c r="CB93" s="187">
        <v>0</v>
      </c>
      <c r="CC93" s="187">
        <f t="shared" si="67"/>
        <v>0</v>
      </c>
      <c r="CD93" s="187" t="s">
        <v>613</v>
      </c>
      <c r="CE93" s="189">
        <v>0</v>
      </c>
      <c r="CF93" s="189">
        <v>0</v>
      </c>
      <c r="CG93" s="187" t="s">
        <v>242</v>
      </c>
      <c r="CH93" s="181">
        <v>0</v>
      </c>
      <c r="CI93" s="187">
        <f t="shared" si="68"/>
        <v>0</v>
      </c>
      <c r="CJ93" s="187" t="s">
        <v>614</v>
      </c>
      <c r="CK93" s="189">
        <v>0</v>
      </c>
      <c r="CL93" s="189">
        <v>0</v>
      </c>
      <c r="CM93" s="187" t="s">
        <v>242</v>
      </c>
      <c r="CN93" s="116"/>
      <c r="CO93" s="100">
        <v>0.15</v>
      </c>
      <c r="CP93" s="100">
        <f t="shared" si="69"/>
        <v>0.17499999999999999</v>
      </c>
      <c r="CQ93" s="100">
        <v>0.2</v>
      </c>
      <c r="CR93" s="101">
        <v>0.6</v>
      </c>
      <c r="CS93" s="101">
        <v>1</v>
      </c>
    </row>
    <row r="94" spans="1:97" s="101" customFormat="1" ht="16.5" hidden="1" customHeight="1" thickBot="1" x14ac:dyDescent="0.3">
      <c r="A94" s="99"/>
      <c r="V94" s="103"/>
      <c r="AA94" s="104"/>
      <c r="AB94" s="104"/>
      <c r="AD94" s="104"/>
      <c r="AE94" s="105"/>
      <c r="AH94" s="106"/>
      <c r="AI94" s="106"/>
      <c r="AK94" s="104"/>
      <c r="AR94" s="104"/>
      <c r="AV94" s="104"/>
      <c r="AX94" s="104"/>
      <c r="BB94" s="104"/>
      <c r="BC94" s="104"/>
      <c r="BE94" s="104"/>
      <c r="BF94" s="168"/>
      <c r="BG94" s="168"/>
      <c r="BH94" s="168"/>
      <c r="BI94" s="190" t="s">
        <v>228</v>
      </c>
      <c r="BJ94" s="187" t="s">
        <v>615</v>
      </c>
      <c r="BK94" s="213">
        <v>0</v>
      </c>
      <c r="BL94" s="187" t="s">
        <v>612</v>
      </c>
      <c r="BM94" s="189">
        <v>3.5899999999999999E-3</v>
      </c>
      <c r="BN94" s="189">
        <v>3.5899999999999999E-3</v>
      </c>
      <c r="BO94" s="188" t="s">
        <v>241</v>
      </c>
      <c r="BP94" s="191">
        <v>554.66999999999996</v>
      </c>
      <c r="BQ94" s="187">
        <f t="shared" si="65"/>
        <v>0.55467</v>
      </c>
      <c r="BR94" s="187" t="s">
        <v>613</v>
      </c>
      <c r="BS94" s="189">
        <v>0.1</v>
      </c>
      <c r="BT94" s="189">
        <v>1</v>
      </c>
      <c r="BU94" s="187" t="s">
        <v>242</v>
      </c>
      <c r="BV94" s="181">
        <v>73.956000000000003</v>
      </c>
      <c r="BW94" s="187">
        <f t="shared" si="66"/>
        <v>7.3956000000000008E-2</v>
      </c>
      <c r="BX94" s="187" t="s">
        <v>614</v>
      </c>
      <c r="BY94" s="189">
        <v>1.4999999999999999E-2</v>
      </c>
      <c r="BZ94" s="189">
        <v>0.15</v>
      </c>
      <c r="CA94" s="187" t="s">
        <v>242</v>
      </c>
      <c r="CB94" s="187">
        <v>0</v>
      </c>
      <c r="CC94" s="187">
        <f t="shared" si="67"/>
        <v>0</v>
      </c>
      <c r="CD94" s="187" t="s">
        <v>613</v>
      </c>
      <c r="CE94" s="189">
        <v>0</v>
      </c>
      <c r="CF94" s="189">
        <v>0</v>
      </c>
      <c r="CG94" s="187" t="s">
        <v>242</v>
      </c>
      <c r="CH94" s="181">
        <v>0</v>
      </c>
      <c r="CI94" s="187">
        <f t="shared" si="68"/>
        <v>0</v>
      </c>
      <c r="CJ94" s="187" t="s">
        <v>614</v>
      </c>
      <c r="CK94" s="189">
        <v>0</v>
      </c>
      <c r="CL94" s="189">
        <v>0</v>
      </c>
      <c r="CM94" s="187" t="s">
        <v>242</v>
      </c>
      <c r="CN94" s="116"/>
      <c r="CO94" s="100">
        <v>0.15</v>
      </c>
      <c r="CP94" s="100">
        <f t="shared" si="69"/>
        <v>0.17499999999999999</v>
      </c>
      <c r="CQ94" s="100">
        <v>0.2</v>
      </c>
      <c r="CR94" s="101">
        <v>0.6</v>
      </c>
      <c r="CS94" s="101">
        <v>1</v>
      </c>
    </row>
    <row r="95" spans="1:97" s="101" customFormat="1" ht="16.5" hidden="1" customHeight="1" thickBot="1" x14ac:dyDescent="0.3">
      <c r="A95" s="99"/>
      <c r="V95" s="103"/>
      <c r="AA95" s="104"/>
      <c r="AB95" s="104"/>
      <c r="AD95" s="104"/>
      <c r="AE95" s="105"/>
      <c r="AH95" s="106"/>
      <c r="AI95" s="106"/>
      <c r="AK95" s="104"/>
      <c r="AR95" s="104"/>
      <c r="AV95" s="104"/>
      <c r="AX95" s="104"/>
      <c r="BB95" s="104"/>
      <c r="BC95" s="104"/>
      <c r="BE95" s="104"/>
      <c r="BF95" s="168"/>
      <c r="BG95" s="168"/>
      <c r="BH95" s="168"/>
      <c r="BI95" s="190" t="s">
        <v>229</v>
      </c>
      <c r="BJ95" s="187" t="s">
        <v>615</v>
      </c>
      <c r="BK95" s="213">
        <v>0</v>
      </c>
      <c r="BL95" s="187" t="s">
        <v>612</v>
      </c>
      <c r="BM95" s="189">
        <v>3.4999999999999996E-3</v>
      </c>
      <c r="BN95" s="189">
        <v>3.4999999999999996E-3</v>
      </c>
      <c r="BO95" s="188" t="s">
        <v>241</v>
      </c>
      <c r="BP95" s="191">
        <v>569.07000000000005</v>
      </c>
      <c r="BQ95" s="187">
        <f t="shared" si="65"/>
        <v>0.56907000000000008</v>
      </c>
      <c r="BR95" s="187" t="s">
        <v>613</v>
      </c>
      <c r="BS95" s="189">
        <v>0.1</v>
      </c>
      <c r="BT95" s="189">
        <v>1</v>
      </c>
      <c r="BU95" s="187" t="s">
        <v>242</v>
      </c>
      <c r="BV95" s="181">
        <v>75.876000000000005</v>
      </c>
      <c r="BW95" s="187">
        <f t="shared" si="66"/>
        <v>7.5875999999999999E-2</v>
      </c>
      <c r="BX95" s="187" t="s">
        <v>614</v>
      </c>
      <c r="BY95" s="189">
        <v>1.4999999999999999E-2</v>
      </c>
      <c r="BZ95" s="189">
        <v>0.15</v>
      </c>
      <c r="CA95" s="187" t="s">
        <v>242</v>
      </c>
      <c r="CB95" s="187">
        <v>0</v>
      </c>
      <c r="CC95" s="187">
        <f t="shared" si="67"/>
        <v>0</v>
      </c>
      <c r="CD95" s="187" t="s">
        <v>613</v>
      </c>
      <c r="CE95" s="189">
        <v>0</v>
      </c>
      <c r="CF95" s="189">
        <v>0</v>
      </c>
      <c r="CG95" s="187" t="s">
        <v>242</v>
      </c>
      <c r="CH95" s="181">
        <v>0</v>
      </c>
      <c r="CI95" s="187">
        <f t="shared" si="68"/>
        <v>0</v>
      </c>
      <c r="CJ95" s="187" t="s">
        <v>614</v>
      </c>
      <c r="CK95" s="189">
        <v>0</v>
      </c>
      <c r="CL95" s="189">
        <v>0</v>
      </c>
      <c r="CM95" s="187" t="s">
        <v>242</v>
      </c>
      <c r="CN95" s="116"/>
      <c r="CO95" s="100">
        <v>0.15</v>
      </c>
      <c r="CP95" s="100">
        <f t="shared" si="69"/>
        <v>0.17499999999999999</v>
      </c>
      <c r="CQ95" s="100">
        <v>0.2</v>
      </c>
      <c r="CR95" s="101">
        <v>0.6</v>
      </c>
      <c r="CS95" s="101">
        <v>1</v>
      </c>
    </row>
    <row r="96" spans="1:97" s="101" customFormat="1" ht="16.5" hidden="1" customHeight="1" thickBot="1" x14ac:dyDescent="0.3">
      <c r="A96" s="99"/>
      <c r="V96" s="103"/>
      <c r="AA96" s="104"/>
      <c r="AB96" s="104"/>
      <c r="AD96" s="104"/>
      <c r="AE96" s="105"/>
      <c r="AH96" s="106"/>
      <c r="AI96" s="106"/>
      <c r="AK96" s="104"/>
      <c r="AR96" s="104"/>
      <c r="AV96" s="104"/>
      <c r="AX96" s="104"/>
      <c r="BB96" s="104"/>
      <c r="BC96" s="104"/>
      <c r="BE96" s="104"/>
      <c r="BF96" s="168"/>
      <c r="BG96" s="168"/>
      <c r="BH96" s="168"/>
      <c r="BI96" s="190" t="s">
        <v>230</v>
      </c>
      <c r="BJ96" s="187" t="s">
        <v>615</v>
      </c>
      <c r="BK96" s="213">
        <v>0</v>
      </c>
      <c r="BL96" s="187" t="s">
        <v>612</v>
      </c>
      <c r="BM96" s="189">
        <v>3.5899999999999999E-3</v>
      </c>
      <c r="BN96" s="189">
        <v>3.5899999999999999E-3</v>
      </c>
      <c r="BO96" s="188" t="s">
        <v>241</v>
      </c>
      <c r="BP96" s="191">
        <v>560.82000000000005</v>
      </c>
      <c r="BQ96" s="187">
        <f t="shared" si="65"/>
        <v>0.5608200000000001</v>
      </c>
      <c r="BR96" s="187" t="s">
        <v>613</v>
      </c>
      <c r="BS96" s="189">
        <v>0.1</v>
      </c>
      <c r="BT96" s="189">
        <v>1</v>
      </c>
      <c r="BU96" s="187" t="s">
        <v>242</v>
      </c>
      <c r="BV96" s="181">
        <v>74.775999999999996</v>
      </c>
      <c r="BW96" s="187">
        <f t="shared" si="66"/>
        <v>7.4775999999999995E-2</v>
      </c>
      <c r="BX96" s="187" t="s">
        <v>614</v>
      </c>
      <c r="BY96" s="189">
        <v>1.4999999999999999E-2</v>
      </c>
      <c r="BZ96" s="189">
        <v>0.15</v>
      </c>
      <c r="CA96" s="187" t="s">
        <v>242</v>
      </c>
      <c r="CB96" s="187">
        <v>0</v>
      </c>
      <c r="CC96" s="187">
        <f t="shared" si="67"/>
        <v>0</v>
      </c>
      <c r="CD96" s="187" t="s">
        <v>613</v>
      </c>
      <c r="CE96" s="189">
        <v>0</v>
      </c>
      <c r="CF96" s="189">
        <v>0</v>
      </c>
      <c r="CG96" s="187" t="s">
        <v>242</v>
      </c>
      <c r="CH96" s="181">
        <v>0</v>
      </c>
      <c r="CI96" s="187">
        <f t="shared" si="68"/>
        <v>0</v>
      </c>
      <c r="CJ96" s="187" t="s">
        <v>614</v>
      </c>
      <c r="CK96" s="189">
        <v>0</v>
      </c>
      <c r="CL96" s="189">
        <v>0</v>
      </c>
      <c r="CM96" s="187" t="s">
        <v>242</v>
      </c>
      <c r="CN96" s="116"/>
      <c r="CO96" s="100">
        <v>0.15</v>
      </c>
      <c r="CP96" s="100">
        <f t="shared" si="69"/>
        <v>0.17499999999999999</v>
      </c>
      <c r="CQ96" s="100">
        <v>0.2</v>
      </c>
      <c r="CR96" s="101">
        <v>0.6</v>
      </c>
      <c r="CS96" s="101">
        <v>1</v>
      </c>
    </row>
    <row r="97" spans="1:97" s="101" customFormat="1" ht="16.5" hidden="1" customHeight="1" thickBot="1" x14ac:dyDescent="0.3">
      <c r="A97" s="99"/>
      <c r="V97" s="103"/>
      <c r="AA97" s="104"/>
      <c r="AB97" s="104"/>
      <c r="AD97" s="104"/>
      <c r="AE97" s="105"/>
      <c r="AH97" s="106"/>
      <c r="AI97" s="106"/>
      <c r="AK97" s="104"/>
      <c r="AR97" s="104"/>
      <c r="AV97" s="104"/>
      <c r="AX97" s="104"/>
      <c r="BB97" s="104"/>
      <c r="BC97" s="104"/>
      <c r="BE97" s="104"/>
      <c r="BF97" s="168"/>
      <c r="BG97" s="168"/>
      <c r="BH97" s="168"/>
      <c r="BI97" s="190" t="s">
        <v>231</v>
      </c>
      <c r="BJ97" s="187" t="s">
        <v>615</v>
      </c>
      <c r="BK97" s="213">
        <v>0</v>
      </c>
      <c r="BL97" s="187" t="s">
        <v>612</v>
      </c>
      <c r="BM97" s="189">
        <v>3.6099999999999999E-3</v>
      </c>
      <c r="BN97" s="189">
        <v>3.6099999999999999E-3</v>
      </c>
      <c r="BO97" s="188" t="s">
        <v>241</v>
      </c>
      <c r="BP97" s="191">
        <v>557.46</v>
      </c>
      <c r="BQ97" s="187">
        <f t="shared" si="65"/>
        <v>0.55746000000000007</v>
      </c>
      <c r="BR97" s="187" t="s">
        <v>613</v>
      </c>
      <c r="BS97" s="189">
        <v>0.1</v>
      </c>
      <c r="BT97" s="189">
        <v>1</v>
      </c>
      <c r="BU97" s="187" t="s">
        <v>242</v>
      </c>
      <c r="BV97" s="181">
        <v>74.328000000000003</v>
      </c>
      <c r="BW97" s="187">
        <f t="shared" si="66"/>
        <v>7.4328000000000005E-2</v>
      </c>
      <c r="BX97" s="187" t="s">
        <v>614</v>
      </c>
      <c r="BY97" s="189">
        <v>1.4999999999999999E-2</v>
      </c>
      <c r="BZ97" s="189">
        <v>0.15</v>
      </c>
      <c r="CA97" s="187" t="s">
        <v>242</v>
      </c>
      <c r="CB97" s="187">
        <v>0</v>
      </c>
      <c r="CC97" s="187">
        <f t="shared" si="67"/>
        <v>0</v>
      </c>
      <c r="CD97" s="187" t="s">
        <v>613</v>
      </c>
      <c r="CE97" s="189">
        <v>0</v>
      </c>
      <c r="CF97" s="189">
        <v>0</v>
      </c>
      <c r="CG97" s="187" t="s">
        <v>242</v>
      </c>
      <c r="CH97" s="181">
        <v>0</v>
      </c>
      <c r="CI97" s="187">
        <f t="shared" si="68"/>
        <v>0</v>
      </c>
      <c r="CJ97" s="187" t="s">
        <v>614</v>
      </c>
      <c r="CK97" s="189">
        <v>0</v>
      </c>
      <c r="CL97" s="189">
        <v>0</v>
      </c>
      <c r="CM97" s="187" t="s">
        <v>242</v>
      </c>
      <c r="CN97" s="116"/>
      <c r="CO97" s="100"/>
      <c r="CP97" s="100"/>
      <c r="CQ97" s="100"/>
      <c r="CR97" s="101">
        <v>0.6</v>
      </c>
      <c r="CS97" s="101">
        <v>1</v>
      </c>
    </row>
    <row r="98" spans="1:97" s="101" customFormat="1" ht="16.5" hidden="1" customHeight="1" thickBot="1" x14ac:dyDescent="0.3">
      <c r="A98" s="99"/>
      <c r="V98" s="103"/>
      <c r="AA98" s="104"/>
      <c r="AB98" s="104"/>
      <c r="AD98" s="104"/>
      <c r="AE98" s="105"/>
      <c r="AH98" s="106"/>
      <c r="AI98" s="106"/>
      <c r="AK98" s="104"/>
      <c r="AR98" s="104"/>
      <c r="AV98" s="104"/>
      <c r="AX98" s="104"/>
      <c r="BB98" s="104"/>
      <c r="BC98" s="104"/>
      <c r="BE98" s="104"/>
      <c r="BF98" s="168"/>
      <c r="BG98" s="168"/>
      <c r="BH98" s="168"/>
      <c r="BI98" s="190" t="s">
        <v>372</v>
      </c>
      <c r="BJ98" s="187" t="s">
        <v>615</v>
      </c>
      <c r="BK98" s="181">
        <v>2941.7959999999998</v>
      </c>
      <c r="BL98" s="187" t="s">
        <v>612</v>
      </c>
      <c r="BM98" s="189">
        <v>2.2100000000000002E-3</v>
      </c>
      <c r="BN98" s="189">
        <v>2.2100000000000002E-3</v>
      </c>
      <c r="BO98" s="188" t="s">
        <v>241</v>
      </c>
      <c r="BP98" s="191">
        <v>1137.6222</v>
      </c>
      <c r="BQ98" s="187">
        <f t="shared" si="65"/>
        <v>1.1376222</v>
      </c>
      <c r="BR98" s="187" t="s">
        <v>613</v>
      </c>
      <c r="BS98" s="189">
        <v>3.0000000000000001E-3</v>
      </c>
      <c r="BT98" s="189">
        <v>0.03</v>
      </c>
      <c r="BU98" s="187" t="s">
        <v>242</v>
      </c>
      <c r="BV98" s="181">
        <v>3.7921</v>
      </c>
      <c r="BW98" s="187">
        <f t="shared" si="66"/>
        <v>3.7921000000000001E-3</v>
      </c>
      <c r="BX98" s="187" t="s">
        <v>614</v>
      </c>
      <c r="BY98" s="189">
        <v>3.0000000000000001E-3</v>
      </c>
      <c r="BZ98" s="189">
        <v>1.4999999999999999E-2</v>
      </c>
      <c r="CA98" s="187" t="s">
        <v>242</v>
      </c>
      <c r="CB98" s="187">
        <v>0</v>
      </c>
      <c r="CC98" s="187">
        <f t="shared" si="67"/>
        <v>0</v>
      </c>
      <c r="CD98" s="187" t="s">
        <v>613</v>
      </c>
      <c r="CE98" s="189">
        <v>0</v>
      </c>
      <c r="CF98" s="189">
        <v>0</v>
      </c>
      <c r="CG98" s="187" t="s">
        <v>242</v>
      </c>
      <c r="CH98" s="181">
        <v>0</v>
      </c>
      <c r="CI98" s="187">
        <f t="shared" si="68"/>
        <v>0</v>
      </c>
      <c r="CJ98" s="187" t="s">
        <v>614</v>
      </c>
      <c r="CK98" s="189">
        <v>0</v>
      </c>
      <c r="CL98" s="189">
        <v>0</v>
      </c>
      <c r="CM98" s="187" t="s">
        <v>242</v>
      </c>
      <c r="CN98" s="116"/>
      <c r="CO98" s="100"/>
      <c r="CP98" s="100"/>
      <c r="CQ98" s="100"/>
      <c r="CR98" s="101">
        <v>0.15</v>
      </c>
      <c r="CS98" s="101">
        <v>0.2</v>
      </c>
    </row>
    <row r="99" spans="1:97" s="101" customFormat="1" ht="16.5" hidden="1" customHeight="1" x14ac:dyDescent="0.25">
      <c r="A99" s="99"/>
      <c r="V99" s="103"/>
      <c r="AA99" s="104"/>
      <c r="AB99" s="104"/>
      <c r="AD99" s="104"/>
      <c r="AE99" s="105"/>
      <c r="AH99" s="106"/>
      <c r="AI99" s="106"/>
      <c r="AK99" s="104"/>
      <c r="AR99" s="104"/>
      <c r="AV99" s="104"/>
      <c r="AX99" s="104"/>
      <c r="BB99" s="104"/>
      <c r="BC99" s="104"/>
      <c r="BE99" s="104"/>
      <c r="BF99" s="168"/>
      <c r="BG99" s="168"/>
      <c r="BH99" s="168"/>
      <c r="BI99" s="102"/>
      <c r="BJ99" s="178"/>
      <c r="BK99" s="178"/>
      <c r="BL99" s="178"/>
      <c r="BM99" s="169"/>
      <c r="BN99" s="169"/>
      <c r="BO99" s="169"/>
      <c r="BP99" s="192"/>
      <c r="BQ99" s="192"/>
      <c r="BR99" s="192"/>
      <c r="BS99" s="192"/>
      <c r="BT99" s="192"/>
      <c r="BU99" s="192"/>
      <c r="BV99" s="178"/>
      <c r="BW99" s="192"/>
      <c r="BX99" s="192"/>
      <c r="BY99" s="178"/>
      <c r="BZ99" s="178"/>
      <c r="CA99" s="178"/>
      <c r="CB99" s="180"/>
      <c r="CC99" s="192"/>
      <c r="CD99" s="192"/>
      <c r="CE99" s="180"/>
      <c r="CF99" s="180"/>
      <c r="CG99" s="180"/>
      <c r="CH99" s="180"/>
      <c r="CI99" s="192"/>
      <c r="CJ99" s="192"/>
      <c r="CK99" s="180"/>
      <c r="CL99" s="180"/>
      <c r="CM99" s="180"/>
      <c r="CN99" s="116"/>
      <c r="CO99" s="100"/>
      <c r="CP99" s="100"/>
      <c r="CQ99" s="100"/>
    </row>
    <row r="100" spans="1:97" s="101" customFormat="1" ht="16.5" hidden="1" customHeight="1" thickBot="1" x14ac:dyDescent="0.3">
      <c r="A100" s="99"/>
      <c r="V100" s="103"/>
      <c r="AA100" s="104"/>
      <c r="AB100" s="104"/>
      <c r="AD100" s="104"/>
      <c r="AE100" s="105"/>
      <c r="AH100" s="106"/>
      <c r="AI100" s="106"/>
      <c r="AK100" s="104"/>
      <c r="AR100" s="104"/>
      <c r="AV100" s="104"/>
      <c r="AX100" s="104"/>
      <c r="BB100" s="104"/>
      <c r="BC100" s="104"/>
      <c r="BE100" s="104"/>
      <c r="BF100" s="168"/>
      <c r="BG100" s="168"/>
      <c r="BH100" s="168"/>
      <c r="BI100" s="102"/>
      <c r="BJ100" s="178"/>
      <c r="BK100" s="178"/>
      <c r="BL100" s="178"/>
      <c r="BM100" s="169"/>
      <c r="BN100" s="169"/>
      <c r="BO100" s="169"/>
      <c r="BP100" s="192"/>
      <c r="BQ100" s="192"/>
      <c r="BR100" s="192"/>
      <c r="BS100" s="192"/>
      <c r="BT100" s="192"/>
      <c r="BU100" s="192"/>
      <c r="BV100" s="178"/>
      <c r="BW100" s="192"/>
      <c r="BX100" s="192"/>
      <c r="BY100" s="178"/>
      <c r="BZ100" s="178"/>
      <c r="CA100" s="178"/>
      <c r="CB100" s="180"/>
      <c r="CC100" s="192"/>
      <c r="CD100" s="192"/>
      <c r="CE100" s="180"/>
      <c r="CF100" s="180"/>
      <c r="CG100" s="180"/>
      <c r="CH100" s="180"/>
      <c r="CI100" s="192"/>
      <c r="CJ100" s="192"/>
      <c r="CK100" s="180"/>
      <c r="CL100" s="180"/>
      <c r="CM100" s="180"/>
      <c r="CN100" s="116"/>
      <c r="CO100" s="100"/>
      <c r="CP100" s="100"/>
      <c r="CQ100" s="100"/>
    </row>
    <row r="101" spans="1:97" s="101" customFormat="1" ht="26.25" hidden="1" customHeight="1" thickBot="1" x14ac:dyDescent="0.3">
      <c r="A101" s="99"/>
      <c r="V101" s="103"/>
      <c r="AA101" s="104"/>
      <c r="AB101" s="104"/>
      <c r="AD101" s="104"/>
      <c r="AE101" s="105"/>
      <c r="AH101" s="106"/>
      <c r="AI101" s="106"/>
      <c r="AK101" s="104"/>
      <c r="AR101" s="104"/>
      <c r="AV101" s="104"/>
      <c r="AX101" s="104"/>
      <c r="BB101" s="104"/>
      <c r="BC101" s="104"/>
      <c r="BE101" s="104"/>
      <c r="BF101" s="168"/>
      <c r="BG101" s="168"/>
      <c r="BH101" s="168"/>
      <c r="BI101" s="1606" t="s">
        <v>232</v>
      </c>
      <c r="BJ101" s="251"/>
      <c r="BK101" s="1606" t="s">
        <v>267</v>
      </c>
      <c r="BL101" s="251"/>
      <c r="BM101" s="1606" t="s">
        <v>233</v>
      </c>
      <c r="BN101" s="1606" t="s">
        <v>233</v>
      </c>
      <c r="BO101" s="1606" t="s">
        <v>240</v>
      </c>
      <c r="BP101" s="1608" t="s">
        <v>172</v>
      </c>
      <c r="BQ101" s="1609"/>
      <c r="BR101" s="1609"/>
      <c r="BS101" s="1609"/>
      <c r="BT101" s="1609"/>
      <c r="BU101" s="1609"/>
      <c r="BV101" s="1609"/>
      <c r="BW101" s="1609"/>
      <c r="BX101" s="1609"/>
      <c r="BY101" s="1609"/>
      <c r="BZ101" s="1609"/>
      <c r="CA101" s="1610"/>
      <c r="CB101" s="1608" t="s">
        <v>173</v>
      </c>
      <c r="CC101" s="1609"/>
      <c r="CD101" s="1609"/>
      <c r="CE101" s="1609"/>
      <c r="CF101" s="1609"/>
      <c r="CG101" s="1609"/>
      <c r="CH101" s="1609"/>
      <c r="CI101" s="1609"/>
      <c r="CJ101" s="1609"/>
      <c r="CK101" s="1609"/>
      <c r="CL101" s="1609"/>
      <c r="CM101" s="1610"/>
      <c r="CN101" s="116"/>
      <c r="CO101" s="100">
        <v>0.6</v>
      </c>
      <c r="CP101" s="100">
        <f t="shared" ref="CP101:CP118" si="70">(CO101+CQ101)/2</f>
        <v>0.8</v>
      </c>
      <c r="CQ101" s="100">
        <v>1</v>
      </c>
    </row>
    <row r="102" spans="1:97" s="101" customFormat="1" ht="58.5" hidden="1" customHeight="1" thickBot="1" x14ac:dyDescent="0.3">
      <c r="A102" s="99"/>
      <c r="V102" s="103"/>
      <c r="AA102" s="104"/>
      <c r="AB102" s="104"/>
      <c r="AD102" s="104"/>
      <c r="AE102" s="105"/>
      <c r="AH102" s="106"/>
      <c r="AI102" s="106"/>
      <c r="AK102" s="104"/>
      <c r="AR102" s="104"/>
      <c r="AV102" s="104"/>
      <c r="AX102" s="104"/>
      <c r="BB102" s="104"/>
      <c r="BC102" s="104"/>
      <c r="BE102" s="104"/>
      <c r="BF102" s="168"/>
      <c r="BG102" s="168"/>
      <c r="BH102" s="168"/>
      <c r="BI102" s="1607"/>
      <c r="BJ102" s="252" t="s">
        <v>253</v>
      </c>
      <c r="BK102" s="1607"/>
      <c r="BL102" s="252" t="s">
        <v>251</v>
      </c>
      <c r="BM102" s="1607"/>
      <c r="BN102" s="1607"/>
      <c r="BO102" s="1607"/>
      <c r="BP102" s="185" t="s">
        <v>268</v>
      </c>
      <c r="BQ102" s="185" t="s">
        <v>269</v>
      </c>
      <c r="BR102" s="252" t="s">
        <v>251</v>
      </c>
      <c r="BS102" s="185" t="s">
        <v>233</v>
      </c>
      <c r="BT102" s="185" t="s">
        <v>233</v>
      </c>
      <c r="BU102" s="185" t="s">
        <v>240</v>
      </c>
      <c r="BV102" s="185" t="s">
        <v>270</v>
      </c>
      <c r="BW102" s="185" t="s">
        <v>271</v>
      </c>
      <c r="BX102" s="252" t="s">
        <v>251</v>
      </c>
      <c r="BY102" s="185" t="s">
        <v>233</v>
      </c>
      <c r="BZ102" s="185" t="s">
        <v>233</v>
      </c>
      <c r="CA102" s="185" t="s">
        <v>240</v>
      </c>
      <c r="CB102" s="185" t="s">
        <v>268</v>
      </c>
      <c r="CC102" s="185" t="s">
        <v>269</v>
      </c>
      <c r="CD102" s="252" t="s">
        <v>251</v>
      </c>
      <c r="CE102" s="185" t="s">
        <v>233</v>
      </c>
      <c r="CF102" s="185" t="s">
        <v>233</v>
      </c>
      <c r="CG102" s="185" t="s">
        <v>240</v>
      </c>
      <c r="CH102" s="185" t="s">
        <v>270</v>
      </c>
      <c r="CI102" s="185" t="s">
        <v>271</v>
      </c>
      <c r="CJ102" s="252" t="s">
        <v>251</v>
      </c>
      <c r="CK102" s="185" t="s">
        <v>233</v>
      </c>
      <c r="CL102" s="185" t="s">
        <v>233</v>
      </c>
      <c r="CM102" s="185" t="s">
        <v>240</v>
      </c>
      <c r="CN102" s="116"/>
      <c r="CO102" s="100">
        <v>0.15</v>
      </c>
      <c r="CP102" s="100">
        <f t="shared" si="70"/>
        <v>0.17499999999999999</v>
      </c>
      <c r="CQ102" s="100">
        <v>0.2</v>
      </c>
    </row>
    <row r="103" spans="1:97" s="101" customFormat="1" ht="16.5" hidden="1" customHeight="1" thickBot="1" x14ac:dyDescent="0.3">
      <c r="A103" s="99"/>
      <c r="V103" s="103"/>
      <c r="AA103" s="104"/>
      <c r="AB103" s="104"/>
      <c r="AD103" s="148"/>
      <c r="AE103" s="105"/>
      <c r="AH103" s="106"/>
      <c r="AI103" s="106"/>
      <c r="AK103" s="148"/>
      <c r="AR103" s="148"/>
      <c r="AV103" s="104"/>
      <c r="AX103" s="148"/>
      <c r="BB103" s="104"/>
      <c r="BC103" s="104"/>
      <c r="BD103" s="119"/>
      <c r="BE103" s="148"/>
      <c r="BF103" s="168"/>
      <c r="BG103" s="168"/>
      <c r="BH103" s="168"/>
      <c r="BI103" s="190" t="s">
        <v>563</v>
      </c>
      <c r="BJ103" s="181" t="s">
        <v>252</v>
      </c>
      <c r="BK103" s="181">
        <v>10.148999999999999</v>
      </c>
      <c r="BL103" s="187" t="s">
        <v>405</v>
      </c>
      <c r="BM103" s="189">
        <v>2.0499999999999997E-3</v>
      </c>
      <c r="BN103" s="189">
        <v>2.0499999999999997E-3</v>
      </c>
      <c r="BO103" s="188" t="s">
        <v>241</v>
      </c>
      <c r="BP103" s="181">
        <v>0.01</v>
      </c>
      <c r="BQ103" s="191">
        <f>BP103/1000</f>
        <v>1.0000000000000001E-5</v>
      </c>
      <c r="BR103" s="187" t="s">
        <v>406</v>
      </c>
      <c r="BS103" s="189">
        <v>0.01</v>
      </c>
      <c r="BT103" s="189">
        <v>0.1</v>
      </c>
      <c r="BU103" s="187" t="s">
        <v>242</v>
      </c>
      <c r="BV103" s="181">
        <v>6.0000000000000001E-3</v>
      </c>
      <c r="BW103" s="191">
        <f>BV103/1000</f>
        <v>6.0000000000000002E-6</v>
      </c>
      <c r="BX103" s="187" t="s">
        <v>407</v>
      </c>
      <c r="BY103" s="189">
        <v>2E-3</v>
      </c>
      <c r="BZ103" s="189">
        <v>0.02</v>
      </c>
      <c r="CA103" s="187" t="s">
        <v>242</v>
      </c>
      <c r="CB103" s="181">
        <v>3.6999999999999998E-2</v>
      </c>
      <c r="CC103" s="191">
        <f>CB103/1000</f>
        <v>3.6999999999999998E-5</v>
      </c>
      <c r="CD103" s="187" t="s">
        <v>406</v>
      </c>
      <c r="CE103" s="189">
        <v>1.6E-2</v>
      </c>
      <c r="CF103" s="189">
        <v>9.5000000000000001E-2</v>
      </c>
      <c r="CG103" s="187" t="s">
        <v>242</v>
      </c>
      <c r="CH103" s="181">
        <v>3.6999999999999998E-2</v>
      </c>
      <c r="CI103" s="191">
        <f>CH103/1000</f>
        <v>3.6999999999999998E-5</v>
      </c>
      <c r="CJ103" s="187" t="s">
        <v>407</v>
      </c>
      <c r="CK103" s="189">
        <v>1.2999999999999999E-2</v>
      </c>
      <c r="CL103" s="189">
        <v>0.12</v>
      </c>
      <c r="CM103" s="187" t="s">
        <v>242</v>
      </c>
      <c r="CN103" s="116"/>
      <c r="CO103" s="100">
        <v>0.15</v>
      </c>
      <c r="CP103" s="100">
        <f t="shared" si="70"/>
        <v>0.17499999999999999</v>
      </c>
      <c r="CQ103" s="100">
        <v>0.2</v>
      </c>
      <c r="CR103" s="101">
        <v>0.15</v>
      </c>
      <c r="CS103" s="101">
        <v>0.2</v>
      </c>
    </row>
    <row r="104" spans="1:97" s="101" customFormat="1" ht="16.5" hidden="1" customHeight="1" thickBot="1" x14ac:dyDescent="0.3">
      <c r="A104" s="99"/>
      <c r="V104" s="103"/>
      <c r="AA104" s="104"/>
      <c r="AB104" s="104"/>
      <c r="AD104" s="148"/>
      <c r="AE104" s="105"/>
      <c r="AH104" s="106"/>
      <c r="AI104" s="106"/>
      <c r="AK104" s="148"/>
      <c r="AR104" s="148"/>
      <c r="AV104" s="104"/>
      <c r="AX104" s="148"/>
      <c r="BB104" s="104"/>
      <c r="BC104" s="104"/>
      <c r="BD104" s="119"/>
      <c r="BE104" s="148"/>
      <c r="BF104" s="168"/>
      <c r="BG104" s="168"/>
      <c r="BH104" s="168"/>
      <c r="BI104" s="190" t="s">
        <v>367</v>
      </c>
      <c r="BJ104" s="181" t="s">
        <v>252</v>
      </c>
      <c r="BK104" s="181">
        <v>8.8085000000000004</v>
      </c>
      <c r="BL104" s="187" t="s">
        <v>405</v>
      </c>
      <c r="BM104" s="189">
        <v>2.0300000000000001E-3</v>
      </c>
      <c r="BN104" s="189">
        <v>2.0300000000000001E-3</v>
      </c>
      <c r="BO104" s="188" t="s">
        <v>241</v>
      </c>
      <c r="BP104" s="181">
        <v>2.6599999999999999E-2</v>
      </c>
      <c r="BQ104" s="191">
        <f>BP104/1000</f>
        <v>2.6599999999999999E-5</v>
      </c>
      <c r="BR104" s="187" t="s">
        <v>406</v>
      </c>
      <c r="BS104" s="189">
        <v>0.01</v>
      </c>
      <c r="BT104" s="189">
        <v>0.1</v>
      </c>
      <c r="BU104" s="187" t="s">
        <v>242</v>
      </c>
      <c r="BV104" s="181">
        <v>5.3E-3</v>
      </c>
      <c r="BW104" s="191">
        <f>BV104/1000</f>
        <v>5.3000000000000001E-6</v>
      </c>
      <c r="BX104" s="187" t="s">
        <v>407</v>
      </c>
      <c r="BY104" s="189">
        <v>2E-3</v>
      </c>
      <c r="BZ104" s="189">
        <v>0.02</v>
      </c>
      <c r="CA104" s="187" t="s">
        <v>242</v>
      </c>
      <c r="CB104" s="181">
        <v>0.29260000000000003</v>
      </c>
      <c r="CC104" s="191">
        <f>CB104/1000</f>
        <v>2.9260000000000001E-4</v>
      </c>
      <c r="CD104" s="187" t="s">
        <v>406</v>
      </c>
      <c r="CE104" s="189">
        <v>9.6000000000000002E-2</v>
      </c>
      <c r="CF104" s="189">
        <v>1.1000000000000001</v>
      </c>
      <c r="CG104" s="187" t="s">
        <v>242</v>
      </c>
      <c r="CH104" s="181">
        <v>2.8400000000000002E-2</v>
      </c>
      <c r="CI104" s="191">
        <f>CH104/1000</f>
        <v>2.8400000000000003E-5</v>
      </c>
      <c r="CJ104" s="187" t="s">
        <v>407</v>
      </c>
      <c r="CK104" s="189">
        <v>9.5999999999999992E-3</v>
      </c>
      <c r="CL104" s="189">
        <v>0.11</v>
      </c>
      <c r="CM104" s="187" t="s">
        <v>242</v>
      </c>
      <c r="CN104" s="116"/>
      <c r="CO104" s="100">
        <v>0.15</v>
      </c>
      <c r="CP104" s="100">
        <f t="shared" si="70"/>
        <v>0.17499999999999999</v>
      </c>
      <c r="CQ104" s="100">
        <v>0.2</v>
      </c>
      <c r="CR104" s="101">
        <v>0.15</v>
      </c>
      <c r="CS104" s="101">
        <v>0.2</v>
      </c>
    </row>
    <row r="105" spans="1:97" s="101" customFormat="1" ht="16.5" hidden="1" customHeight="1" thickBot="1" x14ac:dyDescent="0.3">
      <c r="A105" s="99"/>
      <c r="V105" s="103"/>
      <c r="AA105" s="104"/>
      <c r="AB105" s="104"/>
      <c r="AD105" s="104"/>
      <c r="AE105" s="105"/>
      <c r="AH105" s="106"/>
      <c r="AI105" s="106"/>
      <c r="AK105" s="104"/>
      <c r="AR105" s="104"/>
      <c r="AV105" s="104"/>
      <c r="AX105" s="104"/>
      <c r="BB105" s="104"/>
      <c r="BC105" s="104"/>
      <c r="BE105" s="104"/>
      <c r="BF105" s="168"/>
      <c r="BG105" s="168"/>
      <c r="BH105" s="168"/>
      <c r="BI105" s="186" t="s">
        <v>234</v>
      </c>
      <c r="BJ105" s="181" t="s">
        <v>252</v>
      </c>
      <c r="BK105" s="181">
        <v>9.6232000000000006</v>
      </c>
      <c r="BL105" s="187" t="s">
        <v>405</v>
      </c>
      <c r="BM105" s="189">
        <v>2.0399999999999997E-3</v>
      </c>
      <c r="BN105" s="189">
        <v>2.0399999999999997E-3</v>
      </c>
      <c r="BO105" s="188" t="s">
        <v>241</v>
      </c>
      <c r="BP105" s="191">
        <v>2.7199999999999998E-2</v>
      </c>
      <c r="BQ105" s="191">
        <f>BP105/1000</f>
        <v>2.7199999999999997E-5</v>
      </c>
      <c r="BR105" s="187" t="s">
        <v>406</v>
      </c>
      <c r="BS105" s="189">
        <v>0.01</v>
      </c>
      <c r="BT105" s="189">
        <v>0.1</v>
      </c>
      <c r="BU105" s="187" t="s">
        <v>242</v>
      </c>
      <c r="BV105" s="181">
        <v>5.4000000000000003E-3</v>
      </c>
      <c r="BW105" s="191">
        <f>BV105/1000</f>
        <v>5.4E-6</v>
      </c>
      <c r="BX105" s="187" t="s">
        <v>407</v>
      </c>
      <c r="BY105" s="189">
        <v>2E-3</v>
      </c>
      <c r="BZ105" s="189">
        <v>0.02</v>
      </c>
      <c r="CA105" s="187" t="s">
        <v>242</v>
      </c>
      <c r="CB105" s="193">
        <v>0</v>
      </c>
      <c r="CC105" s="193">
        <f>CB105/1000</f>
        <v>0</v>
      </c>
      <c r="CD105" s="187" t="s">
        <v>406</v>
      </c>
      <c r="CE105" s="189">
        <v>0</v>
      </c>
      <c r="CF105" s="189">
        <v>0</v>
      </c>
      <c r="CG105" s="187" t="s">
        <v>242</v>
      </c>
      <c r="CH105" s="194">
        <v>0</v>
      </c>
      <c r="CI105" s="193">
        <f>CH105/1000</f>
        <v>0</v>
      </c>
      <c r="CJ105" s="187" t="s">
        <v>407</v>
      </c>
      <c r="CK105" s="189">
        <v>0</v>
      </c>
      <c r="CL105" s="189">
        <v>0</v>
      </c>
      <c r="CM105" s="187" t="s">
        <v>242</v>
      </c>
      <c r="CN105" s="116"/>
      <c r="CO105" s="100">
        <v>0.15</v>
      </c>
      <c r="CP105" s="100">
        <f t="shared" si="70"/>
        <v>0.17499999999999999</v>
      </c>
      <c r="CQ105" s="100">
        <v>0.2</v>
      </c>
      <c r="CR105" s="101">
        <v>0.15</v>
      </c>
      <c r="CS105" s="101">
        <v>0.2</v>
      </c>
    </row>
    <row r="106" spans="1:97" s="101" customFormat="1" ht="16.5" hidden="1" customHeight="1" thickBot="1" x14ac:dyDescent="0.3">
      <c r="A106" s="99"/>
      <c r="V106" s="103"/>
      <c r="AA106" s="104"/>
      <c r="AB106" s="104"/>
      <c r="AD106" s="148"/>
      <c r="AE106" s="105"/>
      <c r="AH106" s="106"/>
      <c r="AI106" s="106"/>
      <c r="AK106" s="148"/>
      <c r="AR106" s="148"/>
      <c r="AV106" s="104"/>
      <c r="AX106" s="148"/>
      <c r="BB106" s="104"/>
      <c r="BC106" s="104"/>
      <c r="BD106" s="119"/>
      <c r="BE106" s="148"/>
      <c r="BF106" s="168"/>
      <c r="BG106" s="168"/>
      <c r="BH106" s="168"/>
      <c r="BI106" s="190" t="s">
        <v>123</v>
      </c>
      <c r="BJ106" s="181" t="s">
        <v>252</v>
      </c>
      <c r="BK106" s="181">
        <v>11.624599999999999</v>
      </c>
      <c r="BL106" s="187" t="s">
        <v>405</v>
      </c>
      <c r="BM106" s="189">
        <v>2.0699999999999998E-3</v>
      </c>
      <c r="BN106" s="189">
        <v>2.0699999999999998E-3</v>
      </c>
      <c r="BO106" s="188" t="s">
        <v>241</v>
      </c>
      <c r="BP106" s="181">
        <v>3.0200000000000001E-2</v>
      </c>
      <c r="BQ106" s="191">
        <f t="shared" ref="BQ106:BQ115" si="71">BP106/1000</f>
        <v>3.0200000000000002E-5</v>
      </c>
      <c r="BR106" s="187" t="s">
        <v>406</v>
      </c>
      <c r="BS106" s="189">
        <v>0.01</v>
      </c>
      <c r="BT106" s="189">
        <v>0.1</v>
      </c>
      <c r="BU106" s="187" t="s">
        <v>242</v>
      </c>
      <c r="BV106" s="181">
        <v>6.0000000000000001E-3</v>
      </c>
      <c r="BW106" s="191">
        <f t="shared" ref="BW106:BW115" si="72">BV106/1000</f>
        <v>6.0000000000000002E-6</v>
      </c>
      <c r="BX106" s="187" t="s">
        <v>407</v>
      </c>
      <c r="BY106" s="189">
        <v>2E-3</v>
      </c>
      <c r="BZ106" s="189">
        <v>0.02</v>
      </c>
      <c r="CA106" s="187" t="s">
        <v>242</v>
      </c>
      <c r="CB106" s="194">
        <v>0</v>
      </c>
      <c r="CC106" s="193">
        <f t="shared" ref="CC106:CC115" si="73">CB106/1000</f>
        <v>0</v>
      </c>
      <c r="CD106" s="187" t="s">
        <v>406</v>
      </c>
      <c r="CE106" s="189">
        <v>0</v>
      </c>
      <c r="CF106" s="189">
        <v>0</v>
      </c>
      <c r="CG106" s="187" t="s">
        <v>242</v>
      </c>
      <c r="CH106" s="194">
        <v>0</v>
      </c>
      <c r="CI106" s="193">
        <f t="shared" ref="CI106:CI115" si="74">CH106/1000</f>
        <v>0</v>
      </c>
      <c r="CJ106" s="187" t="s">
        <v>407</v>
      </c>
      <c r="CK106" s="189">
        <v>0</v>
      </c>
      <c r="CL106" s="189">
        <v>0</v>
      </c>
      <c r="CM106" s="187" t="s">
        <v>242</v>
      </c>
      <c r="CN106" s="116"/>
      <c r="CO106" s="100">
        <v>0.15</v>
      </c>
      <c r="CP106" s="100">
        <f t="shared" si="70"/>
        <v>0.17499999999999999</v>
      </c>
      <c r="CQ106" s="100">
        <v>0.2</v>
      </c>
      <c r="CR106" s="101">
        <v>0.15</v>
      </c>
      <c r="CS106" s="101">
        <v>0.2</v>
      </c>
    </row>
    <row r="107" spans="1:97" s="101" customFormat="1" ht="16.5" hidden="1" customHeight="1" thickBot="1" x14ac:dyDescent="0.3">
      <c r="A107" s="99"/>
      <c r="V107" s="103"/>
      <c r="AA107" s="104"/>
      <c r="AB107" s="104"/>
      <c r="AD107" s="148"/>
      <c r="AE107" s="105"/>
      <c r="AH107" s="106"/>
      <c r="AI107" s="106"/>
      <c r="AK107" s="148"/>
      <c r="AR107" s="148"/>
      <c r="AV107" s="104"/>
      <c r="AX107" s="148"/>
      <c r="BB107" s="104"/>
      <c r="BC107" s="104"/>
      <c r="BD107" s="119"/>
      <c r="BE107" s="148"/>
      <c r="BF107" s="168"/>
      <c r="BG107" s="168"/>
      <c r="BH107" s="168"/>
      <c r="BI107" s="190" t="s">
        <v>0</v>
      </c>
      <c r="BJ107" s="181" t="s">
        <v>252</v>
      </c>
      <c r="BK107" s="181">
        <v>11.2818</v>
      </c>
      <c r="BL107" s="187" t="s">
        <v>405</v>
      </c>
      <c r="BM107" s="189">
        <v>2.0599999999999998E-3</v>
      </c>
      <c r="BN107" s="189">
        <v>2.0599999999999998E-3</v>
      </c>
      <c r="BO107" s="188" t="s">
        <v>241</v>
      </c>
      <c r="BP107" s="181">
        <v>3.0300000000000001E-2</v>
      </c>
      <c r="BQ107" s="191">
        <f t="shared" si="71"/>
        <v>3.0300000000000001E-5</v>
      </c>
      <c r="BR107" s="187" t="s">
        <v>406</v>
      </c>
      <c r="BS107" s="189">
        <v>0.01</v>
      </c>
      <c r="BT107" s="189">
        <v>0.1</v>
      </c>
      <c r="BU107" s="187" t="s">
        <v>242</v>
      </c>
      <c r="BV107" s="181">
        <v>6.1000000000000004E-3</v>
      </c>
      <c r="BW107" s="191">
        <f t="shared" si="72"/>
        <v>6.1E-6</v>
      </c>
      <c r="BX107" s="187" t="s">
        <v>407</v>
      </c>
      <c r="BY107" s="189">
        <v>2E-3</v>
      </c>
      <c r="BZ107" s="189">
        <v>0.02</v>
      </c>
      <c r="CA107" s="187" t="s">
        <v>242</v>
      </c>
      <c r="CB107" s="194">
        <v>0</v>
      </c>
      <c r="CC107" s="193">
        <f t="shared" si="73"/>
        <v>0</v>
      </c>
      <c r="CD107" s="187" t="s">
        <v>406</v>
      </c>
      <c r="CE107" s="189">
        <v>0</v>
      </c>
      <c r="CF107" s="189">
        <v>0</v>
      </c>
      <c r="CG107" s="187" t="s">
        <v>242</v>
      </c>
      <c r="CH107" s="194">
        <v>0</v>
      </c>
      <c r="CI107" s="193">
        <f t="shared" si="74"/>
        <v>0</v>
      </c>
      <c r="CJ107" s="187" t="s">
        <v>407</v>
      </c>
      <c r="CK107" s="189">
        <v>0</v>
      </c>
      <c r="CL107" s="189">
        <v>0</v>
      </c>
      <c r="CM107" s="187" t="s">
        <v>242</v>
      </c>
      <c r="CN107" s="116"/>
      <c r="CO107" s="100">
        <v>0.15</v>
      </c>
      <c r="CP107" s="100">
        <f t="shared" si="70"/>
        <v>0.17499999999999999</v>
      </c>
      <c r="CQ107" s="100">
        <v>0.2</v>
      </c>
      <c r="CR107" s="101">
        <v>0.15</v>
      </c>
      <c r="CS107" s="101">
        <v>0.2</v>
      </c>
    </row>
    <row r="108" spans="1:97" s="101" customFormat="1" ht="16.5" hidden="1" customHeight="1" thickBot="1" x14ac:dyDescent="0.3">
      <c r="A108" s="99"/>
      <c r="V108" s="103"/>
      <c r="AA108" s="104"/>
      <c r="AB108" s="104"/>
      <c r="AD108" s="148"/>
      <c r="AE108" s="105"/>
      <c r="AH108" s="106"/>
      <c r="AI108" s="106"/>
      <c r="AK108" s="148"/>
      <c r="AR108" s="148"/>
      <c r="AV108" s="104"/>
      <c r="AX108" s="148"/>
      <c r="BB108" s="104"/>
      <c r="BC108" s="104"/>
      <c r="BD108" s="119"/>
      <c r="BE108" s="148"/>
      <c r="BF108" s="168"/>
      <c r="BG108" s="168"/>
      <c r="BH108" s="168"/>
      <c r="BI108" s="190" t="s">
        <v>235</v>
      </c>
      <c r="BJ108" s="181" t="s">
        <v>252</v>
      </c>
      <c r="BK108" s="181">
        <v>6.3869999999999996</v>
      </c>
      <c r="BL108" s="187" t="s">
        <v>405</v>
      </c>
      <c r="BM108" s="189">
        <v>2.5600000000000002E-3</v>
      </c>
      <c r="BN108" s="189">
        <v>2.5600000000000002E-3</v>
      </c>
      <c r="BO108" s="188" t="s">
        <v>241</v>
      </c>
      <c r="BP108" s="181">
        <v>2.3699999999999999E-2</v>
      </c>
      <c r="BQ108" s="191">
        <f t="shared" si="71"/>
        <v>2.37E-5</v>
      </c>
      <c r="BR108" s="187" t="s">
        <v>406</v>
      </c>
      <c r="BS108" s="189">
        <v>0.01</v>
      </c>
      <c r="BT108" s="189">
        <v>0.1</v>
      </c>
      <c r="BU108" s="187" t="s">
        <v>242</v>
      </c>
      <c r="BV108" s="181">
        <v>4.7000000000000002E-3</v>
      </c>
      <c r="BW108" s="191">
        <f t="shared" si="72"/>
        <v>4.6999999999999999E-6</v>
      </c>
      <c r="BX108" s="187" t="s">
        <v>407</v>
      </c>
      <c r="BY108" s="189">
        <v>2E-3</v>
      </c>
      <c r="BZ108" s="189">
        <v>0.02</v>
      </c>
      <c r="CA108" s="187" t="s">
        <v>242</v>
      </c>
      <c r="CB108" s="194">
        <v>0</v>
      </c>
      <c r="CC108" s="193">
        <f t="shared" si="73"/>
        <v>0</v>
      </c>
      <c r="CD108" s="187" t="s">
        <v>406</v>
      </c>
      <c r="CE108" s="189">
        <v>0</v>
      </c>
      <c r="CF108" s="189">
        <v>0</v>
      </c>
      <c r="CG108" s="187" t="s">
        <v>242</v>
      </c>
      <c r="CH108" s="194">
        <v>0</v>
      </c>
      <c r="CI108" s="193">
        <f t="shared" si="74"/>
        <v>0</v>
      </c>
      <c r="CJ108" s="187" t="s">
        <v>407</v>
      </c>
      <c r="CK108" s="189">
        <v>0</v>
      </c>
      <c r="CL108" s="189">
        <v>0</v>
      </c>
      <c r="CM108" s="187" t="s">
        <v>242</v>
      </c>
      <c r="CN108" s="116"/>
      <c r="CO108" s="100">
        <v>0.15</v>
      </c>
      <c r="CP108" s="100">
        <f t="shared" si="70"/>
        <v>0.17499999999999999</v>
      </c>
      <c r="CQ108" s="100">
        <v>0.2</v>
      </c>
      <c r="CR108" s="101">
        <v>0.15</v>
      </c>
      <c r="CS108" s="101">
        <v>0.2</v>
      </c>
    </row>
    <row r="109" spans="1:97" s="101" customFormat="1" ht="16.5" hidden="1" customHeight="1" thickBot="1" x14ac:dyDescent="0.3">
      <c r="A109" s="99"/>
      <c r="V109" s="103"/>
      <c r="AA109" s="104"/>
      <c r="AB109" s="104"/>
      <c r="AD109" s="148"/>
      <c r="AE109" s="105"/>
      <c r="AH109" s="106"/>
      <c r="AI109" s="106"/>
      <c r="AK109" s="148"/>
      <c r="AR109" s="148"/>
      <c r="AV109" s="104"/>
      <c r="AX109" s="148"/>
      <c r="BB109" s="104"/>
      <c r="BC109" s="104"/>
      <c r="BD109" s="119"/>
      <c r="BE109" s="148"/>
      <c r="BF109" s="168"/>
      <c r="BG109" s="168"/>
      <c r="BH109" s="168"/>
      <c r="BI109" s="190" t="s">
        <v>236</v>
      </c>
      <c r="BJ109" s="181" t="s">
        <v>252</v>
      </c>
      <c r="BK109" s="181">
        <v>9.8404000000000007</v>
      </c>
      <c r="BL109" s="187" t="s">
        <v>405</v>
      </c>
      <c r="BM109" s="189">
        <v>2.1299999999999999E-3</v>
      </c>
      <c r="BN109" s="189">
        <v>2.1299999999999999E-3</v>
      </c>
      <c r="BO109" s="188" t="s">
        <v>241</v>
      </c>
      <c r="BP109" s="181">
        <v>2.3300000000000001E-2</v>
      </c>
      <c r="BQ109" s="191">
        <f t="shared" si="71"/>
        <v>2.3300000000000001E-5</v>
      </c>
      <c r="BR109" s="187" t="s">
        <v>406</v>
      </c>
      <c r="BS109" s="189">
        <v>0.01</v>
      </c>
      <c r="BT109" s="189">
        <v>0.1</v>
      </c>
      <c r="BU109" s="187" t="s">
        <v>242</v>
      </c>
      <c r="BV109" s="181">
        <v>4.7000000000000002E-3</v>
      </c>
      <c r="BW109" s="191">
        <f t="shared" si="72"/>
        <v>4.6999999999999999E-6</v>
      </c>
      <c r="BX109" s="187" t="s">
        <v>407</v>
      </c>
      <c r="BY109" s="189">
        <v>2E-3</v>
      </c>
      <c r="BZ109" s="189">
        <v>0.02</v>
      </c>
      <c r="CA109" s="187" t="s">
        <v>242</v>
      </c>
      <c r="CB109" s="194">
        <v>0</v>
      </c>
      <c r="CC109" s="193">
        <f t="shared" si="73"/>
        <v>0</v>
      </c>
      <c r="CD109" s="187" t="s">
        <v>406</v>
      </c>
      <c r="CE109" s="189">
        <v>0</v>
      </c>
      <c r="CF109" s="189">
        <v>0</v>
      </c>
      <c r="CG109" s="187" t="s">
        <v>242</v>
      </c>
      <c r="CH109" s="194">
        <v>0</v>
      </c>
      <c r="CI109" s="193">
        <f t="shared" si="74"/>
        <v>0</v>
      </c>
      <c r="CJ109" s="187" t="s">
        <v>407</v>
      </c>
      <c r="CK109" s="189">
        <v>0</v>
      </c>
      <c r="CL109" s="189">
        <v>0</v>
      </c>
      <c r="CM109" s="187" t="s">
        <v>242</v>
      </c>
      <c r="CN109" s="116"/>
      <c r="CO109" s="100">
        <v>0.15</v>
      </c>
      <c r="CP109" s="100">
        <f t="shared" si="70"/>
        <v>0.17499999999999999</v>
      </c>
      <c r="CQ109" s="100">
        <v>0.2</v>
      </c>
      <c r="CR109" s="101">
        <v>0.15</v>
      </c>
      <c r="CS109" s="101">
        <v>0.2</v>
      </c>
    </row>
    <row r="110" spans="1:97" s="101" customFormat="1" ht="16.5" hidden="1" customHeight="1" thickBot="1" x14ac:dyDescent="0.3">
      <c r="A110" s="99"/>
      <c r="V110" s="103"/>
      <c r="AA110" s="104"/>
      <c r="AB110" s="104"/>
      <c r="AD110" s="148"/>
      <c r="AE110" s="105"/>
      <c r="AH110" s="106"/>
      <c r="AI110" s="106"/>
      <c r="AK110" s="148"/>
      <c r="AR110" s="148"/>
      <c r="AV110" s="104"/>
      <c r="AX110" s="148"/>
      <c r="BB110" s="104"/>
      <c r="BC110" s="104"/>
      <c r="BD110" s="119"/>
      <c r="BE110" s="148"/>
      <c r="BF110" s="168"/>
      <c r="BG110" s="168"/>
      <c r="BH110" s="168"/>
      <c r="BI110" s="190" t="s">
        <v>237</v>
      </c>
      <c r="BJ110" s="181" t="s">
        <v>252</v>
      </c>
      <c r="BK110" s="213">
        <v>0</v>
      </c>
      <c r="BL110" s="187" t="s">
        <v>405</v>
      </c>
      <c r="BM110" s="189">
        <v>2.98E-3</v>
      </c>
      <c r="BN110" s="189">
        <v>2.98E-3</v>
      </c>
      <c r="BO110" s="188" t="s">
        <v>241</v>
      </c>
      <c r="BP110" s="181">
        <v>2.63E-2</v>
      </c>
      <c r="BQ110" s="191">
        <f t="shared" si="71"/>
        <v>2.6299999999999999E-5</v>
      </c>
      <c r="BR110" s="187" t="s">
        <v>406</v>
      </c>
      <c r="BS110" s="189">
        <v>0.01</v>
      </c>
      <c r="BT110" s="189">
        <v>0.1</v>
      </c>
      <c r="BU110" s="187" t="s">
        <v>242</v>
      </c>
      <c r="BV110" s="181">
        <v>5.3E-3</v>
      </c>
      <c r="BW110" s="191">
        <f t="shared" si="72"/>
        <v>5.3000000000000001E-6</v>
      </c>
      <c r="BX110" s="187" t="s">
        <v>407</v>
      </c>
      <c r="BY110" s="189">
        <v>2E-3</v>
      </c>
      <c r="BZ110" s="189">
        <v>0.02</v>
      </c>
      <c r="CA110" s="187" t="s">
        <v>242</v>
      </c>
      <c r="CB110" s="181">
        <v>3.4200000000000001E-2</v>
      </c>
      <c r="CC110" s="191">
        <f t="shared" si="73"/>
        <v>3.4200000000000005E-5</v>
      </c>
      <c r="CD110" s="187" t="s">
        <v>406</v>
      </c>
      <c r="CE110" s="189">
        <v>1.6E-2</v>
      </c>
      <c r="CF110" s="189">
        <v>9.5000000000000001E-2</v>
      </c>
      <c r="CG110" s="187" t="s">
        <v>242</v>
      </c>
      <c r="CH110" s="181">
        <v>3.4200000000000001E-2</v>
      </c>
      <c r="CI110" s="191">
        <f t="shared" si="74"/>
        <v>3.4200000000000005E-5</v>
      </c>
      <c r="CJ110" s="187" t="s">
        <v>407</v>
      </c>
      <c r="CK110" s="189">
        <v>1.2999999999999999E-2</v>
      </c>
      <c r="CL110" s="189">
        <v>0.12</v>
      </c>
      <c r="CM110" s="187" t="s">
        <v>242</v>
      </c>
      <c r="CN110" s="116"/>
      <c r="CO110" s="100">
        <v>0.15</v>
      </c>
      <c r="CP110" s="100">
        <f t="shared" si="70"/>
        <v>0.17499999999999999</v>
      </c>
      <c r="CQ110" s="100">
        <v>0.2</v>
      </c>
      <c r="CR110" s="101">
        <v>0.6</v>
      </c>
      <c r="CS110" s="101">
        <v>1</v>
      </c>
    </row>
    <row r="111" spans="1:97" s="101" customFormat="1" ht="16.5" hidden="1" customHeight="1" thickBot="1" x14ac:dyDescent="0.3">
      <c r="A111" s="99"/>
      <c r="V111" s="103"/>
      <c r="AA111" s="104"/>
      <c r="AB111" s="104"/>
      <c r="AD111" s="148"/>
      <c r="AE111" s="105"/>
      <c r="AH111" s="106"/>
      <c r="AI111" s="106"/>
      <c r="AK111" s="148"/>
      <c r="AR111" s="148"/>
      <c r="AV111" s="104"/>
      <c r="AX111" s="148"/>
      <c r="BB111" s="104"/>
      <c r="BC111" s="104"/>
      <c r="BD111" s="119"/>
      <c r="BE111" s="148"/>
      <c r="BF111" s="168"/>
      <c r="BG111" s="168"/>
      <c r="BH111" s="168"/>
      <c r="BI111" s="190" t="s">
        <v>368</v>
      </c>
      <c r="BJ111" s="181" t="s">
        <v>252</v>
      </c>
      <c r="BK111" s="213">
        <v>0</v>
      </c>
      <c r="BL111" s="187" t="s">
        <v>405</v>
      </c>
      <c r="BM111" s="189">
        <v>3.4799999999999996E-3</v>
      </c>
      <c r="BN111" s="189">
        <v>3.4799999999999996E-3</v>
      </c>
      <c r="BO111" s="188" t="s">
        <v>241</v>
      </c>
      <c r="BP111" s="181">
        <v>1.46E-2</v>
      </c>
      <c r="BQ111" s="191">
        <f t="shared" si="71"/>
        <v>1.4600000000000001E-5</v>
      </c>
      <c r="BR111" s="187" t="s">
        <v>406</v>
      </c>
      <c r="BS111" s="189">
        <v>0.01</v>
      </c>
      <c r="BT111" s="189">
        <v>0.1</v>
      </c>
      <c r="BU111" s="187" t="s">
        <v>242</v>
      </c>
      <c r="BV111" s="181">
        <v>2.8999999999999998E-3</v>
      </c>
      <c r="BW111" s="191">
        <f t="shared" si="72"/>
        <v>2.8999999999999998E-6</v>
      </c>
      <c r="BX111" s="187" t="s">
        <v>407</v>
      </c>
      <c r="BY111" s="189">
        <v>2E-3</v>
      </c>
      <c r="BZ111" s="189">
        <v>0.02</v>
      </c>
      <c r="CA111" s="187" t="s">
        <v>242</v>
      </c>
      <c r="CB111" s="181">
        <v>8.77E-2</v>
      </c>
      <c r="CC111" s="191">
        <f t="shared" si="73"/>
        <v>8.7700000000000004E-5</v>
      </c>
      <c r="CD111" s="187" t="s">
        <v>406</v>
      </c>
      <c r="CE111" s="189">
        <v>0.13</v>
      </c>
      <c r="CF111" s="189">
        <v>0.84</v>
      </c>
      <c r="CG111" s="187" t="s">
        <v>242</v>
      </c>
      <c r="CH111" s="181">
        <v>0.19989999999999999</v>
      </c>
      <c r="CI111" s="191">
        <f t="shared" si="74"/>
        <v>1.9990000000000001E-4</v>
      </c>
      <c r="CJ111" s="187" t="s">
        <v>407</v>
      </c>
      <c r="CK111" s="189">
        <v>0.13</v>
      </c>
      <c r="CL111" s="189">
        <v>1.23</v>
      </c>
      <c r="CM111" s="187" t="s">
        <v>242</v>
      </c>
      <c r="CN111" s="116"/>
      <c r="CO111" s="100">
        <v>0.15</v>
      </c>
      <c r="CP111" s="100">
        <f t="shared" si="70"/>
        <v>0.17499999999999999</v>
      </c>
      <c r="CQ111" s="100">
        <v>0.2</v>
      </c>
      <c r="CR111" s="101">
        <v>0.6</v>
      </c>
      <c r="CS111" s="101">
        <v>1</v>
      </c>
    </row>
    <row r="112" spans="1:97" s="101" customFormat="1" ht="16.5" hidden="1" customHeight="1" thickBot="1" x14ac:dyDescent="0.3">
      <c r="A112" s="99"/>
      <c r="V112" s="103"/>
      <c r="AA112" s="104"/>
      <c r="AB112" s="104"/>
      <c r="AD112" s="148"/>
      <c r="AE112" s="105"/>
      <c r="AH112" s="106"/>
      <c r="AI112" s="106"/>
      <c r="AK112" s="148"/>
      <c r="AR112" s="148"/>
      <c r="AV112" s="104"/>
      <c r="AX112" s="148"/>
      <c r="BB112" s="104"/>
      <c r="BC112" s="104"/>
      <c r="BD112" s="119"/>
      <c r="BE112" s="148"/>
      <c r="BF112" s="168"/>
      <c r="BG112" s="168"/>
      <c r="BH112" s="168"/>
      <c r="BI112" s="190" t="s">
        <v>238</v>
      </c>
      <c r="BJ112" s="181" t="s">
        <v>252</v>
      </c>
      <c r="BK112" s="181">
        <v>10.178100000000001</v>
      </c>
      <c r="BL112" s="187" t="s">
        <v>405</v>
      </c>
      <c r="BM112" s="189">
        <v>2.0599999999999998E-3</v>
      </c>
      <c r="BN112" s="189">
        <v>2.0599999999999998E-3</v>
      </c>
      <c r="BO112" s="188" t="s">
        <v>241</v>
      </c>
      <c r="BP112" s="181">
        <v>2.7199999999999998E-2</v>
      </c>
      <c r="BQ112" s="191">
        <f t="shared" si="71"/>
        <v>2.7199999999999997E-5</v>
      </c>
      <c r="BR112" s="187" t="s">
        <v>406</v>
      </c>
      <c r="BS112" s="189">
        <v>0.01</v>
      </c>
      <c r="BT112" s="189">
        <v>0.1</v>
      </c>
      <c r="BU112" s="187" t="s">
        <v>242</v>
      </c>
      <c r="BV112" s="181">
        <v>5.4000000000000003E-3</v>
      </c>
      <c r="BW112" s="191">
        <f t="shared" si="72"/>
        <v>5.4E-6</v>
      </c>
      <c r="BX112" s="187" t="s">
        <v>407</v>
      </c>
      <c r="BY112" s="189">
        <v>2E-3</v>
      </c>
      <c r="BZ112" s="189">
        <v>0.02</v>
      </c>
      <c r="CA112" s="187" t="s">
        <v>242</v>
      </c>
      <c r="CB112" s="181">
        <v>0</v>
      </c>
      <c r="CC112" s="191">
        <f t="shared" si="73"/>
        <v>0</v>
      </c>
      <c r="CD112" s="187" t="s">
        <v>406</v>
      </c>
      <c r="CE112" s="189">
        <v>0</v>
      </c>
      <c r="CF112" s="189">
        <v>0</v>
      </c>
      <c r="CG112" s="187" t="s">
        <v>242</v>
      </c>
      <c r="CH112" s="181">
        <v>0</v>
      </c>
      <c r="CI112" s="191">
        <f t="shared" si="74"/>
        <v>0</v>
      </c>
      <c r="CJ112" s="187" t="s">
        <v>407</v>
      </c>
      <c r="CK112" s="189">
        <v>0</v>
      </c>
      <c r="CL112" s="189">
        <v>0</v>
      </c>
      <c r="CM112" s="187" t="s">
        <v>242</v>
      </c>
      <c r="CN112" s="116"/>
      <c r="CO112" s="100">
        <v>0.15</v>
      </c>
      <c r="CP112" s="100">
        <f t="shared" si="70"/>
        <v>0.17499999999999999</v>
      </c>
      <c r="CQ112" s="100">
        <v>0.2</v>
      </c>
      <c r="CR112" s="101">
        <v>0.15</v>
      </c>
      <c r="CS112" s="101">
        <v>0.2</v>
      </c>
    </row>
    <row r="113" spans="1:97" s="101" customFormat="1" ht="16.5" hidden="1" customHeight="1" thickBot="1" x14ac:dyDescent="0.3">
      <c r="A113" s="99"/>
      <c r="V113" s="103"/>
      <c r="AA113" s="104"/>
      <c r="AB113" s="104"/>
      <c r="AD113" s="148"/>
      <c r="AE113" s="105"/>
      <c r="AH113" s="106"/>
      <c r="AI113" s="106"/>
      <c r="AK113" s="148"/>
      <c r="AR113" s="148"/>
      <c r="AV113" s="104"/>
      <c r="AX113" s="148"/>
      <c r="BB113" s="104"/>
      <c r="BC113" s="104"/>
      <c r="BD113" s="119"/>
      <c r="BE113" s="148"/>
      <c r="BF113" s="168"/>
      <c r="BG113" s="168"/>
      <c r="BH113" s="168"/>
      <c r="BI113" s="190" t="s">
        <v>273</v>
      </c>
      <c r="BJ113" s="181" t="s">
        <v>252</v>
      </c>
      <c r="BK113" s="181">
        <v>8.8632000000000009</v>
      </c>
      <c r="BL113" s="187" t="s">
        <v>405</v>
      </c>
      <c r="BM113" s="189">
        <v>2.32E-3</v>
      </c>
      <c r="BN113" s="189">
        <v>2.32E-3</v>
      </c>
      <c r="BO113" s="188" t="s">
        <v>241</v>
      </c>
      <c r="BP113" s="181">
        <v>9.4999999999999998E-3</v>
      </c>
      <c r="BQ113" s="191">
        <f t="shared" si="71"/>
        <v>9.5000000000000005E-6</v>
      </c>
      <c r="BR113" s="187" t="s">
        <v>406</v>
      </c>
      <c r="BS113" s="189">
        <v>0.01</v>
      </c>
      <c r="BT113" s="189">
        <v>0.1</v>
      </c>
      <c r="BU113" s="187" t="s">
        <v>242</v>
      </c>
      <c r="BV113" s="181">
        <v>5.7000000000000002E-3</v>
      </c>
      <c r="BW113" s="191">
        <f t="shared" si="72"/>
        <v>5.7000000000000005E-6</v>
      </c>
      <c r="BX113" s="187" t="s">
        <v>407</v>
      </c>
      <c r="BY113" s="189">
        <v>2E-3</v>
      </c>
      <c r="BZ113" s="189">
        <v>0.02</v>
      </c>
      <c r="CA113" s="187" t="s">
        <v>242</v>
      </c>
      <c r="CB113" s="181">
        <v>3.6999999999999998E-2</v>
      </c>
      <c r="CC113" s="191">
        <f t="shared" si="73"/>
        <v>3.6999999999999998E-5</v>
      </c>
      <c r="CD113" s="187" t="s">
        <v>406</v>
      </c>
      <c r="CE113" s="189">
        <v>1.6E-2</v>
      </c>
      <c r="CF113" s="189">
        <v>9.5000000000000001E-2</v>
      </c>
      <c r="CG113" s="187" t="s">
        <v>242</v>
      </c>
      <c r="CH113" s="181">
        <v>3.6999999999999998E-2</v>
      </c>
      <c r="CI113" s="191">
        <f t="shared" si="74"/>
        <v>3.6999999999999998E-5</v>
      </c>
      <c r="CJ113" s="187" t="s">
        <v>407</v>
      </c>
      <c r="CK113" s="189">
        <v>1.2999999999999999E-2</v>
      </c>
      <c r="CL113" s="189">
        <v>0.12</v>
      </c>
      <c r="CM113" s="187" t="s">
        <v>242</v>
      </c>
      <c r="CN113" s="116"/>
      <c r="CO113" s="100">
        <v>0.15</v>
      </c>
      <c r="CP113" s="100">
        <f t="shared" si="70"/>
        <v>0.17499999999999999</v>
      </c>
      <c r="CQ113" s="100">
        <v>0.2</v>
      </c>
      <c r="CR113" s="101">
        <v>0.15</v>
      </c>
      <c r="CS113" s="101">
        <v>0.2</v>
      </c>
    </row>
    <row r="114" spans="1:97" s="101" customFormat="1" ht="16.5" hidden="1" customHeight="1" thickBot="1" x14ac:dyDescent="0.3">
      <c r="A114" s="99"/>
      <c r="V114" s="103"/>
      <c r="AA114" s="104"/>
      <c r="AB114" s="104"/>
      <c r="AD114" s="148"/>
      <c r="AE114" s="105"/>
      <c r="AH114" s="106"/>
      <c r="AI114" s="106"/>
      <c r="AK114" s="148"/>
      <c r="AR114" s="148"/>
      <c r="AV114" s="104"/>
      <c r="AX114" s="148"/>
      <c r="BB114" s="104"/>
      <c r="BC114" s="104"/>
      <c r="BD114" s="119"/>
      <c r="BE114" s="148"/>
      <c r="BF114" s="168"/>
      <c r="BG114" s="168"/>
      <c r="BH114" s="168"/>
      <c r="BI114" s="190" t="s">
        <v>272</v>
      </c>
      <c r="BJ114" s="181" t="s">
        <v>252</v>
      </c>
      <c r="BK114" s="181">
        <v>10.2765</v>
      </c>
      <c r="BL114" s="187" t="s">
        <v>405</v>
      </c>
      <c r="BM114" s="189">
        <v>2.0499999999999997E-3</v>
      </c>
      <c r="BN114" s="189">
        <v>2.0499999999999997E-3</v>
      </c>
      <c r="BO114" s="188" t="s">
        <v>241</v>
      </c>
      <c r="BP114" s="181">
        <v>9.5999999999999992E-3</v>
      </c>
      <c r="BQ114" s="191">
        <f>BP114/1000</f>
        <v>9.5999999999999996E-6</v>
      </c>
      <c r="BR114" s="187" t="s">
        <v>406</v>
      </c>
      <c r="BS114" s="189">
        <v>0.01</v>
      </c>
      <c r="BT114" s="189">
        <v>0.1</v>
      </c>
      <c r="BU114" s="187" t="s">
        <v>242</v>
      </c>
      <c r="BV114" s="181">
        <v>5.7999999999999996E-3</v>
      </c>
      <c r="BW114" s="191">
        <f>BV114/1000</f>
        <v>5.7999999999999995E-6</v>
      </c>
      <c r="BX114" s="187" t="s">
        <v>407</v>
      </c>
      <c r="BY114" s="189">
        <v>2E-3</v>
      </c>
      <c r="BZ114" s="189">
        <v>0.02</v>
      </c>
      <c r="CA114" s="187" t="s">
        <v>242</v>
      </c>
      <c r="CB114" s="181">
        <v>3.7400000000000003E-2</v>
      </c>
      <c r="CC114" s="191">
        <f>CB114/1000</f>
        <v>3.7400000000000001E-5</v>
      </c>
      <c r="CD114" s="187" t="s">
        <v>406</v>
      </c>
      <c r="CE114" s="189">
        <v>1.6E-2</v>
      </c>
      <c r="CF114" s="189">
        <v>9.5000000000000001E-2</v>
      </c>
      <c r="CG114" s="187" t="s">
        <v>242</v>
      </c>
      <c r="CH114" s="181">
        <v>3.7400000000000003E-2</v>
      </c>
      <c r="CI114" s="191">
        <f>CH114/1000</f>
        <v>3.7400000000000001E-5</v>
      </c>
      <c r="CJ114" s="187" t="s">
        <v>407</v>
      </c>
      <c r="CK114" s="189">
        <v>1.2999999999999999E-2</v>
      </c>
      <c r="CL114" s="189">
        <v>0.12</v>
      </c>
      <c r="CM114" s="187" t="s">
        <v>242</v>
      </c>
      <c r="CN114" s="116"/>
      <c r="CO114" s="100">
        <v>0.15</v>
      </c>
      <c r="CP114" s="100">
        <f t="shared" si="70"/>
        <v>0.17499999999999999</v>
      </c>
      <c r="CQ114" s="100">
        <v>0.2</v>
      </c>
      <c r="CR114" s="101">
        <v>0.15</v>
      </c>
      <c r="CS114" s="101">
        <v>0.2</v>
      </c>
    </row>
    <row r="115" spans="1:97" s="101" customFormat="1" ht="16.5" hidden="1" customHeight="1" thickBot="1" x14ac:dyDescent="0.3">
      <c r="A115" s="99"/>
      <c r="V115" s="103"/>
      <c r="AA115" s="104"/>
      <c r="AB115" s="104"/>
      <c r="AD115" s="148"/>
      <c r="AE115" s="105"/>
      <c r="AH115" s="106"/>
      <c r="AI115" s="106"/>
      <c r="AK115" s="148"/>
      <c r="AR115" s="148"/>
      <c r="AV115" s="104"/>
      <c r="AX115" s="148"/>
      <c r="BB115" s="104"/>
      <c r="BC115" s="104"/>
      <c r="BD115" s="119"/>
      <c r="BE115" s="148"/>
      <c r="BF115" s="168"/>
      <c r="BG115" s="168"/>
      <c r="BH115" s="168"/>
      <c r="BI115" s="190" t="s">
        <v>239</v>
      </c>
      <c r="BJ115" s="181" t="s">
        <v>252</v>
      </c>
      <c r="BK115" s="181">
        <v>7.6181000000000001</v>
      </c>
      <c r="BL115" s="187" t="s">
        <v>405</v>
      </c>
      <c r="BM115" s="189">
        <v>2.3400000000000001E-3</v>
      </c>
      <c r="BN115" s="189">
        <v>2.3400000000000001E-3</v>
      </c>
      <c r="BO115" s="188" t="s">
        <v>241</v>
      </c>
      <c r="BP115" s="181">
        <v>2.3900000000000001E-2</v>
      </c>
      <c r="BQ115" s="191">
        <f t="shared" si="71"/>
        <v>2.3900000000000002E-5</v>
      </c>
      <c r="BR115" s="187" t="s">
        <v>406</v>
      </c>
      <c r="BS115" s="189">
        <v>0.01</v>
      </c>
      <c r="BT115" s="189">
        <v>0.1</v>
      </c>
      <c r="BU115" s="187" t="s">
        <v>242</v>
      </c>
      <c r="BV115" s="181">
        <v>4.7999999999999996E-3</v>
      </c>
      <c r="BW115" s="191">
        <f t="shared" si="72"/>
        <v>4.7999999999999998E-6</v>
      </c>
      <c r="BX115" s="187" t="s">
        <v>407</v>
      </c>
      <c r="BY115" s="189">
        <v>2E-3</v>
      </c>
      <c r="BZ115" s="189">
        <v>0.02</v>
      </c>
      <c r="CA115" s="187" t="s">
        <v>242</v>
      </c>
      <c r="CB115" s="181">
        <v>0.26269999999999999</v>
      </c>
      <c r="CC115" s="191">
        <f t="shared" si="73"/>
        <v>2.6269999999999999E-4</v>
      </c>
      <c r="CD115" s="187" t="s">
        <v>406</v>
      </c>
      <c r="CE115" s="189">
        <v>9.6000000000000002E-2</v>
      </c>
      <c r="CF115" s="189">
        <v>1.1000000000000001</v>
      </c>
      <c r="CG115" s="187" t="s">
        <v>242</v>
      </c>
      <c r="CH115" s="181">
        <v>2.5499999999999998E-2</v>
      </c>
      <c r="CI115" s="191">
        <f t="shared" si="74"/>
        <v>2.55E-5</v>
      </c>
      <c r="CJ115" s="187" t="s">
        <v>407</v>
      </c>
      <c r="CK115" s="189">
        <v>9.5999999999999992E-3</v>
      </c>
      <c r="CL115" s="189">
        <v>0.11</v>
      </c>
      <c r="CM115" s="187" t="s">
        <v>242</v>
      </c>
      <c r="CN115" s="116"/>
      <c r="CO115" s="100">
        <v>0.15</v>
      </c>
      <c r="CP115" s="100">
        <f t="shared" si="70"/>
        <v>0.17499999999999999</v>
      </c>
      <c r="CQ115" s="100">
        <v>0.2</v>
      </c>
      <c r="CR115" s="101">
        <v>0.15</v>
      </c>
      <c r="CS115" s="101">
        <v>0.2</v>
      </c>
    </row>
    <row r="116" spans="1:97" s="101" customFormat="1" ht="15" hidden="1" customHeight="1" x14ac:dyDescent="0.25">
      <c r="A116" s="99"/>
      <c r="V116" s="103"/>
      <c r="AA116" s="104"/>
      <c r="AB116" s="104"/>
      <c r="AD116" s="104"/>
      <c r="AE116" s="105"/>
      <c r="AH116" s="106"/>
      <c r="AI116" s="106"/>
      <c r="AK116" s="104"/>
      <c r="AR116" s="104"/>
      <c r="AV116" s="104"/>
      <c r="AX116" s="104"/>
      <c r="BB116" s="104"/>
      <c r="BC116" s="104"/>
      <c r="BE116" s="104"/>
      <c r="BF116" s="168"/>
      <c r="BG116" s="168"/>
      <c r="BH116" s="168"/>
      <c r="BI116" s="102"/>
      <c r="BJ116" s="178"/>
      <c r="BK116" s="178"/>
      <c r="BL116" s="178"/>
      <c r="BM116" s="169"/>
      <c r="BN116" s="169"/>
      <c r="BO116" s="169"/>
      <c r="BP116" s="192"/>
      <c r="BQ116" s="192"/>
      <c r="BR116" s="192"/>
      <c r="BS116" s="192"/>
      <c r="BT116" s="192"/>
      <c r="BU116" s="192"/>
      <c r="BV116" s="178"/>
      <c r="BW116" s="192"/>
      <c r="BX116" s="192"/>
      <c r="BY116" s="178"/>
      <c r="BZ116" s="178"/>
      <c r="CA116" s="178"/>
      <c r="CB116" s="180"/>
      <c r="CC116" s="192"/>
      <c r="CD116" s="192"/>
      <c r="CE116" s="180"/>
      <c r="CF116" s="180"/>
      <c r="CG116" s="180"/>
      <c r="CH116" s="180"/>
      <c r="CI116" s="192"/>
      <c r="CJ116" s="192"/>
      <c r="CK116" s="180"/>
      <c r="CL116" s="180"/>
      <c r="CM116" s="180"/>
      <c r="CN116" s="116"/>
      <c r="CO116" s="100">
        <v>0.15</v>
      </c>
      <c r="CP116" s="100">
        <f t="shared" si="70"/>
        <v>0.17499999999999999</v>
      </c>
      <c r="CQ116" s="100">
        <v>0.2</v>
      </c>
    </row>
    <row r="117" spans="1:97" s="101" customFormat="1" ht="15" hidden="1" customHeight="1" thickBot="1" x14ac:dyDescent="0.3">
      <c r="A117" s="99"/>
      <c r="V117" s="103"/>
      <c r="AA117" s="104"/>
      <c r="AB117" s="104"/>
      <c r="AD117" s="104"/>
      <c r="AE117" s="105"/>
      <c r="AH117" s="106"/>
      <c r="AI117" s="106"/>
      <c r="AK117" s="104"/>
      <c r="AR117" s="104"/>
      <c r="AV117" s="104"/>
      <c r="AX117" s="104"/>
      <c r="BB117" s="104"/>
      <c r="BC117" s="104"/>
      <c r="BE117" s="104"/>
      <c r="BF117" s="168"/>
      <c r="BG117" s="168"/>
      <c r="BH117" s="168"/>
      <c r="BI117" s="102"/>
      <c r="BJ117" s="178"/>
      <c r="BK117" s="178"/>
      <c r="BL117" s="178"/>
      <c r="BM117" s="169"/>
      <c r="BN117" s="169"/>
      <c r="BO117" s="169"/>
      <c r="BP117" s="192"/>
      <c r="BQ117" s="192"/>
      <c r="BR117" s="192"/>
      <c r="BS117" s="192"/>
      <c r="BT117" s="192"/>
      <c r="BU117" s="192"/>
      <c r="BV117" s="178"/>
      <c r="BW117" s="192"/>
      <c r="BX117" s="192"/>
      <c r="BY117" s="178"/>
      <c r="BZ117" s="178"/>
      <c r="CA117" s="178"/>
      <c r="CB117" s="180"/>
      <c r="CC117" s="192"/>
      <c r="CD117" s="192"/>
      <c r="CE117" s="180"/>
      <c r="CF117" s="180"/>
      <c r="CG117" s="180"/>
      <c r="CH117" s="180"/>
      <c r="CI117" s="192"/>
      <c r="CJ117" s="192"/>
      <c r="CK117" s="180"/>
      <c r="CL117" s="180"/>
      <c r="CM117" s="180"/>
      <c r="CN117" s="116"/>
      <c r="CO117" s="100">
        <v>0.15</v>
      </c>
      <c r="CP117" s="100">
        <f t="shared" si="70"/>
        <v>0.17499999999999999</v>
      </c>
      <c r="CQ117" s="100">
        <v>0.2</v>
      </c>
    </row>
    <row r="118" spans="1:97" s="101" customFormat="1" ht="26.25" hidden="1" customHeight="1" thickBot="1" x14ac:dyDescent="0.3">
      <c r="A118" s="99"/>
      <c r="V118" s="103"/>
      <c r="AA118" s="104"/>
      <c r="AB118" s="104"/>
      <c r="AD118" s="104"/>
      <c r="AE118" s="105"/>
      <c r="AH118" s="106"/>
      <c r="AI118" s="106"/>
      <c r="AK118" s="104"/>
      <c r="AR118" s="104"/>
      <c r="AV118" s="104"/>
      <c r="AX118" s="104"/>
      <c r="BB118" s="104"/>
      <c r="BC118" s="104"/>
      <c r="BE118" s="104"/>
      <c r="BF118" s="168"/>
      <c r="BG118" s="168"/>
      <c r="BH118" s="168"/>
      <c r="BI118" s="1606" t="s">
        <v>232</v>
      </c>
      <c r="BJ118" s="251"/>
      <c r="BK118" s="1606" t="s">
        <v>267</v>
      </c>
      <c r="BL118" s="251"/>
      <c r="BM118" s="1606" t="s">
        <v>233</v>
      </c>
      <c r="BN118" s="1606" t="s">
        <v>233</v>
      </c>
      <c r="BO118" s="1606" t="s">
        <v>240</v>
      </c>
      <c r="BP118" s="1608" t="s">
        <v>172</v>
      </c>
      <c r="BQ118" s="1609"/>
      <c r="BR118" s="1609"/>
      <c r="BS118" s="1609"/>
      <c r="BT118" s="1609"/>
      <c r="BU118" s="1609"/>
      <c r="BV118" s="1609"/>
      <c r="BW118" s="1609"/>
      <c r="BX118" s="1609"/>
      <c r="BY118" s="1609"/>
      <c r="BZ118" s="1609"/>
      <c r="CA118" s="1610"/>
      <c r="CB118" s="1608" t="s">
        <v>173</v>
      </c>
      <c r="CC118" s="1609"/>
      <c r="CD118" s="1609"/>
      <c r="CE118" s="1609"/>
      <c r="CF118" s="1609"/>
      <c r="CG118" s="1609"/>
      <c r="CH118" s="1609"/>
      <c r="CI118" s="1609"/>
      <c r="CJ118" s="1609"/>
      <c r="CK118" s="1609"/>
      <c r="CL118" s="1609"/>
      <c r="CM118" s="1610"/>
      <c r="CN118" s="116"/>
      <c r="CO118" s="100">
        <v>0.15</v>
      </c>
      <c r="CP118" s="100">
        <f t="shared" si="70"/>
        <v>0.17499999999999999</v>
      </c>
      <c r="CQ118" s="100">
        <v>0.2</v>
      </c>
    </row>
    <row r="119" spans="1:97" s="101" customFormat="1" ht="59.25" hidden="1" customHeight="1" thickBot="1" x14ac:dyDescent="0.3">
      <c r="A119" s="99"/>
      <c r="V119" s="103"/>
      <c r="AA119" s="104"/>
      <c r="AB119" s="104"/>
      <c r="AD119" s="104"/>
      <c r="AE119" s="105"/>
      <c r="AH119" s="106"/>
      <c r="AI119" s="106"/>
      <c r="AK119" s="104"/>
      <c r="AR119" s="104"/>
      <c r="AV119" s="104"/>
      <c r="AX119" s="104"/>
      <c r="BB119" s="104"/>
      <c r="BC119" s="104"/>
      <c r="BE119" s="104"/>
      <c r="BF119" s="168"/>
      <c r="BG119" s="168"/>
      <c r="BH119" s="168"/>
      <c r="BI119" s="1607"/>
      <c r="BJ119" s="252" t="s">
        <v>253</v>
      </c>
      <c r="BK119" s="1607"/>
      <c r="BL119" s="252" t="s">
        <v>251</v>
      </c>
      <c r="BM119" s="1607"/>
      <c r="BN119" s="1607"/>
      <c r="BO119" s="1607"/>
      <c r="BP119" s="185" t="s">
        <v>268</v>
      </c>
      <c r="BQ119" s="185" t="s">
        <v>269</v>
      </c>
      <c r="BR119" s="252" t="s">
        <v>251</v>
      </c>
      <c r="BS119" s="185" t="s">
        <v>233</v>
      </c>
      <c r="BT119" s="185" t="s">
        <v>233</v>
      </c>
      <c r="BU119" s="185" t="s">
        <v>240</v>
      </c>
      <c r="BV119" s="185" t="s">
        <v>270</v>
      </c>
      <c r="BW119" s="185" t="s">
        <v>271</v>
      </c>
      <c r="BX119" s="252" t="s">
        <v>251</v>
      </c>
      <c r="BY119" s="185" t="s">
        <v>233</v>
      </c>
      <c r="BZ119" s="185" t="s">
        <v>233</v>
      </c>
      <c r="CA119" s="185" t="s">
        <v>240</v>
      </c>
      <c r="CB119" s="185" t="s">
        <v>268</v>
      </c>
      <c r="CC119" s="185" t="s">
        <v>269</v>
      </c>
      <c r="CD119" s="252" t="s">
        <v>251</v>
      </c>
      <c r="CE119" s="185" t="s">
        <v>233</v>
      </c>
      <c r="CF119" s="185" t="s">
        <v>233</v>
      </c>
      <c r="CG119" s="185" t="s">
        <v>240</v>
      </c>
      <c r="CH119" s="185" t="s">
        <v>270</v>
      </c>
      <c r="CI119" s="185" t="s">
        <v>271</v>
      </c>
      <c r="CJ119" s="252" t="s">
        <v>251</v>
      </c>
      <c r="CK119" s="185" t="s">
        <v>233</v>
      </c>
      <c r="CL119" s="185" t="s">
        <v>233</v>
      </c>
      <c r="CM119" s="185" t="s">
        <v>240</v>
      </c>
      <c r="CN119" s="116"/>
      <c r="CO119" s="100"/>
      <c r="CP119" s="100"/>
      <c r="CQ119" s="100"/>
    </row>
    <row r="120" spans="1:97" s="101" customFormat="1" ht="17.25" hidden="1" customHeight="1" thickBot="1" x14ac:dyDescent="0.3">
      <c r="A120" s="99"/>
      <c r="V120" s="103"/>
      <c r="AA120" s="104"/>
      <c r="AB120" s="104"/>
      <c r="AD120" s="104"/>
      <c r="AE120" s="105"/>
      <c r="AH120" s="106"/>
      <c r="AI120" s="106"/>
      <c r="AK120" s="104"/>
      <c r="AR120" s="104"/>
      <c r="AV120" s="104"/>
      <c r="AX120" s="104"/>
      <c r="BB120" s="104"/>
      <c r="BC120" s="104"/>
      <c r="BE120" s="104"/>
      <c r="BF120" s="168"/>
      <c r="BG120" s="168"/>
      <c r="BH120" s="168"/>
      <c r="BI120" s="186" t="s">
        <v>274</v>
      </c>
      <c r="BJ120" s="187" t="s">
        <v>408</v>
      </c>
      <c r="BK120" s="214">
        <v>0</v>
      </c>
      <c r="BL120" s="187" t="s">
        <v>409</v>
      </c>
      <c r="BM120" s="189">
        <v>8.8870000000000005E-2</v>
      </c>
      <c r="BN120" s="189">
        <v>8.8870000000000005E-2</v>
      </c>
      <c r="BO120" s="188" t="s">
        <v>241</v>
      </c>
      <c r="BP120" s="195">
        <v>2.1999999999999999E-2</v>
      </c>
      <c r="BQ120" s="195">
        <f>BP120/1000</f>
        <v>2.1999999999999999E-5</v>
      </c>
      <c r="BR120" s="187" t="s">
        <v>410</v>
      </c>
      <c r="BS120" s="189">
        <v>3.0000000000000001E-3</v>
      </c>
      <c r="BT120" s="189">
        <v>0.03</v>
      </c>
      <c r="BU120" s="187" t="s">
        <v>242</v>
      </c>
      <c r="BV120" s="195">
        <v>2.2000000000000001E-3</v>
      </c>
      <c r="BW120" s="195">
        <f>BV120/1000</f>
        <v>2.2000000000000001E-6</v>
      </c>
      <c r="BX120" s="187" t="s">
        <v>515</v>
      </c>
      <c r="BY120" s="189">
        <v>2.9999999999999997E-4</v>
      </c>
      <c r="BZ120" s="189">
        <v>0.03</v>
      </c>
      <c r="CA120" s="187" t="s">
        <v>242</v>
      </c>
      <c r="CB120" s="181">
        <v>0</v>
      </c>
      <c r="CC120" s="195">
        <f>CB120/1000</f>
        <v>0</v>
      </c>
      <c r="CD120" s="187" t="s">
        <v>410</v>
      </c>
      <c r="CE120" s="189">
        <v>0</v>
      </c>
      <c r="CF120" s="189">
        <v>0</v>
      </c>
      <c r="CG120" s="187" t="s">
        <v>242</v>
      </c>
      <c r="CH120" s="181">
        <v>0</v>
      </c>
      <c r="CI120" s="195">
        <f>CH120/1000</f>
        <v>0</v>
      </c>
      <c r="CJ120" s="187" t="s">
        <v>515</v>
      </c>
      <c r="CK120" s="189">
        <v>0</v>
      </c>
      <c r="CL120" s="189">
        <v>0</v>
      </c>
      <c r="CM120" s="187" t="s">
        <v>242</v>
      </c>
      <c r="CN120" s="116"/>
      <c r="CO120" s="100"/>
      <c r="CP120" s="100"/>
      <c r="CQ120" s="100"/>
      <c r="CR120" s="101">
        <v>0.6</v>
      </c>
      <c r="CS120" s="101">
        <v>1</v>
      </c>
    </row>
    <row r="121" spans="1:97" s="101" customFormat="1" ht="17.25" hidden="1" customHeight="1" thickBot="1" x14ac:dyDescent="0.3">
      <c r="A121" s="99"/>
      <c r="V121" s="103"/>
      <c r="AA121" s="104"/>
      <c r="AB121" s="104"/>
      <c r="AD121" s="104"/>
      <c r="AE121" s="105"/>
      <c r="AH121" s="106"/>
      <c r="AI121" s="106"/>
      <c r="AK121" s="104"/>
      <c r="AR121" s="104"/>
      <c r="AV121" s="104"/>
      <c r="AX121" s="104"/>
      <c r="BB121" s="104"/>
      <c r="BC121" s="104"/>
      <c r="BE121" s="104"/>
      <c r="BF121" s="168"/>
      <c r="BG121" s="168"/>
      <c r="BH121" s="168"/>
      <c r="BI121" s="190" t="s">
        <v>243</v>
      </c>
      <c r="BJ121" s="187" t="s">
        <v>408</v>
      </c>
      <c r="BK121" s="196">
        <v>0.6129</v>
      </c>
      <c r="BL121" s="187" t="s">
        <v>409</v>
      </c>
      <c r="BM121" s="189">
        <v>0.18914999999999998</v>
      </c>
      <c r="BN121" s="189">
        <v>0.18914999999999998</v>
      </c>
      <c r="BO121" s="188" t="s">
        <v>241</v>
      </c>
      <c r="BP121" s="195">
        <v>1.4999999999999999E-2</v>
      </c>
      <c r="BQ121" s="195">
        <f t="shared" ref="BQ121:BQ137" si="75">BP121/1000</f>
        <v>1.4999999999999999E-5</v>
      </c>
      <c r="BR121" s="187" t="s">
        <v>410</v>
      </c>
      <c r="BS121" s="189">
        <v>3.0000000000000001E-3</v>
      </c>
      <c r="BT121" s="189">
        <v>0.03</v>
      </c>
      <c r="BU121" s="187" t="s">
        <v>242</v>
      </c>
      <c r="BV121" s="195">
        <v>1.5E-3</v>
      </c>
      <c r="BW121" s="195">
        <f t="shared" ref="BW121:BW137" si="76">BV121/1000</f>
        <v>1.5E-6</v>
      </c>
      <c r="BX121" s="187" t="s">
        <v>515</v>
      </c>
      <c r="BY121" s="189">
        <v>2.9999999999999997E-4</v>
      </c>
      <c r="BZ121" s="189">
        <v>0.03</v>
      </c>
      <c r="CA121" s="187" t="s">
        <v>242</v>
      </c>
      <c r="CB121" s="181">
        <v>0</v>
      </c>
      <c r="CC121" s="195">
        <f t="shared" ref="CC121:CC137" si="77">CB121/1000</f>
        <v>0</v>
      </c>
      <c r="CD121" s="187" t="s">
        <v>410</v>
      </c>
      <c r="CE121" s="189">
        <v>0</v>
      </c>
      <c r="CF121" s="189">
        <v>0</v>
      </c>
      <c r="CG121" s="187" t="s">
        <v>242</v>
      </c>
      <c r="CH121" s="181">
        <v>0</v>
      </c>
      <c r="CI121" s="195">
        <f t="shared" ref="CI121:CI137" si="78">CH121/1000</f>
        <v>0</v>
      </c>
      <c r="CJ121" s="187" t="s">
        <v>515</v>
      </c>
      <c r="CK121" s="189">
        <v>0</v>
      </c>
      <c r="CL121" s="189">
        <v>0</v>
      </c>
      <c r="CM121" s="187" t="s">
        <v>242</v>
      </c>
      <c r="CN121" s="116"/>
      <c r="CO121" s="100"/>
      <c r="CP121" s="100"/>
      <c r="CQ121" s="100"/>
      <c r="CR121" s="101">
        <v>0.15</v>
      </c>
      <c r="CS121" s="101">
        <v>0.2</v>
      </c>
    </row>
    <row r="122" spans="1:97" s="101" customFormat="1" ht="17.25" hidden="1" customHeight="1" thickBot="1" x14ac:dyDescent="0.3">
      <c r="A122" s="99"/>
      <c r="V122" s="103"/>
      <c r="AA122" s="104"/>
      <c r="AB122" s="104"/>
      <c r="AD122" s="104"/>
      <c r="AE122" s="105"/>
      <c r="AH122" s="106"/>
      <c r="AI122" s="106"/>
      <c r="AK122" s="104"/>
      <c r="AR122" s="104"/>
      <c r="AV122" s="104"/>
      <c r="AX122" s="104"/>
      <c r="BB122" s="104"/>
      <c r="BC122" s="104"/>
      <c r="BE122" s="104"/>
      <c r="BF122" s="168"/>
      <c r="BG122" s="168"/>
      <c r="BH122" s="168"/>
      <c r="BI122" s="190" t="s">
        <v>427</v>
      </c>
      <c r="BJ122" s="187" t="s">
        <v>408</v>
      </c>
      <c r="BK122" s="196">
        <v>1.9805999999999999</v>
      </c>
      <c r="BL122" s="187" t="s">
        <v>409</v>
      </c>
      <c r="BM122" s="189">
        <v>6.5890000000000004E-2</v>
      </c>
      <c r="BN122" s="189">
        <v>6.5890000000000004E-2</v>
      </c>
      <c r="BO122" s="188" t="s">
        <v>241</v>
      </c>
      <c r="BP122" s="195">
        <v>3.5700000000000003E-2</v>
      </c>
      <c r="BQ122" s="195">
        <f>BP122/1000</f>
        <v>3.57E-5</v>
      </c>
      <c r="BR122" s="187" t="s">
        <v>410</v>
      </c>
      <c r="BS122" s="189">
        <v>3.0000000000000001E-3</v>
      </c>
      <c r="BT122" s="189">
        <v>0.03</v>
      </c>
      <c r="BU122" s="187" t="s">
        <v>242</v>
      </c>
      <c r="BV122" s="195">
        <v>3.5999999999999999E-3</v>
      </c>
      <c r="BW122" s="195">
        <f>BV122/1000</f>
        <v>3.5999999999999998E-6</v>
      </c>
      <c r="BX122" s="187" t="s">
        <v>515</v>
      </c>
      <c r="BY122" s="189">
        <v>2.9999999999999997E-4</v>
      </c>
      <c r="BZ122" s="189">
        <v>0.03</v>
      </c>
      <c r="CA122" s="187" t="s">
        <v>242</v>
      </c>
      <c r="CB122" s="181">
        <v>3.28</v>
      </c>
      <c r="CC122" s="195">
        <f>CB122/1000</f>
        <v>3.2799999999999999E-3</v>
      </c>
      <c r="CD122" s="187" t="s">
        <v>410</v>
      </c>
      <c r="CE122" s="189">
        <v>0.5</v>
      </c>
      <c r="CF122" s="189">
        <v>15.4</v>
      </c>
      <c r="CG122" s="187" t="s">
        <v>242</v>
      </c>
      <c r="CH122" s="181">
        <v>0.107</v>
      </c>
      <c r="CI122" s="195">
        <f>CH122/1000</f>
        <v>1.07E-4</v>
      </c>
      <c r="CJ122" s="187" t="s">
        <v>515</v>
      </c>
      <c r="CK122" s="189">
        <v>0.01</v>
      </c>
      <c r="CL122" s="189">
        <v>0.77</v>
      </c>
      <c r="CM122" s="187" t="s">
        <v>242</v>
      </c>
      <c r="CN122" s="116"/>
      <c r="CO122" s="100">
        <v>0.01</v>
      </c>
      <c r="CP122" s="100">
        <f t="shared" ref="CP122:CP143" si="79">(CO122+CQ122)/2</f>
        <v>0.255</v>
      </c>
      <c r="CQ122" s="100">
        <v>0.5</v>
      </c>
      <c r="CR122" s="101">
        <v>0.15</v>
      </c>
      <c r="CS122" s="101">
        <v>0.2</v>
      </c>
    </row>
    <row r="123" spans="1:97" s="101" customFormat="1" ht="17.25" hidden="1" customHeight="1" thickBot="1" x14ac:dyDescent="0.3">
      <c r="A123" s="99"/>
      <c r="V123" s="103"/>
      <c r="AA123" s="104"/>
      <c r="AB123" s="104"/>
      <c r="AD123" s="104"/>
      <c r="AE123" s="105"/>
      <c r="AH123" s="106"/>
      <c r="AI123" s="106"/>
      <c r="AK123" s="104"/>
      <c r="AR123" s="104"/>
      <c r="AV123" s="104"/>
      <c r="AX123" s="104"/>
      <c r="BB123" s="104"/>
      <c r="BC123" s="104"/>
      <c r="BE123" s="104"/>
      <c r="BF123" s="168"/>
      <c r="BG123" s="168"/>
      <c r="BH123" s="168"/>
      <c r="BI123" s="190" t="s">
        <v>4</v>
      </c>
      <c r="BJ123" s="187" t="s">
        <v>408</v>
      </c>
      <c r="BK123" s="196">
        <v>2.1913</v>
      </c>
      <c r="BL123" s="187" t="s">
        <v>409</v>
      </c>
      <c r="BM123" s="189">
        <v>1.15E-3</v>
      </c>
      <c r="BN123" s="189">
        <v>1.15E-3</v>
      </c>
      <c r="BO123" s="188" t="s">
        <v>241</v>
      </c>
      <c r="BP123" s="195">
        <v>3.8699999999999998E-2</v>
      </c>
      <c r="BQ123" s="195">
        <f t="shared" si="75"/>
        <v>3.8699999999999999E-5</v>
      </c>
      <c r="BR123" s="187" t="s">
        <v>410</v>
      </c>
      <c r="BS123" s="189">
        <v>3.0000000000000001E-3</v>
      </c>
      <c r="BT123" s="189">
        <v>0.03</v>
      </c>
      <c r="BU123" s="187" t="s">
        <v>242</v>
      </c>
      <c r="BV123" s="195">
        <v>3.8999999999999998E-3</v>
      </c>
      <c r="BW123" s="195">
        <f t="shared" si="76"/>
        <v>3.8999999999999999E-6</v>
      </c>
      <c r="BX123" s="187" t="s">
        <v>515</v>
      </c>
      <c r="BY123" s="189">
        <v>2.9999999999999997E-4</v>
      </c>
      <c r="BZ123" s="189">
        <v>0.03</v>
      </c>
      <c r="CA123" s="187" t="s">
        <v>242</v>
      </c>
      <c r="CB123" s="181">
        <v>3.5579999999999998</v>
      </c>
      <c r="CC123" s="195">
        <f t="shared" si="77"/>
        <v>3.558E-3</v>
      </c>
      <c r="CD123" s="187" t="s">
        <v>410</v>
      </c>
      <c r="CE123" s="189">
        <v>0.5</v>
      </c>
      <c r="CF123" s="189">
        <v>15.4</v>
      </c>
      <c r="CG123" s="187" t="s">
        <v>242</v>
      </c>
      <c r="CH123" s="181">
        <v>0.11600000000000001</v>
      </c>
      <c r="CI123" s="195">
        <f t="shared" si="78"/>
        <v>1.16E-4</v>
      </c>
      <c r="CJ123" s="187" t="s">
        <v>515</v>
      </c>
      <c r="CK123" s="189">
        <v>0.01</v>
      </c>
      <c r="CL123" s="189">
        <v>0.77</v>
      </c>
      <c r="CM123" s="187" t="s">
        <v>242</v>
      </c>
      <c r="CN123" s="116"/>
      <c r="CO123" s="100">
        <v>0.01</v>
      </c>
      <c r="CP123" s="100">
        <f t="shared" si="79"/>
        <v>0.255</v>
      </c>
      <c r="CQ123" s="100">
        <v>0.5</v>
      </c>
      <c r="CR123" s="101">
        <v>0.15</v>
      </c>
      <c r="CS123" s="101">
        <v>0.2</v>
      </c>
    </row>
    <row r="124" spans="1:97" s="101" customFormat="1" ht="17.25" hidden="1" customHeight="1" thickBot="1" x14ac:dyDescent="0.3">
      <c r="A124" s="99"/>
      <c r="V124" s="103"/>
      <c r="AA124" s="104"/>
      <c r="AB124" s="104"/>
      <c r="AD124" s="104"/>
      <c r="AE124" s="105"/>
      <c r="AH124" s="106"/>
      <c r="AI124" s="106"/>
      <c r="AK124" s="104"/>
      <c r="AR124" s="104"/>
      <c r="AV124" s="104"/>
      <c r="AX124" s="104"/>
      <c r="BB124" s="104"/>
      <c r="BC124" s="104"/>
      <c r="BE124" s="104"/>
      <c r="BF124" s="168"/>
      <c r="BG124" s="168"/>
      <c r="BH124" s="168"/>
      <c r="BI124" s="190" t="s">
        <v>5</v>
      </c>
      <c r="BJ124" s="187" t="s">
        <v>408</v>
      </c>
      <c r="BK124" s="196">
        <v>1.8396999999999999</v>
      </c>
      <c r="BL124" s="187" t="s">
        <v>409</v>
      </c>
      <c r="BM124" s="189">
        <v>1.16E-3</v>
      </c>
      <c r="BN124" s="189">
        <v>1.16E-3</v>
      </c>
      <c r="BO124" s="188" t="s">
        <v>241</v>
      </c>
      <c r="BP124" s="195">
        <v>3.3500000000000002E-2</v>
      </c>
      <c r="BQ124" s="195">
        <f t="shared" si="75"/>
        <v>3.3500000000000001E-5</v>
      </c>
      <c r="BR124" s="187" t="s">
        <v>410</v>
      </c>
      <c r="BS124" s="189">
        <v>3.0000000000000001E-3</v>
      </c>
      <c r="BT124" s="189">
        <v>0.03</v>
      </c>
      <c r="BU124" s="187" t="s">
        <v>242</v>
      </c>
      <c r="BV124" s="195">
        <v>3.3E-3</v>
      </c>
      <c r="BW124" s="195">
        <f t="shared" si="76"/>
        <v>3.3000000000000002E-6</v>
      </c>
      <c r="BX124" s="187" t="s">
        <v>515</v>
      </c>
      <c r="BY124" s="189">
        <v>2.9999999999999997E-4</v>
      </c>
      <c r="BZ124" s="189">
        <v>0.03</v>
      </c>
      <c r="CA124" s="187" t="s">
        <v>242</v>
      </c>
      <c r="CB124" s="181">
        <v>3.0815000000000001</v>
      </c>
      <c r="CC124" s="195">
        <f t="shared" si="77"/>
        <v>3.0815E-3</v>
      </c>
      <c r="CD124" s="187" t="s">
        <v>410</v>
      </c>
      <c r="CE124" s="189">
        <v>0.5</v>
      </c>
      <c r="CF124" s="189">
        <v>15.4</v>
      </c>
      <c r="CG124" s="187" t="s">
        <v>242</v>
      </c>
      <c r="CH124" s="181">
        <v>0.10050000000000001</v>
      </c>
      <c r="CI124" s="195">
        <f t="shared" si="78"/>
        <v>1.005E-4</v>
      </c>
      <c r="CJ124" s="187" t="s">
        <v>515</v>
      </c>
      <c r="CK124" s="189">
        <v>0.01</v>
      </c>
      <c r="CL124" s="189">
        <v>0.77</v>
      </c>
      <c r="CM124" s="187" t="s">
        <v>242</v>
      </c>
      <c r="CN124" s="116"/>
      <c r="CO124" s="100">
        <v>0.01</v>
      </c>
      <c r="CP124" s="100">
        <f t="shared" si="79"/>
        <v>0.255</v>
      </c>
      <c r="CQ124" s="100">
        <v>0.5</v>
      </c>
      <c r="CR124" s="101">
        <v>0.15</v>
      </c>
      <c r="CS124" s="101">
        <v>0.2</v>
      </c>
    </row>
    <row r="125" spans="1:97" s="101" customFormat="1" ht="17.25" hidden="1" customHeight="1" thickBot="1" x14ac:dyDescent="0.3">
      <c r="A125" s="99"/>
      <c r="V125" s="103"/>
      <c r="AA125" s="104"/>
      <c r="AB125" s="104"/>
      <c r="AD125" s="104"/>
      <c r="AE125" s="105"/>
      <c r="AH125" s="106"/>
      <c r="AI125" s="106"/>
      <c r="AK125" s="104"/>
      <c r="AR125" s="104"/>
      <c r="AV125" s="104"/>
      <c r="AX125" s="104"/>
      <c r="BB125" s="104"/>
      <c r="BC125" s="104"/>
      <c r="BE125" s="104"/>
      <c r="BF125" s="168"/>
      <c r="BG125" s="168"/>
      <c r="BH125" s="168"/>
      <c r="BI125" s="190" t="s">
        <v>6</v>
      </c>
      <c r="BJ125" s="187" t="s">
        <v>408</v>
      </c>
      <c r="BK125" s="196">
        <v>1.8259000000000001</v>
      </c>
      <c r="BL125" s="187" t="s">
        <v>409</v>
      </c>
      <c r="BM125" s="189">
        <v>7.107999999999999E-2</v>
      </c>
      <c r="BN125" s="189">
        <v>7.107999999999999E-2</v>
      </c>
      <c r="BO125" s="188" t="s">
        <v>241</v>
      </c>
      <c r="BP125" s="195">
        <v>3.3300000000000003E-2</v>
      </c>
      <c r="BQ125" s="195">
        <f t="shared" si="75"/>
        <v>3.3300000000000003E-5</v>
      </c>
      <c r="BR125" s="187" t="s">
        <v>410</v>
      </c>
      <c r="BS125" s="189">
        <v>3.0000000000000001E-3</v>
      </c>
      <c r="BT125" s="189">
        <v>0.03</v>
      </c>
      <c r="BU125" s="187" t="s">
        <v>242</v>
      </c>
      <c r="BV125" s="195">
        <v>3.3E-3</v>
      </c>
      <c r="BW125" s="195">
        <f t="shared" si="76"/>
        <v>3.3000000000000002E-6</v>
      </c>
      <c r="BX125" s="187" t="s">
        <v>515</v>
      </c>
      <c r="BY125" s="189">
        <v>2.9999999999999997E-4</v>
      </c>
      <c r="BZ125" s="189">
        <v>0.03</v>
      </c>
      <c r="CA125" s="187" t="s">
        <v>242</v>
      </c>
      <c r="CB125" s="181">
        <v>3.0607000000000002</v>
      </c>
      <c r="CC125" s="195">
        <f t="shared" si="77"/>
        <v>3.0607000000000004E-3</v>
      </c>
      <c r="CD125" s="187" t="s">
        <v>410</v>
      </c>
      <c r="CE125" s="189">
        <v>0.5</v>
      </c>
      <c r="CF125" s="189">
        <v>15.4</v>
      </c>
      <c r="CG125" s="187" t="s">
        <v>242</v>
      </c>
      <c r="CH125" s="181">
        <v>9.98E-2</v>
      </c>
      <c r="CI125" s="195">
        <f t="shared" si="78"/>
        <v>9.98E-5</v>
      </c>
      <c r="CJ125" s="187" t="s">
        <v>515</v>
      </c>
      <c r="CK125" s="189">
        <v>0.01</v>
      </c>
      <c r="CL125" s="189">
        <v>0.77</v>
      </c>
      <c r="CM125" s="187" t="s">
        <v>242</v>
      </c>
      <c r="CN125" s="116"/>
      <c r="CO125" s="100">
        <v>0.01</v>
      </c>
      <c r="CP125" s="100">
        <f t="shared" si="79"/>
        <v>0.255</v>
      </c>
      <c r="CQ125" s="100">
        <v>0.5</v>
      </c>
      <c r="CR125" s="101">
        <v>0.15</v>
      </c>
      <c r="CS125" s="101">
        <v>0.2</v>
      </c>
    </row>
    <row r="126" spans="1:97" s="101" customFormat="1" ht="17.25" hidden="1" customHeight="1" thickBot="1" x14ac:dyDescent="0.3">
      <c r="A126" s="99"/>
      <c r="V126" s="103"/>
      <c r="AA126" s="104"/>
      <c r="AB126" s="104"/>
      <c r="AD126" s="104"/>
      <c r="AE126" s="105"/>
      <c r="AH126" s="106"/>
      <c r="AI126" s="106"/>
      <c r="AK126" s="104"/>
      <c r="AR126" s="104"/>
      <c r="AV126" s="104"/>
      <c r="AX126" s="104"/>
      <c r="BB126" s="104"/>
      <c r="BC126" s="104"/>
      <c r="BE126" s="104"/>
      <c r="BF126" s="168"/>
      <c r="BG126" s="168"/>
      <c r="BH126" s="168"/>
      <c r="BI126" s="190" t="s">
        <v>244</v>
      </c>
      <c r="BJ126" s="187" t="s">
        <v>408</v>
      </c>
      <c r="BK126" s="196">
        <v>2.0354999999999999</v>
      </c>
      <c r="BL126" s="187" t="s">
        <v>409</v>
      </c>
      <c r="BM126" s="189">
        <v>6.3630000000000006E-2</v>
      </c>
      <c r="BN126" s="189">
        <v>6.3630000000000006E-2</v>
      </c>
      <c r="BO126" s="188" t="s">
        <v>241</v>
      </c>
      <c r="BP126" s="195">
        <v>3.73E-2</v>
      </c>
      <c r="BQ126" s="195">
        <f t="shared" si="75"/>
        <v>3.7299999999999999E-5</v>
      </c>
      <c r="BR126" s="187" t="s">
        <v>410</v>
      </c>
      <c r="BS126" s="189">
        <v>3.0000000000000001E-3</v>
      </c>
      <c r="BT126" s="189">
        <v>0.03</v>
      </c>
      <c r="BU126" s="187" t="s">
        <v>242</v>
      </c>
      <c r="BV126" s="195">
        <v>3.7000000000000002E-3</v>
      </c>
      <c r="BW126" s="195">
        <f t="shared" si="76"/>
        <v>3.7000000000000002E-6</v>
      </c>
      <c r="BX126" s="187" t="s">
        <v>515</v>
      </c>
      <c r="BY126" s="189">
        <v>2.9999999999999997E-4</v>
      </c>
      <c r="BZ126" s="189">
        <v>0.03</v>
      </c>
      <c r="CA126" s="187" t="s">
        <v>242</v>
      </c>
      <c r="CB126" s="181">
        <v>3.4278</v>
      </c>
      <c r="CC126" s="195">
        <f t="shared" si="77"/>
        <v>3.4277999999999999E-3</v>
      </c>
      <c r="CD126" s="187" t="s">
        <v>410</v>
      </c>
      <c r="CE126" s="189">
        <v>0.5</v>
      </c>
      <c r="CF126" s="189">
        <v>15.4</v>
      </c>
      <c r="CG126" s="187" t="s">
        <v>242</v>
      </c>
      <c r="CH126" s="181">
        <v>0.1118</v>
      </c>
      <c r="CI126" s="195">
        <f t="shared" si="78"/>
        <v>1.1179999999999999E-4</v>
      </c>
      <c r="CJ126" s="187" t="s">
        <v>515</v>
      </c>
      <c r="CK126" s="189">
        <v>0.01</v>
      </c>
      <c r="CL126" s="189">
        <v>0.77</v>
      </c>
      <c r="CM126" s="187" t="s">
        <v>242</v>
      </c>
      <c r="CN126" s="116"/>
      <c r="CO126" s="100">
        <v>0.01</v>
      </c>
      <c r="CP126" s="100">
        <f t="shared" si="79"/>
        <v>0.255</v>
      </c>
      <c r="CQ126" s="100">
        <v>0.5</v>
      </c>
      <c r="CR126" s="101">
        <v>0.15</v>
      </c>
      <c r="CS126" s="101">
        <v>0.2</v>
      </c>
    </row>
    <row r="127" spans="1:97" s="101" customFormat="1" ht="17.25" hidden="1" customHeight="1" thickBot="1" x14ac:dyDescent="0.3">
      <c r="A127" s="99"/>
      <c r="V127" s="103"/>
      <c r="AA127" s="104"/>
      <c r="AB127" s="104"/>
      <c r="AD127" s="104"/>
      <c r="AE127" s="105"/>
      <c r="AH127" s="106"/>
      <c r="AI127" s="106"/>
      <c r="AK127" s="104"/>
      <c r="AR127" s="104"/>
      <c r="AV127" s="104"/>
      <c r="AX127" s="104"/>
      <c r="BB127" s="104"/>
      <c r="BC127" s="104"/>
      <c r="BE127" s="104"/>
      <c r="BF127" s="168"/>
      <c r="BG127" s="168"/>
      <c r="BH127" s="168"/>
      <c r="BI127" s="190" t="s">
        <v>245</v>
      </c>
      <c r="BJ127" s="187" t="s">
        <v>408</v>
      </c>
      <c r="BK127" s="196">
        <v>1.9775</v>
      </c>
      <c r="BL127" s="187" t="s">
        <v>409</v>
      </c>
      <c r="BM127" s="189">
        <v>3.7130000000000003E-2</v>
      </c>
      <c r="BN127" s="189">
        <v>3.7130000000000003E-2</v>
      </c>
      <c r="BO127" s="188" t="s">
        <v>241</v>
      </c>
      <c r="BP127" s="195">
        <v>3.5400000000000001E-2</v>
      </c>
      <c r="BQ127" s="195">
        <f t="shared" si="75"/>
        <v>3.54E-5</v>
      </c>
      <c r="BR127" s="187" t="s">
        <v>410</v>
      </c>
      <c r="BS127" s="189">
        <v>3.0000000000000001E-3</v>
      </c>
      <c r="BT127" s="189">
        <v>0.03</v>
      </c>
      <c r="BU127" s="187" t="s">
        <v>242</v>
      </c>
      <c r="BV127" s="195">
        <v>3.5000000000000001E-3</v>
      </c>
      <c r="BW127" s="195">
        <f t="shared" si="76"/>
        <v>3.4999999999999999E-6</v>
      </c>
      <c r="BX127" s="187" t="s">
        <v>515</v>
      </c>
      <c r="BY127" s="189">
        <v>2.9999999999999997E-4</v>
      </c>
      <c r="BZ127" s="189">
        <v>0.03</v>
      </c>
      <c r="CA127" s="187" t="s">
        <v>242</v>
      </c>
      <c r="CB127" s="181">
        <v>3.2595000000000001</v>
      </c>
      <c r="CC127" s="195">
        <f t="shared" si="77"/>
        <v>3.2595000000000002E-3</v>
      </c>
      <c r="CD127" s="187" t="s">
        <v>410</v>
      </c>
      <c r="CE127" s="189">
        <v>0.5</v>
      </c>
      <c r="CF127" s="189">
        <v>15.4</v>
      </c>
      <c r="CG127" s="187" t="s">
        <v>242</v>
      </c>
      <c r="CH127" s="181">
        <v>0.10630000000000001</v>
      </c>
      <c r="CI127" s="195">
        <f t="shared" si="78"/>
        <v>1.0630000000000001E-4</v>
      </c>
      <c r="CJ127" s="187" t="s">
        <v>515</v>
      </c>
      <c r="CK127" s="189">
        <v>0.01</v>
      </c>
      <c r="CL127" s="189">
        <v>0.77</v>
      </c>
      <c r="CM127" s="187" t="s">
        <v>242</v>
      </c>
      <c r="CN127" s="116"/>
      <c r="CO127" s="100">
        <v>0.01</v>
      </c>
      <c r="CP127" s="100">
        <f t="shared" si="79"/>
        <v>0.255</v>
      </c>
      <c r="CQ127" s="100">
        <v>0.5</v>
      </c>
      <c r="CR127" s="101">
        <v>0.15</v>
      </c>
      <c r="CS127" s="101">
        <v>0.2</v>
      </c>
    </row>
    <row r="128" spans="1:97" s="101" customFormat="1" ht="17.25" hidden="1" customHeight="1" thickBot="1" x14ac:dyDescent="0.3">
      <c r="A128" s="99"/>
      <c r="V128" s="103"/>
      <c r="AA128" s="104"/>
      <c r="AB128" s="104"/>
      <c r="AD128" s="104"/>
      <c r="AE128" s="105"/>
      <c r="AH128" s="106"/>
      <c r="AI128" s="106"/>
      <c r="AK128" s="104"/>
      <c r="AR128" s="104"/>
      <c r="AV128" s="104"/>
      <c r="AX128" s="104"/>
      <c r="BB128" s="104"/>
      <c r="BC128" s="104"/>
      <c r="BE128" s="104"/>
      <c r="BF128" s="168"/>
      <c r="BG128" s="168"/>
      <c r="BH128" s="168"/>
      <c r="BI128" s="190" t="s">
        <v>246</v>
      </c>
      <c r="BJ128" s="187" t="s">
        <v>408</v>
      </c>
      <c r="BK128" s="196">
        <v>2.1621000000000001</v>
      </c>
      <c r="BL128" s="187" t="s">
        <v>409</v>
      </c>
      <c r="BM128" s="189">
        <v>3.0299999999999997E-3</v>
      </c>
      <c r="BN128" s="189">
        <v>3.0299999999999997E-3</v>
      </c>
      <c r="BO128" s="188" t="s">
        <v>241</v>
      </c>
      <c r="BP128" s="195">
        <v>3.7900000000000003E-2</v>
      </c>
      <c r="BQ128" s="195">
        <f t="shared" si="75"/>
        <v>3.7900000000000006E-5</v>
      </c>
      <c r="BR128" s="187" t="s">
        <v>410</v>
      </c>
      <c r="BS128" s="189">
        <v>3.0000000000000001E-3</v>
      </c>
      <c r="BT128" s="189">
        <v>0.03</v>
      </c>
      <c r="BU128" s="187" t="s">
        <v>242</v>
      </c>
      <c r="BV128" s="195">
        <v>3.8E-3</v>
      </c>
      <c r="BW128" s="195">
        <f t="shared" si="76"/>
        <v>3.8E-6</v>
      </c>
      <c r="BX128" s="187" t="s">
        <v>515</v>
      </c>
      <c r="BY128" s="189">
        <v>2.9999999999999997E-4</v>
      </c>
      <c r="BZ128" s="189">
        <v>0.03</v>
      </c>
      <c r="CA128" s="187" t="s">
        <v>242</v>
      </c>
      <c r="CB128" s="181">
        <v>3.49</v>
      </c>
      <c r="CC128" s="195">
        <f t="shared" si="77"/>
        <v>3.49E-3</v>
      </c>
      <c r="CD128" s="187" t="s">
        <v>410</v>
      </c>
      <c r="CE128" s="189">
        <v>0.5</v>
      </c>
      <c r="CF128" s="189">
        <v>15.4</v>
      </c>
      <c r="CG128" s="187" t="s">
        <v>242</v>
      </c>
      <c r="CH128" s="181">
        <v>0.1138</v>
      </c>
      <c r="CI128" s="195">
        <f t="shared" si="78"/>
        <v>1.138E-4</v>
      </c>
      <c r="CJ128" s="187" t="s">
        <v>515</v>
      </c>
      <c r="CK128" s="189">
        <v>0.01</v>
      </c>
      <c r="CL128" s="189">
        <v>0.77</v>
      </c>
      <c r="CM128" s="187" t="s">
        <v>242</v>
      </c>
      <c r="CN128" s="116"/>
      <c r="CO128" s="100">
        <v>0.01</v>
      </c>
      <c r="CP128" s="100">
        <f t="shared" si="79"/>
        <v>0.255</v>
      </c>
      <c r="CQ128" s="100">
        <v>0.5</v>
      </c>
      <c r="CR128" s="101">
        <v>0.15</v>
      </c>
      <c r="CS128" s="101">
        <v>0.2</v>
      </c>
    </row>
    <row r="129" spans="1:97" s="101" customFormat="1" ht="17.25" hidden="1" customHeight="1" thickBot="1" x14ac:dyDescent="0.3">
      <c r="A129" s="99"/>
      <c r="V129" s="103"/>
      <c r="AA129" s="104"/>
      <c r="AB129" s="104"/>
      <c r="AD129" s="104"/>
      <c r="AE129" s="105"/>
      <c r="AH129" s="106"/>
      <c r="AI129" s="106"/>
      <c r="AK129" s="104"/>
      <c r="AR129" s="104"/>
      <c r="AV129" s="104"/>
      <c r="AX129" s="104"/>
      <c r="BB129" s="104"/>
      <c r="BC129" s="104"/>
      <c r="BE129" s="104"/>
      <c r="BF129" s="168"/>
      <c r="BG129" s="168"/>
      <c r="BH129" s="168"/>
      <c r="BI129" s="190" t="s">
        <v>247</v>
      </c>
      <c r="BJ129" s="187" t="s">
        <v>408</v>
      </c>
      <c r="BK129" s="196">
        <v>1.8321000000000001</v>
      </c>
      <c r="BL129" s="187" t="s">
        <v>409</v>
      </c>
      <c r="BM129" s="189">
        <v>7.0720000000000005E-2</v>
      </c>
      <c r="BN129" s="189">
        <v>7.0720000000000005E-2</v>
      </c>
      <c r="BO129" s="188" t="s">
        <v>241</v>
      </c>
      <c r="BP129" s="195">
        <v>3.3500000000000002E-2</v>
      </c>
      <c r="BQ129" s="195">
        <f t="shared" si="75"/>
        <v>3.3500000000000001E-5</v>
      </c>
      <c r="BR129" s="187" t="s">
        <v>410</v>
      </c>
      <c r="BS129" s="189">
        <v>3.0000000000000001E-3</v>
      </c>
      <c r="BT129" s="189">
        <v>0.03</v>
      </c>
      <c r="BU129" s="187" t="s">
        <v>242</v>
      </c>
      <c r="BV129" s="195">
        <v>3.3999999999999998E-3</v>
      </c>
      <c r="BW129" s="195">
        <f t="shared" si="76"/>
        <v>3.3999999999999996E-6</v>
      </c>
      <c r="BX129" s="187" t="s">
        <v>515</v>
      </c>
      <c r="BY129" s="189">
        <v>2.9999999999999997E-4</v>
      </c>
      <c r="BZ129" s="189">
        <v>0.03</v>
      </c>
      <c r="CA129" s="187" t="s">
        <v>242</v>
      </c>
      <c r="CB129" s="181">
        <v>3.0825</v>
      </c>
      <c r="CC129" s="195">
        <f t="shared" si="77"/>
        <v>3.0825000000000002E-3</v>
      </c>
      <c r="CD129" s="187" t="s">
        <v>410</v>
      </c>
      <c r="CE129" s="189">
        <v>0.5</v>
      </c>
      <c r="CF129" s="189">
        <v>15.4</v>
      </c>
      <c r="CG129" s="187" t="s">
        <v>242</v>
      </c>
      <c r="CH129" s="181">
        <v>0.10050000000000001</v>
      </c>
      <c r="CI129" s="195">
        <f t="shared" si="78"/>
        <v>1.005E-4</v>
      </c>
      <c r="CJ129" s="187" t="s">
        <v>515</v>
      </c>
      <c r="CK129" s="189">
        <v>0.01</v>
      </c>
      <c r="CL129" s="189">
        <v>0.77</v>
      </c>
      <c r="CM129" s="187" t="s">
        <v>242</v>
      </c>
      <c r="CN129" s="116"/>
      <c r="CO129" s="100">
        <v>0.01</v>
      </c>
      <c r="CP129" s="100">
        <f t="shared" si="79"/>
        <v>0.255</v>
      </c>
      <c r="CQ129" s="100">
        <v>0.5</v>
      </c>
      <c r="CR129" s="101">
        <v>0.15</v>
      </c>
      <c r="CS129" s="101">
        <v>0.2</v>
      </c>
    </row>
    <row r="130" spans="1:97" s="101" customFormat="1" ht="17.25" hidden="1" customHeight="1" thickBot="1" x14ac:dyDescent="0.3">
      <c r="A130" s="99"/>
      <c r="V130" s="103"/>
      <c r="AA130" s="104"/>
      <c r="AB130" s="104"/>
      <c r="AD130" s="104"/>
      <c r="AE130" s="105"/>
      <c r="AH130" s="106"/>
      <c r="AI130" s="106"/>
      <c r="AK130" s="104"/>
      <c r="AR130" s="104"/>
      <c r="AV130" s="104"/>
      <c r="AX130" s="104"/>
      <c r="BB130" s="104"/>
      <c r="BC130" s="104"/>
      <c r="BE130" s="104"/>
      <c r="BF130" s="168"/>
      <c r="BG130" s="168"/>
      <c r="BH130" s="168"/>
      <c r="BI130" s="190" t="s">
        <v>275</v>
      </c>
      <c r="BJ130" s="187" t="s">
        <v>408</v>
      </c>
      <c r="BK130" s="196">
        <v>4.6929999999999996</v>
      </c>
      <c r="BL130" s="187" t="s">
        <v>409</v>
      </c>
      <c r="BM130" s="189">
        <v>2.6000000000000002E-2</v>
      </c>
      <c r="BN130" s="189">
        <v>2.6000000000000002E-2</v>
      </c>
      <c r="BO130" s="188" t="s">
        <v>241</v>
      </c>
      <c r="BP130" s="195">
        <v>9.9199999999999997E-2</v>
      </c>
      <c r="BQ130" s="195">
        <f t="shared" si="75"/>
        <v>9.9199999999999999E-5</v>
      </c>
      <c r="BR130" s="187" t="s">
        <v>410</v>
      </c>
      <c r="BS130" s="189">
        <v>3.0000000000000001E-3</v>
      </c>
      <c r="BT130" s="189">
        <v>0.03</v>
      </c>
      <c r="BU130" s="187" t="s">
        <v>242</v>
      </c>
      <c r="BV130" s="195">
        <v>9.9000000000000008E-3</v>
      </c>
      <c r="BW130" s="195">
        <f t="shared" si="76"/>
        <v>9.9000000000000001E-6</v>
      </c>
      <c r="BX130" s="187" t="s">
        <v>515</v>
      </c>
      <c r="BY130" s="189">
        <v>2.9999999999999997E-4</v>
      </c>
      <c r="BZ130" s="189">
        <v>0.03</v>
      </c>
      <c r="CA130" s="187" t="s">
        <v>242</v>
      </c>
      <c r="CB130" s="181">
        <v>6.1513</v>
      </c>
      <c r="CC130" s="195">
        <f t="shared" si="77"/>
        <v>6.1513000000000002E-3</v>
      </c>
      <c r="CD130" s="187" t="s">
        <v>410</v>
      </c>
      <c r="CE130" s="189">
        <v>0</v>
      </c>
      <c r="CF130" s="189">
        <v>0</v>
      </c>
      <c r="CG130" s="187" t="s">
        <v>242</v>
      </c>
      <c r="CH130" s="181">
        <v>1.9800000000000002E-2</v>
      </c>
      <c r="CI130" s="195">
        <f t="shared" si="78"/>
        <v>1.98E-5</v>
      </c>
      <c r="CJ130" s="187" t="s">
        <v>515</v>
      </c>
      <c r="CK130" s="189">
        <v>0</v>
      </c>
      <c r="CL130" s="189">
        <v>0</v>
      </c>
      <c r="CM130" s="187" t="s">
        <v>242</v>
      </c>
      <c r="CN130" s="116"/>
      <c r="CO130" s="100">
        <v>0.01</v>
      </c>
      <c r="CP130" s="100">
        <f t="shared" si="79"/>
        <v>0.255</v>
      </c>
      <c r="CQ130" s="100">
        <v>0.5</v>
      </c>
      <c r="CR130" s="101">
        <v>0.15</v>
      </c>
      <c r="CS130" s="101">
        <v>0.2</v>
      </c>
    </row>
    <row r="131" spans="1:97" s="101" customFormat="1" ht="17.25" hidden="1" customHeight="1" thickBot="1" x14ac:dyDescent="0.3">
      <c r="A131" s="99"/>
      <c r="V131" s="103"/>
      <c r="AA131" s="104"/>
      <c r="AB131" s="104"/>
      <c r="AD131" s="104"/>
      <c r="AE131" s="105"/>
      <c r="AH131" s="106"/>
      <c r="AI131" s="106"/>
      <c r="AK131" s="104"/>
      <c r="AR131" s="104"/>
      <c r="AV131" s="104"/>
      <c r="AX131" s="104"/>
      <c r="BB131" s="104"/>
      <c r="BC131" s="104"/>
      <c r="BE131" s="104"/>
      <c r="BF131" s="168"/>
      <c r="BG131" s="168"/>
      <c r="BH131" s="168"/>
      <c r="BI131" s="190" t="s">
        <v>7</v>
      </c>
      <c r="BJ131" s="187" t="s">
        <v>408</v>
      </c>
      <c r="BK131" s="196">
        <v>5.5792000000000002</v>
      </c>
      <c r="BL131" s="187" t="s">
        <v>409</v>
      </c>
      <c r="BM131" s="189">
        <v>2.5219999999999999E-2</v>
      </c>
      <c r="BN131" s="189">
        <v>2.5219999999999999E-2</v>
      </c>
      <c r="BO131" s="188" t="s">
        <v>241</v>
      </c>
      <c r="BP131" s="195">
        <v>8.6300000000000002E-2</v>
      </c>
      <c r="BQ131" s="195">
        <f t="shared" si="75"/>
        <v>8.6299999999999997E-5</v>
      </c>
      <c r="BR131" s="187" t="s">
        <v>410</v>
      </c>
      <c r="BS131" s="189">
        <v>3.0000000000000001E-3</v>
      </c>
      <c r="BT131" s="189">
        <v>0.03</v>
      </c>
      <c r="BU131" s="187" t="s">
        <v>242</v>
      </c>
      <c r="BV131" s="195">
        <v>8.6E-3</v>
      </c>
      <c r="BW131" s="195">
        <f t="shared" si="76"/>
        <v>8.6000000000000007E-6</v>
      </c>
      <c r="BX131" s="187" t="s">
        <v>515</v>
      </c>
      <c r="BY131" s="189">
        <v>2.9999999999999997E-4</v>
      </c>
      <c r="BZ131" s="189">
        <v>0.03</v>
      </c>
      <c r="CA131" s="187" t="s">
        <v>242</v>
      </c>
      <c r="CB131" s="181">
        <v>5.3475999999999999</v>
      </c>
      <c r="CC131" s="195">
        <f t="shared" si="77"/>
        <v>5.3476000000000001E-3</v>
      </c>
      <c r="CD131" s="187" t="s">
        <v>410</v>
      </c>
      <c r="CE131" s="189">
        <v>0</v>
      </c>
      <c r="CF131" s="189">
        <v>0</v>
      </c>
      <c r="CG131" s="187" t="s">
        <v>242</v>
      </c>
      <c r="CH131" s="181">
        <v>1.7299999999999999E-2</v>
      </c>
      <c r="CI131" s="195">
        <f t="shared" si="78"/>
        <v>1.73E-5</v>
      </c>
      <c r="CJ131" s="187" t="s">
        <v>515</v>
      </c>
      <c r="CK131" s="189">
        <v>0</v>
      </c>
      <c r="CL131" s="189">
        <v>0</v>
      </c>
      <c r="CM131" s="187" t="s">
        <v>242</v>
      </c>
      <c r="CN131" s="116"/>
      <c r="CO131" s="100">
        <v>0.01</v>
      </c>
      <c r="CP131" s="100">
        <f t="shared" si="79"/>
        <v>0.255</v>
      </c>
      <c r="CQ131" s="100">
        <v>0.5</v>
      </c>
      <c r="CR131" s="101">
        <v>0.15</v>
      </c>
      <c r="CS131" s="101">
        <v>0.2</v>
      </c>
    </row>
    <row r="132" spans="1:97" s="101" customFormat="1" ht="17.25" hidden="1" customHeight="1" thickBot="1" x14ac:dyDescent="0.3">
      <c r="A132" s="99"/>
      <c r="V132" s="103"/>
      <c r="AA132" s="104"/>
      <c r="AB132" s="104"/>
      <c r="AD132" s="104"/>
      <c r="AE132" s="105"/>
      <c r="AH132" s="106"/>
      <c r="AI132" s="106"/>
      <c r="AK132" s="104"/>
      <c r="AR132" s="104"/>
      <c r="AV132" s="104"/>
      <c r="AX132" s="104"/>
      <c r="BB132" s="104"/>
      <c r="BC132" s="104"/>
      <c r="BE132" s="104"/>
      <c r="BF132" s="168"/>
      <c r="BG132" s="168"/>
      <c r="BH132" s="168"/>
      <c r="BI132" s="190" t="s">
        <v>248</v>
      </c>
      <c r="BJ132" s="187" t="s">
        <v>408</v>
      </c>
      <c r="BK132" s="196">
        <v>2.2818000000000001</v>
      </c>
      <c r="BL132" s="187" t="s">
        <v>409</v>
      </c>
      <c r="BM132" s="189">
        <v>2.8499999999999997E-3</v>
      </c>
      <c r="BN132" s="189">
        <v>2.8499999999999997E-3</v>
      </c>
      <c r="BO132" s="188" t="s">
        <v>241</v>
      </c>
      <c r="BP132" s="195">
        <v>4.0599999999999997E-2</v>
      </c>
      <c r="BQ132" s="195">
        <f t="shared" si="75"/>
        <v>4.0599999999999998E-5</v>
      </c>
      <c r="BR132" s="187" t="s">
        <v>410</v>
      </c>
      <c r="BS132" s="189">
        <v>3.0000000000000001E-3</v>
      </c>
      <c r="BT132" s="189">
        <v>0.03</v>
      </c>
      <c r="BU132" s="187" t="s">
        <v>242</v>
      </c>
      <c r="BV132" s="195">
        <v>4.1000000000000003E-3</v>
      </c>
      <c r="BW132" s="195">
        <f t="shared" si="76"/>
        <v>4.1000000000000006E-6</v>
      </c>
      <c r="BX132" s="187" t="s">
        <v>515</v>
      </c>
      <c r="BY132" s="189">
        <v>2.9999999999999997E-4</v>
      </c>
      <c r="BZ132" s="189">
        <v>0.03</v>
      </c>
      <c r="CA132" s="187" t="s">
        <v>242</v>
      </c>
      <c r="CB132" s="181">
        <v>0</v>
      </c>
      <c r="CC132" s="195">
        <f t="shared" si="77"/>
        <v>0</v>
      </c>
      <c r="CD132" s="187" t="s">
        <v>410</v>
      </c>
      <c r="CE132" s="189">
        <v>0</v>
      </c>
      <c r="CF132" s="189">
        <v>0</v>
      </c>
      <c r="CG132" s="187" t="s">
        <v>242</v>
      </c>
      <c r="CH132" s="181">
        <v>0</v>
      </c>
      <c r="CI132" s="195">
        <f t="shared" si="78"/>
        <v>0</v>
      </c>
      <c r="CJ132" s="187" t="s">
        <v>515</v>
      </c>
      <c r="CK132" s="189">
        <v>0</v>
      </c>
      <c r="CL132" s="189">
        <v>0</v>
      </c>
      <c r="CM132" s="187" t="s">
        <v>242</v>
      </c>
      <c r="CN132" s="116"/>
      <c r="CO132" s="100">
        <v>0.01</v>
      </c>
      <c r="CP132" s="100">
        <f t="shared" si="79"/>
        <v>0.255</v>
      </c>
      <c r="CQ132" s="100">
        <v>0.5</v>
      </c>
      <c r="CR132" s="101">
        <v>0.15</v>
      </c>
      <c r="CS132" s="101">
        <v>0.2</v>
      </c>
    </row>
    <row r="133" spans="1:97" s="101" customFormat="1" ht="17.25" hidden="1" customHeight="1" thickBot="1" x14ac:dyDescent="0.3">
      <c r="A133" s="99"/>
      <c r="V133" s="103"/>
      <c r="AA133" s="104"/>
      <c r="AB133" s="104"/>
      <c r="AD133" s="104"/>
      <c r="AE133" s="105"/>
      <c r="AH133" s="106"/>
      <c r="AI133" s="106"/>
      <c r="AK133" s="104"/>
      <c r="AR133" s="104"/>
      <c r="AV133" s="104"/>
      <c r="AX133" s="104"/>
      <c r="BB133" s="104"/>
      <c r="BC133" s="104"/>
      <c r="BE133" s="104"/>
      <c r="BF133" s="168"/>
      <c r="BG133" s="168"/>
      <c r="BH133" s="168"/>
      <c r="BI133" s="190" t="s">
        <v>369</v>
      </c>
      <c r="BJ133" s="187" t="s">
        <v>408</v>
      </c>
      <c r="BK133" s="196">
        <v>1.9420999999999999</v>
      </c>
      <c r="BL133" s="187" t="s">
        <v>409</v>
      </c>
      <c r="BM133" s="189">
        <v>0.10070999999999999</v>
      </c>
      <c r="BN133" s="189">
        <v>0.10070999999999999</v>
      </c>
      <c r="BO133" s="188" t="s">
        <v>241</v>
      </c>
      <c r="BP133" s="195">
        <v>3.5499999999999997E-2</v>
      </c>
      <c r="BQ133" s="195">
        <f t="shared" si="75"/>
        <v>3.5499999999999996E-5</v>
      </c>
      <c r="BR133" s="187" t="s">
        <v>410</v>
      </c>
      <c r="BS133" s="189">
        <v>3.0000000000000001E-3</v>
      </c>
      <c r="BT133" s="189">
        <v>0.03</v>
      </c>
      <c r="BU133" s="187" t="s">
        <v>242</v>
      </c>
      <c r="BV133" s="195">
        <v>3.5999999999999999E-3</v>
      </c>
      <c r="BW133" s="195">
        <f t="shared" si="76"/>
        <v>3.5999999999999998E-6</v>
      </c>
      <c r="BX133" s="187" t="s">
        <v>515</v>
      </c>
      <c r="BY133" s="189">
        <v>2.9999999999999997E-4</v>
      </c>
      <c r="BZ133" s="189">
        <v>0.03</v>
      </c>
      <c r="CA133" s="187" t="s">
        <v>242</v>
      </c>
      <c r="CB133" s="181">
        <v>3.2690000000000001</v>
      </c>
      <c r="CC133" s="195">
        <f t="shared" si="77"/>
        <v>3.2690000000000002E-3</v>
      </c>
      <c r="CD133" s="187" t="s">
        <v>410</v>
      </c>
      <c r="CE133" s="189">
        <v>0.5</v>
      </c>
      <c r="CF133" s="189">
        <v>15.4</v>
      </c>
      <c r="CG133" s="187" t="s">
        <v>242</v>
      </c>
      <c r="CH133" s="181">
        <v>0.1066</v>
      </c>
      <c r="CI133" s="195">
        <f t="shared" si="78"/>
        <v>1.066E-4</v>
      </c>
      <c r="CJ133" s="187" t="s">
        <v>515</v>
      </c>
      <c r="CK133" s="189">
        <v>0.01</v>
      </c>
      <c r="CL133" s="189">
        <v>0.77</v>
      </c>
      <c r="CM133" s="187" t="s">
        <v>242</v>
      </c>
      <c r="CN133" s="116"/>
      <c r="CO133" s="100">
        <v>0.01</v>
      </c>
      <c r="CP133" s="100">
        <f t="shared" si="79"/>
        <v>0.255</v>
      </c>
      <c r="CQ133" s="100">
        <v>0.5</v>
      </c>
      <c r="CR133" s="101">
        <v>0.15</v>
      </c>
      <c r="CS133" s="101">
        <v>0.2</v>
      </c>
    </row>
    <row r="134" spans="1:97" s="101" customFormat="1" ht="17.25" hidden="1" customHeight="1" thickBot="1" x14ac:dyDescent="0.3">
      <c r="A134" s="99"/>
      <c r="V134" s="103"/>
      <c r="AA134" s="104"/>
      <c r="AB134" s="104"/>
      <c r="AD134" s="104"/>
      <c r="AE134" s="105"/>
      <c r="AH134" s="106"/>
      <c r="AI134" s="106"/>
      <c r="AK134" s="104"/>
      <c r="AR134" s="104"/>
      <c r="AV134" s="104"/>
      <c r="AX134" s="104"/>
      <c r="BB134" s="104"/>
      <c r="BC134" s="104"/>
      <c r="BE134" s="104"/>
      <c r="BF134" s="168"/>
      <c r="BG134" s="168"/>
      <c r="BH134" s="168"/>
      <c r="BI134" s="190" t="s">
        <v>370</v>
      </c>
      <c r="BJ134" s="187" t="s">
        <v>408</v>
      </c>
      <c r="BK134" s="196">
        <v>2.101</v>
      </c>
      <c r="BL134" s="187" t="s">
        <v>409</v>
      </c>
      <c r="BM134" s="189">
        <v>6.6460000000000005E-2</v>
      </c>
      <c r="BN134" s="189">
        <v>6.6460000000000005E-2</v>
      </c>
      <c r="BO134" s="188" t="s">
        <v>241</v>
      </c>
      <c r="BP134" s="195">
        <v>3.73E-2</v>
      </c>
      <c r="BQ134" s="195">
        <f t="shared" si="75"/>
        <v>3.7299999999999999E-5</v>
      </c>
      <c r="BR134" s="187" t="s">
        <v>410</v>
      </c>
      <c r="BS134" s="189">
        <v>3.0000000000000001E-3</v>
      </c>
      <c r="BT134" s="189">
        <v>0.03</v>
      </c>
      <c r="BU134" s="187" t="s">
        <v>242</v>
      </c>
      <c r="BV134" s="195">
        <v>3.7000000000000002E-3</v>
      </c>
      <c r="BW134" s="195">
        <f t="shared" si="76"/>
        <v>3.7000000000000002E-6</v>
      </c>
      <c r="BX134" s="187" t="s">
        <v>515</v>
      </c>
      <c r="BY134" s="189">
        <v>2.9999999999999997E-4</v>
      </c>
      <c r="BZ134" s="189">
        <v>0.03</v>
      </c>
      <c r="CA134" s="187" t="s">
        <v>242</v>
      </c>
      <c r="CB134" s="181">
        <v>3.4272999999999998</v>
      </c>
      <c r="CC134" s="195">
        <f t="shared" si="77"/>
        <v>3.4272999999999999E-3</v>
      </c>
      <c r="CD134" s="187" t="s">
        <v>410</v>
      </c>
      <c r="CE134" s="189">
        <v>0.5</v>
      </c>
      <c r="CF134" s="189">
        <v>15.4</v>
      </c>
      <c r="CG134" s="187" t="s">
        <v>242</v>
      </c>
      <c r="CH134" s="181">
        <v>0.1118</v>
      </c>
      <c r="CI134" s="195">
        <f t="shared" si="78"/>
        <v>1.1179999999999999E-4</v>
      </c>
      <c r="CJ134" s="187" t="s">
        <v>515</v>
      </c>
      <c r="CK134" s="189">
        <v>0.01</v>
      </c>
      <c r="CL134" s="189">
        <v>0.77</v>
      </c>
      <c r="CM134" s="187" t="s">
        <v>242</v>
      </c>
      <c r="CN134" s="116"/>
      <c r="CO134" s="100">
        <v>0.01</v>
      </c>
      <c r="CP134" s="100">
        <f t="shared" si="79"/>
        <v>0.255</v>
      </c>
      <c r="CQ134" s="100">
        <v>0.5</v>
      </c>
      <c r="CR134" s="101">
        <v>0.15</v>
      </c>
      <c r="CS134" s="101">
        <v>0.2</v>
      </c>
    </row>
    <row r="135" spans="1:97" s="101" customFormat="1" ht="17.25" hidden="1" customHeight="1" thickBot="1" x14ac:dyDescent="0.3">
      <c r="A135" s="99"/>
      <c r="V135" s="103"/>
      <c r="AA135" s="104"/>
      <c r="AB135" s="104"/>
      <c r="AD135" s="104"/>
      <c r="AE135" s="105"/>
      <c r="AH135" s="106"/>
      <c r="AI135" s="106"/>
      <c r="AK135" s="104"/>
      <c r="AR135" s="104"/>
      <c r="AV135" s="104"/>
      <c r="AX135" s="104"/>
      <c r="BB135" s="104"/>
      <c r="BC135" s="104"/>
      <c r="BE135" s="104"/>
      <c r="BF135" s="168"/>
      <c r="BG135" s="168"/>
      <c r="BH135" s="168"/>
      <c r="BI135" s="190" t="s">
        <v>371</v>
      </c>
      <c r="BJ135" s="187" t="s">
        <v>408</v>
      </c>
      <c r="BK135" s="196">
        <v>2.1795</v>
      </c>
      <c r="BL135" s="187" t="s">
        <v>409</v>
      </c>
      <c r="BM135" s="189">
        <v>4.79E-3</v>
      </c>
      <c r="BN135" s="189">
        <v>4.79E-3</v>
      </c>
      <c r="BO135" s="188" t="s">
        <v>241</v>
      </c>
      <c r="BP135" s="195">
        <v>3.85E-2</v>
      </c>
      <c r="BQ135" s="195">
        <f>BP135/1000</f>
        <v>3.8500000000000001E-5</v>
      </c>
      <c r="BR135" s="187" t="s">
        <v>410</v>
      </c>
      <c r="BS135" s="189">
        <v>3.0000000000000001E-3</v>
      </c>
      <c r="BT135" s="189">
        <v>0.03</v>
      </c>
      <c r="BU135" s="187" t="s">
        <v>242</v>
      </c>
      <c r="BV135" s="195">
        <v>3.8E-3</v>
      </c>
      <c r="BW135" s="195">
        <f>BV135/1000</f>
        <v>3.8E-6</v>
      </c>
      <c r="BX135" s="187" t="s">
        <v>515</v>
      </c>
      <c r="BY135" s="189">
        <v>2.9999999999999997E-4</v>
      </c>
      <c r="BZ135" s="189">
        <v>0.03</v>
      </c>
      <c r="CA135" s="187" t="s">
        <v>242</v>
      </c>
      <c r="CB135" s="181">
        <v>3.5390999999999999</v>
      </c>
      <c r="CC135" s="195">
        <f>CB135/1000</f>
        <v>3.5390999999999999E-3</v>
      </c>
      <c r="CD135" s="187" t="s">
        <v>410</v>
      </c>
      <c r="CE135" s="189">
        <v>0.5</v>
      </c>
      <c r="CF135" s="189">
        <v>15.4</v>
      </c>
      <c r="CG135" s="187" t="s">
        <v>242</v>
      </c>
      <c r="CH135" s="181">
        <v>0.1154</v>
      </c>
      <c r="CI135" s="195">
        <f>CH135/1000</f>
        <v>1.154E-4</v>
      </c>
      <c r="CJ135" s="187" t="s">
        <v>515</v>
      </c>
      <c r="CK135" s="189">
        <v>0.01</v>
      </c>
      <c r="CL135" s="189">
        <v>0.77</v>
      </c>
      <c r="CM135" s="187" t="s">
        <v>242</v>
      </c>
      <c r="CN135" s="116"/>
      <c r="CO135" s="100">
        <v>0.01</v>
      </c>
      <c r="CP135" s="100">
        <f t="shared" si="79"/>
        <v>0.255</v>
      </c>
      <c r="CQ135" s="100">
        <v>0.5</v>
      </c>
      <c r="CR135" s="101">
        <v>0.15</v>
      </c>
      <c r="CS135" s="101">
        <v>0.2</v>
      </c>
    </row>
    <row r="136" spans="1:97" s="101" customFormat="1" ht="16.5" hidden="1" customHeight="1" thickBot="1" x14ac:dyDescent="0.3">
      <c r="A136" s="99"/>
      <c r="V136" s="103"/>
      <c r="AA136" s="104"/>
      <c r="AB136" s="104"/>
      <c r="AD136" s="104"/>
      <c r="AE136" s="105"/>
      <c r="AH136" s="106"/>
      <c r="AI136" s="106"/>
      <c r="AK136" s="104"/>
      <c r="AR136" s="104"/>
      <c r="AV136" s="104"/>
      <c r="AX136" s="104"/>
      <c r="BB136" s="104"/>
      <c r="BC136" s="104"/>
      <c r="BE136" s="104"/>
      <c r="BF136" s="168"/>
      <c r="BG136" s="168"/>
      <c r="BH136" s="168"/>
      <c r="BI136" s="190" t="s">
        <v>356</v>
      </c>
      <c r="BJ136" s="181" t="s">
        <v>49</v>
      </c>
      <c r="BK136" s="196">
        <f>(3.13757879682717*99.5%)</f>
        <v>3.1218909028430342</v>
      </c>
      <c r="BL136" s="196" t="s">
        <v>423</v>
      </c>
      <c r="BM136" s="189">
        <v>0.02</v>
      </c>
      <c r="BN136" s="189">
        <v>0.5</v>
      </c>
      <c r="BO136" s="188" t="s">
        <v>382</v>
      </c>
      <c r="BP136" s="195">
        <v>0</v>
      </c>
      <c r="BQ136" s="195">
        <f>BP136/1000</f>
        <v>0</v>
      </c>
      <c r="BR136" s="187" t="s">
        <v>410</v>
      </c>
      <c r="BS136" s="189">
        <v>0</v>
      </c>
      <c r="BT136" s="189">
        <v>0</v>
      </c>
      <c r="BU136" s="187"/>
      <c r="BV136" s="195">
        <v>0</v>
      </c>
      <c r="BW136" s="195">
        <f>BV136/1000</f>
        <v>0</v>
      </c>
      <c r="BX136" s="187" t="s">
        <v>515</v>
      </c>
      <c r="BY136" s="189">
        <v>0</v>
      </c>
      <c r="BZ136" s="189">
        <v>0</v>
      </c>
      <c r="CA136" s="187"/>
      <c r="CB136" s="181">
        <v>0</v>
      </c>
      <c r="CC136" s="195">
        <f>CB136/1000</f>
        <v>0</v>
      </c>
      <c r="CD136" s="187" t="s">
        <v>410</v>
      </c>
      <c r="CE136" s="189">
        <v>0</v>
      </c>
      <c r="CF136" s="189">
        <v>0</v>
      </c>
      <c r="CG136" s="187"/>
      <c r="CH136" s="181">
        <v>0</v>
      </c>
      <c r="CI136" s="195">
        <f>CH136/1000</f>
        <v>0</v>
      </c>
      <c r="CJ136" s="187" t="s">
        <v>515</v>
      </c>
      <c r="CK136" s="189">
        <v>0</v>
      </c>
      <c r="CL136" s="189">
        <v>0</v>
      </c>
      <c r="CM136" s="187"/>
      <c r="CN136" s="116"/>
      <c r="CO136" s="100">
        <v>0.01</v>
      </c>
      <c r="CP136" s="100">
        <f t="shared" si="79"/>
        <v>0.255</v>
      </c>
      <c r="CQ136" s="100">
        <v>0.5</v>
      </c>
      <c r="CR136" s="101">
        <v>0.15</v>
      </c>
      <c r="CS136" s="101">
        <v>0.2</v>
      </c>
    </row>
    <row r="137" spans="1:97" s="101" customFormat="1" ht="17.25" hidden="1" customHeight="1" thickBot="1" x14ac:dyDescent="0.3">
      <c r="A137" s="99"/>
      <c r="V137" s="103"/>
      <c r="AA137" s="104"/>
      <c r="AB137" s="104"/>
      <c r="AD137" s="104"/>
      <c r="AE137" s="105"/>
      <c r="AH137" s="106"/>
      <c r="AI137" s="106"/>
      <c r="AK137" s="104"/>
      <c r="AR137" s="104"/>
      <c r="AV137" s="104"/>
      <c r="AX137" s="104"/>
      <c r="BB137" s="104"/>
      <c r="BC137" s="104"/>
      <c r="BE137" s="104"/>
      <c r="BF137" s="168"/>
      <c r="BG137" s="168"/>
      <c r="BH137" s="168"/>
      <c r="BI137" s="190" t="s">
        <v>349</v>
      </c>
      <c r="BJ137" s="187" t="s">
        <v>49</v>
      </c>
      <c r="BK137" s="196">
        <v>3.38</v>
      </c>
      <c r="BL137" s="187" t="s">
        <v>404</v>
      </c>
      <c r="BM137" s="189">
        <v>0.1</v>
      </c>
      <c r="BN137" s="189">
        <v>0.2</v>
      </c>
      <c r="BO137" s="188" t="s">
        <v>494</v>
      </c>
      <c r="BP137" s="195">
        <v>0</v>
      </c>
      <c r="BQ137" s="195">
        <f t="shared" si="75"/>
        <v>0</v>
      </c>
      <c r="BR137" s="187" t="s">
        <v>410</v>
      </c>
      <c r="BS137" s="189">
        <v>0</v>
      </c>
      <c r="BT137" s="189">
        <v>0</v>
      </c>
      <c r="BU137" s="187"/>
      <c r="BV137" s="195">
        <v>0</v>
      </c>
      <c r="BW137" s="195">
        <f t="shared" si="76"/>
        <v>0</v>
      </c>
      <c r="BX137" s="187" t="s">
        <v>515</v>
      </c>
      <c r="BY137" s="189">
        <v>0</v>
      </c>
      <c r="BZ137" s="189">
        <v>0</v>
      </c>
      <c r="CA137" s="187"/>
      <c r="CB137" s="181">
        <v>0</v>
      </c>
      <c r="CC137" s="195">
        <f t="shared" si="77"/>
        <v>0</v>
      </c>
      <c r="CD137" s="187" t="s">
        <v>410</v>
      </c>
      <c r="CE137" s="189">
        <v>0</v>
      </c>
      <c r="CF137" s="189">
        <v>0</v>
      </c>
      <c r="CG137" s="187"/>
      <c r="CH137" s="181">
        <v>0</v>
      </c>
      <c r="CI137" s="195">
        <f t="shared" si="78"/>
        <v>0</v>
      </c>
      <c r="CJ137" s="187" t="s">
        <v>515</v>
      </c>
      <c r="CK137" s="189">
        <v>0</v>
      </c>
      <c r="CL137" s="189">
        <v>0</v>
      </c>
      <c r="CM137" s="187"/>
      <c r="CN137" s="116"/>
      <c r="CO137" s="100">
        <v>0.01</v>
      </c>
      <c r="CP137" s="100">
        <f t="shared" si="79"/>
        <v>0.255</v>
      </c>
      <c r="CQ137" s="100">
        <v>0.5</v>
      </c>
      <c r="CR137" s="101">
        <v>0.15</v>
      </c>
      <c r="CS137" s="101">
        <v>0.2</v>
      </c>
    </row>
    <row r="138" spans="1:97" s="101" customFormat="1" ht="15" hidden="1" customHeight="1" thickBot="1" x14ac:dyDescent="0.3">
      <c r="A138" s="99"/>
      <c r="V138" s="103"/>
      <c r="AA138" s="104"/>
      <c r="AB138" s="104"/>
      <c r="AD138" s="104"/>
      <c r="AE138" s="105"/>
      <c r="AH138" s="106"/>
      <c r="AI138" s="106"/>
      <c r="AK138" s="104"/>
      <c r="AR138" s="104"/>
      <c r="AV138" s="104"/>
      <c r="AX138" s="104"/>
      <c r="BB138" s="104"/>
      <c r="BC138" s="104"/>
      <c r="BE138" s="104"/>
      <c r="BF138" s="168"/>
      <c r="BG138" s="168"/>
      <c r="BH138" s="168"/>
      <c r="BI138" s="102"/>
      <c r="BJ138" s="178"/>
      <c r="BK138" s="178"/>
      <c r="BL138" s="178"/>
      <c r="BM138" s="169"/>
      <c r="BN138" s="169"/>
      <c r="BO138" s="169"/>
      <c r="BP138" s="192"/>
      <c r="BQ138" s="192"/>
      <c r="BR138" s="192"/>
      <c r="BS138" s="192"/>
      <c r="BT138" s="192"/>
      <c r="BU138" s="192"/>
      <c r="BV138" s="178"/>
      <c r="BW138" s="192"/>
      <c r="BX138" s="192"/>
      <c r="BY138" s="178"/>
      <c r="BZ138" s="178"/>
      <c r="CA138" s="178"/>
      <c r="CB138" s="180"/>
      <c r="CC138" s="192"/>
      <c r="CD138" s="192"/>
      <c r="CE138" s="180"/>
      <c r="CF138" s="180"/>
      <c r="CG138" s="180"/>
      <c r="CH138" s="180"/>
      <c r="CI138" s="192"/>
      <c r="CJ138" s="192"/>
      <c r="CK138" s="180"/>
      <c r="CL138" s="180"/>
      <c r="CM138" s="180"/>
      <c r="CN138" s="116"/>
      <c r="CO138" s="100">
        <v>0.01</v>
      </c>
      <c r="CP138" s="100">
        <f t="shared" si="79"/>
        <v>0.255</v>
      </c>
      <c r="CQ138" s="100">
        <v>0.5</v>
      </c>
    </row>
    <row r="139" spans="1:97" s="101" customFormat="1" ht="27" hidden="1" customHeight="1" x14ac:dyDescent="0.25">
      <c r="A139" s="99"/>
      <c r="V139" s="103"/>
      <c r="AA139" s="104"/>
      <c r="AB139" s="104"/>
      <c r="AD139" s="104"/>
      <c r="AE139" s="105"/>
      <c r="AH139" s="106"/>
      <c r="AI139" s="106"/>
      <c r="AK139" s="104"/>
      <c r="AR139" s="104"/>
      <c r="AV139" s="104"/>
      <c r="AX139" s="104"/>
      <c r="BB139" s="104"/>
      <c r="BC139" s="104"/>
      <c r="BE139" s="104"/>
      <c r="BF139" s="168"/>
      <c r="BG139" s="168"/>
      <c r="BH139" s="168"/>
      <c r="BI139" s="1606" t="s">
        <v>255</v>
      </c>
      <c r="BJ139" s="251"/>
      <c r="BK139" s="1606" t="s">
        <v>276</v>
      </c>
      <c r="BL139" s="251"/>
      <c r="BM139" s="1606" t="s">
        <v>233</v>
      </c>
      <c r="BN139" s="1606" t="s">
        <v>233</v>
      </c>
      <c r="BO139" s="1606" t="s">
        <v>240</v>
      </c>
      <c r="BP139" s="251"/>
      <c r="BQ139" s="1606" t="s">
        <v>276</v>
      </c>
      <c r="BR139" s="251"/>
      <c r="BS139" s="1606" t="s">
        <v>233</v>
      </c>
      <c r="BT139" s="1606" t="s">
        <v>233</v>
      </c>
      <c r="BU139" s="1606" t="s">
        <v>240</v>
      </c>
      <c r="BV139" s="178"/>
      <c r="BW139" s="192"/>
      <c r="BX139" s="192"/>
      <c r="BY139" s="178"/>
      <c r="BZ139" s="178"/>
      <c r="CA139" s="178"/>
      <c r="CB139" s="180"/>
      <c r="CC139" s="192"/>
      <c r="CD139" s="192"/>
      <c r="CE139" s="180"/>
      <c r="CF139" s="180"/>
      <c r="CG139" s="180"/>
      <c r="CH139" s="180"/>
      <c r="CI139" s="192"/>
      <c r="CJ139" s="192"/>
      <c r="CK139" s="180"/>
      <c r="CL139" s="180"/>
      <c r="CM139" s="180"/>
      <c r="CN139" s="116"/>
      <c r="CO139" s="100">
        <v>0.01</v>
      </c>
      <c r="CP139" s="100">
        <f t="shared" si="79"/>
        <v>0.255</v>
      </c>
      <c r="CQ139" s="100">
        <v>0.5</v>
      </c>
    </row>
    <row r="140" spans="1:97" s="101" customFormat="1" ht="53.25" hidden="1" customHeight="1" thickBot="1" x14ac:dyDescent="0.3">
      <c r="A140" s="99"/>
      <c r="V140" s="103"/>
      <c r="AA140" s="104"/>
      <c r="AB140" s="104"/>
      <c r="AD140" s="104"/>
      <c r="AE140" s="105"/>
      <c r="AH140" s="106"/>
      <c r="AI140" s="106"/>
      <c r="AK140" s="104"/>
      <c r="AR140" s="104"/>
      <c r="AV140" s="104"/>
      <c r="AX140" s="104"/>
      <c r="BB140" s="104"/>
      <c r="BC140" s="104"/>
      <c r="BE140" s="104"/>
      <c r="BF140" s="168"/>
      <c r="BG140" s="168"/>
      <c r="BH140" s="168"/>
      <c r="BI140" s="1607"/>
      <c r="BJ140" s="252" t="s">
        <v>253</v>
      </c>
      <c r="BK140" s="1607"/>
      <c r="BL140" s="252" t="s">
        <v>251</v>
      </c>
      <c r="BM140" s="1607"/>
      <c r="BN140" s="1607"/>
      <c r="BO140" s="1607"/>
      <c r="BP140" s="252" t="s">
        <v>253</v>
      </c>
      <c r="BQ140" s="1607"/>
      <c r="BR140" s="252" t="s">
        <v>251</v>
      </c>
      <c r="BS140" s="1607"/>
      <c r="BT140" s="1607"/>
      <c r="BU140" s="1607"/>
      <c r="BV140" s="178"/>
      <c r="BW140" s="192"/>
      <c r="BX140" s="192"/>
      <c r="BY140" s="178"/>
      <c r="BZ140" s="178"/>
      <c r="CA140" s="178"/>
      <c r="CB140" s="180"/>
      <c r="CC140" s="192"/>
      <c r="CD140" s="192"/>
      <c r="CE140" s="180"/>
      <c r="CF140" s="180"/>
      <c r="CG140" s="180"/>
      <c r="CH140" s="180"/>
      <c r="CI140" s="192"/>
      <c r="CJ140" s="192"/>
      <c r="CK140" s="180"/>
      <c r="CL140" s="180"/>
      <c r="CM140" s="180"/>
      <c r="CN140" s="116"/>
      <c r="CO140" s="100">
        <v>0.01</v>
      </c>
      <c r="CP140" s="100">
        <f t="shared" si="79"/>
        <v>0.255</v>
      </c>
      <c r="CQ140" s="100">
        <v>0.5</v>
      </c>
    </row>
    <row r="141" spans="1:97" s="101" customFormat="1" ht="18.75" hidden="1" customHeight="1" thickBot="1" x14ac:dyDescent="0.3">
      <c r="A141" s="99"/>
      <c r="V141" s="103"/>
      <c r="AA141" s="104"/>
      <c r="AB141" s="104"/>
      <c r="AD141" s="104"/>
      <c r="AE141" s="105"/>
      <c r="AH141" s="106"/>
      <c r="AI141" s="106"/>
      <c r="AK141" s="104"/>
      <c r="AR141" s="104"/>
      <c r="AV141" s="104"/>
      <c r="AX141" s="104"/>
      <c r="BB141" s="104"/>
      <c r="BC141" s="104"/>
      <c r="BE141" s="104"/>
      <c r="BF141" s="168"/>
      <c r="BG141" s="168"/>
      <c r="BH141" s="168"/>
      <c r="BI141" s="190" t="s">
        <v>176</v>
      </c>
      <c r="BJ141" s="187" t="s">
        <v>49</v>
      </c>
      <c r="BK141" s="196">
        <v>4660</v>
      </c>
      <c r="BL141" s="187" t="s">
        <v>411</v>
      </c>
      <c r="BM141" s="189">
        <v>0.01</v>
      </c>
      <c r="BN141" s="189">
        <v>0.5</v>
      </c>
      <c r="BO141" s="188" t="s">
        <v>311</v>
      </c>
      <c r="BP141" s="187" t="s">
        <v>49</v>
      </c>
      <c r="BQ141" s="196">
        <v>4750</v>
      </c>
      <c r="BR141" s="187" t="s">
        <v>411</v>
      </c>
      <c r="BS141" s="189">
        <v>0.01</v>
      </c>
      <c r="BT141" s="189">
        <v>0.5</v>
      </c>
      <c r="BU141" s="188" t="s">
        <v>254</v>
      </c>
      <c r="BV141" s="102"/>
      <c r="BW141" s="102"/>
      <c r="BX141" s="102"/>
      <c r="BY141" s="102"/>
      <c r="BZ141" s="102"/>
      <c r="CA141" s="102"/>
      <c r="CB141" s="102"/>
      <c r="CC141" s="102"/>
      <c r="CD141" s="102"/>
      <c r="CE141" s="180"/>
      <c r="CF141" s="180"/>
      <c r="CG141" s="180"/>
      <c r="CH141" s="180"/>
      <c r="CI141" s="178"/>
      <c r="CJ141" s="178"/>
      <c r="CK141" s="180"/>
      <c r="CL141" s="180"/>
      <c r="CM141" s="180"/>
      <c r="CN141" s="116"/>
      <c r="CO141" s="100">
        <v>0.01</v>
      </c>
      <c r="CP141" s="100">
        <f t="shared" si="79"/>
        <v>0.255</v>
      </c>
      <c r="CQ141" s="100">
        <v>0.5</v>
      </c>
      <c r="CR141" s="101">
        <v>0.01</v>
      </c>
      <c r="CS141" s="101">
        <v>0.5</v>
      </c>
    </row>
    <row r="142" spans="1:97" s="101" customFormat="1" ht="18.75" hidden="1" customHeight="1" thickBot="1" x14ac:dyDescent="0.3">
      <c r="A142" s="99"/>
      <c r="V142" s="103"/>
      <c r="AA142" s="104"/>
      <c r="AB142" s="104"/>
      <c r="AD142" s="104"/>
      <c r="AE142" s="105"/>
      <c r="AH142" s="106"/>
      <c r="AI142" s="106"/>
      <c r="AK142" s="104"/>
      <c r="AR142" s="104"/>
      <c r="AV142" s="104"/>
      <c r="AX142" s="104"/>
      <c r="BB142" s="104"/>
      <c r="BC142" s="104"/>
      <c r="BE142" s="104"/>
      <c r="BF142" s="168"/>
      <c r="BG142" s="168"/>
      <c r="BH142" s="168"/>
      <c r="BI142" s="190" t="s">
        <v>177</v>
      </c>
      <c r="BJ142" s="187" t="s">
        <v>49</v>
      </c>
      <c r="BK142" s="196">
        <v>10200</v>
      </c>
      <c r="BL142" s="187" t="s">
        <v>411</v>
      </c>
      <c r="BM142" s="189">
        <v>0.01</v>
      </c>
      <c r="BN142" s="189">
        <v>0.5</v>
      </c>
      <c r="BO142" s="188" t="s">
        <v>311</v>
      </c>
      <c r="BP142" s="187" t="s">
        <v>49</v>
      </c>
      <c r="BQ142" s="196">
        <v>10900</v>
      </c>
      <c r="BR142" s="187" t="s">
        <v>411</v>
      </c>
      <c r="BS142" s="189">
        <v>0.01</v>
      </c>
      <c r="BT142" s="189">
        <v>0.5</v>
      </c>
      <c r="BU142" s="188" t="s">
        <v>254</v>
      </c>
      <c r="BV142" s="102"/>
      <c r="BW142" s="102"/>
      <c r="BX142" s="102"/>
      <c r="BY142" s="102"/>
      <c r="BZ142" s="102"/>
      <c r="CA142" s="102"/>
      <c r="CB142" s="102"/>
      <c r="CC142" s="102"/>
      <c r="CD142" s="102"/>
      <c r="CE142" s="192"/>
      <c r="CF142" s="192"/>
      <c r="CG142" s="192"/>
      <c r="CH142" s="197"/>
      <c r="CI142" s="192"/>
      <c r="CJ142" s="192"/>
      <c r="CK142" s="197"/>
      <c r="CL142" s="197"/>
      <c r="CM142" s="192"/>
      <c r="CN142" s="116"/>
      <c r="CO142" s="100">
        <v>0.01</v>
      </c>
      <c r="CP142" s="100">
        <f t="shared" si="79"/>
        <v>0.255</v>
      </c>
      <c r="CQ142" s="100">
        <v>0.5</v>
      </c>
      <c r="CR142" s="101">
        <v>0.01</v>
      </c>
      <c r="CS142" s="101">
        <v>0.5</v>
      </c>
    </row>
    <row r="143" spans="1:97" s="101" customFormat="1" ht="18.75" hidden="1" customHeight="1" thickBot="1" x14ac:dyDescent="0.3">
      <c r="A143" s="99"/>
      <c r="V143" s="103"/>
      <c r="AA143" s="104"/>
      <c r="AB143" s="104"/>
      <c r="AD143" s="104"/>
      <c r="AE143" s="105"/>
      <c r="AH143" s="106"/>
      <c r="AI143" s="106"/>
      <c r="AK143" s="104"/>
      <c r="AR143" s="104"/>
      <c r="AV143" s="104"/>
      <c r="AX143" s="104"/>
      <c r="BB143" s="104"/>
      <c r="BC143" s="104"/>
      <c r="BE143" s="104"/>
      <c r="BF143" s="168"/>
      <c r="BG143" s="168"/>
      <c r="BH143" s="168"/>
      <c r="BI143" s="190" t="s">
        <v>178</v>
      </c>
      <c r="BJ143" s="187" t="s">
        <v>49</v>
      </c>
      <c r="BK143" s="196">
        <v>1760</v>
      </c>
      <c r="BL143" s="187" t="s">
        <v>411</v>
      </c>
      <c r="BM143" s="189">
        <v>0.01</v>
      </c>
      <c r="BN143" s="189">
        <v>0.5</v>
      </c>
      <c r="BO143" s="188" t="s">
        <v>311</v>
      </c>
      <c r="BP143" s="187" t="s">
        <v>49</v>
      </c>
      <c r="BQ143" s="196">
        <v>1810</v>
      </c>
      <c r="BR143" s="187" t="s">
        <v>411</v>
      </c>
      <c r="BS143" s="189">
        <v>0.01</v>
      </c>
      <c r="BT143" s="189">
        <v>0.5</v>
      </c>
      <c r="BU143" s="188" t="s">
        <v>254</v>
      </c>
      <c r="BV143" s="102"/>
      <c r="BW143" s="102"/>
      <c r="BX143" s="102"/>
      <c r="BY143" s="102"/>
      <c r="BZ143" s="102"/>
      <c r="CA143" s="102"/>
      <c r="CB143" s="102"/>
      <c r="CC143" s="102"/>
      <c r="CD143" s="102"/>
      <c r="CE143" s="192"/>
      <c r="CF143" s="192"/>
      <c r="CG143" s="192"/>
      <c r="CH143" s="197"/>
      <c r="CI143" s="192"/>
      <c r="CJ143" s="192"/>
      <c r="CK143" s="197"/>
      <c r="CL143" s="197"/>
      <c r="CM143" s="192"/>
      <c r="CN143" s="116"/>
      <c r="CO143" s="100">
        <v>0.01</v>
      </c>
      <c r="CP143" s="100">
        <f t="shared" si="79"/>
        <v>0.255</v>
      </c>
      <c r="CQ143" s="100">
        <v>0.5</v>
      </c>
      <c r="CR143" s="101">
        <v>0.01</v>
      </c>
      <c r="CS143" s="101">
        <v>0.5</v>
      </c>
    </row>
    <row r="144" spans="1:97" s="101" customFormat="1" ht="18.75" hidden="1" customHeight="1" thickBot="1" x14ac:dyDescent="0.3">
      <c r="A144" s="99"/>
      <c r="V144" s="103"/>
      <c r="AA144" s="104"/>
      <c r="AB144" s="104"/>
      <c r="AD144" s="104"/>
      <c r="AE144" s="105"/>
      <c r="AH144" s="106"/>
      <c r="AI144" s="106"/>
      <c r="AK144" s="104"/>
      <c r="AR144" s="104"/>
      <c r="AV144" s="104"/>
      <c r="AX144" s="104"/>
      <c r="BB144" s="104"/>
      <c r="BC144" s="104"/>
      <c r="BE144" s="104"/>
      <c r="BF144" s="168"/>
      <c r="BG144" s="168"/>
      <c r="BH144" s="168"/>
      <c r="BI144" s="190" t="s">
        <v>357</v>
      </c>
      <c r="BJ144" s="187" t="s">
        <v>49</v>
      </c>
      <c r="BK144" s="196">
        <v>782</v>
      </c>
      <c r="BL144" s="187" t="s">
        <v>411</v>
      </c>
      <c r="BM144" s="189">
        <v>0.01</v>
      </c>
      <c r="BN144" s="189">
        <v>0.5</v>
      </c>
      <c r="BO144" s="188" t="s">
        <v>311</v>
      </c>
      <c r="BP144" s="187"/>
      <c r="BQ144" s="196"/>
      <c r="BR144" s="187"/>
      <c r="BS144" s="189"/>
      <c r="BT144" s="189"/>
      <c r="BU144" s="188"/>
      <c r="BV144" s="102"/>
      <c r="BW144" s="102"/>
      <c r="BX144" s="102"/>
      <c r="BY144" s="102"/>
      <c r="BZ144" s="102"/>
      <c r="CA144" s="102"/>
      <c r="CB144" s="102"/>
      <c r="CC144" s="102"/>
      <c r="CD144" s="102"/>
      <c r="CE144" s="192"/>
      <c r="CF144" s="192"/>
      <c r="CG144" s="192"/>
      <c r="CH144" s="197"/>
      <c r="CI144" s="192"/>
      <c r="CJ144" s="192"/>
      <c r="CK144" s="197"/>
      <c r="CL144" s="197"/>
      <c r="CM144" s="192"/>
      <c r="CN144" s="116"/>
      <c r="CO144" s="100"/>
      <c r="CP144" s="100"/>
      <c r="CQ144" s="100"/>
    </row>
    <row r="145" spans="1:97" s="101" customFormat="1" ht="18.75" hidden="1" customHeight="1" thickBot="1" x14ac:dyDescent="0.3">
      <c r="A145" s="99"/>
      <c r="V145" s="103"/>
      <c r="AA145" s="104"/>
      <c r="AB145" s="104"/>
      <c r="AD145" s="104"/>
      <c r="AE145" s="105"/>
      <c r="AH145" s="106"/>
      <c r="AI145" s="106"/>
      <c r="AK145" s="104"/>
      <c r="AR145" s="104"/>
      <c r="AV145" s="104"/>
      <c r="AX145" s="104"/>
      <c r="BB145" s="104"/>
      <c r="BC145" s="104"/>
      <c r="BE145" s="104"/>
      <c r="BF145" s="168"/>
      <c r="BG145" s="168"/>
      <c r="BH145" s="168"/>
      <c r="BI145" s="190" t="s">
        <v>179</v>
      </c>
      <c r="BJ145" s="187" t="s">
        <v>49</v>
      </c>
      <c r="BK145" s="196">
        <v>12400</v>
      </c>
      <c r="BL145" s="187" t="s">
        <v>411</v>
      </c>
      <c r="BM145" s="189">
        <v>0.01</v>
      </c>
      <c r="BN145" s="189">
        <v>0.5</v>
      </c>
      <c r="BO145" s="188" t="s">
        <v>311</v>
      </c>
      <c r="BP145" s="187" t="s">
        <v>49</v>
      </c>
      <c r="BQ145" s="196">
        <v>14800</v>
      </c>
      <c r="BR145" s="187" t="s">
        <v>411</v>
      </c>
      <c r="BS145" s="189">
        <v>0.01</v>
      </c>
      <c r="BT145" s="189">
        <v>0.5</v>
      </c>
      <c r="BU145" s="188" t="s">
        <v>254</v>
      </c>
      <c r="BV145" s="102"/>
      <c r="BW145" s="102"/>
      <c r="BX145" s="102"/>
      <c r="BY145" s="102"/>
      <c r="BZ145" s="102"/>
      <c r="CA145" s="102"/>
      <c r="CB145" s="102"/>
      <c r="CC145" s="102"/>
      <c r="CD145" s="102"/>
      <c r="CE145" s="192"/>
      <c r="CF145" s="192"/>
      <c r="CG145" s="192"/>
      <c r="CH145" s="197"/>
      <c r="CI145" s="192"/>
      <c r="CJ145" s="192"/>
      <c r="CK145" s="197"/>
      <c r="CL145" s="197"/>
      <c r="CM145" s="192"/>
      <c r="CN145" s="116"/>
      <c r="CO145" s="100"/>
      <c r="CP145" s="100"/>
      <c r="CQ145" s="100"/>
      <c r="CR145" s="101">
        <v>0.01</v>
      </c>
      <c r="CS145" s="101">
        <v>0.5</v>
      </c>
    </row>
    <row r="146" spans="1:97" s="101" customFormat="1" ht="18.75" hidden="1" customHeight="1" thickBot="1" x14ac:dyDescent="0.3">
      <c r="A146" s="99"/>
      <c r="V146" s="103"/>
      <c r="AA146" s="104"/>
      <c r="AB146" s="104"/>
      <c r="AD146" s="104"/>
      <c r="AE146" s="105"/>
      <c r="AH146" s="106"/>
      <c r="AI146" s="106"/>
      <c r="AK146" s="104"/>
      <c r="AR146" s="104"/>
      <c r="AV146" s="104"/>
      <c r="AX146" s="104"/>
      <c r="BB146" s="104"/>
      <c r="BC146" s="104"/>
      <c r="BE146" s="104"/>
      <c r="BF146" s="168"/>
      <c r="BG146" s="168"/>
      <c r="BH146" s="168"/>
      <c r="BI146" s="190" t="s">
        <v>180</v>
      </c>
      <c r="BJ146" s="187" t="s">
        <v>49</v>
      </c>
      <c r="BK146" s="196">
        <v>677</v>
      </c>
      <c r="BL146" s="187" t="s">
        <v>411</v>
      </c>
      <c r="BM146" s="189">
        <v>0.01</v>
      </c>
      <c r="BN146" s="189">
        <v>0.5</v>
      </c>
      <c r="BO146" s="188" t="s">
        <v>311</v>
      </c>
      <c r="BP146" s="187" t="s">
        <v>49</v>
      </c>
      <c r="BQ146" s="196">
        <v>675</v>
      </c>
      <c r="BR146" s="187" t="s">
        <v>411</v>
      </c>
      <c r="BS146" s="189">
        <v>0.01</v>
      </c>
      <c r="BT146" s="189">
        <v>0.5</v>
      </c>
      <c r="BU146" s="188" t="s">
        <v>254</v>
      </c>
      <c r="BV146" s="102"/>
      <c r="BW146" s="102"/>
      <c r="BX146" s="102"/>
      <c r="BY146" s="102"/>
      <c r="BZ146" s="102"/>
      <c r="CA146" s="102"/>
      <c r="CB146" s="102"/>
      <c r="CC146" s="102"/>
      <c r="CD146" s="102"/>
      <c r="CE146" s="192"/>
      <c r="CF146" s="192"/>
      <c r="CG146" s="192"/>
      <c r="CH146" s="197"/>
      <c r="CI146" s="192"/>
      <c r="CJ146" s="192"/>
      <c r="CK146" s="197"/>
      <c r="CL146" s="197"/>
      <c r="CM146" s="192"/>
      <c r="CN146" s="116"/>
      <c r="CO146" s="100"/>
      <c r="CP146" s="100"/>
      <c r="CQ146" s="100"/>
      <c r="CR146" s="101">
        <v>0.01</v>
      </c>
      <c r="CS146" s="101">
        <v>0.5</v>
      </c>
    </row>
    <row r="147" spans="1:97" s="101" customFormat="1" ht="18.75" hidden="1" customHeight="1" thickBot="1" x14ac:dyDescent="0.3">
      <c r="A147" s="99"/>
      <c r="V147" s="103"/>
      <c r="AA147" s="104"/>
      <c r="AB147" s="104"/>
      <c r="AD147" s="104"/>
      <c r="AE147" s="105"/>
      <c r="AH147" s="106"/>
      <c r="AI147" s="106"/>
      <c r="AK147" s="104"/>
      <c r="AR147" s="104"/>
      <c r="AV147" s="104"/>
      <c r="AX147" s="104"/>
      <c r="BB147" s="104"/>
      <c r="BC147" s="104"/>
      <c r="BE147" s="104"/>
      <c r="BF147" s="168"/>
      <c r="BG147" s="168"/>
      <c r="BH147" s="168"/>
      <c r="BI147" s="190" t="s">
        <v>360</v>
      </c>
      <c r="BJ147" s="187" t="s">
        <v>49</v>
      </c>
      <c r="BK147" s="196">
        <v>3170</v>
      </c>
      <c r="BL147" s="187" t="s">
        <v>411</v>
      </c>
      <c r="BM147" s="189">
        <v>0.01</v>
      </c>
      <c r="BN147" s="189">
        <v>0.5</v>
      </c>
      <c r="BO147" s="188" t="s">
        <v>311</v>
      </c>
      <c r="BP147" s="187"/>
      <c r="BQ147" s="196"/>
      <c r="BR147" s="187"/>
      <c r="BS147" s="189"/>
      <c r="BT147" s="189"/>
      <c r="BU147" s="188"/>
      <c r="BV147" s="102"/>
      <c r="BW147" s="102"/>
      <c r="BX147" s="102"/>
      <c r="BY147" s="102"/>
      <c r="BZ147" s="102"/>
      <c r="CA147" s="102"/>
      <c r="CB147" s="102"/>
      <c r="CC147" s="102"/>
      <c r="CD147" s="102"/>
      <c r="CE147" s="192"/>
      <c r="CF147" s="192"/>
      <c r="CG147" s="192"/>
      <c r="CH147" s="197"/>
      <c r="CI147" s="192"/>
      <c r="CJ147" s="192"/>
      <c r="CK147" s="197"/>
      <c r="CL147" s="197"/>
      <c r="CM147" s="192"/>
      <c r="CN147" s="116"/>
      <c r="CO147" s="100"/>
      <c r="CP147" s="100"/>
      <c r="CQ147" s="100"/>
      <c r="CR147" s="101">
        <v>0.01</v>
      </c>
      <c r="CS147" s="101">
        <v>0.5</v>
      </c>
    </row>
    <row r="148" spans="1:97" s="101" customFormat="1" ht="18.75" hidden="1" customHeight="1" thickBot="1" x14ac:dyDescent="0.3">
      <c r="A148" s="99"/>
      <c r="V148" s="103"/>
      <c r="AA148" s="104"/>
      <c r="AB148" s="104"/>
      <c r="AD148" s="104"/>
      <c r="AE148" s="105"/>
      <c r="AH148" s="106"/>
      <c r="AI148" s="106"/>
      <c r="AK148" s="104"/>
      <c r="AR148" s="104"/>
      <c r="AV148" s="104"/>
      <c r="AX148" s="104"/>
      <c r="BB148" s="104"/>
      <c r="BC148" s="104"/>
      <c r="BE148" s="104"/>
      <c r="BF148" s="168"/>
      <c r="BG148" s="168"/>
      <c r="BH148" s="168"/>
      <c r="BI148" s="190" t="s">
        <v>181</v>
      </c>
      <c r="BJ148" s="187" t="s">
        <v>49</v>
      </c>
      <c r="BK148" s="196">
        <v>1120</v>
      </c>
      <c r="BL148" s="187" t="s">
        <v>411</v>
      </c>
      <c r="BM148" s="189">
        <v>0.01</v>
      </c>
      <c r="BN148" s="189">
        <v>0.5</v>
      </c>
      <c r="BO148" s="188" t="s">
        <v>311</v>
      </c>
      <c r="BP148" s="187" t="s">
        <v>49</v>
      </c>
      <c r="BQ148" s="196">
        <v>1100</v>
      </c>
      <c r="BR148" s="187" t="s">
        <v>411</v>
      </c>
      <c r="BS148" s="189">
        <v>0.01</v>
      </c>
      <c r="BT148" s="189">
        <v>0.5</v>
      </c>
      <c r="BU148" s="188" t="s">
        <v>254</v>
      </c>
      <c r="BV148" s="102"/>
      <c r="BW148" s="102"/>
      <c r="BX148" s="102"/>
      <c r="BY148" s="102"/>
      <c r="BZ148" s="102"/>
      <c r="CA148" s="102"/>
      <c r="CB148" s="102"/>
      <c r="CC148" s="102"/>
      <c r="CD148" s="102"/>
      <c r="CE148" s="192"/>
      <c r="CF148" s="192"/>
      <c r="CG148" s="192"/>
      <c r="CH148" s="197"/>
      <c r="CI148" s="192"/>
      <c r="CJ148" s="192"/>
      <c r="CK148" s="197"/>
      <c r="CL148" s="197"/>
      <c r="CM148" s="192"/>
      <c r="CN148" s="116"/>
      <c r="CO148" s="100">
        <v>0.01</v>
      </c>
      <c r="CP148" s="100">
        <f>(CO148+CQ148)/2</f>
        <v>0.255</v>
      </c>
      <c r="CQ148" s="100">
        <v>0.5</v>
      </c>
      <c r="CR148" s="101">
        <v>0.01</v>
      </c>
      <c r="CS148" s="101">
        <v>0.5</v>
      </c>
    </row>
    <row r="149" spans="1:97" s="101" customFormat="1" ht="18.75" hidden="1" customHeight="1" thickBot="1" x14ac:dyDescent="0.3">
      <c r="A149" s="99"/>
      <c r="V149" s="103"/>
      <c r="AA149" s="104"/>
      <c r="AB149" s="104"/>
      <c r="AD149" s="104"/>
      <c r="AE149" s="105"/>
      <c r="AH149" s="106"/>
      <c r="AI149" s="106"/>
      <c r="AK149" s="104"/>
      <c r="AR149" s="104"/>
      <c r="AV149" s="104"/>
      <c r="AX149" s="104"/>
      <c r="BB149" s="104"/>
      <c r="BC149" s="104"/>
      <c r="BE149" s="104"/>
      <c r="BF149" s="168"/>
      <c r="BG149" s="168"/>
      <c r="BH149" s="168"/>
      <c r="BI149" s="190" t="s">
        <v>182</v>
      </c>
      <c r="BJ149" s="187" t="s">
        <v>49</v>
      </c>
      <c r="BK149" s="196">
        <v>1300</v>
      </c>
      <c r="BL149" s="187" t="s">
        <v>411</v>
      </c>
      <c r="BM149" s="189">
        <v>0.01</v>
      </c>
      <c r="BN149" s="189">
        <v>0.5</v>
      </c>
      <c r="BO149" s="188" t="s">
        <v>311</v>
      </c>
      <c r="BP149" s="187" t="s">
        <v>49</v>
      </c>
      <c r="BQ149" s="196">
        <v>1430</v>
      </c>
      <c r="BR149" s="187" t="s">
        <v>411</v>
      </c>
      <c r="BS149" s="189">
        <v>0.01</v>
      </c>
      <c r="BT149" s="189">
        <v>0.5</v>
      </c>
      <c r="BU149" s="188" t="s">
        <v>254</v>
      </c>
      <c r="BV149" s="102"/>
      <c r="BW149" s="102"/>
      <c r="BX149" s="102"/>
      <c r="BY149" s="102"/>
      <c r="BZ149" s="102"/>
      <c r="CA149" s="102"/>
      <c r="CB149" s="102"/>
      <c r="CC149" s="102"/>
      <c r="CD149" s="102"/>
      <c r="CE149" s="192"/>
      <c r="CF149" s="192"/>
      <c r="CG149" s="192"/>
      <c r="CH149" s="197"/>
      <c r="CI149" s="192"/>
      <c r="CJ149" s="192"/>
      <c r="CK149" s="197"/>
      <c r="CL149" s="197"/>
      <c r="CM149" s="192"/>
      <c r="CN149" s="116"/>
      <c r="CO149" s="100">
        <v>0.01</v>
      </c>
      <c r="CP149" s="100">
        <f>(CO149+CQ149)/2</f>
        <v>0.255</v>
      </c>
      <c r="CQ149" s="100">
        <v>0.5</v>
      </c>
      <c r="CR149" s="101">
        <v>0.01</v>
      </c>
      <c r="CS149" s="101">
        <v>0.5</v>
      </c>
    </row>
    <row r="150" spans="1:97" s="101" customFormat="1" ht="18.75" hidden="1" customHeight="1" thickBot="1" x14ac:dyDescent="0.3">
      <c r="A150" s="99"/>
      <c r="V150" s="103"/>
      <c r="AA150" s="104"/>
      <c r="AB150" s="104"/>
      <c r="AD150" s="104"/>
      <c r="AE150" s="105"/>
      <c r="AH150" s="106"/>
      <c r="AI150" s="106"/>
      <c r="AK150" s="104"/>
      <c r="AR150" s="104"/>
      <c r="AV150" s="104"/>
      <c r="AX150" s="104"/>
      <c r="BB150" s="104"/>
      <c r="BC150" s="104"/>
      <c r="BE150" s="104"/>
      <c r="BF150" s="168"/>
      <c r="BG150" s="168"/>
      <c r="BH150" s="168"/>
      <c r="BI150" s="190" t="s">
        <v>186</v>
      </c>
      <c r="BJ150" s="187" t="s">
        <v>49</v>
      </c>
      <c r="BK150" s="196">
        <v>328</v>
      </c>
      <c r="BL150" s="187" t="s">
        <v>411</v>
      </c>
      <c r="BM150" s="189">
        <v>0.01</v>
      </c>
      <c r="BN150" s="189">
        <v>0.5</v>
      </c>
      <c r="BO150" s="188" t="s">
        <v>311</v>
      </c>
      <c r="BP150" s="187" t="s">
        <v>49</v>
      </c>
      <c r="BQ150" s="196">
        <v>353</v>
      </c>
      <c r="BR150" s="187" t="s">
        <v>411</v>
      </c>
      <c r="BS150" s="189">
        <v>0.01</v>
      </c>
      <c r="BT150" s="189">
        <v>0.5</v>
      </c>
      <c r="BU150" s="188" t="s">
        <v>254</v>
      </c>
      <c r="BV150" s="102"/>
      <c r="BW150" s="102"/>
      <c r="BX150" s="102"/>
      <c r="BY150" s="102"/>
      <c r="BZ150" s="102"/>
      <c r="CA150" s="102"/>
      <c r="CB150" s="102"/>
      <c r="CC150" s="102"/>
      <c r="CD150" s="102"/>
      <c r="CE150" s="192"/>
      <c r="CF150" s="192"/>
      <c r="CG150" s="192"/>
      <c r="CH150" s="197"/>
      <c r="CI150" s="192"/>
      <c r="CJ150" s="192"/>
      <c r="CK150" s="197"/>
      <c r="CL150" s="197"/>
      <c r="CM150" s="192"/>
      <c r="CN150" s="116"/>
      <c r="CO150" s="100"/>
      <c r="CP150" s="100"/>
      <c r="CQ150" s="100"/>
      <c r="CR150" s="101">
        <v>0.01</v>
      </c>
      <c r="CS150" s="101">
        <v>0.5</v>
      </c>
    </row>
    <row r="151" spans="1:97" s="101" customFormat="1" ht="18.75" hidden="1" customHeight="1" thickBot="1" x14ac:dyDescent="0.3">
      <c r="A151" s="99"/>
      <c r="V151" s="103"/>
      <c r="AA151" s="104"/>
      <c r="AB151" s="104"/>
      <c r="AD151" s="104"/>
      <c r="AE151" s="105"/>
      <c r="AH151" s="106"/>
      <c r="AI151" s="106"/>
      <c r="AK151" s="104"/>
      <c r="AR151" s="104"/>
      <c r="AV151" s="104"/>
      <c r="AX151" s="104"/>
      <c r="BB151" s="104"/>
      <c r="BC151" s="104"/>
      <c r="BE151" s="104"/>
      <c r="BF151" s="168"/>
      <c r="BG151" s="168"/>
      <c r="BH151" s="168"/>
      <c r="BI151" s="190" t="s">
        <v>187</v>
      </c>
      <c r="BJ151" s="187" t="s">
        <v>49</v>
      </c>
      <c r="BK151" s="196">
        <v>4800</v>
      </c>
      <c r="BL151" s="187" t="s">
        <v>411</v>
      </c>
      <c r="BM151" s="189">
        <v>0.01</v>
      </c>
      <c r="BN151" s="189">
        <v>0.5</v>
      </c>
      <c r="BO151" s="188" t="s">
        <v>311</v>
      </c>
      <c r="BP151" s="187" t="s">
        <v>49</v>
      </c>
      <c r="BQ151" s="196">
        <v>4470</v>
      </c>
      <c r="BR151" s="187" t="s">
        <v>411</v>
      </c>
      <c r="BS151" s="189">
        <v>0.01</v>
      </c>
      <c r="BT151" s="189">
        <v>0.5</v>
      </c>
      <c r="BU151" s="188" t="s">
        <v>254</v>
      </c>
      <c r="BV151" s="102"/>
      <c r="BW151" s="102"/>
      <c r="BX151" s="102"/>
      <c r="BY151" s="102"/>
      <c r="BZ151" s="102"/>
      <c r="CA151" s="102"/>
      <c r="CB151" s="102"/>
      <c r="CC151" s="102"/>
      <c r="CD151" s="102"/>
      <c r="CE151" s="192"/>
      <c r="CF151" s="192"/>
      <c r="CG151" s="192"/>
      <c r="CH151" s="197"/>
      <c r="CI151" s="192"/>
      <c r="CJ151" s="192"/>
      <c r="CK151" s="197"/>
      <c r="CL151" s="197"/>
      <c r="CM151" s="192"/>
      <c r="CN151" s="116"/>
      <c r="CO151" s="100"/>
      <c r="CP151" s="100"/>
      <c r="CQ151" s="100"/>
      <c r="CR151" s="101">
        <v>0.01</v>
      </c>
      <c r="CS151" s="101">
        <v>0.5</v>
      </c>
    </row>
    <row r="152" spans="1:97" s="101" customFormat="1" ht="18.75" hidden="1" customHeight="1" thickBot="1" x14ac:dyDescent="0.3">
      <c r="A152" s="99"/>
      <c r="V152" s="103"/>
      <c r="AA152" s="104"/>
      <c r="AB152" s="104"/>
      <c r="AD152" s="104"/>
      <c r="AE152" s="105"/>
      <c r="AH152" s="106"/>
      <c r="AI152" s="106"/>
      <c r="AK152" s="104"/>
      <c r="AR152" s="104"/>
      <c r="AV152" s="104"/>
      <c r="AX152" s="104"/>
      <c r="BB152" s="104"/>
      <c r="BC152" s="104"/>
      <c r="BE152" s="104"/>
      <c r="BF152" s="168"/>
      <c r="BG152" s="168"/>
      <c r="BH152" s="168"/>
      <c r="BI152" s="190" t="s">
        <v>395</v>
      </c>
      <c r="BJ152" s="187" t="s">
        <v>49</v>
      </c>
      <c r="BK152" s="196">
        <v>3350</v>
      </c>
      <c r="BL152" s="187" t="s">
        <v>411</v>
      </c>
      <c r="BM152" s="189">
        <v>0.01</v>
      </c>
      <c r="BN152" s="189">
        <v>0.5</v>
      </c>
      <c r="BO152" s="188" t="s">
        <v>311</v>
      </c>
      <c r="BP152" s="187"/>
      <c r="BQ152" s="196"/>
      <c r="BR152" s="187"/>
      <c r="BS152" s="189"/>
      <c r="BT152" s="189"/>
      <c r="BU152" s="188"/>
      <c r="BV152" s="102"/>
      <c r="BW152" s="102"/>
      <c r="BX152" s="102"/>
      <c r="BY152" s="102"/>
      <c r="BZ152" s="102"/>
      <c r="CA152" s="102"/>
      <c r="CB152" s="102"/>
      <c r="CC152" s="102"/>
      <c r="CD152" s="102"/>
      <c r="CE152" s="192"/>
      <c r="CF152" s="192"/>
      <c r="CG152" s="192"/>
      <c r="CH152" s="197"/>
      <c r="CI152" s="192"/>
      <c r="CJ152" s="192"/>
      <c r="CK152" s="197"/>
      <c r="CL152" s="197"/>
      <c r="CM152" s="192"/>
      <c r="CN152" s="116"/>
      <c r="CO152" s="100"/>
      <c r="CP152" s="100"/>
      <c r="CQ152" s="100"/>
    </row>
    <row r="153" spans="1:97" s="101" customFormat="1" ht="90.75" hidden="1" customHeight="1" thickBot="1" x14ac:dyDescent="0.3">
      <c r="A153" s="99"/>
      <c r="V153" s="103"/>
      <c r="AA153" s="104"/>
      <c r="AB153" s="104"/>
      <c r="AD153" s="104"/>
      <c r="AE153" s="105"/>
      <c r="AH153" s="106"/>
      <c r="AI153" s="106"/>
      <c r="AK153" s="104"/>
      <c r="AR153" s="104"/>
      <c r="AV153" s="104"/>
      <c r="AX153" s="104"/>
      <c r="BB153" s="104"/>
      <c r="BC153" s="104"/>
      <c r="BE153" s="104"/>
      <c r="BF153" s="168"/>
      <c r="BG153" s="168"/>
      <c r="BH153" s="168"/>
      <c r="BI153" s="190" t="s">
        <v>359</v>
      </c>
      <c r="BJ153" s="187" t="s">
        <v>49</v>
      </c>
      <c r="BK153" s="196">
        <f>(BK149*4%)+(BK147*44%)+(BK151*52%)</f>
        <v>3942.8</v>
      </c>
      <c r="BL153" s="187" t="s">
        <v>411</v>
      </c>
      <c r="BM153" s="189">
        <v>0.01</v>
      </c>
      <c r="BN153" s="189">
        <v>0.5</v>
      </c>
      <c r="BO153" s="188" t="s">
        <v>383</v>
      </c>
      <c r="BP153" s="187" t="s">
        <v>49</v>
      </c>
      <c r="BQ153" s="196">
        <v>3922</v>
      </c>
      <c r="BR153" s="187" t="s">
        <v>411</v>
      </c>
      <c r="BS153" s="189">
        <v>0.01</v>
      </c>
      <c r="BT153" s="189">
        <v>0.5</v>
      </c>
      <c r="BU153" s="198" t="s">
        <v>358</v>
      </c>
      <c r="BV153" s="102"/>
      <c r="BW153" s="102"/>
      <c r="BX153" s="102"/>
      <c r="BY153" s="102"/>
      <c r="BZ153" s="102"/>
      <c r="CA153" s="102"/>
      <c r="CB153" s="102"/>
      <c r="CC153" s="102"/>
      <c r="CD153" s="102"/>
      <c r="CE153" s="192"/>
      <c r="CF153" s="192"/>
      <c r="CG153" s="192"/>
      <c r="CH153" s="197"/>
      <c r="CI153" s="192"/>
      <c r="CJ153" s="192"/>
      <c r="CK153" s="197"/>
      <c r="CL153" s="197"/>
      <c r="CM153" s="192"/>
      <c r="CN153" s="116"/>
      <c r="CO153" s="100"/>
      <c r="CP153" s="100"/>
      <c r="CQ153" s="100"/>
      <c r="CR153" s="101">
        <v>0.01</v>
      </c>
      <c r="CS153" s="101">
        <v>0.5</v>
      </c>
    </row>
    <row r="154" spans="1:97" s="101" customFormat="1" ht="128.25" hidden="1" customHeight="1" thickBot="1" x14ac:dyDescent="0.3">
      <c r="A154" s="99"/>
      <c r="V154" s="103"/>
      <c r="AA154" s="104"/>
      <c r="AB154" s="104"/>
      <c r="AD154" s="104"/>
      <c r="AE154" s="105"/>
      <c r="AH154" s="106"/>
      <c r="AI154" s="106"/>
      <c r="AK154" s="104"/>
      <c r="AR154" s="104"/>
      <c r="AV154" s="104"/>
      <c r="AX154" s="104"/>
      <c r="BB154" s="104"/>
      <c r="BC154" s="104"/>
      <c r="BE154" s="104"/>
      <c r="BF154" s="168"/>
      <c r="BG154" s="168"/>
      <c r="BH154" s="168"/>
      <c r="BI154" s="190" t="s">
        <v>185</v>
      </c>
      <c r="BJ154" s="187" t="s">
        <v>49</v>
      </c>
      <c r="BK154" s="196">
        <f>(BK149*52%)+(BK147*25%)+(BK146*23%)</f>
        <v>1624.21</v>
      </c>
      <c r="BL154" s="187" t="s">
        <v>411</v>
      </c>
      <c r="BM154" s="189">
        <v>0.01</v>
      </c>
      <c r="BN154" s="189">
        <v>0.5</v>
      </c>
      <c r="BO154" s="188" t="s">
        <v>384</v>
      </c>
      <c r="BP154" s="187" t="s">
        <v>49</v>
      </c>
      <c r="BQ154" s="196">
        <v>1774</v>
      </c>
      <c r="BR154" s="187" t="s">
        <v>411</v>
      </c>
      <c r="BS154" s="189">
        <v>0.01</v>
      </c>
      <c r="BT154" s="189">
        <v>0.5</v>
      </c>
      <c r="BU154" s="188" t="s">
        <v>254</v>
      </c>
      <c r="BV154" s="102"/>
      <c r="BW154" s="102"/>
      <c r="BX154" s="102"/>
      <c r="BY154" s="102"/>
      <c r="BZ154" s="102"/>
      <c r="CA154" s="102"/>
      <c r="CB154" s="102"/>
      <c r="CC154" s="102"/>
      <c r="CD154" s="102"/>
      <c r="CE154" s="192"/>
      <c r="CF154" s="192"/>
      <c r="CG154" s="192"/>
      <c r="CH154" s="197"/>
      <c r="CI154" s="192"/>
      <c r="CJ154" s="192"/>
      <c r="CK154" s="197"/>
      <c r="CL154" s="197"/>
      <c r="CM154" s="192"/>
      <c r="CN154" s="116"/>
      <c r="CO154" s="100">
        <v>0.15</v>
      </c>
      <c r="CP154" s="100">
        <f>(CO154+CQ154)/2</f>
        <v>0.17499999999999999</v>
      </c>
      <c r="CQ154" s="100">
        <v>0.2</v>
      </c>
      <c r="CR154" s="101">
        <v>0.01</v>
      </c>
      <c r="CS154" s="101">
        <v>0.5</v>
      </c>
    </row>
    <row r="155" spans="1:97" s="101" customFormat="1" ht="128.25" hidden="1" customHeight="1" thickBot="1" x14ac:dyDescent="0.3">
      <c r="A155" s="99"/>
      <c r="V155" s="103"/>
      <c r="AA155" s="104"/>
      <c r="AB155" s="104"/>
      <c r="AD155" s="104"/>
      <c r="AE155" s="105"/>
      <c r="AH155" s="106"/>
      <c r="AI155" s="106"/>
      <c r="AK155" s="104"/>
      <c r="AR155" s="104"/>
      <c r="AV155" s="104"/>
      <c r="AX155" s="104"/>
      <c r="BB155" s="104"/>
      <c r="BC155" s="104"/>
      <c r="BE155" s="104"/>
      <c r="BF155" s="168"/>
      <c r="BG155" s="168"/>
      <c r="BH155" s="168"/>
      <c r="BI155" s="190" t="s">
        <v>184</v>
      </c>
      <c r="BJ155" s="187" t="s">
        <v>49</v>
      </c>
      <c r="BK155" s="196">
        <f>(BK147*50%)+(BK146*50%)</f>
        <v>1923.5</v>
      </c>
      <c r="BL155" s="187" t="s">
        <v>411</v>
      </c>
      <c r="BM155" s="189">
        <v>0.01</v>
      </c>
      <c r="BN155" s="189">
        <v>0.5</v>
      </c>
      <c r="BO155" s="188" t="s">
        <v>385</v>
      </c>
      <c r="BP155" s="187" t="s">
        <v>49</v>
      </c>
      <c r="BQ155" s="196">
        <v>2088</v>
      </c>
      <c r="BR155" s="187" t="s">
        <v>411</v>
      </c>
      <c r="BS155" s="189">
        <v>0.01</v>
      </c>
      <c r="BT155" s="189">
        <v>0.5</v>
      </c>
      <c r="BU155" s="188" t="s">
        <v>254</v>
      </c>
      <c r="BV155" s="102"/>
      <c r="BW155" s="102"/>
      <c r="BX155" s="102"/>
      <c r="BY155" s="102"/>
      <c r="BZ155" s="102"/>
      <c r="CA155" s="102"/>
      <c r="CB155" s="102"/>
      <c r="CC155" s="102"/>
      <c r="CD155" s="102"/>
      <c r="CE155" s="192"/>
      <c r="CF155" s="192"/>
      <c r="CG155" s="192"/>
      <c r="CH155" s="197"/>
      <c r="CI155" s="192"/>
      <c r="CJ155" s="192"/>
      <c r="CK155" s="197"/>
      <c r="CL155" s="197"/>
      <c r="CM155" s="192"/>
      <c r="CN155" s="116"/>
      <c r="CO155" s="100">
        <v>0.15</v>
      </c>
      <c r="CP155" s="100">
        <f>(CO155+CQ155)/2</f>
        <v>0.17499999999999999</v>
      </c>
      <c r="CQ155" s="100">
        <v>0.2</v>
      </c>
      <c r="CR155" s="101">
        <v>0.01</v>
      </c>
      <c r="CS155" s="101">
        <v>0.5</v>
      </c>
    </row>
    <row r="156" spans="1:97" s="101" customFormat="1" ht="128.25" hidden="1" customHeight="1" thickBot="1" x14ac:dyDescent="0.3">
      <c r="A156" s="99"/>
      <c r="V156" s="103"/>
      <c r="AA156" s="104"/>
      <c r="AB156" s="104"/>
      <c r="AD156" s="104"/>
      <c r="AE156" s="105"/>
      <c r="AH156" s="106"/>
      <c r="AI156" s="106"/>
      <c r="AK156" s="104"/>
      <c r="AR156" s="104"/>
      <c r="AV156" s="104"/>
      <c r="AX156" s="104"/>
      <c r="BB156" s="104"/>
      <c r="BC156" s="104"/>
      <c r="BE156" s="104"/>
      <c r="BF156" s="168"/>
      <c r="BG156" s="168"/>
      <c r="BH156" s="168"/>
      <c r="BI156" s="190" t="s">
        <v>188</v>
      </c>
      <c r="BJ156" s="187" t="s">
        <v>49</v>
      </c>
      <c r="BK156" s="196">
        <f>(BK147*65.1%)+(BK149*31.5%)+(BK160*3.4%)</f>
        <v>2473.2039999999997</v>
      </c>
      <c r="BL156" s="187" t="s">
        <v>411</v>
      </c>
      <c r="BM156" s="189">
        <v>0.01</v>
      </c>
      <c r="BN156" s="189">
        <v>0.5</v>
      </c>
      <c r="BO156" s="188" t="s">
        <v>386</v>
      </c>
      <c r="BP156" s="187" t="s">
        <v>49</v>
      </c>
      <c r="BQ156" s="196">
        <v>2729</v>
      </c>
      <c r="BR156" s="187" t="s">
        <v>411</v>
      </c>
      <c r="BS156" s="189">
        <v>0.01</v>
      </c>
      <c r="BT156" s="189">
        <v>0.5</v>
      </c>
      <c r="BU156" s="188" t="s">
        <v>254</v>
      </c>
      <c r="BV156" s="102"/>
      <c r="BW156" s="102"/>
      <c r="BX156" s="102"/>
      <c r="BY156" s="102"/>
      <c r="BZ156" s="102"/>
      <c r="CA156" s="102"/>
      <c r="CB156" s="102"/>
      <c r="CC156" s="102"/>
      <c r="CD156" s="102"/>
      <c r="CE156" s="192"/>
      <c r="CF156" s="192"/>
      <c r="CG156" s="192"/>
      <c r="CH156" s="197"/>
      <c r="CI156" s="192"/>
      <c r="CJ156" s="192"/>
      <c r="CK156" s="197"/>
      <c r="CL156" s="197"/>
      <c r="CM156" s="192"/>
      <c r="CN156" s="116"/>
      <c r="CO156" s="100"/>
      <c r="CP156" s="100"/>
      <c r="CQ156" s="100"/>
      <c r="CR156" s="101">
        <v>0.01</v>
      </c>
      <c r="CS156" s="101">
        <v>0.5</v>
      </c>
    </row>
    <row r="157" spans="1:97" s="101" customFormat="1" ht="18.75" hidden="1" customHeight="1" thickBot="1" x14ac:dyDescent="0.3">
      <c r="A157" s="99"/>
      <c r="V157" s="103"/>
      <c r="AA157" s="104"/>
      <c r="AB157" s="104"/>
      <c r="AD157" s="104"/>
      <c r="AE157" s="105"/>
      <c r="AH157" s="106"/>
      <c r="AI157" s="106"/>
      <c r="AK157" s="104"/>
      <c r="AR157" s="104"/>
      <c r="AV157" s="104"/>
      <c r="AX157" s="104"/>
      <c r="BB157" s="104"/>
      <c r="BC157" s="104"/>
      <c r="BE157" s="104"/>
      <c r="BF157" s="168"/>
      <c r="BG157" s="168"/>
      <c r="BH157" s="168"/>
      <c r="BI157" s="190" t="s">
        <v>183</v>
      </c>
      <c r="BJ157" s="187" t="s">
        <v>49</v>
      </c>
      <c r="BK157" s="196">
        <v>6630</v>
      </c>
      <c r="BL157" s="187" t="s">
        <v>411</v>
      </c>
      <c r="BM157" s="189">
        <v>0.01</v>
      </c>
      <c r="BN157" s="189">
        <v>0.5</v>
      </c>
      <c r="BO157" s="188" t="s">
        <v>311</v>
      </c>
      <c r="BP157" s="187" t="s">
        <v>49</v>
      </c>
      <c r="BQ157" s="196">
        <v>7390</v>
      </c>
      <c r="BR157" s="187" t="s">
        <v>411</v>
      </c>
      <c r="BS157" s="189">
        <v>0.01</v>
      </c>
      <c r="BT157" s="189">
        <v>0.5</v>
      </c>
      <c r="BU157" s="188" t="s">
        <v>254</v>
      </c>
      <c r="BV157" s="102"/>
      <c r="BW157" s="102"/>
      <c r="BX157" s="102"/>
      <c r="BY157" s="102"/>
      <c r="BZ157" s="102"/>
      <c r="CA157" s="102"/>
      <c r="CB157" s="102"/>
      <c r="CC157" s="102"/>
      <c r="CD157" s="102"/>
      <c r="CE157" s="192"/>
      <c r="CF157" s="192"/>
      <c r="CG157" s="192"/>
      <c r="CH157" s="180"/>
      <c r="CI157" s="192"/>
      <c r="CJ157" s="192"/>
      <c r="CK157" s="180"/>
      <c r="CL157" s="180"/>
      <c r="CM157" s="192"/>
      <c r="CN157" s="116"/>
      <c r="CO157" s="100"/>
      <c r="CP157" s="100"/>
      <c r="CQ157" s="100"/>
      <c r="CR157" s="101">
        <v>0.01</v>
      </c>
      <c r="CS157" s="101">
        <v>0.5</v>
      </c>
    </row>
    <row r="158" spans="1:97" s="101" customFormat="1" ht="18.75" hidden="1" customHeight="1" thickBot="1" x14ac:dyDescent="0.3">
      <c r="A158" s="99"/>
      <c r="V158" s="103"/>
      <c r="AA158" s="104"/>
      <c r="AB158" s="104"/>
      <c r="AD158" s="104"/>
      <c r="AE158" s="105"/>
      <c r="AH158" s="106"/>
      <c r="AI158" s="106"/>
      <c r="AK158" s="104"/>
      <c r="AR158" s="104"/>
      <c r="AV158" s="104"/>
      <c r="AX158" s="104"/>
      <c r="BB158" s="104"/>
      <c r="BC158" s="104"/>
      <c r="BE158" s="104"/>
      <c r="BF158" s="168"/>
      <c r="BG158" s="168"/>
      <c r="BH158" s="168"/>
      <c r="BI158" s="190" t="s">
        <v>394</v>
      </c>
      <c r="BJ158" s="187" t="s">
        <v>49</v>
      </c>
      <c r="BK158" s="196">
        <v>182</v>
      </c>
      <c r="BL158" s="187" t="s">
        <v>411</v>
      </c>
      <c r="BM158" s="189">
        <v>0.01</v>
      </c>
      <c r="BN158" s="189">
        <v>0.5</v>
      </c>
      <c r="BO158" s="188" t="s">
        <v>311</v>
      </c>
      <c r="BP158" s="187"/>
      <c r="BQ158" s="196"/>
      <c r="BR158" s="187"/>
      <c r="BS158" s="189"/>
      <c r="BT158" s="189"/>
      <c r="BU158" s="188"/>
      <c r="BV158" s="102"/>
      <c r="BW158" s="102"/>
      <c r="BX158" s="102"/>
      <c r="BY158" s="102"/>
      <c r="BZ158" s="102"/>
      <c r="CA158" s="102"/>
      <c r="CB158" s="102"/>
      <c r="CC158" s="102"/>
      <c r="CD158" s="102"/>
      <c r="CE158" s="192"/>
      <c r="CF158" s="192"/>
      <c r="CG158" s="192"/>
      <c r="CH158" s="180"/>
      <c r="CI158" s="192"/>
      <c r="CJ158" s="192"/>
      <c r="CK158" s="180"/>
      <c r="CL158" s="180"/>
      <c r="CM158" s="192"/>
      <c r="CN158" s="116"/>
      <c r="CO158" s="100"/>
      <c r="CP158" s="100"/>
      <c r="CQ158" s="100"/>
    </row>
    <row r="159" spans="1:97" s="101" customFormat="1" ht="105.75" hidden="1" customHeight="1" thickBot="1" x14ac:dyDescent="0.3">
      <c r="A159" s="99"/>
      <c r="V159" s="103"/>
      <c r="AA159" s="104"/>
      <c r="AB159" s="104"/>
      <c r="AD159" s="104"/>
      <c r="AE159" s="105"/>
      <c r="AH159" s="106"/>
      <c r="AI159" s="106"/>
      <c r="AK159" s="104"/>
      <c r="AR159" s="104"/>
      <c r="AV159" s="104"/>
      <c r="AX159" s="104"/>
      <c r="BB159" s="104"/>
      <c r="BC159" s="104"/>
      <c r="BE159" s="104"/>
      <c r="BF159" s="168"/>
      <c r="BG159" s="168"/>
      <c r="BH159" s="168"/>
      <c r="BI159" s="190" t="s">
        <v>361</v>
      </c>
      <c r="BJ159" s="187" t="s">
        <v>49</v>
      </c>
      <c r="BK159" s="196">
        <v>3</v>
      </c>
      <c r="BL159" s="187" t="s">
        <v>411</v>
      </c>
      <c r="BM159" s="189">
        <v>0.01</v>
      </c>
      <c r="BN159" s="189">
        <v>0.5</v>
      </c>
      <c r="BO159" s="198" t="s">
        <v>312</v>
      </c>
      <c r="BP159" s="187" t="s">
        <v>49</v>
      </c>
      <c r="BQ159" s="196">
        <v>3</v>
      </c>
      <c r="BR159" s="187" t="s">
        <v>411</v>
      </c>
      <c r="BS159" s="189">
        <v>0.01</v>
      </c>
      <c r="BT159" s="189">
        <v>0.5</v>
      </c>
      <c r="BU159" s="188" t="s">
        <v>254</v>
      </c>
      <c r="BV159" s="102"/>
      <c r="BW159" s="102"/>
      <c r="BX159" s="102"/>
      <c r="BY159" s="102"/>
      <c r="BZ159" s="102"/>
      <c r="CA159" s="102"/>
      <c r="CB159" s="102"/>
      <c r="CC159" s="102"/>
      <c r="CD159" s="102"/>
      <c r="CE159" s="192"/>
      <c r="CF159" s="192"/>
      <c r="CG159" s="192"/>
      <c r="CH159" s="197"/>
      <c r="CI159" s="192"/>
      <c r="CJ159" s="192"/>
      <c r="CK159" s="197"/>
      <c r="CL159" s="197"/>
      <c r="CM159" s="192"/>
      <c r="CN159" s="116"/>
      <c r="CO159" s="100"/>
      <c r="CP159" s="100"/>
      <c r="CQ159" s="100"/>
      <c r="CR159" s="101">
        <v>0.01</v>
      </c>
      <c r="CS159" s="101">
        <v>0.5</v>
      </c>
    </row>
    <row r="160" spans="1:97" s="101" customFormat="1" ht="64.5" hidden="1" customHeight="1" thickBot="1" x14ac:dyDescent="0.3">
      <c r="A160" s="99"/>
      <c r="V160" s="103"/>
      <c r="AA160" s="104"/>
      <c r="AB160" s="104"/>
      <c r="AD160" s="104"/>
      <c r="AE160" s="105"/>
      <c r="AH160" s="106"/>
      <c r="AI160" s="106"/>
      <c r="AK160" s="104"/>
      <c r="AR160" s="104"/>
      <c r="AV160" s="104"/>
      <c r="AX160" s="104"/>
      <c r="BB160" s="104"/>
      <c r="BC160" s="104"/>
      <c r="BE160" s="104"/>
      <c r="BF160" s="168"/>
      <c r="BG160" s="168"/>
      <c r="BH160" s="168"/>
      <c r="BI160" s="190" t="s">
        <v>362</v>
      </c>
      <c r="BJ160" s="187" t="s">
        <v>49</v>
      </c>
      <c r="BK160" s="196">
        <v>1</v>
      </c>
      <c r="BL160" s="187" t="s">
        <v>411</v>
      </c>
      <c r="BM160" s="189">
        <v>0.01</v>
      </c>
      <c r="BN160" s="189">
        <v>0.5</v>
      </c>
      <c r="BO160" s="188" t="s">
        <v>312</v>
      </c>
      <c r="BP160" s="187" t="s">
        <v>49</v>
      </c>
      <c r="BQ160" s="196">
        <v>3</v>
      </c>
      <c r="BR160" s="187" t="s">
        <v>411</v>
      </c>
      <c r="BS160" s="189">
        <v>0.01</v>
      </c>
      <c r="BT160" s="189">
        <v>0.5</v>
      </c>
      <c r="BU160" s="188" t="s">
        <v>254</v>
      </c>
      <c r="BV160" s="102"/>
      <c r="BW160" s="102"/>
      <c r="BX160" s="102"/>
      <c r="BY160" s="102"/>
      <c r="BZ160" s="102"/>
      <c r="CA160" s="102"/>
      <c r="CB160" s="102"/>
      <c r="CC160" s="102"/>
      <c r="CD160" s="102"/>
      <c r="CE160" s="192"/>
      <c r="CF160" s="192"/>
      <c r="CG160" s="192"/>
      <c r="CH160" s="197"/>
      <c r="CI160" s="192"/>
      <c r="CJ160" s="192"/>
      <c r="CK160" s="197"/>
      <c r="CL160" s="197"/>
      <c r="CM160" s="192"/>
      <c r="CN160" s="116"/>
      <c r="CO160" s="100">
        <v>0.01</v>
      </c>
      <c r="CP160" s="100">
        <f>(CO160+CQ160)/2</f>
        <v>0.255</v>
      </c>
      <c r="CQ160" s="100">
        <v>0.5</v>
      </c>
      <c r="CR160" s="101">
        <v>0.01</v>
      </c>
      <c r="CS160" s="101">
        <v>0.5</v>
      </c>
    </row>
    <row r="161" spans="1:97" s="101" customFormat="1" ht="18.75" hidden="1" customHeight="1" thickBot="1" x14ac:dyDescent="0.3">
      <c r="A161" s="99"/>
      <c r="V161" s="103"/>
      <c r="AA161" s="104"/>
      <c r="AB161" s="104"/>
      <c r="AD161" s="104"/>
      <c r="AE161" s="105"/>
      <c r="AH161" s="106"/>
      <c r="AI161" s="106"/>
      <c r="AK161" s="104"/>
      <c r="AR161" s="104"/>
      <c r="AV161" s="104"/>
      <c r="AX161" s="104"/>
      <c r="BB161" s="104"/>
      <c r="BC161" s="104"/>
      <c r="BE161" s="104"/>
      <c r="BF161" s="168"/>
      <c r="BG161" s="168"/>
      <c r="BH161" s="168"/>
      <c r="BI161" s="190" t="s">
        <v>192</v>
      </c>
      <c r="BJ161" s="187" t="s">
        <v>49</v>
      </c>
      <c r="BK161" s="196">
        <v>6290</v>
      </c>
      <c r="BL161" s="187" t="s">
        <v>411</v>
      </c>
      <c r="BM161" s="189">
        <v>0.01</v>
      </c>
      <c r="BN161" s="189">
        <v>0.5</v>
      </c>
      <c r="BO161" s="188" t="s">
        <v>311</v>
      </c>
      <c r="BP161" s="187" t="s">
        <v>49</v>
      </c>
      <c r="BQ161" s="196">
        <v>7140</v>
      </c>
      <c r="BR161" s="187" t="s">
        <v>411</v>
      </c>
      <c r="BS161" s="189">
        <v>0.01</v>
      </c>
      <c r="BT161" s="189">
        <v>0.5</v>
      </c>
      <c r="BU161" s="188" t="s">
        <v>254</v>
      </c>
      <c r="BV161" s="102"/>
      <c r="BW161" s="102"/>
      <c r="BX161" s="102"/>
      <c r="BY161" s="102"/>
      <c r="BZ161" s="102"/>
      <c r="CA161" s="102"/>
      <c r="CB161" s="102"/>
      <c r="CC161" s="102"/>
      <c r="CD161" s="102"/>
      <c r="CE161" s="192"/>
      <c r="CF161" s="192"/>
      <c r="CG161" s="192"/>
      <c r="CH161" s="197"/>
      <c r="CI161" s="192"/>
      <c r="CJ161" s="192"/>
      <c r="CK161" s="197"/>
      <c r="CL161" s="197"/>
      <c r="CM161" s="192"/>
      <c r="CN161" s="116"/>
      <c r="CO161" s="100"/>
      <c r="CP161" s="100"/>
      <c r="CQ161" s="100"/>
      <c r="CR161" s="101">
        <v>0.01</v>
      </c>
      <c r="CS161" s="101">
        <v>0.5</v>
      </c>
    </row>
    <row r="162" spans="1:97" s="101" customFormat="1" ht="15.75" hidden="1" customHeight="1" thickBot="1" x14ac:dyDescent="0.3">
      <c r="A162" s="99"/>
      <c r="V162" s="103"/>
      <c r="AA162" s="104"/>
      <c r="AB162" s="104"/>
      <c r="AD162" s="104"/>
      <c r="AE162" s="105"/>
      <c r="AH162" s="106"/>
      <c r="AI162" s="106"/>
      <c r="AK162" s="104"/>
      <c r="AR162" s="104"/>
      <c r="AV162" s="104"/>
      <c r="AX162" s="104"/>
      <c r="BB162" s="104"/>
      <c r="BC162" s="104"/>
      <c r="BE162" s="104"/>
      <c r="BF162" s="168"/>
      <c r="BG162" s="168"/>
      <c r="BH162" s="168"/>
      <c r="BI162" s="190"/>
      <c r="BJ162" s="187"/>
      <c r="BK162" s="196"/>
      <c r="BL162" s="187"/>
      <c r="BM162" s="189"/>
      <c r="BN162" s="189"/>
      <c r="BO162" s="188"/>
      <c r="BP162" s="187"/>
      <c r="BQ162" s="196"/>
      <c r="BR162" s="187"/>
      <c r="BS162" s="189"/>
      <c r="BT162" s="189"/>
      <c r="BU162" s="188"/>
      <c r="BV162" s="102"/>
      <c r="BW162" s="102"/>
      <c r="BX162" s="102"/>
      <c r="BY162" s="102"/>
      <c r="BZ162" s="102"/>
      <c r="CA162" s="102"/>
      <c r="CB162" s="102"/>
      <c r="CC162" s="102"/>
      <c r="CD162" s="102"/>
      <c r="CE162" s="192"/>
      <c r="CF162" s="192"/>
      <c r="CG162" s="192"/>
      <c r="CH162" s="180"/>
      <c r="CI162" s="192"/>
      <c r="CJ162" s="192"/>
      <c r="CK162" s="180"/>
      <c r="CL162" s="180"/>
      <c r="CM162" s="192"/>
      <c r="CN162" s="116"/>
      <c r="CO162" s="100"/>
      <c r="CP162" s="100"/>
      <c r="CQ162" s="100"/>
      <c r="CR162" s="101">
        <v>0.01</v>
      </c>
      <c r="CS162" s="101">
        <v>0.5</v>
      </c>
    </row>
    <row r="163" spans="1:97" s="101" customFormat="1" ht="15" hidden="1" customHeight="1" x14ac:dyDescent="0.25">
      <c r="A163" s="99"/>
      <c r="V163" s="103"/>
      <c r="AA163" s="104"/>
      <c r="AB163" s="104"/>
      <c r="AD163" s="104"/>
      <c r="AE163" s="105"/>
      <c r="AH163" s="106"/>
      <c r="AI163" s="106"/>
      <c r="AK163" s="104"/>
      <c r="AR163" s="104"/>
      <c r="AV163" s="104"/>
      <c r="AX163" s="104"/>
      <c r="BB163" s="104"/>
      <c r="BC163" s="104"/>
      <c r="BE163" s="104"/>
      <c r="BF163" s="168"/>
      <c r="BG163" s="168"/>
      <c r="BH163" s="168"/>
      <c r="BI163" s="102"/>
      <c r="BJ163" s="178"/>
      <c r="BK163" s="178"/>
      <c r="BL163" s="178"/>
      <c r="BM163" s="169"/>
      <c r="BN163" s="169"/>
      <c r="BO163" s="169"/>
      <c r="BP163" s="192"/>
      <c r="BQ163" s="192"/>
      <c r="BR163" s="192"/>
      <c r="BS163" s="192"/>
      <c r="BT163" s="192"/>
      <c r="BU163" s="192"/>
      <c r="BV163" s="178"/>
      <c r="BW163" s="192"/>
      <c r="BX163" s="192"/>
      <c r="BY163" s="178"/>
      <c r="BZ163" s="178"/>
      <c r="CA163" s="178"/>
      <c r="CB163" s="192"/>
      <c r="CC163" s="192"/>
      <c r="CD163" s="192"/>
      <c r="CE163" s="192"/>
      <c r="CF163" s="192"/>
      <c r="CG163" s="192"/>
      <c r="CH163" s="180"/>
      <c r="CI163" s="192"/>
      <c r="CJ163" s="192"/>
      <c r="CK163" s="180"/>
      <c r="CL163" s="180"/>
      <c r="CM163" s="192"/>
      <c r="CN163" s="116"/>
      <c r="CO163" s="100"/>
      <c r="CP163" s="100"/>
      <c r="CQ163" s="100"/>
    </row>
    <row r="164" spans="1:97" s="101" customFormat="1" ht="15" hidden="1" customHeight="1" thickBot="1" x14ac:dyDescent="0.3">
      <c r="A164" s="99"/>
      <c r="V164" s="103"/>
      <c r="AA164" s="104"/>
      <c r="AB164" s="104"/>
      <c r="AD164" s="104"/>
      <c r="AE164" s="105"/>
      <c r="AH164" s="106"/>
      <c r="AI164" s="106"/>
      <c r="AK164" s="104"/>
      <c r="AR164" s="104"/>
      <c r="AV164" s="104"/>
      <c r="AX164" s="104"/>
      <c r="BB164" s="104"/>
      <c r="BC164" s="104"/>
      <c r="BE164" s="104"/>
      <c r="BF164" s="168"/>
      <c r="BG164" s="168"/>
      <c r="BH164" s="168"/>
      <c r="BI164" s="102"/>
      <c r="BJ164" s="178"/>
      <c r="BK164" s="178"/>
      <c r="BL164" s="178"/>
      <c r="BM164" s="169"/>
      <c r="BN164" s="169"/>
      <c r="BO164" s="169"/>
      <c r="BP164" s="178"/>
      <c r="BQ164" s="178"/>
      <c r="BR164" s="178"/>
      <c r="BS164" s="178"/>
      <c r="BT164" s="178"/>
      <c r="BU164" s="178"/>
      <c r="BV164" s="178"/>
      <c r="BW164" s="178"/>
      <c r="BX164" s="178"/>
      <c r="BY164" s="178"/>
      <c r="BZ164" s="178"/>
      <c r="CA164" s="178"/>
      <c r="CB164" s="180"/>
      <c r="CC164" s="178"/>
      <c r="CD164" s="178"/>
      <c r="CE164" s="180"/>
      <c r="CF164" s="180"/>
      <c r="CG164" s="180"/>
      <c r="CH164" s="180"/>
      <c r="CI164" s="178"/>
      <c r="CJ164" s="178"/>
      <c r="CK164" s="180"/>
      <c r="CL164" s="180"/>
      <c r="CM164" s="180"/>
      <c r="CN164" s="116"/>
      <c r="CO164" s="100"/>
      <c r="CP164" s="100"/>
      <c r="CQ164" s="100"/>
    </row>
    <row r="165" spans="1:97" s="101" customFormat="1" ht="33.75" hidden="1" customHeight="1" x14ac:dyDescent="0.25">
      <c r="A165" s="99"/>
      <c r="V165" s="103"/>
      <c r="AA165" s="104"/>
      <c r="AB165" s="104"/>
      <c r="AD165" s="104"/>
      <c r="AE165" s="105"/>
      <c r="AH165" s="106"/>
      <c r="AI165" s="106"/>
      <c r="AK165" s="104"/>
      <c r="AR165" s="104"/>
      <c r="AV165" s="104"/>
      <c r="AX165" s="104"/>
      <c r="BB165" s="104"/>
      <c r="BC165" s="104"/>
      <c r="BE165" s="104"/>
      <c r="BF165" s="168"/>
      <c r="BG165" s="168"/>
      <c r="BH165" s="168"/>
      <c r="BI165" s="1606" t="s">
        <v>250</v>
      </c>
      <c r="BJ165" s="251"/>
      <c r="BK165" s="1606" t="s">
        <v>276</v>
      </c>
      <c r="BL165" s="251"/>
      <c r="BM165" s="1606" t="s">
        <v>233</v>
      </c>
      <c r="BN165" s="1606" t="s">
        <v>233</v>
      </c>
      <c r="BO165" s="1606" t="s">
        <v>240</v>
      </c>
      <c r="BP165" s="251"/>
      <c r="BQ165" s="1606" t="s">
        <v>276</v>
      </c>
      <c r="BR165" s="251"/>
      <c r="BS165" s="1606" t="s">
        <v>233</v>
      </c>
      <c r="BT165" s="1606" t="s">
        <v>233</v>
      </c>
      <c r="BU165" s="1606" t="s">
        <v>240</v>
      </c>
      <c r="BV165" s="178"/>
      <c r="BW165" s="178"/>
      <c r="BX165" s="178"/>
      <c r="BY165" s="178"/>
      <c r="BZ165" s="178"/>
      <c r="CA165" s="178"/>
      <c r="CB165" s="180"/>
      <c r="CC165" s="178"/>
      <c r="CD165" s="178"/>
      <c r="CE165" s="180"/>
      <c r="CF165" s="180"/>
      <c r="CG165" s="180"/>
      <c r="CH165" s="180"/>
      <c r="CI165" s="178"/>
      <c r="CJ165" s="178"/>
      <c r="CK165" s="180"/>
      <c r="CL165" s="180"/>
      <c r="CM165" s="180"/>
      <c r="CN165" s="116"/>
      <c r="CO165" s="100">
        <v>0.01</v>
      </c>
      <c r="CP165" s="100">
        <f>(CO165+CQ165)/2</f>
        <v>0.255</v>
      </c>
      <c r="CQ165" s="100">
        <v>0.5</v>
      </c>
    </row>
    <row r="166" spans="1:97" s="101" customFormat="1" ht="37.5" hidden="1" customHeight="1" thickBot="1" x14ac:dyDescent="0.3">
      <c r="A166" s="99"/>
      <c r="V166" s="103"/>
      <c r="AA166" s="104"/>
      <c r="AB166" s="104"/>
      <c r="AD166" s="104"/>
      <c r="AE166" s="105"/>
      <c r="AH166" s="106"/>
      <c r="AI166" s="106"/>
      <c r="AK166" s="104"/>
      <c r="AR166" s="104"/>
      <c r="AV166" s="104"/>
      <c r="AX166" s="104"/>
      <c r="BB166" s="104"/>
      <c r="BC166" s="104"/>
      <c r="BE166" s="104"/>
      <c r="BF166" s="168"/>
      <c r="BG166" s="168"/>
      <c r="BH166" s="168"/>
      <c r="BI166" s="1607"/>
      <c r="BJ166" s="252" t="s">
        <v>253</v>
      </c>
      <c r="BK166" s="1607"/>
      <c r="BL166" s="252" t="s">
        <v>251</v>
      </c>
      <c r="BM166" s="1607"/>
      <c r="BN166" s="1607"/>
      <c r="BO166" s="1607"/>
      <c r="BP166" s="252" t="s">
        <v>253</v>
      </c>
      <c r="BQ166" s="1607"/>
      <c r="BR166" s="252" t="s">
        <v>251</v>
      </c>
      <c r="BS166" s="1607"/>
      <c r="BT166" s="1607"/>
      <c r="BU166" s="1607"/>
      <c r="BV166" s="178"/>
      <c r="BW166" s="178"/>
      <c r="BX166" s="178"/>
      <c r="BY166" s="178"/>
      <c r="BZ166" s="178"/>
      <c r="CA166" s="178"/>
      <c r="CB166" s="180"/>
      <c r="CC166" s="178"/>
      <c r="CD166" s="178"/>
      <c r="CE166" s="180"/>
      <c r="CF166" s="180"/>
      <c r="CG166" s="180"/>
      <c r="CH166" s="180"/>
      <c r="CI166" s="178"/>
      <c r="CJ166" s="178"/>
      <c r="CK166" s="180"/>
      <c r="CL166" s="180"/>
      <c r="CM166" s="180"/>
      <c r="CN166" s="116"/>
      <c r="CO166" s="100"/>
      <c r="CP166" s="100"/>
      <c r="CQ166" s="100"/>
    </row>
    <row r="167" spans="1:97" s="101" customFormat="1" ht="18.75" hidden="1" customHeight="1" thickBot="1" x14ac:dyDescent="0.3">
      <c r="A167" s="99"/>
      <c r="V167" s="103"/>
      <c r="AA167" s="104"/>
      <c r="AB167" s="104"/>
      <c r="AD167" s="104"/>
      <c r="AE167" s="105"/>
      <c r="AH167" s="106"/>
      <c r="AI167" s="106"/>
      <c r="AK167" s="104"/>
      <c r="AR167" s="104"/>
      <c r="AV167" s="104"/>
      <c r="AX167" s="104"/>
      <c r="BB167" s="104"/>
      <c r="BC167" s="104"/>
      <c r="BE167" s="104"/>
      <c r="BF167" s="168"/>
      <c r="BG167" s="168"/>
      <c r="BH167" s="168"/>
      <c r="BI167" s="190" t="s">
        <v>373</v>
      </c>
      <c r="BJ167" s="187" t="s">
        <v>49</v>
      </c>
      <c r="BK167" s="196">
        <v>1</v>
      </c>
      <c r="BL167" s="187" t="s">
        <v>411</v>
      </c>
      <c r="BM167" s="189">
        <v>0.01</v>
      </c>
      <c r="BN167" s="189">
        <v>0.5</v>
      </c>
      <c r="BO167" s="188" t="s">
        <v>311</v>
      </c>
      <c r="BP167" s="187" t="s">
        <v>49</v>
      </c>
      <c r="BQ167" s="196">
        <v>1</v>
      </c>
      <c r="BR167" s="187" t="s">
        <v>411</v>
      </c>
      <c r="BS167" s="189">
        <v>0.01</v>
      </c>
      <c r="BT167" s="189">
        <v>0.5</v>
      </c>
      <c r="BU167" s="188" t="s">
        <v>254</v>
      </c>
      <c r="BV167" s="178"/>
      <c r="BW167" s="178"/>
      <c r="BX167" s="178"/>
      <c r="BY167" s="178"/>
      <c r="BZ167" s="178"/>
      <c r="CA167" s="178"/>
      <c r="CB167" s="180"/>
      <c r="CC167" s="178"/>
      <c r="CD167" s="178"/>
      <c r="CE167" s="180"/>
      <c r="CF167" s="180"/>
      <c r="CG167" s="180"/>
      <c r="CH167" s="180"/>
      <c r="CI167" s="178"/>
      <c r="CJ167" s="178"/>
      <c r="CK167" s="180"/>
      <c r="CL167" s="180"/>
      <c r="CM167" s="180"/>
      <c r="CN167" s="116"/>
      <c r="CO167" s="100"/>
      <c r="CP167" s="100"/>
      <c r="CQ167" s="100"/>
      <c r="CR167" s="101">
        <v>0.01</v>
      </c>
      <c r="CS167" s="101">
        <v>0.5</v>
      </c>
    </row>
    <row r="168" spans="1:97" s="101" customFormat="1" ht="18.75" hidden="1" customHeight="1" thickBot="1" x14ac:dyDescent="0.3">
      <c r="A168" s="99"/>
      <c r="V168" s="103"/>
      <c r="AA168" s="104"/>
      <c r="AB168" s="104"/>
      <c r="AD168" s="104"/>
      <c r="AE168" s="105"/>
      <c r="AH168" s="106"/>
      <c r="AI168" s="106"/>
      <c r="AK168" s="104"/>
      <c r="AR168" s="104"/>
      <c r="AV168" s="104"/>
      <c r="AX168" s="104"/>
      <c r="BB168" s="104"/>
      <c r="BC168" s="104"/>
      <c r="BE168" s="104"/>
      <c r="BF168" s="168"/>
      <c r="BG168" s="168"/>
      <c r="BH168" s="168"/>
      <c r="BI168" s="190" t="s">
        <v>374</v>
      </c>
      <c r="BJ168" s="187" t="s">
        <v>49</v>
      </c>
      <c r="BK168" s="196">
        <v>79</v>
      </c>
      <c r="BL168" s="187" t="s">
        <v>411</v>
      </c>
      <c r="BM168" s="189">
        <v>0.01</v>
      </c>
      <c r="BN168" s="189">
        <v>0.5</v>
      </c>
      <c r="BO168" s="188" t="s">
        <v>311</v>
      </c>
      <c r="BP168" s="187" t="s">
        <v>49</v>
      </c>
      <c r="BQ168" s="196">
        <v>77</v>
      </c>
      <c r="BR168" s="187" t="s">
        <v>411</v>
      </c>
      <c r="BS168" s="189">
        <v>0.01</v>
      </c>
      <c r="BT168" s="189">
        <v>0.5</v>
      </c>
      <c r="BU168" s="188" t="s">
        <v>254</v>
      </c>
      <c r="BV168" s="178"/>
      <c r="BW168" s="178"/>
      <c r="BX168" s="178"/>
      <c r="BY168" s="178"/>
      <c r="BZ168" s="178"/>
      <c r="CA168" s="178"/>
      <c r="CB168" s="178"/>
      <c r="CC168" s="178"/>
      <c r="CD168" s="178"/>
      <c r="CE168" s="178"/>
      <c r="CF168" s="178"/>
      <c r="CG168" s="178"/>
      <c r="CH168" s="178"/>
      <c r="CI168" s="178"/>
      <c r="CJ168" s="178"/>
      <c r="CK168" s="178"/>
      <c r="CL168" s="178"/>
      <c r="CM168" s="178"/>
      <c r="CN168" s="116"/>
      <c r="CO168" s="100"/>
      <c r="CP168" s="100"/>
      <c r="CQ168" s="100"/>
      <c r="CR168" s="101">
        <v>0.01</v>
      </c>
      <c r="CS168" s="101">
        <v>0.5</v>
      </c>
    </row>
    <row r="169" spans="1:97" s="101" customFormat="1" ht="15" hidden="1" customHeight="1" x14ac:dyDescent="0.25">
      <c r="A169" s="99"/>
      <c r="V169" s="103"/>
      <c r="AA169" s="104"/>
      <c r="AB169" s="104"/>
      <c r="AD169" s="104"/>
      <c r="AE169" s="105"/>
      <c r="AH169" s="106"/>
      <c r="AI169" s="106"/>
      <c r="AK169" s="104"/>
      <c r="AR169" s="104"/>
      <c r="AV169" s="104"/>
      <c r="AX169" s="104"/>
      <c r="BB169" s="104"/>
      <c r="BC169" s="104"/>
      <c r="BE169" s="104"/>
      <c r="BF169" s="168"/>
      <c r="BG169" s="168"/>
      <c r="BH169" s="168"/>
      <c r="BI169" s="102"/>
      <c r="BJ169" s="178"/>
      <c r="BK169" s="178"/>
      <c r="BL169" s="178"/>
      <c r="BM169" s="169"/>
      <c r="BN169" s="169"/>
      <c r="BO169" s="169"/>
      <c r="BP169" s="178"/>
      <c r="BQ169" s="178"/>
      <c r="BR169" s="178"/>
      <c r="BS169" s="178"/>
      <c r="BT169" s="178"/>
      <c r="BU169" s="178"/>
      <c r="BV169" s="180"/>
      <c r="BW169" s="178"/>
      <c r="BX169" s="178"/>
      <c r="BY169" s="180"/>
      <c r="BZ169" s="180"/>
      <c r="CA169" s="180"/>
      <c r="CB169" s="178"/>
      <c r="CC169" s="178"/>
      <c r="CD169" s="178"/>
      <c r="CE169" s="178"/>
      <c r="CF169" s="178"/>
      <c r="CG169" s="178"/>
      <c r="CH169" s="178"/>
      <c r="CI169" s="178"/>
      <c r="CJ169" s="178"/>
      <c r="CK169" s="178"/>
      <c r="CL169" s="178"/>
      <c r="CM169" s="178"/>
      <c r="CN169" s="118"/>
      <c r="CO169" s="100"/>
      <c r="CP169" s="100"/>
      <c r="CQ169" s="100"/>
    </row>
    <row r="170" spans="1:97" s="101" customFormat="1" ht="15" hidden="1" customHeight="1" thickBot="1" x14ac:dyDescent="0.3">
      <c r="A170" s="99"/>
      <c r="V170" s="103"/>
      <c r="AA170" s="104"/>
      <c r="AB170" s="104"/>
      <c r="AD170" s="104"/>
      <c r="AE170" s="105"/>
      <c r="AH170" s="106"/>
      <c r="AI170" s="106"/>
      <c r="AK170" s="104"/>
      <c r="AR170" s="104"/>
      <c r="AV170" s="104"/>
      <c r="AX170" s="104"/>
      <c r="BB170" s="104"/>
      <c r="BC170" s="104"/>
      <c r="BE170" s="104"/>
      <c r="BF170" s="168"/>
      <c r="BG170" s="168"/>
      <c r="BH170" s="168"/>
      <c r="BI170" s="102"/>
      <c r="BJ170" s="178"/>
      <c r="BK170" s="178"/>
      <c r="BL170" s="178"/>
      <c r="BM170" s="169"/>
      <c r="BN170" s="169"/>
      <c r="BO170" s="169"/>
      <c r="BP170" s="178"/>
      <c r="BQ170" s="178"/>
      <c r="BR170" s="178"/>
      <c r="BS170" s="178"/>
      <c r="BT170" s="178"/>
      <c r="BU170" s="178"/>
      <c r="BV170" s="180"/>
      <c r="BW170" s="178"/>
      <c r="BX170" s="178"/>
      <c r="BY170" s="180"/>
      <c r="BZ170" s="180"/>
      <c r="CA170" s="180"/>
      <c r="CB170" s="178"/>
      <c r="CC170" s="178"/>
      <c r="CD170" s="178"/>
      <c r="CE170" s="178"/>
      <c r="CF170" s="178"/>
      <c r="CG170" s="178"/>
      <c r="CH170" s="178"/>
      <c r="CI170" s="178"/>
      <c r="CJ170" s="178"/>
      <c r="CK170" s="178"/>
      <c r="CL170" s="178"/>
      <c r="CM170" s="178"/>
      <c r="CN170" s="118"/>
      <c r="CO170" s="100"/>
      <c r="CP170" s="100"/>
      <c r="CQ170" s="100"/>
    </row>
    <row r="171" spans="1:97" s="101" customFormat="1" ht="15" hidden="1" customHeight="1" x14ac:dyDescent="0.25">
      <c r="A171" s="99"/>
      <c r="V171" s="103"/>
      <c r="AA171" s="104"/>
      <c r="AB171" s="104"/>
      <c r="AD171" s="104"/>
      <c r="AE171" s="105"/>
      <c r="AH171" s="106"/>
      <c r="AI171" s="106"/>
      <c r="AK171" s="104"/>
      <c r="AR171" s="104"/>
      <c r="AV171" s="104"/>
      <c r="AX171" s="104"/>
      <c r="BB171" s="104"/>
      <c r="BC171" s="104"/>
      <c r="BE171" s="104"/>
      <c r="BF171" s="168"/>
      <c r="BG171" s="168"/>
      <c r="BH171" s="168"/>
      <c r="BI171" s="1606" t="s">
        <v>249</v>
      </c>
      <c r="BJ171" s="251"/>
      <c r="BK171" s="1606" t="s">
        <v>277</v>
      </c>
      <c r="BL171" s="251"/>
      <c r="BM171" s="1606" t="s">
        <v>233</v>
      </c>
      <c r="BN171" s="1606" t="s">
        <v>233</v>
      </c>
      <c r="BO171" s="1606" t="s">
        <v>240</v>
      </c>
      <c r="BP171" s="178"/>
      <c r="BQ171" s="178"/>
      <c r="BR171" s="178"/>
      <c r="BS171" s="178"/>
      <c r="BT171" s="178"/>
      <c r="BU171" s="178"/>
      <c r="BV171" s="180"/>
      <c r="BW171" s="178"/>
      <c r="BX171" s="178"/>
      <c r="BY171" s="180"/>
      <c r="BZ171" s="180"/>
      <c r="CA171" s="180"/>
      <c r="CB171" s="199"/>
      <c r="CC171" s="178"/>
      <c r="CD171" s="178"/>
      <c r="CE171" s="199"/>
      <c r="CF171" s="199"/>
      <c r="CG171" s="199"/>
      <c r="CH171" s="199"/>
      <c r="CI171" s="178"/>
      <c r="CJ171" s="178"/>
      <c r="CK171" s="199"/>
      <c r="CL171" s="199"/>
      <c r="CM171" s="199"/>
      <c r="CN171" s="118"/>
      <c r="CO171" s="100"/>
      <c r="CP171" s="100"/>
      <c r="CQ171" s="100"/>
    </row>
    <row r="172" spans="1:97" s="101" customFormat="1" ht="49.5" hidden="1" customHeight="1" thickBot="1" x14ac:dyDescent="0.3">
      <c r="A172" s="99"/>
      <c r="V172" s="103"/>
      <c r="AA172" s="104"/>
      <c r="AB172" s="104"/>
      <c r="AD172" s="104"/>
      <c r="AE172" s="105"/>
      <c r="AH172" s="106"/>
      <c r="AI172" s="106"/>
      <c r="AK172" s="104"/>
      <c r="AR172" s="104"/>
      <c r="AV172" s="104"/>
      <c r="AX172" s="104"/>
      <c r="BB172" s="104"/>
      <c r="BC172" s="104"/>
      <c r="BE172" s="104"/>
      <c r="BF172" s="168"/>
      <c r="BG172" s="168"/>
      <c r="BH172" s="168"/>
      <c r="BI172" s="1607"/>
      <c r="BJ172" s="252" t="s">
        <v>253</v>
      </c>
      <c r="BK172" s="1607"/>
      <c r="BL172" s="252" t="s">
        <v>251</v>
      </c>
      <c r="BM172" s="1607"/>
      <c r="BN172" s="1607"/>
      <c r="BO172" s="1607"/>
      <c r="BP172" s="178"/>
      <c r="BQ172" s="178"/>
      <c r="BR172" s="178"/>
      <c r="BS172" s="178"/>
      <c r="BT172" s="178"/>
      <c r="BU172" s="178"/>
      <c r="BV172" s="180"/>
      <c r="BW172" s="178"/>
      <c r="BX172" s="178"/>
      <c r="BY172" s="180"/>
      <c r="BZ172" s="180"/>
      <c r="CA172" s="180"/>
      <c r="CB172" s="199"/>
      <c r="CC172" s="178"/>
      <c r="CD172" s="178"/>
      <c r="CE172" s="199"/>
      <c r="CF172" s="199"/>
      <c r="CG172" s="199"/>
      <c r="CH172" s="199"/>
      <c r="CI172" s="178"/>
      <c r="CJ172" s="178"/>
      <c r="CK172" s="199"/>
      <c r="CL172" s="199"/>
      <c r="CM172" s="199"/>
      <c r="CN172" s="118"/>
      <c r="CO172" s="218">
        <f>BM172</f>
        <v>0</v>
      </c>
      <c r="CP172" s="100">
        <f>(CO172+CQ172)/2</f>
        <v>0</v>
      </c>
      <c r="CQ172" s="218">
        <f>BN172</f>
        <v>0</v>
      </c>
    </row>
    <row r="173" spans="1:97" s="101" customFormat="1" ht="15.75" hidden="1" customHeight="1" thickBot="1" x14ac:dyDescent="0.3">
      <c r="A173" s="99"/>
      <c r="V173" s="103"/>
      <c r="AA173" s="104"/>
      <c r="AB173" s="104"/>
      <c r="AD173" s="104"/>
      <c r="AE173" s="105"/>
      <c r="AH173" s="106"/>
      <c r="AI173" s="106"/>
      <c r="AK173" s="104"/>
      <c r="AR173" s="104"/>
      <c r="AV173" s="104"/>
      <c r="AX173" s="104"/>
      <c r="BB173" s="104"/>
      <c r="BC173" s="104"/>
      <c r="BE173" s="104"/>
      <c r="BF173" s="168"/>
      <c r="BG173" s="168"/>
      <c r="BH173" s="168"/>
      <c r="BI173" s="190" t="s">
        <v>256</v>
      </c>
      <c r="BJ173" s="187" t="s">
        <v>75</v>
      </c>
      <c r="BK173" s="196">
        <v>1.7829504000000003E-3</v>
      </c>
      <c r="BL173" s="187" t="s">
        <v>278</v>
      </c>
      <c r="BM173" s="189">
        <v>0.01</v>
      </c>
      <c r="BN173" s="189">
        <v>0.5</v>
      </c>
      <c r="BO173" s="188" t="s">
        <v>258</v>
      </c>
      <c r="BP173" s="178"/>
      <c r="BQ173" s="178"/>
      <c r="BR173" s="178"/>
      <c r="BS173" s="178"/>
      <c r="BT173" s="178"/>
      <c r="BU173" s="178"/>
      <c r="BV173" s="180"/>
      <c r="BW173" s="178"/>
      <c r="BX173" s="178"/>
      <c r="BY173" s="180"/>
      <c r="BZ173" s="180"/>
      <c r="CA173" s="180"/>
      <c r="CB173" s="180"/>
      <c r="CC173" s="178"/>
      <c r="CD173" s="178"/>
      <c r="CE173" s="180"/>
      <c r="CF173" s="180"/>
      <c r="CG173" s="180"/>
      <c r="CH173" s="180"/>
      <c r="CI173" s="178"/>
      <c r="CJ173" s="178"/>
      <c r="CK173" s="180"/>
      <c r="CL173" s="180"/>
      <c r="CM173" s="180"/>
      <c r="CN173" s="116"/>
      <c r="CO173" s="218">
        <f t="shared" ref="CO173:CO236" si="80">BM173</f>
        <v>0.01</v>
      </c>
      <c r="CP173" s="100">
        <f t="shared" ref="CP173:CP236" si="81">(CO173+CQ173)/2</f>
        <v>0.255</v>
      </c>
      <c r="CQ173" s="218">
        <f t="shared" ref="CQ173:CQ236" si="82">BN173</f>
        <v>0.5</v>
      </c>
      <c r="CR173" s="101">
        <v>0.15</v>
      </c>
      <c r="CS173" s="101">
        <v>0.2</v>
      </c>
    </row>
    <row r="174" spans="1:97" s="101" customFormat="1" ht="15.75" hidden="1" customHeight="1" thickBot="1" x14ac:dyDescent="0.3">
      <c r="A174" s="99"/>
      <c r="V174" s="103"/>
      <c r="AA174" s="104"/>
      <c r="AB174" s="104"/>
      <c r="AD174" s="104"/>
      <c r="AE174" s="105"/>
      <c r="AH174" s="106"/>
      <c r="AI174" s="106"/>
      <c r="AK174" s="104"/>
      <c r="AR174" s="104"/>
      <c r="AV174" s="104"/>
      <c r="AX174" s="104"/>
      <c r="BB174" s="104"/>
      <c r="BC174" s="104"/>
      <c r="BE174" s="104"/>
      <c r="BF174" s="168"/>
      <c r="BG174" s="168"/>
      <c r="BH174" s="168"/>
      <c r="BI174" s="190" t="s">
        <v>257</v>
      </c>
      <c r="BJ174" s="187" t="s">
        <v>49</v>
      </c>
      <c r="BK174" s="196">
        <v>5.8960000000000013E-4</v>
      </c>
      <c r="BL174" s="187" t="s">
        <v>259</v>
      </c>
      <c r="BM174" s="189">
        <v>0.01</v>
      </c>
      <c r="BN174" s="189">
        <v>0.5</v>
      </c>
      <c r="BO174" s="188" t="s">
        <v>258</v>
      </c>
      <c r="BP174" s="178"/>
      <c r="BQ174" s="178"/>
      <c r="BR174" s="178"/>
      <c r="BS174" s="178"/>
      <c r="BT174" s="178"/>
      <c r="BU174" s="178"/>
      <c r="BV174" s="180"/>
      <c r="BW174" s="178"/>
      <c r="BX174" s="178"/>
      <c r="BY174" s="180"/>
      <c r="BZ174" s="180"/>
      <c r="CA174" s="180"/>
      <c r="CB174" s="180"/>
      <c r="CC174" s="178"/>
      <c r="CD174" s="178"/>
      <c r="CE174" s="180"/>
      <c r="CF174" s="180"/>
      <c r="CG174" s="180"/>
      <c r="CH174" s="180"/>
      <c r="CI174" s="178"/>
      <c r="CJ174" s="178"/>
      <c r="CK174" s="180"/>
      <c r="CL174" s="180"/>
      <c r="CM174" s="180"/>
      <c r="CN174" s="116"/>
      <c r="CO174" s="218">
        <f t="shared" si="80"/>
        <v>0.01</v>
      </c>
      <c r="CP174" s="100">
        <f t="shared" si="81"/>
        <v>0.255</v>
      </c>
      <c r="CQ174" s="218">
        <f t="shared" si="82"/>
        <v>0.5</v>
      </c>
      <c r="CR174" s="101">
        <v>0.15</v>
      </c>
      <c r="CS174" s="101">
        <v>0.2</v>
      </c>
    </row>
    <row r="175" spans="1:97" s="101" customFormat="1" ht="15" hidden="1" customHeight="1" x14ac:dyDescent="0.25">
      <c r="A175" s="99"/>
      <c r="V175" s="103"/>
      <c r="AA175" s="104"/>
      <c r="AB175" s="104"/>
      <c r="AD175" s="104"/>
      <c r="AE175" s="105"/>
      <c r="AH175" s="106"/>
      <c r="AI175" s="106"/>
      <c r="AK175" s="104"/>
      <c r="AR175" s="104"/>
      <c r="AV175" s="104"/>
      <c r="AX175" s="104"/>
      <c r="BB175" s="104"/>
      <c r="BC175" s="104"/>
      <c r="BE175" s="104"/>
      <c r="BF175" s="168"/>
      <c r="BG175" s="168"/>
      <c r="BH175" s="168"/>
      <c r="BI175" s="102"/>
      <c r="BJ175" s="178"/>
      <c r="BK175" s="178"/>
      <c r="BL175" s="178"/>
      <c r="BM175" s="169"/>
      <c r="BN175" s="169"/>
      <c r="BO175" s="169"/>
      <c r="BP175" s="178"/>
      <c r="BQ175" s="178"/>
      <c r="BR175" s="178"/>
      <c r="BS175" s="178"/>
      <c r="BT175" s="178"/>
      <c r="BU175" s="178"/>
      <c r="BV175" s="180"/>
      <c r="BW175" s="178"/>
      <c r="BX175" s="178"/>
      <c r="BY175" s="180"/>
      <c r="BZ175" s="180"/>
      <c r="CA175" s="180"/>
      <c r="CB175" s="180"/>
      <c r="CC175" s="178"/>
      <c r="CD175" s="178"/>
      <c r="CE175" s="180"/>
      <c r="CF175" s="180"/>
      <c r="CG175" s="180"/>
      <c r="CH175" s="180"/>
      <c r="CI175" s="178"/>
      <c r="CJ175" s="178"/>
      <c r="CK175" s="180"/>
      <c r="CL175" s="180"/>
      <c r="CM175" s="180"/>
      <c r="CN175" s="116"/>
      <c r="CO175" s="218">
        <f t="shared" si="80"/>
        <v>0</v>
      </c>
      <c r="CP175" s="100">
        <f t="shared" si="81"/>
        <v>0</v>
      </c>
      <c r="CQ175" s="218">
        <f t="shared" si="82"/>
        <v>0</v>
      </c>
    </row>
    <row r="176" spans="1:97" s="101" customFormat="1" ht="15" hidden="1" customHeight="1" thickBot="1" x14ac:dyDescent="0.3">
      <c r="A176" s="99"/>
      <c r="V176" s="103"/>
      <c r="AA176" s="104"/>
      <c r="AB176" s="104"/>
      <c r="AD176" s="104"/>
      <c r="AE176" s="105"/>
      <c r="AH176" s="106"/>
      <c r="AI176" s="106"/>
      <c r="AK176" s="104"/>
      <c r="AR176" s="104"/>
      <c r="AV176" s="104"/>
      <c r="AX176" s="104"/>
      <c r="BB176" s="104"/>
      <c r="BC176" s="104"/>
      <c r="BE176" s="104"/>
      <c r="BF176" s="168"/>
      <c r="BG176" s="168"/>
      <c r="BH176" s="168"/>
      <c r="BI176" s="102"/>
      <c r="BJ176" s="178"/>
      <c r="BK176" s="178"/>
      <c r="BL176" s="178"/>
      <c r="BM176" s="169"/>
      <c r="BN176" s="169"/>
      <c r="BO176" s="169"/>
      <c r="BP176" s="178"/>
      <c r="BQ176" s="178"/>
      <c r="BR176" s="178"/>
      <c r="BS176" s="178"/>
      <c r="BT176" s="178"/>
      <c r="BU176" s="178"/>
      <c r="BV176" s="180"/>
      <c r="BW176" s="178"/>
      <c r="BX176" s="178"/>
      <c r="BY176" s="180"/>
      <c r="BZ176" s="180"/>
      <c r="CA176" s="180"/>
      <c r="CB176" s="180"/>
      <c r="CC176" s="178"/>
      <c r="CD176" s="178"/>
      <c r="CE176" s="180"/>
      <c r="CF176" s="180"/>
      <c r="CG176" s="180"/>
      <c r="CH176" s="180"/>
      <c r="CI176" s="178"/>
      <c r="CJ176" s="178"/>
      <c r="CK176" s="180"/>
      <c r="CL176" s="180"/>
      <c r="CM176" s="180"/>
      <c r="CN176" s="116"/>
      <c r="CO176" s="218">
        <f t="shared" si="80"/>
        <v>0</v>
      </c>
      <c r="CP176" s="100">
        <f t="shared" si="81"/>
        <v>0</v>
      </c>
      <c r="CQ176" s="218">
        <f t="shared" si="82"/>
        <v>0</v>
      </c>
    </row>
    <row r="177" spans="1:97" s="101" customFormat="1" ht="15" hidden="1" customHeight="1" x14ac:dyDescent="0.25">
      <c r="A177" s="99"/>
      <c r="V177" s="103"/>
      <c r="AA177" s="104"/>
      <c r="AB177" s="104"/>
      <c r="AD177" s="104"/>
      <c r="AE177" s="105"/>
      <c r="AH177" s="106"/>
      <c r="AI177" s="106"/>
      <c r="AK177" s="104"/>
      <c r="AR177" s="104"/>
      <c r="AV177" s="104"/>
      <c r="AX177" s="104"/>
      <c r="BB177" s="104"/>
      <c r="BC177" s="104"/>
      <c r="BE177" s="104"/>
      <c r="BF177" s="168"/>
      <c r="BG177" s="168"/>
      <c r="BH177" s="168"/>
      <c r="BI177" s="1606" t="s">
        <v>171</v>
      </c>
      <c r="BJ177" s="251"/>
      <c r="BK177" s="1606" t="s">
        <v>276</v>
      </c>
      <c r="BL177" s="251"/>
      <c r="BM177" s="1606" t="s">
        <v>233</v>
      </c>
      <c r="BN177" s="1606" t="s">
        <v>233</v>
      </c>
      <c r="BO177" s="1606" t="s">
        <v>240</v>
      </c>
      <c r="BP177" s="178"/>
      <c r="BQ177" s="178"/>
      <c r="BR177" s="178"/>
      <c r="BS177" s="178"/>
      <c r="BT177" s="178"/>
      <c r="BU177" s="178"/>
      <c r="BV177" s="180"/>
      <c r="BW177" s="178"/>
      <c r="BX177" s="178"/>
      <c r="BY177" s="180"/>
      <c r="BZ177" s="180"/>
      <c r="CA177" s="180"/>
      <c r="CB177" s="180"/>
      <c r="CC177" s="178"/>
      <c r="CD177" s="178"/>
      <c r="CE177" s="180"/>
      <c r="CF177" s="180"/>
      <c r="CG177" s="180"/>
      <c r="CH177" s="180"/>
      <c r="CI177" s="178"/>
      <c r="CJ177" s="178"/>
      <c r="CK177" s="180"/>
      <c r="CL177" s="180"/>
      <c r="CM177" s="180"/>
      <c r="CN177" s="116"/>
      <c r="CO177" s="218" t="str">
        <f t="shared" si="80"/>
        <v>Incertidumbre (+/- %)</v>
      </c>
      <c r="CP177" s="100" t="e">
        <f t="shared" si="81"/>
        <v>#VALUE!</v>
      </c>
      <c r="CQ177" s="218" t="str">
        <f t="shared" si="82"/>
        <v>Incertidumbre (+/- %)</v>
      </c>
    </row>
    <row r="178" spans="1:97" s="101" customFormat="1" ht="41.25" hidden="1" customHeight="1" thickBot="1" x14ac:dyDescent="0.3">
      <c r="A178" s="99"/>
      <c r="V178" s="103"/>
      <c r="AA178" s="104"/>
      <c r="AB178" s="104"/>
      <c r="AD178" s="104"/>
      <c r="AE178" s="105"/>
      <c r="AH178" s="106"/>
      <c r="AI178" s="106"/>
      <c r="AK178" s="104"/>
      <c r="AR178" s="104"/>
      <c r="AV178" s="104"/>
      <c r="AX178" s="104"/>
      <c r="BB178" s="104"/>
      <c r="BC178" s="104"/>
      <c r="BE178" s="104"/>
      <c r="BF178" s="168"/>
      <c r="BG178" s="168"/>
      <c r="BH178" s="168"/>
      <c r="BI178" s="1607"/>
      <c r="BJ178" s="252" t="s">
        <v>253</v>
      </c>
      <c r="BK178" s="1607"/>
      <c r="BL178" s="252" t="s">
        <v>251</v>
      </c>
      <c r="BM178" s="1607"/>
      <c r="BN178" s="1607"/>
      <c r="BO178" s="1607"/>
      <c r="BP178" s="178"/>
      <c r="BQ178" s="178"/>
      <c r="BR178" s="178"/>
      <c r="BS178" s="178"/>
      <c r="BT178" s="178"/>
      <c r="BU178" s="178"/>
      <c r="BV178" s="180"/>
      <c r="BW178" s="178"/>
      <c r="BX178" s="178"/>
      <c r="BY178" s="180"/>
      <c r="BZ178" s="180"/>
      <c r="CA178" s="180"/>
      <c r="CB178" s="180"/>
      <c r="CC178" s="178"/>
      <c r="CD178" s="178"/>
      <c r="CE178" s="180"/>
      <c r="CF178" s="180"/>
      <c r="CG178" s="180"/>
      <c r="CH178" s="180"/>
      <c r="CI178" s="178"/>
      <c r="CJ178" s="178"/>
      <c r="CK178" s="180"/>
      <c r="CL178" s="180"/>
      <c r="CM178" s="180"/>
      <c r="CN178" s="116"/>
      <c r="CO178" s="218">
        <f t="shared" si="80"/>
        <v>0</v>
      </c>
      <c r="CP178" s="100">
        <f t="shared" si="81"/>
        <v>0</v>
      </c>
      <c r="CQ178" s="218">
        <f t="shared" si="82"/>
        <v>0</v>
      </c>
    </row>
    <row r="179" spans="1:97" s="101" customFormat="1" ht="18.75" hidden="1" customHeight="1" thickBot="1" x14ac:dyDescent="0.3">
      <c r="A179" s="99"/>
      <c r="V179" s="103"/>
      <c r="AA179" s="104"/>
      <c r="AB179" s="104"/>
      <c r="AD179" s="104"/>
      <c r="AE179" s="105"/>
      <c r="AH179" s="106"/>
      <c r="AI179" s="106"/>
      <c r="AK179" s="104"/>
      <c r="AR179" s="104"/>
      <c r="AV179" s="104"/>
      <c r="AX179" s="104"/>
      <c r="BB179" s="104"/>
      <c r="BC179" s="104"/>
      <c r="BE179" s="104"/>
      <c r="BF179" s="168"/>
      <c r="BG179" s="168"/>
      <c r="BH179" s="168"/>
      <c r="BI179" s="190" t="s">
        <v>170</v>
      </c>
      <c r="BJ179" s="187" t="s">
        <v>49</v>
      </c>
      <c r="BK179" s="196">
        <v>1</v>
      </c>
      <c r="BL179" s="187" t="s">
        <v>411</v>
      </c>
      <c r="BM179" s="189">
        <v>0.01</v>
      </c>
      <c r="BN179" s="189">
        <v>0.5</v>
      </c>
      <c r="BO179" s="188" t="s">
        <v>311</v>
      </c>
      <c r="BP179" s="178"/>
      <c r="BQ179" s="178"/>
      <c r="BR179" s="178"/>
      <c r="BS179" s="178"/>
      <c r="BT179" s="178"/>
      <c r="BU179" s="178"/>
      <c r="BV179" s="180"/>
      <c r="BW179" s="178"/>
      <c r="BX179" s="178"/>
      <c r="BY179" s="180"/>
      <c r="BZ179" s="180"/>
      <c r="CA179" s="180"/>
      <c r="CB179" s="180"/>
      <c r="CC179" s="178"/>
      <c r="CD179" s="178"/>
      <c r="CE179" s="180"/>
      <c r="CF179" s="180"/>
      <c r="CG179" s="180"/>
      <c r="CH179" s="180"/>
      <c r="CI179" s="178"/>
      <c r="CJ179" s="178"/>
      <c r="CK179" s="180"/>
      <c r="CL179" s="180"/>
      <c r="CM179" s="180"/>
      <c r="CN179" s="116"/>
      <c r="CO179" s="218">
        <f t="shared" si="80"/>
        <v>0.01</v>
      </c>
      <c r="CP179" s="100">
        <f t="shared" si="81"/>
        <v>0.255</v>
      </c>
      <c r="CQ179" s="218">
        <f t="shared" si="82"/>
        <v>0.5</v>
      </c>
      <c r="CR179" s="101">
        <v>0.01</v>
      </c>
      <c r="CS179" s="101">
        <v>0.5</v>
      </c>
    </row>
    <row r="180" spans="1:97" s="101" customFormat="1" ht="15" hidden="1" customHeight="1" x14ac:dyDescent="0.25">
      <c r="A180" s="99"/>
      <c r="V180" s="103"/>
      <c r="AA180" s="104"/>
      <c r="AB180" s="104"/>
      <c r="AD180" s="104"/>
      <c r="AE180" s="105"/>
      <c r="AH180" s="106"/>
      <c r="AI180" s="106"/>
      <c r="AK180" s="104"/>
      <c r="AR180" s="104"/>
      <c r="AV180" s="104"/>
      <c r="AX180" s="104"/>
      <c r="BB180" s="104"/>
      <c r="BC180" s="104"/>
      <c r="BE180" s="104"/>
      <c r="BF180" s="168"/>
      <c r="BG180" s="168"/>
      <c r="BH180" s="168"/>
      <c r="BI180" s="200"/>
      <c r="BJ180" s="201"/>
      <c r="BK180" s="201"/>
      <c r="BL180" s="201"/>
      <c r="BM180" s="202"/>
      <c r="BN180" s="202"/>
      <c r="BO180" s="202"/>
      <c r="BP180" s="178"/>
      <c r="BQ180" s="178"/>
      <c r="BR180" s="178"/>
      <c r="BS180" s="178"/>
      <c r="BT180" s="178"/>
      <c r="BU180" s="178"/>
      <c r="BV180" s="180"/>
      <c r="BW180" s="178"/>
      <c r="BX180" s="178"/>
      <c r="BY180" s="180"/>
      <c r="BZ180" s="180"/>
      <c r="CA180" s="180"/>
      <c r="CB180" s="180"/>
      <c r="CC180" s="178"/>
      <c r="CD180" s="178"/>
      <c r="CE180" s="180"/>
      <c r="CF180" s="180"/>
      <c r="CG180" s="180"/>
      <c r="CH180" s="180"/>
      <c r="CI180" s="178"/>
      <c r="CJ180" s="178"/>
      <c r="CK180" s="180"/>
      <c r="CL180" s="180"/>
      <c r="CM180" s="180"/>
      <c r="CN180" s="116"/>
      <c r="CO180" s="218">
        <f t="shared" si="80"/>
        <v>0</v>
      </c>
      <c r="CP180" s="100">
        <f t="shared" si="81"/>
        <v>0</v>
      </c>
      <c r="CQ180" s="218">
        <f t="shared" si="82"/>
        <v>0</v>
      </c>
    </row>
    <row r="181" spans="1:97" s="101" customFormat="1" ht="15" hidden="1" customHeight="1" thickBot="1" x14ac:dyDescent="0.3">
      <c r="A181" s="99"/>
      <c r="V181" s="103"/>
      <c r="AA181" s="104"/>
      <c r="AB181" s="104"/>
      <c r="AD181" s="104"/>
      <c r="AE181" s="105"/>
      <c r="AH181" s="106"/>
      <c r="AI181" s="106"/>
      <c r="AK181" s="104"/>
      <c r="AR181" s="104"/>
      <c r="AV181" s="104"/>
      <c r="AX181" s="104"/>
      <c r="BB181" s="104"/>
      <c r="BC181" s="104"/>
      <c r="BE181" s="104"/>
      <c r="BF181" s="168"/>
      <c r="BG181" s="168"/>
      <c r="BH181" s="168"/>
      <c r="BI181" s="200"/>
      <c r="BJ181" s="201"/>
      <c r="BK181" s="201"/>
      <c r="BL181" s="201"/>
      <c r="BM181" s="202"/>
      <c r="BN181" s="202"/>
      <c r="BO181" s="202"/>
      <c r="BP181" s="178"/>
      <c r="BQ181" s="178"/>
      <c r="BR181" s="178"/>
      <c r="BS181" s="178"/>
      <c r="BT181" s="178"/>
      <c r="BU181" s="178"/>
      <c r="BV181" s="180"/>
      <c r="BW181" s="178"/>
      <c r="BX181" s="178"/>
      <c r="BY181" s="180"/>
      <c r="BZ181" s="180"/>
      <c r="CA181" s="180"/>
      <c r="CB181" s="180"/>
      <c r="CC181" s="178"/>
      <c r="CD181" s="178"/>
      <c r="CE181" s="180"/>
      <c r="CF181" s="180"/>
      <c r="CG181" s="180"/>
      <c r="CH181" s="180"/>
      <c r="CI181" s="178"/>
      <c r="CJ181" s="178"/>
      <c r="CK181" s="180"/>
      <c r="CL181" s="180"/>
      <c r="CM181" s="180"/>
      <c r="CN181" s="116"/>
      <c r="CO181" s="218">
        <f t="shared" si="80"/>
        <v>0</v>
      </c>
      <c r="CP181" s="100">
        <f t="shared" si="81"/>
        <v>0</v>
      </c>
      <c r="CQ181" s="218">
        <f t="shared" si="82"/>
        <v>0</v>
      </c>
    </row>
    <row r="182" spans="1:97" s="101" customFormat="1" ht="15" hidden="1" customHeight="1" x14ac:dyDescent="0.25">
      <c r="A182" s="99"/>
      <c r="V182" s="103"/>
      <c r="AA182" s="104"/>
      <c r="AB182" s="104"/>
      <c r="AD182" s="104"/>
      <c r="AE182" s="105"/>
      <c r="AH182" s="106"/>
      <c r="AI182" s="106"/>
      <c r="AK182" s="104"/>
      <c r="AR182" s="104"/>
      <c r="AV182" s="104"/>
      <c r="AX182" s="104"/>
      <c r="BB182" s="104"/>
      <c r="BC182" s="104"/>
      <c r="BE182" s="104"/>
      <c r="BF182" s="168"/>
      <c r="BG182" s="168"/>
      <c r="BH182" s="168"/>
      <c r="BI182" s="1606" t="s">
        <v>264</v>
      </c>
      <c r="BJ182" s="251"/>
      <c r="BK182" s="1606" t="s">
        <v>276</v>
      </c>
      <c r="BL182" s="251"/>
      <c r="BM182" s="1606" t="s">
        <v>233</v>
      </c>
      <c r="BN182" s="1606" t="s">
        <v>233</v>
      </c>
      <c r="BO182" s="1606" t="s">
        <v>240</v>
      </c>
      <c r="BP182" s="251"/>
      <c r="BQ182" s="1606" t="s">
        <v>276</v>
      </c>
      <c r="BR182" s="251"/>
      <c r="BS182" s="1606" t="s">
        <v>233</v>
      </c>
      <c r="BT182" s="1606" t="s">
        <v>233</v>
      </c>
      <c r="BU182" s="1606" t="s">
        <v>240</v>
      </c>
      <c r="BV182" s="180"/>
      <c r="BW182" s="178"/>
      <c r="BX182" s="178"/>
      <c r="BY182" s="180"/>
      <c r="BZ182" s="180"/>
      <c r="CA182" s="180"/>
      <c r="CB182" s="180"/>
      <c r="CC182" s="178"/>
      <c r="CD182" s="178"/>
      <c r="CE182" s="180"/>
      <c r="CF182" s="180"/>
      <c r="CG182" s="180"/>
      <c r="CH182" s="180"/>
      <c r="CI182" s="178"/>
      <c r="CJ182" s="178"/>
      <c r="CK182" s="180"/>
      <c r="CL182" s="180"/>
      <c r="CM182" s="180"/>
      <c r="CN182" s="116"/>
      <c r="CO182" s="218" t="str">
        <f t="shared" si="80"/>
        <v>Incertidumbre (+/- %)</v>
      </c>
      <c r="CP182" s="100" t="e">
        <f t="shared" si="81"/>
        <v>#VALUE!</v>
      </c>
      <c r="CQ182" s="218" t="str">
        <f t="shared" si="82"/>
        <v>Incertidumbre (+/- %)</v>
      </c>
    </row>
    <row r="183" spans="1:97" s="101" customFormat="1" ht="15.75" hidden="1" customHeight="1" thickBot="1" x14ac:dyDescent="0.3">
      <c r="A183" s="99"/>
      <c r="V183" s="103"/>
      <c r="AA183" s="104"/>
      <c r="AB183" s="104"/>
      <c r="AD183" s="104"/>
      <c r="AE183" s="105"/>
      <c r="AH183" s="106"/>
      <c r="AI183" s="106"/>
      <c r="AK183" s="104"/>
      <c r="AR183" s="104"/>
      <c r="AV183" s="104"/>
      <c r="AX183" s="104"/>
      <c r="BB183" s="104"/>
      <c r="BC183" s="104"/>
      <c r="BE183" s="104"/>
      <c r="BF183" s="168"/>
      <c r="BG183" s="168"/>
      <c r="BH183" s="168"/>
      <c r="BI183" s="1607"/>
      <c r="BJ183" s="252" t="s">
        <v>253</v>
      </c>
      <c r="BK183" s="1607"/>
      <c r="BL183" s="252" t="s">
        <v>251</v>
      </c>
      <c r="BM183" s="1607"/>
      <c r="BN183" s="1607"/>
      <c r="BO183" s="1607"/>
      <c r="BP183" s="252" t="s">
        <v>253</v>
      </c>
      <c r="BQ183" s="1607"/>
      <c r="BR183" s="252" t="s">
        <v>251</v>
      </c>
      <c r="BS183" s="1607"/>
      <c r="BT183" s="1607"/>
      <c r="BU183" s="1607"/>
      <c r="BV183" s="180"/>
      <c r="BW183" s="178"/>
      <c r="BX183" s="178"/>
      <c r="BY183" s="180"/>
      <c r="BZ183" s="180"/>
      <c r="CA183" s="180"/>
      <c r="CB183" s="180"/>
      <c r="CC183" s="178"/>
      <c r="CD183" s="178"/>
      <c r="CE183" s="180"/>
      <c r="CF183" s="180"/>
      <c r="CG183" s="180"/>
      <c r="CH183" s="180"/>
      <c r="CI183" s="178"/>
      <c r="CJ183" s="178"/>
      <c r="CK183" s="180"/>
      <c r="CL183" s="180"/>
      <c r="CM183" s="180"/>
      <c r="CN183" s="116"/>
      <c r="CO183" s="218">
        <f t="shared" si="80"/>
        <v>0</v>
      </c>
      <c r="CP183" s="100">
        <f t="shared" si="81"/>
        <v>0</v>
      </c>
      <c r="CQ183" s="218">
        <f t="shared" si="82"/>
        <v>0</v>
      </c>
    </row>
    <row r="184" spans="1:97" s="101" customFormat="1" ht="18.75" hidden="1" customHeight="1" thickBot="1" x14ac:dyDescent="0.3">
      <c r="A184" s="99"/>
      <c r="V184" s="103"/>
      <c r="AA184" s="104"/>
      <c r="AB184" s="104"/>
      <c r="AD184" s="104"/>
      <c r="AE184" s="105"/>
      <c r="AH184" s="106"/>
      <c r="AI184" s="106"/>
      <c r="AK184" s="104"/>
      <c r="AR184" s="104"/>
      <c r="AV184" s="104"/>
      <c r="AX184" s="104"/>
      <c r="BB184" s="104"/>
      <c r="BC184" s="104"/>
      <c r="BE184" s="104"/>
      <c r="BF184" s="168"/>
      <c r="BG184" s="168"/>
      <c r="BH184" s="168"/>
      <c r="BI184" s="190" t="s">
        <v>8</v>
      </c>
      <c r="BJ184" s="187" t="s">
        <v>49</v>
      </c>
      <c r="BK184" s="196">
        <f>BJ427</f>
        <v>23500</v>
      </c>
      <c r="BL184" s="187" t="s">
        <v>411</v>
      </c>
      <c r="BM184" s="189">
        <v>0.01</v>
      </c>
      <c r="BN184" s="189">
        <v>0.5</v>
      </c>
      <c r="BO184" s="188" t="s">
        <v>311</v>
      </c>
      <c r="BP184" s="187" t="s">
        <v>49</v>
      </c>
      <c r="BQ184" s="196">
        <v>22800</v>
      </c>
      <c r="BR184" s="187" t="s">
        <v>411</v>
      </c>
      <c r="BS184" s="189">
        <v>0.01</v>
      </c>
      <c r="BT184" s="189">
        <v>0.5</v>
      </c>
      <c r="BU184" s="188" t="s">
        <v>254</v>
      </c>
      <c r="BV184" s="180"/>
      <c r="BW184" s="178"/>
      <c r="BX184" s="178"/>
      <c r="BY184" s="180"/>
      <c r="BZ184" s="180"/>
      <c r="CA184" s="180"/>
      <c r="CB184" s="180"/>
      <c r="CC184" s="178"/>
      <c r="CD184" s="178"/>
      <c r="CE184" s="180"/>
      <c r="CF184" s="180"/>
      <c r="CG184" s="180"/>
      <c r="CH184" s="180"/>
      <c r="CI184" s="178"/>
      <c r="CJ184" s="178"/>
      <c r="CK184" s="180"/>
      <c r="CL184" s="180"/>
      <c r="CM184" s="180"/>
      <c r="CN184" s="116"/>
      <c r="CO184" s="218">
        <f t="shared" si="80"/>
        <v>0.01</v>
      </c>
      <c r="CP184" s="100">
        <f t="shared" si="81"/>
        <v>0.255</v>
      </c>
      <c r="CQ184" s="218">
        <f t="shared" si="82"/>
        <v>0.5</v>
      </c>
      <c r="CR184" s="101">
        <v>0.01</v>
      </c>
      <c r="CS184" s="101">
        <v>0.5</v>
      </c>
    </row>
    <row r="185" spans="1:97" s="101" customFormat="1" ht="15" hidden="1" customHeight="1" x14ac:dyDescent="0.25">
      <c r="A185" s="99"/>
      <c r="V185" s="103"/>
      <c r="AA185" s="104"/>
      <c r="AB185" s="104"/>
      <c r="AD185" s="104"/>
      <c r="AE185" s="105"/>
      <c r="AH185" s="106"/>
      <c r="AI185" s="106"/>
      <c r="AK185" s="104"/>
      <c r="AR185" s="104"/>
      <c r="AV185" s="104"/>
      <c r="AX185" s="104"/>
      <c r="BB185" s="104"/>
      <c r="BC185" s="104"/>
      <c r="BE185" s="104"/>
      <c r="BF185" s="168"/>
      <c r="BG185" s="168"/>
      <c r="BH185" s="168"/>
      <c r="BI185" s="200"/>
      <c r="BJ185" s="201"/>
      <c r="BK185" s="201"/>
      <c r="BL185" s="201"/>
      <c r="BM185" s="202"/>
      <c r="BN185" s="202"/>
      <c r="BO185" s="202"/>
      <c r="BP185" s="178"/>
      <c r="BQ185" s="178"/>
      <c r="BR185" s="178"/>
      <c r="BS185" s="178"/>
      <c r="BT185" s="178"/>
      <c r="BU185" s="178"/>
      <c r="BV185" s="180"/>
      <c r="BW185" s="178"/>
      <c r="BX185" s="178"/>
      <c r="BY185" s="180"/>
      <c r="BZ185" s="180"/>
      <c r="CA185" s="180"/>
      <c r="CB185" s="180"/>
      <c r="CC185" s="178"/>
      <c r="CD185" s="178"/>
      <c r="CE185" s="180"/>
      <c r="CF185" s="180"/>
      <c r="CG185" s="180"/>
      <c r="CH185" s="180"/>
      <c r="CI185" s="178"/>
      <c r="CJ185" s="178"/>
      <c r="CK185" s="180"/>
      <c r="CL185" s="180"/>
      <c r="CM185" s="180"/>
      <c r="CN185" s="116"/>
      <c r="CO185" s="218">
        <f t="shared" si="80"/>
        <v>0</v>
      </c>
      <c r="CP185" s="100">
        <f t="shared" si="81"/>
        <v>0</v>
      </c>
      <c r="CQ185" s="218">
        <f t="shared" si="82"/>
        <v>0</v>
      </c>
    </row>
    <row r="186" spans="1:97" s="101" customFormat="1" ht="15" hidden="1" customHeight="1" x14ac:dyDescent="0.25">
      <c r="A186" s="99"/>
      <c r="V186" s="103"/>
      <c r="AA186" s="104"/>
      <c r="AB186" s="104"/>
      <c r="AD186" s="104"/>
      <c r="AE186" s="105"/>
      <c r="AH186" s="106"/>
      <c r="AI186" s="106"/>
      <c r="AK186" s="104"/>
      <c r="AR186" s="104"/>
      <c r="AV186" s="104"/>
      <c r="AX186" s="104"/>
      <c r="BB186" s="104"/>
      <c r="BC186" s="104"/>
      <c r="BE186" s="104"/>
      <c r="BF186" s="168"/>
      <c r="BG186" s="168"/>
      <c r="BH186" s="168"/>
      <c r="BI186" s="200"/>
      <c r="BJ186" s="201"/>
      <c r="BK186" s="201"/>
      <c r="BL186" s="201"/>
      <c r="BM186" s="202"/>
      <c r="BN186" s="202"/>
      <c r="BO186" s="202"/>
      <c r="BP186" s="178"/>
      <c r="BQ186" s="178"/>
      <c r="BR186" s="178"/>
      <c r="BS186" s="178"/>
      <c r="BT186" s="178"/>
      <c r="BU186" s="178"/>
      <c r="BV186" s="180"/>
      <c r="BW186" s="178"/>
      <c r="BX186" s="178"/>
      <c r="BY186" s="180"/>
      <c r="BZ186" s="180"/>
      <c r="CA186" s="180"/>
      <c r="CB186" s="180"/>
      <c r="CC186" s="178"/>
      <c r="CD186" s="178"/>
      <c r="CE186" s="180"/>
      <c r="CF186" s="180"/>
      <c r="CG186" s="180"/>
      <c r="CH186" s="180"/>
      <c r="CI186" s="178"/>
      <c r="CJ186" s="178"/>
      <c r="CK186" s="180"/>
      <c r="CL186" s="180"/>
      <c r="CM186" s="180"/>
      <c r="CN186" s="116"/>
      <c r="CO186" s="218">
        <f t="shared" si="80"/>
        <v>0</v>
      </c>
      <c r="CP186" s="100">
        <f t="shared" si="81"/>
        <v>0</v>
      </c>
      <c r="CQ186" s="218">
        <f t="shared" si="82"/>
        <v>0</v>
      </c>
    </row>
    <row r="187" spans="1:97" s="101" customFormat="1" ht="15" hidden="1" customHeight="1" x14ac:dyDescent="0.25">
      <c r="A187" s="99"/>
      <c r="V187" s="103"/>
      <c r="AA187" s="104"/>
      <c r="AB187" s="104"/>
      <c r="AD187" s="104"/>
      <c r="AE187" s="105"/>
      <c r="AH187" s="106"/>
      <c r="AI187" s="106"/>
      <c r="AK187" s="104"/>
      <c r="AR187" s="104"/>
      <c r="AV187" s="104"/>
      <c r="AX187" s="104"/>
      <c r="BB187" s="104"/>
      <c r="BC187" s="104"/>
      <c r="BE187" s="104"/>
      <c r="BF187" s="168"/>
      <c r="BG187" s="168"/>
      <c r="BH187" s="168"/>
      <c r="BI187" s="200"/>
      <c r="BJ187" s="201"/>
      <c r="BK187" s="201"/>
      <c r="BL187" s="201"/>
      <c r="BM187" s="202"/>
      <c r="BN187" s="202"/>
      <c r="BO187" s="202"/>
      <c r="BP187" s="178"/>
      <c r="BQ187" s="178"/>
      <c r="BR187" s="178"/>
      <c r="BS187" s="178"/>
      <c r="BT187" s="178"/>
      <c r="BU187" s="178"/>
      <c r="BV187" s="180"/>
      <c r="BW187" s="178"/>
      <c r="BX187" s="178"/>
      <c r="BY187" s="180"/>
      <c r="BZ187" s="180"/>
      <c r="CA187" s="180"/>
      <c r="CB187" s="180"/>
      <c r="CC187" s="178"/>
      <c r="CD187" s="178"/>
      <c r="CE187" s="180"/>
      <c r="CF187" s="180"/>
      <c r="CG187" s="180"/>
      <c r="CH187" s="180"/>
      <c r="CI187" s="178"/>
      <c r="CJ187" s="178"/>
      <c r="CK187" s="180"/>
      <c r="CL187" s="180"/>
      <c r="CM187" s="180"/>
      <c r="CN187" s="116"/>
      <c r="CO187" s="218">
        <f t="shared" si="80"/>
        <v>0</v>
      </c>
      <c r="CP187" s="100">
        <f t="shared" si="81"/>
        <v>0</v>
      </c>
      <c r="CQ187" s="218">
        <f t="shared" si="82"/>
        <v>0</v>
      </c>
    </row>
    <row r="188" spans="1:97" s="101" customFormat="1" ht="15" hidden="1" customHeight="1" thickBot="1" x14ac:dyDescent="0.3">
      <c r="A188" s="99"/>
      <c r="V188" s="103"/>
      <c r="AA188" s="104"/>
      <c r="AB188" s="104"/>
      <c r="AD188" s="104"/>
      <c r="AE188" s="105"/>
      <c r="AH188" s="106"/>
      <c r="AI188" s="106"/>
      <c r="AK188" s="104"/>
      <c r="AR188" s="104"/>
      <c r="AV188" s="104"/>
      <c r="AX188" s="104"/>
      <c r="BB188" s="104"/>
      <c r="BC188" s="104"/>
      <c r="BE188" s="104"/>
      <c r="BF188" s="168"/>
      <c r="BG188" s="168"/>
      <c r="BH188" s="168"/>
      <c r="BI188" s="102"/>
      <c r="BJ188" s="178"/>
      <c r="BK188" s="178"/>
      <c r="BL188" s="178"/>
      <c r="BM188" s="169"/>
      <c r="BN188" s="169"/>
      <c r="BO188" s="169"/>
      <c r="BP188" s="178"/>
      <c r="BQ188" s="178"/>
      <c r="BR188" s="178"/>
      <c r="BS188" s="178"/>
      <c r="BT188" s="178"/>
      <c r="BU188" s="178"/>
      <c r="BV188" s="180"/>
      <c r="BW188" s="178"/>
      <c r="BX188" s="178"/>
      <c r="BY188" s="180"/>
      <c r="BZ188" s="180"/>
      <c r="CA188" s="180"/>
      <c r="CB188" s="180"/>
      <c r="CC188" s="178"/>
      <c r="CD188" s="178"/>
      <c r="CE188" s="180"/>
      <c r="CF188" s="180"/>
      <c r="CG188" s="180"/>
      <c r="CH188" s="180"/>
      <c r="CI188" s="178"/>
      <c r="CJ188" s="178"/>
      <c r="CK188" s="180"/>
      <c r="CL188" s="180"/>
      <c r="CM188" s="180"/>
      <c r="CN188" s="116"/>
      <c r="CO188" s="218">
        <f t="shared" si="80"/>
        <v>0</v>
      </c>
      <c r="CP188" s="100">
        <f t="shared" si="81"/>
        <v>0</v>
      </c>
      <c r="CQ188" s="218">
        <f t="shared" si="82"/>
        <v>0</v>
      </c>
    </row>
    <row r="189" spans="1:97" s="101" customFormat="1" ht="27" hidden="1" customHeight="1" x14ac:dyDescent="0.25">
      <c r="A189" s="99"/>
      <c r="V189" s="103"/>
      <c r="AA189" s="104"/>
      <c r="AB189" s="104"/>
      <c r="AD189" s="104"/>
      <c r="AE189" s="105"/>
      <c r="AH189" s="106"/>
      <c r="AI189" s="106"/>
      <c r="AK189" s="104"/>
      <c r="AR189" s="104"/>
      <c r="AV189" s="104"/>
      <c r="AX189" s="104"/>
      <c r="BB189" s="104"/>
      <c r="BC189" s="104"/>
      <c r="BE189" s="104"/>
      <c r="BF189" s="168"/>
      <c r="BG189" s="168"/>
      <c r="BH189" s="168"/>
      <c r="BI189" s="1606" t="s">
        <v>260</v>
      </c>
      <c r="BJ189" s="251"/>
      <c r="BK189" s="1606" t="s">
        <v>276</v>
      </c>
      <c r="BL189" s="251"/>
      <c r="BM189" s="1606" t="s">
        <v>233</v>
      </c>
      <c r="BN189" s="1606" t="s">
        <v>233</v>
      </c>
      <c r="BO189" s="1606" t="s">
        <v>240</v>
      </c>
      <c r="BP189" s="178"/>
      <c r="BQ189" s="178"/>
      <c r="BR189" s="178"/>
      <c r="BS189" s="178"/>
      <c r="BT189" s="178"/>
      <c r="BU189" s="178"/>
      <c r="BV189" s="180"/>
      <c r="BW189" s="178"/>
      <c r="BX189" s="178"/>
      <c r="BY189" s="180"/>
      <c r="BZ189" s="180"/>
      <c r="CA189" s="180"/>
      <c r="CB189" s="180"/>
      <c r="CC189" s="178"/>
      <c r="CD189" s="178"/>
      <c r="CE189" s="180"/>
      <c r="CF189" s="180"/>
      <c r="CG189" s="180"/>
      <c r="CH189" s="180"/>
      <c r="CI189" s="178"/>
      <c r="CJ189" s="178"/>
      <c r="CK189" s="180"/>
      <c r="CL189" s="180"/>
      <c r="CM189" s="180"/>
      <c r="CN189" s="116"/>
      <c r="CO189" s="218" t="str">
        <f t="shared" si="80"/>
        <v>Incertidumbre (+/- %)</v>
      </c>
      <c r="CP189" s="100" t="e">
        <f t="shared" si="81"/>
        <v>#VALUE!</v>
      </c>
      <c r="CQ189" s="218" t="str">
        <f t="shared" si="82"/>
        <v>Incertidumbre (+/- %)</v>
      </c>
    </row>
    <row r="190" spans="1:97" s="101" customFormat="1" ht="34.5" hidden="1" customHeight="1" thickBot="1" x14ac:dyDescent="0.3">
      <c r="A190" s="99"/>
      <c r="V190" s="103"/>
      <c r="AA190" s="104"/>
      <c r="AB190" s="104"/>
      <c r="AD190" s="104"/>
      <c r="AE190" s="105"/>
      <c r="AH190" s="106"/>
      <c r="AI190" s="106"/>
      <c r="AK190" s="104"/>
      <c r="AR190" s="104"/>
      <c r="AV190" s="104"/>
      <c r="AX190" s="104"/>
      <c r="BB190" s="104"/>
      <c r="BC190" s="104"/>
      <c r="BE190" s="104"/>
      <c r="BF190" s="168"/>
      <c r="BG190" s="168"/>
      <c r="BH190" s="168"/>
      <c r="BI190" s="1607"/>
      <c r="BJ190" s="252" t="s">
        <v>253</v>
      </c>
      <c r="BK190" s="1607"/>
      <c r="BL190" s="252" t="s">
        <v>251</v>
      </c>
      <c r="BM190" s="1607"/>
      <c r="BN190" s="1607"/>
      <c r="BO190" s="1607"/>
      <c r="BP190" s="178"/>
      <c r="BQ190" s="178"/>
      <c r="BR190" s="178"/>
      <c r="BS190" s="178"/>
      <c r="BT190" s="178"/>
      <c r="BU190" s="178"/>
      <c r="BV190" s="180"/>
      <c r="BW190" s="178"/>
      <c r="BX190" s="178"/>
      <c r="BY190" s="180"/>
      <c r="BZ190" s="180"/>
      <c r="CA190" s="180"/>
      <c r="CB190" s="180"/>
      <c r="CC190" s="178"/>
      <c r="CD190" s="178"/>
      <c r="CE190" s="180"/>
      <c r="CF190" s="180"/>
      <c r="CG190" s="180"/>
      <c r="CH190" s="180"/>
      <c r="CI190" s="178"/>
      <c r="CJ190" s="178"/>
      <c r="CK190" s="180"/>
      <c r="CL190" s="180"/>
      <c r="CM190" s="180"/>
      <c r="CN190" s="116"/>
      <c r="CO190" s="218">
        <f t="shared" si="80"/>
        <v>0</v>
      </c>
      <c r="CP190" s="100">
        <f t="shared" si="81"/>
        <v>0</v>
      </c>
      <c r="CQ190" s="218">
        <f t="shared" si="82"/>
        <v>0</v>
      </c>
    </row>
    <row r="191" spans="1:97" s="101" customFormat="1" ht="102.75" hidden="1" customHeight="1" thickBot="1" x14ac:dyDescent="0.3">
      <c r="A191" s="99"/>
      <c r="V191" s="103"/>
      <c r="AA191" s="104"/>
      <c r="AB191" s="104"/>
      <c r="AD191" s="104"/>
      <c r="AE191" s="105"/>
      <c r="AH191" s="106"/>
      <c r="AI191" s="106"/>
      <c r="AK191" s="104"/>
      <c r="AR191" s="104"/>
      <c r="AV191" s="104"/>
      <c r="AX191" s="104"/>
      <c r="BB191" s="104"/>
      <c r="BC191" s="104"/>
      <c r="BD191" s="100">
        <f>(10+0.9)*(0.67)</f>
        <v>7.3030000000000008</v>
      </c>
      <c r="BE191" s="100">
        <f>25*(0.67)</f>
        <v>16.75</v>
      </c>
      <c r="BF191" s="168"/>
      <c r="BG191" s="168"/>
      <c r="BH191" s="168"/>
      <c r="BI191" s="203" t="s">
        <v>10</v>
      </c>
      <c r="BJ191" s="190" t="s">
        <v>615</v>
      </c>
      <c r="BK191" s="196">
        <f>BG191</f>
        <v>0</v>
      </c>
      <c r="BL191" s="190" t="s">
        <v>634</v>
      </c>
      <c r="BM191" s="189">
        <v>0.5</v>
      </c>
      <c r="BN191" s="189">
        <v>3</v>
      </c>
      <c r="BO191" s="188" t="s">
        <v>429</v>
      </c>
      <c r="BP191" s="178"/>
      <c r="BQ191" s="102"/>
      <c r="BR191" s="102"/>
      <c r="BS191" s="178"/>
      <c r="BT191" s="178"/>
      <c r="BU191" s="178"/>
      <c r="BV191" s="180"/>
      <c r="BW191" s="178"/>
      <c r="BX191" s="196">
        <v>312.39</v>
      </c>
      <c r="BY191" s="190" t="s">
        <v>635</v>
      </c>
      <c r="BZ191" s="180"/>
      <c r="CA191" s="180"/>
      <c r="CB191" s="180"/>
      <c r="CC191" s="178"/>
      <c r="CD191" s="178"/>
      <c r="CE191" s="180"/>
      <c r="CF191" s="180"/>
      <c r="CG191" s="180"/>
      <c r="CH191" s="180"/>
      <c r="CI191" s="178"/>
      <c r="CJ191" s="178"/>
      <c r="CK191" s="180"/>
      <c r="CL191" s="180"/>
      <c r="CM191" s="180"/>
      <c r="CN191" s="116"/>
      <c r="CO191" s="218">
        <f t="shared" si="80"/>
        <v>0.5</v>
      </c>
      <c r="CP191" s="100">
        <f t="shared" si="81"/>
        <v>1.75</v>
      </c>
      <c r="CQ191" s="218">
        <f t="shared" si="82"/>
        <v>3</v>
      </c>
      <c r="CR191" s="101">
        <v>0.05</v>
      </c>
      <c r="CS191" s="101">
        <v>0.3</v>
      </c>
    </row>
    <row r="192" spans="1:97" s="101" customFormat="1" ht="102.75" hidden="1" customHeight="1" thickBot="1" x14ac:dyDescent="0.3">
      <c r="A192" s="99"/>
      <c r="V192" s="103"/>
      <c r="AA192" s="104"/>
      <c r="AB192" s="104"/>
      <c r="AD192" s="104"/>
      <c r="AE192" s="105"/>
      <c r="AH192" s="106"/>
      <c r="AI192" s="106"/>
      <c r="AK192" s="104"/>
      <c r="AR192" s="104"/>
      <c r="AV192" s="104"/>
      <c r="AX192" s="104"/>
      <c r="BB192" s="104"/>
      <c r="BC192" s="104"/>
      <c r="BD192" s="100">
        <f>(0.31+0)*(0.67)</f>
        <v>0.20770000000000002</v>
      </c>
      <c r="BE192" s="100">
        <f>25*(0.67)</f>
        <v>16.75</v>
      </c>
      <c r="BF192" s="168"/>
      <c r="BG192" s="168"/>
      <c r="BH192" s="168"/>
      <c r="BI192" s="203" t="s">
        <v>11</v>
      </c>
      <c r="BJ192" s="190" t="s">
        <v>615</v>
      </c>
      <c r="BK192" s="196">
        <f>BG192</f>
        <v>0</v>
      </c>
      <c r="BL192" s="190" t="s">
        <v>634</v>
      </c>
      <c r="BM192" s="189">
        <v>0.5</v>
      </c>
      <c r="BN192" s="189">
        <v>3</v>
      </c>
      <c r="BO192" s="188" t="s">
        <v>430</v>
      </c>
      <c r="BP192" s="178"/>
      <c r="BQ192" s="102"/>
      <c r="BR192" s="102"/>
      <c r="BS192" s="178"/>
      <c r="BT192" s="178"/>
      <c r="BU192" s="178"/>
      <c r="BV192" s="180"/>
      <c r="BW192" s="178"/>
      <c r="BX192" s="196">
        <v>20.94</v>
      </c>
      <c r="BY192" s="190" t="s">
        <v>635</v>
      </c>
      <c r="BZ192" s="180"/>
      <c r="CA192" s="180"/>
      <c r="CB192" s="180"/>
      <c r="CC192" s="178"/>
      <c r="CD192" s="178"/>
      <c r="CE192" s="180"/>
      <c r="CF192" s="180"/>
      <c r="CG192" s="180"/>
      <c r="CH192" s="180"/>
      <c r="CI192" s="178"/>
      <c r="CJ192" s="178"/>
      <c r="CK192" s="180"/>
      <c r="CL192" s="180"/>
      <c r="CM192" s="180"/>
      <c r="CN192" s="116"/>
      <c r="CO192" s="218">
        <f t="shared" si="80"/>
        <v>0.5</v>
      </c>
      <c r="CP192" s="100">
        <f t="shared" si="81"/>
        <v>1.75</v>
      </c>
      <c r="CQ192" s="218">
        <f t="shared" si="82"/>
        <v>3</v>
      </c>
      <c r="CR192" s="101">
        <v>0.05</v>
      </c>
      <c r="CS192" s="101">
        <v>0.3</v>
      </c>
    </row>
    <row r="193" spans="1:97" s="101" customFormat="1" ht="141" hidden="1" customHeight="1" thickBot="1" x14ac:dyDescent="0.3">
      <c r="A193" s="99"/>
      <c r="V193" s="103"/>
      <c r="AA193" s="104"/>
      <c r="AB193" s="104"/>
      <c r="AD193" s="104"/>
      <c r="AE193" s="105"/>
      <c r="AH193" s="106"/>
      <c r="AI193" s="106"/>
      <c r="AK193" s="104"/>
      <c r="AR193" s="104"/>
      <c r="AV193" s="104"/>
      <c r="AX193" s="104"/>
      <c r="BB193" s="104"/>
      <c r="BC193" s="104"/>
      <c r="BE193" s="104"/>
      <c r="BF193" s="168"/>
      <c r="BG193" s="168"/>
      <c r="BH193" s="168"/>
      <c r="BI193" s="203" t="s">
        <v>345</v>
      </c>
      <c r="BJ193" s="203" t="s">
        <v>346</v>
      </c>
      <c r="BK193" s="196">
        <v>36.5</v>
      </c>
      <c r="BL193" s="190" t="s">
        <v>424</v>
      </c>
      <c r="BM193" s="189">
        <v>0.9</v>
      </c>
      <c r="BN193" s="189">
        <v>1.06</v>
      </c>
      <c r="BO193" s="188" t="s">
        <v>348</v>
      </c>
      <c r="BP193" s="178"/>
      <c r="BQ193" s="102"/>
      <c r="BR193" s="102"/>
      <c r="BS193" s="178"/>
      <c r="BT193" s="178"/>
      <c r="BU193" s="178"/>
      <c r="BV193" s="180"/>
      <c r="BW193" s="178"/>
      <c r="BX193" s="196">
        <v>20.94</v>
      </c>
      <c r="BY193" s="190" t="s">
        <v>635</v>
      </c>
      <c r="BZ193" s="180"/>
      <c r="CA193" s="180"/>
      <c r="CB193" s="180"/>
      <c r="CC193" s="178"/>
      <c r="CD193" s="178"/>
      <c r="CE193" s="180"/>
      <c r="CF193" s="180"/>
      <c r="CG193" s="180"/>
      <c r="CH193" s="180"/>
      <c r="CI193" s="178"/>
      <c r="CJ193" s="178"/>
      <c r="CK193" s="180"/>
      <c r="CL193" s="180"/>
      <c r="CM193" s="180"/>
      <c r="CN193" s="116"/>
      <c r="CO193" s="218">
        <f t="shared" si="80"/>
        <v>0.9</v>
      </c>
      <c r="CP193" s="100">
        <f t="shared" si="81"/>
        <v>0.98</v>
      </c>
      <c r="CQ193" s="218">
        <f t="shared" si="82"/>
        <v>1.06</v>
      </c>
      <c r="CR193" s="101">
        <v>0.9</v>
      </c>
      <c r="CS193" s="101">
        <v>1.06</v>
      </c>
    </row>
    <row r="194" spans="1:97" s="101" customFormat="1" ht="18.75" hidden="1" customHeight="1" thickBot="1" x14ac:dyDescent="0.3">
      <c r="A194" s="99"/>
      <c r="V194" s="103"/>
      <c r="AA194" s="104"/>
      <c r="AB194" s="104"/>
      <c r="AD194" s="104"/>
      <c r="AE194" s="105"/>
      <c r="AH194" s="106"/>
      <c r="AI194" s="106"/>
      <c r="AK194" s="104"/>
      <c r="AR194" s="104"/>
      <c r="AV194" s="104"/>
      <c r="AX194" s="104"/>
      <c r="BB194" s="104"/>
      <c r="BC194" s="104"/>
      <c r="BE194" s="104"/>
      <c r="BF194" s="168"/>
      <c r="BG194" s="168"/>
      <c r="BH194" s="168"/>
      <c r="BI194" s="203" t="s">
        <v>12</v>
      </c>
      <c r="BJ194" s="203" t="s">
        <v>615</v>
      </c>
      <c r="BK194" s="196">
        <v>1E-4</v>
      </c>
      <c r="BL194" s="190" t="s">
        <v>627</v>
      </c>
      <c r="BM194" s="189">
        <v>0.1</v>
      </c>
      <c r="BN194" s="189">
        <v>0.25</v>
      </c>
      <c r="BO194" s="188" t="s">
        <v>258</v>
      </c>
      <c r="BP194" s="215" t="s">
        <v>615</v>
      </c>
      <c r="BQ194" s="216">
        <v>560</v>
      </c>
      <c r="BR194" s="215" t="s">
        <v>637</v>
      </c>
      <c r="BS194" s="217">
        <v>0.1</v>
      </c>
      <c r="BT194" s="217">
        <v>0.25</v>
      </c>
      <c r="BU194" s="188" t="s">
        <v>258</v>
      </c>
      <c r="BV194" s="180"/>
      <c r="BW194" s="178"/>
      <c r="BX194" s="196">
        <v>12.5</v>
      </c>
      <c r="BY194" s="190" t="s">
        <v>635</v>
      </c>
      <c r="BZ194" s="180"/>
      <c r="CA194" s="180"/>
      <c r="CB194" s="180"/>
      <c r="CC194" s="178"/>
      <c r="CD194" s="178"/>
      <c r="CE194" s="180"/>
      <c r="CF194" s="180"/>
      <c r="CG194" s="180"/>
      <c r="CH194" s="180"/>
      <c r="CI194" s="178"/>
      <c r="CJ194" s="178"/>
      <c r="CK194" s="180"/>
      <c r="CL194" s="180"/>
      <c r="CM194" s="180"/>
      <c r="CN194" s="116"/>
      <c r="CO194" s="218">
        <f t="shared" si="80"/>
        <v>0.1</v>
      </c>
      <c r="CP194" s="100">
        <f t="shared" si="81"/>
        <v>0.17499999999999999</v>
      </c>
      <c r="CQ194" s="218">
        <f t="shared" si="82"/>
        <v>0.25</v>
      </c>
      <c r="CR194" s="101">
        <v>0.02</v>
      </c>
      <c r="CS194" s="101">
        <v>0.5</v>
      </c>
    </row>
    <row r="195" spans="1:97" s="101" customFormat="1" ht="26.25" hidden="1" customHeight="1" thickBot="1" x14ac:dyDescent="0.3">
      <c r="A195" s="99"/>
      <c r="V195" s="103"/>
      <c r="AA195" s="104"/>
      <c r="AB195" s="104"/>
      <c r="AD195" s="104"/>
      <c r="AE195" s="105"/>
      <c r="AH195" s="106"/>
      <c r="AI195" s="106"/>
      <c r="AK195" s="104"/>
      <c r="AR195" s="104"/>
      <c r="AV195" s="104"/>
      <c r="AX195" s="104"/>
      <c r="BB195" s="104"/>
      <c r="BC195" s="104"/>
      <c r="BE195" s="104"/>
      <c r="BF195" s="168"/>
      <c r="BG195" s="168"/>
      <c r="BH195" s="168"/>
      <c r="BI195" s="203" t="s">
        <v>343</v>
      </c>
      <c r="BJ195" s="203" t="s">
        <v>615</v>
      </c>
      <c r="BK195" s="196">
        <v>1000</v>
      </c>
      <c r="BL195" s="190" t="s">
        <v>627</v>
      </c>
      <c r="BM195" s="189">
        <v>0.02</v>
      </c>
      <c r="BN195" s="189">
        <v>0.5</v>
      </c>
      <c r="BO195" s="188" t="s">
        <v>387</v>
      </c>
      <c r="BP195" s="178"/>
      <c r="BQ195" s="102"/>
      <c r="BR195" s="102"/>
      <c r="BS195" s="178"/>
      <c r="BT195" s="178"/>
      <c r="BU195" s="178"/>
      <c r="BV195" s="180"/>
      <c r="BW195" s="178"/>
      <c r="BX195" s="196"/>
      <c r="BY195" s="190"/>
      <c r="BZ195" s="180"/>
      <c r="CA195" s="180"/>
      <c r="CB195" s="180"/>
      <c r="CC195" s="178"/>
      <c r="CD195" s="178"/>
      <c r="CE195" s="180"/>
      <c r="CF195" s="180"/>
      <c r="CG195" s="180"/>
      <c r="CH195" s="180"/>
      <c r="CI195" s="178"/>
      <c r="CJ195" s="178"/>
      <c r="CK195" s="180"/>
      <c r="CL195" s="180"/>
      <c r="CM195" s="180"/>
      <c r="CN195" s="116"/>
      <c r="CO195" s="218">
        <f t="shared" si="80"/>
        <v>0.02</v>
      </c>
      <c r="CP195" s="100">
        <f t="shared" si="81"/>
        <v>0.26</v>
      </c>
      <c r="CQ195" s="218">
        <f t="shared" si="82"/>
        <v>0.5</v>
      </c>
      <c r="CR195" s="101">
        <v>0.02</v>
      </c>
      <c r="CS195" s="101">
        <v>0.5</v>
      </c>
    </row>
    <row r="196" spans="1:97" s="101" customFormat="1" ht="16.5" hidden="1" customHeight="1" thickBot="1" x14ac:dyDescent="0.3">
      <c r="A196" s="99"/>
      <c r="V196" s="103"/>
      <c r="AA196" s="104"/>
      <c r="AB196" s="104"/>
      <c r="AD196" s="104"/>
      <c r="AE196" s="105"/>
      <c r="AH196" s="106"/>
      <c r="AI196" s="106"/>
      <c r="AK196" s="104"/>
      <c r="AR196" s="104"/>
      <c r="AV196" s="104"/>
      <c r="AX196" s="104"/>
      <c r="BB196" s="104"/>
      <c r="BC196" s="104"/>
      <c r="BE196" s="104"/>
      <c r="BF196" s="168"/>
      <c r="BG196" s="168"/>
      <c r="BH196" s="168"/>
      <c r="BI196" s="203" t="s">
        <v>438</v>
      </c>
      <c r="BJ196" s="190" t="s">
        <v>626</v>
      </c>
      <c r="BK196" s="196">
        <v>520</v>
      </c>
      <c r="BL196" s="190" t="s">
        <v>628</v>
      </c>
      <c r="BM196" s="189">
        <v>0.01</v>
      </c>
      <c r="BN196" s="189">
        <v>0.35</v>
      </c>
      <c r="BO196" s="188" t="s">
        <v>258</v>
      </c>
      <c r="BP196" s="178"/>
      <c r="BQ196" s="102"/>
      <c r="BR196" s="102"/>
      <c r="BS196" s="178"/>
      <c r="BT196" s="178"/>
      <c r="BU196" s="178"/>
      <c r="BV196" s="180"/>
      <c r="BW196" s="178"/>
      <c r="BX196" s="196"/>
      <c r="BY196" s="190"/>
      <c r="BZ196" s="180"/>
      <c r="CA196" s="180"/>
      <c r="CB196" s="180"/>
      <c r="CC196" s="178"/>
      <c r="CD196" s="178"/>
      <c r="CE196" s="180"/>
      <c r="CF196" s="180"/>
      <c r="CG196" s="180"/>
      <c r="CH196" s="180"/>
      <c r="CI196" s="178"/>
      <c r="CJ196" s="178"/>
      <c r="CK196" s="180"/>
      <c r="CL196" s="180"/>
      <c r="CM196" s="180"/>
      <c r="CN196" s="116"/>
      <c r="CO196" s="218">
        <f t="shared" si="80"/>
        <v>0.01</v>
      </c>
      <c r="CP196" s="100">
        <f t="shared" si="81"/>
        <v>0.18</v>
      </c>
      <c r="CQ196" s="218">
        <f t="shared" si="82"/>
        <v>0.35</v>
      </c>
    </row>
    <row r="197" spans="1:97" s="101" customFormat="1" ht="16.5" hidden="1" customHeight="1" thickBot="1" x14ac:dyDescent="0.3">
      <c r="A197" s="99"/>
      <c r="V197" s="103"/>
      <c r="AA197" s="104"/>
      <c r="AB197" s="104"/>
      <c r="AD197" s="104"/>
      <c r="AE197" s="105"/>
      <c r="AH197" s="106"/>
      <c r="AI197" s="106"/>
      <c r="AK197" s="104"/>
      <c r="AR197" s="104"/>
      <c r="AV197" s="104"/>
      <c r="AX197" s="104"/>
      <c r="BB197" s="104"/>
      <c r="BC197" s="104"/>
      <c r="BE197" s="104"/>
      <c r="BF197" s="168"/>
      <c r="BG197" s="168"/>
      <c r="BH197" s="168"/>
      <c r="BI197" s="203" t="s">
        <v>13</v>
      </c>
      <c r="BJ197" s="190" t="s">
        <v>615</v>
      </c>
      <c r="BK197" s="196">
        <v>750</v>
      </c>
      <c r="BL197" s="190" t="s">
        <v>629</v>
      </c>
      <c r="BM197" s="189">
        <v>0.02</v>
      </c>
      <c r="BN197" s="189">
        <v>0.15</v>
      </c>
      <c r="BO197" s="188" t="s">
        <v>258</v>
      </c>
      <c r="BP197" s="178"/>
      <c r="BQ197" s="102"/>
      <c r="BR197" s="102"/>
      <c r="BS197" s="178"/>
      <c r="BT197" s="178"/>
      <c r="BU197" s="178"/>
      <c r="BV197" s="180"/>
      <c r="BW197" s="178"/>
      <c r="BX197" s="196">
        <v>790</v>
      </c>
      <c r="BY197" s="190" t="s">
        <v>635</v>
      </c>
      <c r="BZ197" s="180"/>
      <c r="CA197" s="180"/>
      <c r="CB197" s="180"/>
      <c r="CC197" s="178"/>
      <c r="CD197" s="178"/>
      <c r="CE197" s="180"/>
      <c r="CF197" s="180"/>
      <c r="CG197" s="180"/>
      <c r="CH197" s="180"/>
      <c r="CI197" s="178"/>
      <c r="CJ197" s="178"/>
      <c r="CK197" s="180"/>
      <c r="CL197" s="180"/>
      <c r="CM197" s="180"/>
      <c r="CN197" s="116"/>
      <c r="CO197" s="218">
        <f t="shared" si="80"/>
        <v>0.02</v>
      </c>
      <c r="CP197" s="100">
        <f t="shared" si="81"/>
        <v>8.4999999999999992E-2</v>
      </c>
      <c r="CQ197" s="218">
        <f t="shared" si="82"/>
        <v>0.15</v>
      </c>
      <c r="CR197" s="101">
        <v>0.02</v>
      </c>
      <c r="CS197" s="101">
        <v>0.5</v>
      </c>
    </row>
    <row r="198" spans="1:97" s="101" customFormat="1" ht="16.5" hidden="1" customHeight="1" thickBot="1" x14ac:dyDescent="0.3">
      <c r="A198" s="99"/>
      <c r="V198" s="103"/>
      <c r="AA198" s="104"/>
      <c r="AB198" s="104"/>
      <c r="AD198" s="104"/>
      <c r="AE198" s="105"/>
      <c r="AH198" s="106"/>
      <c r="AI198" s="106"/>
      <c r="AK198" s="104"/>
      <c r="AR198" s="104"/>
      <c r="AV198" s="104"/>
      <c r="AX198" s="104"/>
      <c r="BB198" s="104"/>
      <c r="BC198" s="104"/>
      <c r="BE198" s="104"/>
      <c r="BF198" s="168"/>
      <c r="BG198" s="168"/>
      <c r="BH198" s="168"/>
      <c r="BI198" s="203" t="s">
        <v>14</v>
      </c>
      <c r="BJ198" s="190" t="s">
        <v>615</v>
      </c>
      <c r="BK198" s="196">
        <v>860</v>
      </c>
      <c r="BL198" s="190" t="s">
        <v>629</v>
      </c>
      <c r="BM198" s="189">
        <v>0.02</v>
      </c>
      <c r="BN198" s="189">
        <v>0.15</v>
      </c>
      <c r="BO198" s="188" t="s">
        <v>258</v>
      </c>
      <c r="BP198" s="178"/>
      <c r="BQ198" s="102"/>
      <c r="BR198" s="102"/>
      <c r="BS198" s="178"/>
      <c r="BT198" s="178"/>
      <c r="BU198" s="178"/>
      <c r="BV198" s="180"/>
      <c r="BW198" s="178"/>
      <c r="BX198" s="196">
        <v>910</v>
      </c>
      <c r="BY198" s="190" t="s">
        <v>635</v>
      </c>
      <c r="BZ198" s="180"/>
      <c r="CA198" s="180"/>
      <c r="CB198" s="180"/>
      <c r="CC198" s="178"/>
      <c r="CD198" s="178"/>
      <c r="CE198" s="180"/>
      <c r="CF198" s="180"/>
      <c r="CG198" s="180"/>
      <c r="CH198" s="180"/>
      <c r="CI198" s="178"/>
      <c r="CJ198" s="178"/>
      <c r="CK198" s="180"/>
      <c r="CL198" s="180"/>
      <c r="CM198" s="180"/>
      <c r="CN198" s="116"/>
      <c r="CO198" s="218">
        <f t="shared" si="80"/>
        <v>0.02</v>
      </c>
      <c r="CP198" s="100">
        <f t="shared" si="81"/>
        <v>8.4999999999999992E-2</v>
      </c>
      <c r="CQ198" s="218">
        <f t="shared" si="82"/>
        <v>0.15</v>
      </c>
      <c r="CR198" s="101">
        <v>0.02</v>
      </c>
      <c r="CS198" s="101">
        <v>0.5</v>
      </c>
    </row>
    <row r="199" spans="1:97" s="101" customFormat="1" ht="16.5" hidden="1" customHeight="1" thickBot="1" x14ac:dyDescent="0.3">
      <c r="A199" s="99"/>
      <c r="V199" s="103"/>
      <c r="AA199" s="104"/>
      <c r="AB199" s="104"/>
      <c r="AD199" s="104"/>
      <c r="AE199" s="105"/>
      <c r="AH199" s="106"/>
      <c r="AI199" s="106"/>
      <c r="AK199" s="104"/>
      <c r="AR199" s="104"/>
      <c r="AV199" s="104"/>
      <c r="AX199" s="104"/>
      <c r="BB199" s="104"/>
      <c r="BC199" s="104"/>
      <c r="BE199" s="104"/>
      <c r="BF199" s="168"/>
      <c r="BG199" s="168"/>
      <c r="BH199" s="168"/>
      <c r="BI199" s="203" t="s">
        <v>431</v>
      </c>
      <c r="BJ199" s="190" t="s">
        <v>615</v>
      </c>
      <c r="BK199" s="196">
        <v>439.71</v>
      </c>
      <c r="BL199" s="190" t="s">
        <v>629</v>
      </c>
      <c r="BM199" s="189">
        <v>0.02</v>
      </c>
      <c r="BN199" s="189">
        <v>0.15</v>
      </c>
      <c r="BO199" s="188" t="s">
        <v>258</v>
      </c>
      <c r="BP199" s="178"/>
      <c r="BQ199" s="102"/>
      <c r="BR199" s="102"/>
      <c r="BS199" s="178"/>
      <c r="BT199" s="178"/>
      <c r="BU199" s="178"/>
      <c r="BV199" s="180"/>
      <c r="BW199" s="178"/>
      <c r="BX199" s="196"/>
      <c r="BY199" s="190"/>
      <c r="BZ199" s="180"/>
      <c r="CA199" s="180"/>
      <c r="CB199" s="180"/>
      <c r="CC199" s="178"/>
      <c r="CD199" s="178"/>
      <c r="CE199" s="180"/>
      <c r="CF199" s="180"/>
      <c r="CG199" s="180"/>
      <c r="CH199" s="180"/>
      <c r="CI199" s="178"/>
      <c r="CJ199" s="178"/>
      <c r="CK199" s="180"/>
      <c r="CL199" s="180"/>
      <c r="CM199" s="180"/>
      <c r="CN199" s="116"/>
      <c r="CO199" s="218">
        <f t="shared" si="80"/>
        <v>0.02</v>
      </c>
      <c r="CP199" s="100">
        <f t="shared" si="81"/>
        <v>8.4999999999999992E-2</v>
      </c>
      <c r="CQ199" s="218">
        <f t="shared" si="82"/>
        <v>0.15</v>
      </c>
    </row>
    <row r="200" spans="1:97" s="101" customFormat="1" ht="16.5" hidden="1" customHeight="1" thickBot="1" x14ac:dyDescent="0.3">
      <c r="A200" s="99"/>
      <c r="V200" s="103"/>
      <c r="AA200" s="104"/>
      <c r="AB200" s="104"/>
      <c r="AD200" s="104"/>
      <c r="AE200" s="105"/>
      <c r="AH200" s="106"/>
      <c r="AI200" s="106"/>
      <c r="AK200" s="104"/>
      <c r="AR200" s="104"/>
      <c r="AV200" s="104"/>
      <c r="AX200" s="104"/>
      <c r="BB200" s="104"/>
      <c r="BC200" s="104"/>
      <c r="BE200" s="104"/>
      <c r="BF200" s="168"/>
      <c r="BG200" s="168"/>
      <c r="BH200" s="168"/>
      <c r="BI200" s="203" t="s">
        <v>432</v>
      </c>
      <c r="BJ200" s="190" t="s">
        <v>615</v>
      </c>
      <c r="BK200" s="196">
        <v>521.97</v>
      </c>
      <c r="BL200" s="190" t="s">
        <v>629</v>
      </c>
      <c r="BM200" s="189">
        <v>0.02</v>
      </c>
      <c r="BN200" s="189">
        <v>0.15</v>
      </c>
      <c r="BO200" s="188" t="s">
        <v>258</v>
      </c>
      <c r="BP200" s="178"/>
      <c r="BQ200" s="102"/>
      <c r="BR200" s="102"/>
      <c r="BS200" s="178"/>
      <c r="BT200" s="178"/>
      <c r="BU200" s="178"/>
      <c r="BV200" s="180"/>
      <c r="BW200" s="178"/>
      <c r="BX200" s="196"/>
      <c r="BY200" s="190"/>
      <c r="BZ200" s="180"/>
      <c r="CA200" s="180"/>
      <c r="CB200" s="180"/>
      <c r="CC200" s="178"/>
      <c r="CD200" s="178"/>
      <c r="CE200" s="180"/>
      <c r="CF200" s="180"/>
      <c r="CG200" s="180"/>
      <c r="CH200" s="180"/>
      <c r="CI200" s="178"/>
      <c r="CJ200" s="178"/>
      <c r="CK200" s="180"/>
      <c r="CL200" s="180"/>
      <c r="CM200" s="180"/>
      <c r="CN200" s="116"/>
      <c r="CO200" s="218">
        <f t="shared" si="80"/>
        <v>0.02</v>
      </c>
      <c r="CP200" s="100">
        <f t="shared" si="81"/>
        <v>8.4999999999999992E-2</v>
      </c>
      <c r="CQ200" s="218">
        <f t="shared" si="82"/>
        <v>0.15</v>
      </c>
    </row>
    <row r="201" spans="1:97" s="101" customFormat="1" ht="16.5" hidden="1" customHeight="1" thickBot="1" x14ac:dyDescent="0.3">
      <c r="A201" s="99"/>
      <c r="V201" s="103"/>
      <c r="AA201" s="104"/>
      <c r="AB201" s="104"/>
      <c r="AD201" s="104"/>
      <c r="AE201" s="105"/>
      <c r="AH201" s="106"/>
      <c r="AI201" s="106"/>
      <c r="AK201" s="104"/>
      <c r="AR201" s="104"/>
      <c r="AV201" s="104"/>
      <c r="AX201" s="104"/>
      <c r="BB201" s="104"/>
      <c r="BC201" s="104"/>
      <c r="BE201" s="104"/>
      <c r="BF201" s="168"/>
      <c r="BG201" s="168"/>
      <c r="BH201" s="168"/>
      <c r="BI201" s="203" t="s">
        <v>433</v>
      </c>
      <c r="BJ201" s="190" t="s">
        <v>615</v>
      </c>
      <c r="BK201" s="196">
        <v>477.32</v>
      </c>
      <c r="BL201" s="190" t="s">
        <v>629</v>
      </c>
      <c r="BM201" s="189">
        <v>0.02</v>
      </c>
      <c r="BN201" s="189">
        <v>0.15</v>
      </c>
      <c r="BO201" s="188" t="s">
        <v>258</v>
      </c>
      <c r="BP201" s="178"/>
      <c r="BQ201" s="102"/>
      <c r="BR201" s="102"/>
      <c r="BS201" s="178"/>
      <c r="BT201" s="178"/>
      <c r="BU201" s="178"/>
      <c r="BV201" s="180"/>
      <c r="BW201" s="178"/>
      <c r="BX201" s="196"/>
      <c r="BY201" s="190"/>
      <c r="BZ201" s="180"/>
      <c r="CA201" s="180"/>
      <c r="CB201" s="180"/>
      <c r="CC201" s="178"/>
      <c r="CD201" s="178"/>
      <c r="CE201" s="180"/>
      <c r="CF201" s="180"/>
      <c r="CG201" s="180"/>
      <c r="CH201" s="180"/>
      <c r="CI201" s="178"/>
      <c r="CJ201" s="178"/>
      <c r="CK201" s="180"/>
      <c r="CL201" s="180"/>
      <c r="CM201" s="180"/>
      <c r="CN201" s="116"/>
      <c r="CO201" s="218">
        <f t="shared" si="80"/>
        <v>0.02</v>
      </c>
      <c r="CP201" s="100">
        <f t="shared" si="81"/>
        <v>8.4999999999999992E-2</v>
      </c>
      <c r="CQ201" s="218">
        <f t="shared" si="82"/>
        <v>0.15</v>
      </c>
    </row>
    <row r="202" spans="1:97" s="101" customFormat="1" ht="16.5" hidden="1" customHeight="1" thickBot="1" x14ac:dyDescent="0.3">
      <c r="A202" s="99"/>
      <c r="V202" s="103"/>
      <c r="AA202" s="104"/>
      <c r="AB202" s="104"/>
      <c r="AD202" s="104"/>
      <c r="AE202" s="105"/>
      <c r="AH202" s="106"/>
      <c r="AI202" s="106"/>
      <c r="AK202" s="104"/>
      <c r="AR202" s="104"/>
      <c r="AV202" s="104"/>
      <c r="AX202" s="104"/>
      <c r="BB202" s="104"/>
      <c r="BC202" s="104"/>
      <c r="BE202" s="104"/>
      <c r="BF202" s="168"/>
      <c r="BG202" s="168"/>
      <c r="BH202" s="168"/>
      <c r="BI202" s="203" t="s">
        <v>434</v>
      </c>
      <c r="BJ202" s="190" t="s">
        <v>615</v>
      </c>
      <c r="BK202" s="196">
        <v>379.87</v>
      </c>
      <c r="BL202" s="190" t="s">
        <v>629</v>
      </c>
      <c r="BM202" s="189">
        <v>0.02</v>
      </c>
      <c r="BN202" s="189">
        <v>0.15</v>
      </c>
      <c r="BO202" s="188" t="s">
        <v>258</v>
      </c>
      <c r="BP202" s="178"/>
      <c r="BQ202" s="102"/>
      <c r="BR202" s="102"/>
      <c r="BS202" s="178"/>
      <c r="BT202" s="178"/>
      <c r="BU202" s="178"/>
      <c r="BV202" s="180"/>
      <c r="BW202" s="178"/>
      <c r="BX202" s="196"/>
      <c r="BY202" s="190"/>
      <c r="BZ202" s="180"/>
      <c r="CA202" s="180"/>
      <c r="CB202" s="180"/>
      <c r="CC202" s="178"/>
      <c r="CD202" s="178"/>
      <c r="CE202" s="180"/>
      <c r="CF202" s="180"/>
      <c r="CG202" s="180"/>
      <c r="CH202" s="180"/>
      <c r="CI202" s="178"/>
      <c r="CJ202" s="178"/>
      <c r="CK202" s="180"/>
      <c r="CL202" s="180"/>
      <c r="CM202" s="180"/>
      <c r="CN202" s="116"/>
      <c r="CO202" s="218">
        <f t="shared" si="80"/>
        <v>0.02</v>
      </c>
      <c r="CP202" s="100">
        <f t="shared" si="81"/>
        <v>8.4999999999999992E-2</v>
      </c>
      <c r="CQ202" s="218">
        <f t="shared" si="82"/>
        <v>0.15</v>
      </c>
    </row>
    <row r="203" spans="1:97" s="101" customFormat="1" ht="16.5" hidden="1" customHeight="1" thickBot="1" x14ac:dyDescent="0.3">
      <c r="A203" s="99"/>
      <c r="V203" s="103"/>
      <c r="AA203" s="104"/>
      <c r="AB203" s="104"/>
      <c r="AD203" s="104"/>
      <c r="AE203" s="105"/>
      <c r="AH203" s="106"/>
      <c r="AI203" s="106"/>
      <c r="AK203" s="104"/>
      <c r="AR203" s="104"/>
      <c r="AV203" s="104"/>
      <c r="AX203" s="104"/>
      <c r="BB203" s="104"/>
      <c r="BC203" s="104"/>
      <c r="BE203" s="104"/>
      <c r="BF203" s="168"/>
      <c r="BG203" s="168"/>
      <c r="BH203" s="168"/>
      <c r="BI203" s="203" t="s">
        <v>436</v>
      </c>
      <c r="BJ203" s="190" t="s">
        <v>615</v>
      </c>
      <c r="BK203" s="196">
        <v>382.86</v>
      </c>
      <c r="BL203" s="190" t="s">
        <v>629</v>
      </c>
      <c r="BM203" s="189">
        <v>0.02</v>
      </c>
      <c r="BN203" s="189">
        <v>0.15</v>
      </c>
      <c r="BO203" s="188" t="s">
        <v>258</v>
      </c>
      <c r="BP203" s="178"/>
      <c r="BQ203" s="102"/>
      <c r="BR203" s="102"/>
      <c r="BS203" s="178"/>
      <c r="BT203" s="178"/>
      <c r="BU203" s="178"/>
      <c r="BV203" s="180"/>
      <c r="BW203" s="178"/>
      <c r="BX203" s="196"/>
      <c r="BY203" s="190"/>
      <c r="BZ203" s="180"/>
      <c r="CA203" s="180"/>
      <c r="CB203" s="180"/>
      <c r="CC203" s="178"/>
      <c r="CD203" s="178"/>
      <c r="CE203" s="180"/>
      <c r="CF203" s="180"/>
      <c r="CG203" s="180"/>
      <c r="CH203" s="180"/>
      <c r="CI203" s="178"/>
      <c r="CJ203" s="178"/>
      <c r="CK203" s="180"/>
      <c r="CL203" s="180"/>
      <c r="CM203" s="180"/>
      <c r="CN203" s="116"/>
      <c r="CO203" s="218">
        <f t="shared" si="80"/>
        <v>0.02</v>
      </c>
      <c r="CP203" s="100">
        <f t="shared" si="81"/>
        <v>8.4999999999999992E-2</v>
      </c>
      <c r="CQ203" s="218">
        <f t="shared" si="82"/>
        <v>0.15</v>
      </c>
    </row>
    <row r="204" spans="1:97" s="101" customFormat="1" ht="16.5" hidden="1" customHeight="1" thickBot="1" x14ac:dyDescent="0.3">
      <c r="A204" s="99"/>
      <c r="V204" s="103"/>
      <c r="AA204" s="104"/>
      <c r="AB204" s="104"/>
      <c r="AD204" s="104"/>
      <c r="AE204" s="105"/>
      <c r="AH204" s="106"/>
      <c r="AI204" s="106"/>
      <c r="AK204" s="104"/>
      <c r="AR204" s="104"/>
      <c r="AV204" s="104"/>
      <c r="AX204" s="104"/>
      <c r="BB204" s="104"/>
      <c r="BC204" s="104"/>
      <c r="BE204" s="104"/>
      <c r="BF204" s="168"/>
      <c r="BG204" s="168"/>
      <c r="BH204" s="168"/>
      <c r="BI204" s="203" t="s">
        <v>437</v>
      </c>
      <c r="BJ204" s="190" t="s">
        <v>615</v>
      </c>
      <c r="BK204" s="196">
        <v>414.92</v>
      </c>
      <c r="BL204" s="190" t="s">
        <v>629</v>
      </c>
      <c r="BM204" s="189">
        <v>0.02</v>
      </c>
      <c r="BN204" s="189">
        <v>0.15</v>
      </c>
      <c r="BO204" s="188" t="s">
        <v>258</v>
      </c>
      <c r="BP204" s="178"/>
      <c r="BQ204" s="102"/>
      <c r="BR204" s="102"/>
      <c r="BS204" s="178"/>
      <c r="BT204" s="178"/>
      <c r="BU204" s="178"/>
      <c r="BV204" s="180"/>
      <c r="BW204" s="178"/>
      <c r="BX204" s="196"/>
      <c r="BY204" s="190"/>
      <c r="BZ204" s="180"/>
      <c r="CA204" s="180"/>
      <c r="CB204" s="180"/>
      <c r="CC204" s="178"/>
      <c r="CD204" s="178"/>
      <c r="CE204" s="180"/>
      <c r="CF204" s="180"/>
      <c r="CG204" s="180"/>
      <c r="CH204" s="180"/>
      <c r="CI204" s="178"/>
      <c r="CJ204" s="178"/>
      <c r="CK204" s="180"/>
      <c r="CL204" s="180"/>
      <c r="CM204" s="180"/>
      <c r="CN204" s="116"/>
      <c r="CO204" s="218">
        <f t="shared" si="80"/>
        <v>0.02</v>
      </c>
      <c r="CP204" s="100">
        <f t="shared" si="81"/>
        <v>8.4999999999999992E-2</v>
      </c>
      <c r="CQ204" s="218">
        <f t="shared" si="82"/>
        <v>0.15</v>
      </c>
    </row>
    <row r="205" spans="1:97" s="101" customFormat="1" ht="16.5" hidden="1" customHeight="1" thickBot="1" x14ac:dyDescent="0.3">
      <c r="A205" s="99"/>
      <c r="V205" s="103"/>
      <c r="AA205" s="104"/>
      <c r="AB205" s="104"/>
      <c r="AD205" s="104"/>
      <c r="AE205" s="105"/>
      <c r="AH205" s="106"/>
      <c r="AI205" s="106"/>
      <c r="AK205" s="104"/>
      <c r="AR205" s="104"/>
      <c r="AV205" s="104"/>
      <c r="AX205" s="104"/>
      <c r="BB205" s="104"/>
      <c r="BC205" s="104"/>
      <c r="BE205" s="104"/>
      <c r="BF205" s="168"/>
      <c r="BG205" s="168"/>
      <c r="BH205" s="168"/>
      <c r="BI205" s="203" t="s">
        <v>435</v>
      </c>
      <c r="BJ205" s="190" t="s">
        <v>615</v>
      </c>
      <c r="BK205" s="196">
        <v>475.72</v>
      </c>
      <c r="BL205" s="190" t="s">
        <v>629</v>
      </c>
      <c r="BM205" s="189">
        <v>0.02</v>
      </c>
      <c r="BN205" s="189">
        <v>0.15</v>
      </c>
      <c r="BO205" s="188" t="s">
        <v>258</v>
      </c>
      <c r="BP205" s="178"/>
      <c r="BQ205" s="102"/>
      <c r="BR205" s="102"/>
      <c r="BS205" s="178"/>
      <c r="BT205" s="178"/>
      <c r="BU205" s="178"/>
      <c r="BV205" s="180"/>
      <c r="BW205" s="178"/>
      <c r="BX205" s="196"/>
      <c r="BY205" s="190"/>
      <c r="BZ205" s="180"/>
      <c r="CA205" s="180"/>
      <c r="CB205" s="180"/>
      <c r="CC205" s="178"/>
      <c r="CD205" s="178"/>
      <c r="CE205" s="180"/>
      <c r="CF205" s="180"/>
      <c r="CG205" s="180"/>
      <c r="CH205" s="180"/>
      <c r="CI205" s="178"/>
      <c r="CJ205" s="178"/>
      <c r="CK205" s="180"/>
      <c r="CL205" s="180"/>
      <c r="CM205" s="180"/>
      <c r="CN205" s="116"/>
      <c r="CO205" s="218">
        <f t="shared" si="80"/>
        <v>0.02</v>
      </c>
      <c r="CP205" s="100">
        <f t="shared" si="81"/>
        <v>8.4999999999999992E-2</v>
      </c>
      <c r="CQ205" s="218">
        <f t="shared" si="82"/>
        <v>0.15</v>
      </c>
    </row>
    <row r="206" spans="1:97" s="101" customFormat="1" ht="16.5" hidden="1" customHeight="1" thickBot="1" x14ac:dyDescent="0.3">
      <c r="A206" s="99"/>
      <c r="V206" s="103"/>
      <c r="AA206" s="104"/>
      <c r="AB206" s="104"/>
      <c r="AD206" s="104"/>
      <c r="AE206" s="105"/>
      <c r="AH206" s="106"/>
      <c r="AI206" s="106"/>
      <c r="AK206" s="104"/>
      <c r="AR206" s="104"/>
      <c r="AV206" s="104"/>
      <c r="AX206" s="104"/>
      <c r="BB206" s="104"/>
      <c r="BC206" s="104"/>
      <c r="BE206" s="104"/>
      <c r="BF206" s="168"/>
      <c r="BG206" s="168"/>
      <c r="BH206" s="168"/>
      <c r="BI206" s="203" t="s">
        <v>439</v>
      </c>
      <c r="BJ206" s="203" t="s">
        <v>49</v>
      </c>
      <c r="BK206" s="196">
        <v>0.21</v>
      </c>
      <c r="BL206" s="190" t="s">
        <v>629</v>
      </c>
      <c r="BM206" s="189">
        <v>0.1</v>
      </c>
      <c r="BN206" s="189">
        <v>0.6</v>
      </c>
      <c r="BO206" s="188" t="s">
        <v>258</v>
      </c>
      <c r="BP206" s="178"/>
      <c r="BQ206" s="102"/>
      <c r="BR206" s="102"/>
      <c r="BS206" s="178"/>
      <c r="BT206" s="178"/>
      <c r="BU206" s="178"/>
      <c r="BV206" s="180"/>
      <c r="BW206" s="178"/>
      <c r="BX206" s="196"/>
      <c r="BY206" s="190"/>
      <c r="BZ206" s="180"/>
      <c r="CA206" s="180"/>
      <c r="CB206" s="180"/>
      <c r="CC206" s="178"/>
      <c r="CD206" s="178"/>
      <c r="CE206" s="180"/>
      <c r="CF206" s="180"/>
      <c r="CG206" s="180"/>
      <c r="CH206" s="180"/>
      <c r="CI206" s="178"/>
      <c r="CJ206" s="178"/>
      <c r="CK206" s="180"/>
      <c r="CL206" s="180"/>
      <c r="CM206" s="180"/>
      <c r="CN206" s="116"/>
      <c r="CO206" s="218">
        <f t="shared" si="80"/>
        <v>0.1</v>
      </c>
      <c r="CP206" s="100">
        <f t="shared" si="81"/>
        <v>0.35</v>
      </c>
      <c r="CQ206" s="218">
        <f t="shared" si="82"/>
        <v>0.6</v>
      </c>
    </row>
    <row r="207" spans="1:97" s="101" customFormat="1" ht="16.5" hidden="1" customHeight="1" thickBot="1" x14ac:dyDescent="0.3">
      <c r="A207" s="99"/>
      <c r="V207" s="103"/>
      <c r="AA207" s="104"/>
      <c r="AB207" s="104"/>
      <c r="AD207" s="104"/>
      <c r="AE207" s="105"/>
      <c r="AH207" s="106"/>
      <c r="AI207" s="106"/>
      <c r="AK207" s="104"/>
      <c r="AR207" s="104"/>
      <c r="AV207" s="104"/>
      <c r="AX207" s="104"/>
      <c r="BB207" s="104"/>
      <c r="BC207" s="104"/>
      <c r="BE207" s="104"/>
      <c r="BF207" s="168"/>
      <c r="BG207" s="168"/>
      <c r="BH207" s="168"/>
      <c r="BI207" s="203" t="s">
        <v>577</v>
      </c>
      <c r="BJ207" s="203" t="s">
        <v>49</v>
      </c>
      <c r="BK207" s="196">
        <v>0.25</v>
      </c>
      <c r="BL207" s="190" t="s">
        <v>629</v>
      </c>
      <c r="BM207" s="189">
        <v>0.1</v>
      </c>
      <c r="BN207" s="189">
        <v>0.6</v>
      </c>
      <c r="BO207" s="188" t="s">
        <v>258</v>
      </c>
      <c r="BP207" s="178"/>
      <c r="BQ207" s="102"/>
      <c r="BR207" s="102"/>
      <c r="BS207" s="178"/>
      <c r="BT207" s="178"/>
      <c r="BU207" s="178"/>
      <c r="BV207" s="180"/>
      <c r="BW207" s="178"/>
      <c r="BX207" s="196"/>
      <c r="BY207" s="190"/>
      <c r="BZ207" s="180"/>
      <c r="CA207" s="180"/>
      <c r="CB207" s="180"/>
      <c r="CC207" s="178"/>
      <c r="CD207" s="178"/>
      <c r="CE207" s="180"/>
      <c r="CF207" s="180"/>
      <c r="CG207" s="180"/>
      <c r="CH207" s="180"/>
      <c r="CI207" s="178"/>
      <c r="CJ207" s="178"/>
      <c r="CK207" s="180"/>
      <c r="CL207" s="180"/>
      <c r="CM207" s="180"/>
      <c r="CN207" s="116"/>
      <c r="CO207" s="218">
        <f t="shared" si="80"/>
        <v>0.1</v>
      </c>
      <c r="CP207" s="100">
        <f t="shared" si="81"/>
        <v>0.35</v>
      </c>
      <c r="CQ207" s="218">
        <f t="shared" si="82"/>
        <v>0.6</v>
      </c>
    </row>
    <row r="208" spans="1:97" s="101" customFormat="1" ht="16.5" hidden="1" customHeight="1" thickBot="1" x14ac:dyDescent="0.3">
      <c r="A208" s="99"/>
      <c r="V208" s="103"/>
      <c r="AA208" s="104"/>
      <c r="AB208" s="104"/>
      <c r="AD208" s="104"/>
      <c r="AE208" s="105"/>
      <c r="AH208" s="106"/>
      <c r="AI208" s="106"/>
      <c r="AK208" s="104"/>
      <c r="AR208" s="104"/>
      <c r="AV208" s="104"/>
      <c r="AX208" s="104"/>
      <c r="BB208" s="104"/>
      <c r="BC208" s="104"/>
      <c r="BE208" s="104"/>
      <c r="BF208" s="168"/>
      <c r="BG208" s="168"/>
      <c r="BH208" s="168"/>
      <c r="BI208" s="203" t="s">
        <v>441</v>
      </c>
      <c r="BJ208" s="203" t="s">
        <v>49</v>
      </c>
      <c r="BK208" s="196">
        <v>0.1</v>
      </c>
      <c r="BL208" s="190" t="s">
        <v>629</v>
      </c>
      <c r="BM208" s="189">
        <v>0.1</v>
      </c>
      <c r="BN208" s="189">
        <v>0.6</v>
      </c>
      <c r="BO208" s="188" t="s">
        <v>258</v>
      </c>
      <c r="BP208" s="178"/>
      <c r="BQ208" s="102"/>
      <c r="BR208" s="102"/>
      <c r="BS208" s="178"/>
      <c r="BT208" s="178"/>
      <c r="BU208" s="178"/>
      <c r="BV208" s="180"/>
      <c r="BW208" s="178"/>
      <c r="BX208" s="196"/>
      <c r="BY208" s="190"/>
      <c r="BZ208" s="180"/>
      <c r="CA208" s="180"/>
      <c r="CB208" s="180"/>
      <c r="CC208" s="178"/>
      <c r="CD208" s="178"/>
      <c r="CE208" s="180"/>
      <c r="CF208" s="180"/>
      <c r="CG208" s="180"/>
      <c r="CH208" s="180"/>
      <c r="CI208" s="178"/>
      <c r="CJ208" s="178"/>
      <c r="CK208" s="180"/>
      <c r="CL208" s="180"/>
      <c r="CM208" s="180"/>
      <c r="CN208" s="116"/>
      <c r="CO208" s="218">
        <f t="shared" si="80"/>
        <v>0.1</v>
      </c>
      <c r="CP208" s="100">
        <f t="shared" si="81"/>
        <v>0.35</v>
      </c>
      <c r="CQ208" s="218">
        <f t="shared" si="82"/>
        <v>0.6</v>
      </c>
    </row>
    <row r="209" spans="1:97" s="101" customFormat="1" ht="16.5" hidden="1" customHeight="1" thickBot="1" x14ac:dyDescent="0.3">
      <c r="A209" s="99"/>
      <c r="V209" s="103"/>
      <c r="AA209" s="104"/>
      <c r="AB209" s="104"/>
      <c r="AD209" s="104"/>
      <c r="AE209" s="105"/>
      <c r="AH209" s="106"/>
      <c r="AI209" s="106"/>
      <c r="AK209" s="104"/>
      <c r="AR209" s="104"/>
      <c r="AV209" s="104"/>
      <c r="AX209" s="104"/>
      <c r="BB209" s="104"/>
      <c r="BC209" s="104"/>
      <c r="BE209" s="104"/>
      <c r="BF209" s="168"/>
      <c r="BG209" s="168"/>
      <c r="BH209" s="168"/>
      <c r="BI209" s="203" t="s">
        <v>442</v>
      </c>
      <c r="BJ209" s="203" t="s">
        <v>49</v>
      </c>
      <c r="BK209" s="196">
        <v>0.2</v>
      </c>
      <c r="BL209" s="190" t="s">
        <v>629</v>
      </c>
      <c r="BM209" s="189">
        <v>0.1</v>
      </c>
      <c r="BN209" s="189">
        <v>0.6</v>
      </c>
      <c r="BO209" s="188" t="s">
        <v>258</v>
      </c>
      <c r="BP209" s="178"/>
      <c r="BQ209" s="102"/>
      <c r="BR209" s="102"/>
      <c r="BS209" s="178"/>
      <c r="BT209" s="178"/>
      <c r="BU209" s="178"/>
      <c r="BV209" s="180"/>
      <c r="BW209" s="178"/>
      <c r="BX209" s="196"/>
      <c r="BY209" s="190"/>
      <c r="BZ209" s="180"/>
      <c r="CA209" s="180"/>
      <c r="CB209" s="180"/>
      <c r="CC209" s="178"/>
      <c r="CD209" s="178"/>
      <c r="CE209" s="180"/>
      <c r="CF209" s="180"/>
      <c r="CG209" s="180"/>
      <c r="CH209" s="180"/>
      <c r="CI209" s="178"/>
      <c r="CJ209" s="178"/>
      <c r="CK209" s="180"/>
      <c r="CL209" s="180"/>
      <c r="CM209" s="180"/>
      <c r="CN209" s="116"/>
      <c r="CO209" s="218">
        <f t="shared" si="80"/>
        <v>0.1</v>
      </c>
      <c r="CP209" s="100">
        <f t="shared" si="81"/>
        <v>0.35</v>
      </c>
      <c r="CQ209" s="218">
        <f t="shared" si="82"/>
        <v>0.6</v>
      </c>
    </row>
    <row r="210" spans="1:97" s="101" customFormat="1" ht="16.5" hidden="1" customHeight="1" thickBot="1" x14ac:dyDescent="0.3">
      <c r="A210" s="99"/>
      <c r="V210" s="103"/>
      <c r="AA210" s="104"/>
      <c r="AB210" s="104"/>
      <c r="AD210" s="104"/>
      <c r="AE210" s="105"/>
      <c r="AH210" s="106"/>
      <c r="AI210" s="106"/>
      <c r="AK210" s="104"/>
      <c r="AR210" s="104"/>
      <c r="AV210" s="104"/>
      <c r="AX210" s="104"/>
      <c r="BB210" s="104"/>
      <c r="BC210" s="104"/>
      <c r="BE210" s="104"/>
      <c r="BF210" s="168"/>
      <c r="BG210" s="168"/>
      <c r="BH210" s="168"/>
      <c r="BI210" s="203" t="s">
        <v>440</v>
      </c>
      <c r="BJ210" s="203" t="s">
        <v>49</v>
      </c>
      <c r="BK210" s="196">
        <v>0.03</v>
      </c>
      <c r="BL210" s="190" t="s">
        <v>629</v>
      </c>
      <c r="BM210" s="189">
        <v>0.1</v>
      </c>
      <c r="BN210" s="189">
        <v>0.6</v>
      </c>
      <c r="BO210" s="188" t="s">
        <v>258</v>
      </c>
      <c r="BP210" s="178"/>
      <c r="BQ210" s="102"/>
      <c r="BR210" s="102"/>
      <c r="BS210" s="178"/>
      <c r="BT210" s="178"/>
      <c r="BU210" s="178"/>
      <c r="BV210" s="180"/>
      <c r="BW210" s="178"/>
      <c r="BX210" s="196"/>
      <c r="BY210" s="190"/>
      <c r="BZ210" s="180"/>
      <c r="CA210" s="180"/>
      <c r="CB210" s="180"/>
      <c r="CC210" s="178"/>
      <c r="CD210" s="178"/>
      <c r="CE210" s="180"/>
      <c r="CF210" s="180"/>
      <c r="CG210" s="180"/>
      <c r="CH210" s="180"/>
      <c r="CI210" s="178"/>
      <c r="CJ210" s="178"/>
      <c r="CK210" s="180"/>
      <c r="CL210" s="180"/>
      <c r="CM210" s="180"/>
      <c r="CN210" s="116"/>
      <c r="CO210" s="218">
        <f t="shared" si="80"/>
        <v>0.1</v>
      </c>
      <c r="CP210" s="100">
        <f t="shared" si="81"/>
        <v>0.35</v>
      </c>
      <c r="CQ210" s="218">
        <f t="shared" si="82"/>
        <v>0.6</v>
      </c>
    </row>
    <row r="211" spans="1:97" s="101" customFormat="1" ht="15.75" hidden="1" customHeight="1" thickBot="1" x14ac:dyDescent="0.3">
      <c r="A211" s="99"/>
      <c r="V211" s="103"/>
      <c r="AA211" s="104"/>
      <c r="AB211" s="104"/>
      <c r="AD211" s="104"/>
      <c r="AE211" s="105"/>
      <c r="AH211" s="106"/>
      <c r="AI211" s="106"/>
      <c r="AK211" s="104"/>
      <c r="AR211" s="104"/>
      <c r="AV211" s="104"/>
      <c r="AX211" s="104"/>
      <c r="BB211" s="104"/>
      <c r="BC211" s="104"/>
      <c r="BE211" s="104"/>
      <c r="BF211" s="168"/>
      <c r="BG211" s="168"/>
      <c r="BH211" s="168"/>
      <c r="BI211" s="203" t="s">
        <v>15</v>
      </c>
      <c r="BJ211" s="190" t="s">
        <v>636</v>
      </c>
      <c r="BK211" s="196">
        <v>3273</v>
      </c>
      <c r="BL211" s="190" t="s">
        <v>630</v>
      </c>
      <c r="BM211" s="189">
        <v>0.02</v>
      </c>
      <c r="BN211" s="189">
        <v>0.05</v>
      </c>
      <c r="BO211" s="188" t="s">
        <v>258</v>
      </c>
      <c r="BP211" s="178"/>
      <c r="BQ211" s="102"/>
      <c r="BR211" s="102"/>
      <c r="BS211" s="178"/>
      <c r="BT211" s="178"/>
      <c r="BU211" s="178"/>
      <c r="BV211" s="180"/>
      <c r="BW211" s="178"/>
      <c r="BX211" s="196"/>
      <c r="BY211" s="190"/>
      <c r="BZ211" s="180"/>
      <c r="CA211" s="180"/>
      <c r="CB211" s="180"/>
      <c r="CC211" s="178"/>
      <c r="CD211" s="178"/>
      <c r="CE211" s="180"/>
      <c r="CF211" s="180"/>
      <c r="CG211" s="180"/>
      <c r="CH211" s="180"/>
      <c r="CI211" s="178"/>
      <c r="CJ211" s="178"/>
      <c r="CK211" s="180"/>
      <c r="CL211" s="180"/>
      <c r="CM211" s="180"/>
      <c r="CN211" s="116"/>
      <c r="CO211" s="218">
        <f t="shared" si="80"/>
        <v>0.02</v>
      </c>
      <c r="CP211" s="100">
        <f t="shared" si="81"/>
        <v>3.5000000000000003E-2</v>
      </c>
      <c r="CQ211" s="218">
        <f t="shared" si="82"/>
        <v>0.05</v>
      </c>
    </row>
    <row r="212" spans="1:97" s="101" customFormat="1" ht="26.25" hidden="1" customHeight="1" thickBot="1" x14ac:dyDescent="0.3">
      <c r="A212" s="99"/>
      <c r="V212" s="103"/>
      <c r="AA212" s="104"/>
      <c r="AB212" s="104"/>
      <c r="AD212" s="104"/>
      <c r="AE212" s="105"/>
      <c r="AH212" s="106"/>
      <c r="AI212" s="106"/>
      <c r="AK212" s="104"/>
      <c r="AR212" s="104"/>
      <c r="AV212" s="104"/>
      <c r="AX212" s="104"/>
      <c r="BB212" s="104"/>
      <c r="BC212" s="104"/>
      <c r="BE212" s="104"/>
      <c r="BF212" s="168"/>
      <c r="BG212" s="168"/>
      <c r="BH212" s="168"/>
      <c r="BI212" s="203" t="s">
        <v>344</v>
      </c>
      <c r="BJ212" s="203" t="s">
        <v>615</v>
      </c>
      <c r="BK212" s="196">
        <f>(3.13757879682717*1000)</f>
        <v>3137.5787968271702</v>
      </c>
      <c r="BL212" s="190" t="s">
        <v>629</v>
      </c>
      <c r="BM212" s="189">
        <v>0.02</v>
      </c>
      <c r="BN212" s="189">
        <v>0.5</v>
      </c>
      <c r="BO212" s="188" t="s">
        <v>382</v>
      </c>
      <c r="BP212" s="178"/>
      <c r="BQ212" s="102"/>
      <c r="BR212" s="102"/>
      <c r="BS212" s="178"/>
      <c r="BT212" s="178"/>
      <c r="BU212" s="178"/>
      <c r="BV212" s="180"/>
      <c r="BW212" s="178"/>
      <c r="BX212" s="196"/>
      <c r="BY212" s="190"/>
      <c r="BZ212" s="180"/>
      <c r="CA212" s="180"/>
      <c r="CB212" s="180"/>
      <c r="CC212" s="178"/>
      <c r="CD212" s="178"/>
      <c r="CE212" s="180"/>
      <c r="CF212" s="180"/>
      <c r="CG212" s="180"/>
      <c r="CH212" s="180"/>
      <c r="CI212" s="178"/>
      <c r="CJ212" s="178"/>
      <c r="CK212" s="180"/>
      <c r="CL212" s="180"/>
      <c r="CM212" s="180"/>
      <c r="CN212" s="116"/>
      <c r="CO212" s="218">
        <f t="shared" si="80"/>
        <v>0.02</v>
      </c>
      <c r="CP212" s="100">
        <f t="shared" si="81"/>
        <v>0.26</v>
      </c>
      <c r="CQ212" s="218">
        <f t="shared" si="82"/>
        <v>0.5</v>
      </c>
      <c r="CR212" s="101">
        <v>0.02</v>
      </c>
      <c r="CS212" s="101">
        <v>0.5</v>
      </c>
    </row>
    <row r="213" spans="1:97" s="101" customFormat="1" ht="16.5" hidden="1" customHeight="1" thickBot="1" x14ac:dyDescent="0.3">
      <c r="A213" s="99"/>
      <c r="V213" s="103"/>
      <c r="AA213" s="104"/>
      <c r="AB213" s="104"/>
      <c r="AD213" s="104"/>
      <c r="AE213" s="105"/>
      <c r="AH213" s="106"/>
      <c r="AI213" s="106"/>
      <c r="AK213" s="104"/>
      <c r="AR213" s="104"/>
      <c r="AV213" s="104"/>
      <c r="AX213" s="104"/>
      <c r="BB213" s="104"/>
      <c r="BC213" s="104"/>
      <c r="BE213" s="104"/>
      <c r="BF213" s="168"/>
      <c r="BG213" s="168"/>
      <c r="BH213" s="168"/>
      <c r="BI213" s="203" t="s">
        <v>495</v>
      </c>
      <c r="BJ213" s="203" t="s">
        <v>615</v>
      </c>
      <c r="BK213" s="196">
        <v>9</v>
      </c>
      <c r="BL213" s="190" t="s">
        <v>631</v>
      </c>
      <c r="BM213" s="189">
        <v>0.1</v>
      </c>
      <c r="BN213" s="189">
        <v>0.4</v>
      </c>
      <c r="BO213" s="188" t="s">
        <v>258</v>
      </c>
      <c r="BP213" s="178"/>
      <c r="BQ213" s="102"/>
      <c r="BR213" s="102"/>
      <c r="BS213" s="178"/>
      <c r="BT213" s="178"/>
      <c r="BU213" s="178"/>
      <c r="BV213" s="180"/>
      <c r="BW213" s="178"/>
      <c r="BX213" s="196">
        <v>1500</v>
      </c>
      <c r="BY213" s="190" t="s">
        <v>635</v>
      </c>
      <c r="BZ213" s="180"/>
      <c r="CA213" s="180"/>
      <c r="CB213" s="180"/>
      <c r="CC213" s="178"/>
      <c r="CD213" s="178"/>
      <c r="CE213" s="180"/>
      <c r="CF213" s="180"/>
      <c r="CG213" s="180"/>
      <c r="CH213" s="180"/>
      <c r="CI213" s="178"/>
      <c r="CJ213" s="178"/>
      <c r="CK213" s="180"/>
      <c r="CL213" s="180"/>
      <c r="CM213" s="180"/>
      <c r="CN213" s="116"/>
      <c r="CO213" s="218">
        <f t="shared" si="80"/>
        <v>0.1</v>
      </c>
      <c r="CP213" s="100">
        <f t="shared" si="81"/>
        <v>0.25</v>
      </c>
      <c r="CQ213" s="218">
        <f t="shared" si="82"/>
        <v>0.4</v>
      </c>
      <c r="CR213" s="101">
        <v>0.02</v>
      </c>
      <c r="CS213" s="101">
        <v>0.5</v>
      </c>
    </row>
    <row r="214" spans="1:97" s="101" customFormat="1" ht="16.5" hidden="1" customHeight="1" thickBot="1" x14ac:dyDescent="0.3">
      <c r="A214" s="99"/>
      <c r="V214" s="103"/>
      <c r="AA214" s="104"/>
      <c r="AB214" s="104"/>
      <c r="AD214" s="104"/>
      <c r="AE214" s="105"/>
      <c r="AH214" s="106"/>
      <c r="AI214" s="106"/>
      <c r="AK214" s="104"/>
      <c r="AR214" s="104"/>
      <c r="AV214" s="104"/>
      <c r="AX214" s="104"/>
      <c r="BB214" s="104"/>
      <c r="BC214" s="104"/>
      <c r="BE214" s="104"/>
      <c r="BF214" s="168"/>
      <c r="BG214" s="168"/>
      <c r="BH214" s="168"/>
      <c r="BI214" s="203" t="s">
        <v>517</v>
      </c>
      <c r="BJ214" s="190" t="s">
        <v>428</v>
      </c>
      <c r="BK214" s="196">
        <f>0.25*0.1</f>
        <v>2.5000000000000001E-2</v>
      </c>
      <c r="BL214" s="190" t="s">
        <v>412</v>
      </c>
      <c r="BM214" s="189">
        <v>0.05</v>
      </c>
      <c r="BN214" s="189">
        <v>1.04</v>
      </c>
      <c r="BO214" s="188" t="s">
        <v>258</v>
      </c>
      <c r="BP214" s="178"/>
      <c r="BQ214" s="102"/>
      <c r="BR214" s="102"/>
      <c r="BS214" s="178"/>
      <c r="BT214" s="178"/>
      <c r="BU214" s="178"/>
      <c r="BV214" s="180"/>
      <c r="BW214" s="178"/>
      <c r="BX214" s="196">
        <f>0.25*0.9*25</f>
        <v>5.625</v>
      </c>
      <c r="BY214" s="190" t="s">
        <v>298</v>
      </c>
      <c r="BZ214" s="180"/>
      <c r="CA214" s="180"/>
      <c r="CB214" s="180"/>
      <c r="CC214" s="178"/>
      <c r="CD214" s="178"/>
      <c r="CE214" s="180"/>
      <c r="CF214" s="180"/>
      <c r="CG214" s="180"/>
      <c r="CH214" s="180"/>
      <c r="CI214" s="178"/>
      <c r="CJ214" s="178"/>
      <c r="CK214" s="180"/>
      <c r="CL214" s="180"/>
      <c r="CM214" s="180"/>
      <c r="CN214" s="116"/>
      <c r="CO214" s="218">
        <f t="shared" si="80"/>
        <v>0.05</v>
      </c>
      <c r="CP214" s="100">
        <f t="shared" si="81"/>
        <v>0.54500000000000004</v>
      </c>
      <c r="CQ214" s="218">
        <f t="shared" si="82"/>
        <v>1.04</v>
      </c>
      <c r="CR214" s="101">
        <v>0.05</v>
      </c>
      <c r="CS214" s="101">
        <v>0.3</v>
      </c>
    </row>
    <row r="215" spans="1:97" s="101" customFormat="1" ht="16.5" hidden="1" customHeight="1" thickBot="1" x14ac:dyDescent="0.3">
      <c r="A215" s="99"/>
      <c r="V215" s="103"/>
      <c r="AA215" s="104"/>
      <c r="AB215" s="104"/>
      <c r="AD215" s="104"/>
      <c r="AE215" s="105"/>
      <c r="AH215" s="106"/>
      <c r="AI215" s="106"/>
      <c r="AK215" s="104"/>
      <c r="AR215" s="104"/>
      <c r="AV215" s="104"/>
      <c r="AX215" s="104"/>
      <c r="BB215" s="104"/>
      <c r="BC215" s="104"/>
      <c r="BF215" s="168"/>
      <c r="BG215" s="168"/>
      <c r="BH215" s="168"/>
      <c r="BI215" s="203" t="s">
        <v>516</v>
      </c>
      <c r="BJ215" s="190" t="s">
        <v>428</v>
      </c>
      <c r="BK215" s="196">
        <f>0*0.25</f>
        <v>0</v>
      </c>
      <c r="BL215" s="190" t="s">
        <v>412</v>
      </c>
      <c r="BM215" s="189">
        <v>0.05</v>
      </c>
      <c r="BN215" s="189">
        <v>1</v>
      </c>
      <c r="BO215" s="188" t="s">
        <v>258</v>
      </c>
      <c r="BP215" s="178"/>
      <c r="BQ215" s="102"/>
      <c r="BR215" s="102"/>
      <c r="BS215" s="178"/>
      <c r="BT215" s="178"/>
      <c r="BU215" s="178"/>
      <c r="BV215" s="180"/>
      <c r="BW215" s="178"/>
      <c r="BX215" s="196"/>
      <c r="BY215" s="190"/>
      <c r="BZ215" s="180"/>
      <c r="CA215" s="180"/>
      <c r="CB215" s="180"/>
      <c r="CC215" s="178"/>
      <c r="CD215" s="178"/>
      <c r="CE215" s="180"/>
      <c r="CF215" s="180"/>
      <c r="CG215" s="180"/>
      <c r="CH215" s="180"/>
      <c r="CI215" s="178"/>
      <c r="CJ215" s="178"/>
      <c r="CK215" s="180"/>
      <c r="CL215" s="180"/>
      <c r="CM215" s="180"/>
      <c r="CN215" s="116"/>
      <c r="CO215" s="218">
        <f t="shared" si="80"/>
        <v>0.05</v>
      </c>
      <c r="CP215" s="100">
        <f t="shared" si="81"/>
        <v>0.52500000000000002</v>
      </c>
      <c r="CQ215" s="218">
        <f t="shared" si="82"/>
        <v>1</v>
      </c>
    </row>
    <row r="216" spans="1:97" s="101" customFormat="1" ht="16.5" hidden="1" customHeight="1" thickBot="1" x14ac:dyDescent="0.3">
      <c r="A216" s="99"/>
      <c r="V216" s="103"/>
      <c r="AA216" s="104"/>
      <c r="AB216" s="104"/>
      <c r="AD216" s="104"/>
      <c r="AE216" s="105"/>
      <c r="AH216" s="106"/>
      <c r="AI216" s="106"/>
      <c r="AK216" s="104"/>
      <c r="AR216" s="104"/>
      <c r="AV216" s="104"/>
      <c r="AX216" s="104"/>
      <c r="BB216" s="104"/>
      <c r="BC216" s="104"/>
      <c r="BF216" s="168"/>
      <c r="BG216" s="168"/>
      <c r="BH216" s="168"/>
      <c r="BI216" s="203" t="s">
        <v>518</v>
      </c>
      <c r="BJ216" s="190" t="s">
        <v>428</v>
      </c>
      <c r="BK216" s="196">
        <f>0.25*0.3</f>
        <v>7.4999999999999997E-2</v>
      </c>
      <c r="BL216" s="190" t="s">
        <v>412</v>
      </c>
      <c r="BM216" s="189">
        <f>0.2/0.3</f>
        <v>0.66666666666666674</v>
      </c>
      <c r="BN216" s="189">
        <f>0.4/0.3</f>
        <v>1.3333333333333335</v>
      </c>
      <c r="BO216" s="188" t="s">
        <v>258</v>
      </c>
      <c r="BP216" s="178"/>
      <c r="BQ216" s="102"/>
      <c r="BR216" s="102"/>
      <c r="BS216" s="178"/>
      <c r="BT216" s="178"/>
      <c r="BU216" s="178"/>
      <c r="BV216" s="180"/>
      <c r="BW216" s="178"/>
      <c r="BX216" s="196"/>
      <c r="BY216" s="190"/>
      <c r="BZ216" s="180"/>
      <c r="CA216" s="180"/>
      <c r="CB216" s="180"/>
      <c r="CC216" s="178"/>
      <c r="CD216" s="178"/>
      <c r="CE216" s="180"/>
      <c r="CF216" s="180"/>
      <c r="CG216" s="180"/>
      <c r="CH216" s="180"/>
      <c r="CI216" s="178"/>
      <c r="CJ216" s="178"/>
      <c r="CK216" s="180"/>
      <c r="CL216" s="180"/>
      <c r="CM216" s="180"/>
      <c r="CN216" s="116"/>
      <c r="CO216" s="218">
        <f t="shared" si="80"/>
        <v>0.66666666666666674</v>
      </c>
      <c r="CP216" s="100">
        <f t="shared" si="81"/>
        <v>1</v>
      </c>
      <c r="CQ216" s="218">
        <f t="shared" si="82"/>
        <v>1.3333333333333335</v>
      </c>
    </row>
    <row r="217" spans="1:97" s="101" customFormat="1" ht="16.5" hidden="1" customHeight="1" thickBot="1" x14ac:dyDescent="0.3">
      <c r="A217" s="99"/>
      <c r="V217" s="103"/>
      <c r="AA217" s="104"/>
      <c r="AB217" s="104"/>
      <c r="AD217" s="104"/>
      <c r="AE217" s="105"/>
      <c r="AH217" s="106"/>
      <c r="AI217" s="106"/>
      <c r="AK217" s="104"/>
      <c r="AR217" s="104"/>
      <c r="AV217" s="104"/>
      <c r="AX217" s="104"/>
      <c r="BB217" s="104"/>
      <c r="BC217" s="104"/>
      <c r="BF217" s="168"/>
      <c r="BG217" s="168"/>
      <c r="BH217" s="168"/>
      <c r="BI217" s="203" t="s">
        <v>519</v>
      </c>
      <c r="BJ217" s="190" t="s">
        <v>428</v>
      </c>
      <c r="BK217" s="196">
        <f>0.25*0.8</f>
        <v>0.2</v>
      </c>
      <c r="BL217" s="190" t="s">
        <v>412</v>
      </c>
      <c r="BM217" s="189">
        <f>0.8/0.8</f>
        <v>1</v>
      </c>
      <c r="BN217" s="189">
        <f>1/0.8</f>
        <v>1.25</v>
      </c>
      <c r="BO217" s="188" t="s">
        <v>258</v>
      </c>
      <c r="BP217" s="178"/>
      <c r="BQ217" s="102"/>
      <c r="BR217" s="102"/>
      <c r="BS217" s="178"/>
      <c r="BT217" s="178"/>
      <c r="BU217" s="178"/>
      <c r="BV217" s="180"/>
      <c r="BW217" s="178"/>
      <c r="BX217" s="196"/>
      <c r="BY217" s="190"/>
      <c r="BZ217" s="180"/>
      <c r="CA217" s="180"/>
      <c r="CB217" s="180"/>
      <c r="CC217" s="178"/>
      <c r="CD217" s="178"/>
      <c r="CE217" s="180"/>
      <c r="CF217" s="180"/>
      <c r="CG217" s="180"/>
      <c r="CH217" s="180"/>
      <c r="CI217" s="178"/>
      <c r="CJ217" s="178"/>
      <c r="CK217" s="180"/>
      <c r="CL217" s="180"/>
      <c r="CM217" s="180"/>
      <c r="CN217" s="116"/>
      <c r="CO217" s="218">
        <f t="shared" si="80"/>
        <v>1</v>
      </c>
      <c r="CP217" s="100">
        <f t="shared" si="81"/>
        <v>1.125</v>
      </c>
      <c r="CQ217" s="218">
        <f t="shared" si="82"/>
        <v>1.25</v>
      </c>
    </row>
    <row r="218" spans="1:97" s="101" customFormat="1" ht="16.5" hidden="1" customHeight="1" thickBot="1" x14ac:dyDescent="0.3">
      <c r="A218" s="99"/>
      <c r="V218" s="103"/>
      <c r="AA218" s="104"/>
      <c r="AB218" s="104"/>
      <c r="AD218" s="104"/>
      <c r="AE218" s="105"/>
      <c r="AH218" s="106"/>
      <c r="AI218" s="106"/>
      <c r="AK218" s="104"/>
      <c r="AR218" s="104"/>
      <c r="AV218" s="104"/>
      <c r="AX218" s="104"/>
      <c r="BB218" s="104"/>
      <c r="BC218" s="104"/>
      <c r="BF218" s="168"/>
      <c r="BG218" s="168"/>
      <c r="BH218" s="168"/>
      <c r="BI218" s="203" t="s">
        <v>520</v>
      </c>
      <c r="BJ218" s="190" t="s">
        <v>428</v>
      </c>
      <c r="BK218" s="196">
        <f>0.25*0.8</f>
        <v>0.2</v>
      </c>
      <c r="BL218" s="190" t="s">
        <v>412</v>
      </c>
      <c r="BM218" s="189">
        <f>0.8/0.8</f>
        <v>1</v>
      </c>
      <c r="BN218" s="189">
        <f>1/0.8</f>
        <v>1.25</v>
      </c>
      <c r="BO218" s="188" t="s">
        <v>258</v>
      </c>
      <c r="BP218" s="178"/>
      <c r="BQ218" s="102"/>
      <c r="BR218" s="102"/>
      <c r="BS218" s="178"/>
      <c r="BT218" s="178"/>
      <c r="BU218" s="178"/>
      <c r="BV218" s="180"/>
      <c r="BW218" s="178"/>
      <c r="BX218" s="196"/>
      <c r="BY218" s="190"/>
      <c r="BZ218" s="180"/>
      <c r="CA218" s="180"/>
      <c r="CB218" s="180"/>
      <c r="CC218" s="178"/>
      <c r="CD218" s="178"/>
      <c r="CE218" s="180"/>
      <c r="CF218" s="180"/>
      <c r="CG218" s="180"/>
      <c r="CH218" s="180"/>
      <c r="CI218" s="178"/>
      <c r="CJ218" s="178"/>
      <c r="CK218" s="180"/>
      <c r="CL218" s="180"/>
      <c r="CM218" s="180"/>
      <c r="CN218" s="116"/>
      <c r="CO218" s="218">
        <f t="shared" si="80"/>
        <v>1</v>
      </c>
      <c r="CP218" s="100">
        <f t="shared" si="81"/>
        <v>1.125</v>
      </c>
      <c r="CQ218" s="218">
        <f t="shared" si="82"/>
        <v>1.25</v>
      </c>
    </row>
    <row r="219" spans="1:97" s="101" customFormat="1" ht="16.5" hidden="1" customHeight="1" thickBot="1" x14ac:dyDescent="0.3">
      <c r="A219" s="99"/>
      <c r="V219" s="103"/>
      <c r="AA219" s="104"/>
      <c r="AB219" s="104"/>
      <c r="AD219" s="104"/>
      <c r="AE219" s="105"/>
      <c r="AH219" s="106"/>
      <c r="AI219" s="106"/>
      <c r="AK219" s="104"/>
      <c r="AR219" s="104"/>
      <c r="AU219" s="233"/>
      <c r="AV219" s="104"/>
      <c r="AX219" s="104"/>
      <c r="BB219" s="104"/>
      <c r="BC219" s="104"/>
      <c r="BF219" s="168"/>
      <c r="BG219" s="168"/>
      <c r="BH219" s="168"/>
      <c r="BI219" s="203" t="s">
        <v>521</v>
      </c>
      <c r="BJ219" s="190" t="s">
        <v>428</v>
      </c>
      <c r="BK219" s="196">
        <f>0.25*0.2</f>
        <v>0.05</v>
      </c>
      <c r="BL219" s="190" t="s">
        <v>412</v>
      </c>
      <c r="BM219" s="189">
        <f>0/0.2</f>
        <v>0</v>
      </c>
      <c r="BN219" s="189">
        <f>0.3/0.2</f>
        <v>1.4999999999999998</v>
      </c>
      <c r="BO219" s="188" t="s">
        <v>258</v>
      </c>
      <c r="BP219" s="178"/>
      <c r="BQ219" s="102"/>
      <c r="BR219" s="102"/>
      <c r="BS219" s="178"/>
      <c r="BT219" s="178"/>
      <c r="BU219" s="178"/>
      <c r="BV219" s="180"/>
      <c r="BW219" s="178"/>
      <c r="BX219" s="196"/>
      <c r="BY219" s="190"/>
      <c r="BZ219" s="180"/>
      <c r="CA219" s="180"/>
      <c r="CB219" s="180"/>
      <c r="CC219" s="178"/>
      <c r="CD219" s="178"/>
      <c r="CE219" s="180"/>
      <c r="CF219" s="180"/>
      <c r="CG219" s="180"/>
      <c r="CH219" s="180"/>
      <c r="CI219" s="178"/>
      <c r="CJ219" s="178"/>
      <c r="CK219" s="180"/>
      <c r="CL219" s="180"/>
      <c r="CM219" s="180"/>
      <c r="CN219" s="116"/>
      <c r="CO219" s="218">
        <f t="shared" si="80"/>
        <v>0</v>
      </c>
      <c r="CP219" s="100">
        <f t="shared" si="81"/>
        <v>0.74999999999999989</v>
      </c>
      <c r="CQ219" s="218">
        <f t="shared" si="82"/>
        <v>1.4999999999999998</v>
      </c>
    </row>
    <row r="220" spans="1:97" s="101" customFormat="1" ht="16.5" hidden="1" customHeight="1" thickBot="1" x14ac:dyDescent="0.3">
      <c r="A220" s="99"/>
      <c r="V220" s="103"/>
      <c r="AA220" s="104"/>
      <c r="AB220" s="104"/>
      <c r="AD220" s="104"/>
      <c r="AE220" s="105"/>
      <c r="AH220" s="106"/>
      <c r="AI220" s="106"/>
      <c r="AK220" s="104"/>
      <c r="AR220" s="104"/>
      <c r="AV220" s="104"/>
      <c r="AX220" s="104"/>
      <c r="BB220" s="104"/>
      <c r="BC220" s="104"/>
      <c r="BF220" s="168"/>
      <c r="BG220" s="168"/>
      <c r="BH220" s="168"/>
      <c r="BI220" s="203" t="s">
        <v>522</v>
      </c>
      <c r="BJ220" s="190" t="s">
        <v>428</v>
      </c>
      <c r="BK220" s="196">
        <f>0.25*0.8</f>
        <v>0.2</v>
      </c>
      <c r="BL220" s="190" t="s">
        <v>412</v>
      </c>
      <c r="BM220" s="189">
        <f>0.8/0.8</f>
        <v>1</v>
      </c>
      <c r="BN220" s="189">
        <f>1/0.8</f>
        <v>1.25</v>
      </c>
      <c r="BO220" s="188" t="s">
        <v>258</v>
      </c>
      <c r="BP220" s="178"/>
      <c r="BQ220" s="102"/>
      <c r="BR220" s="102"/>
      <c r="BS220" s="178"/>
      <c r="BT220" s="178"/>
      <c r="BU220" s="178"/>
      <c r="BV220" s="180"/>
      <c r="BW220" s="178"/>
      <c r="BX220" s="196"/>
      <c r="BY220" s="190"/>
      <c r="BZ220" s="180"/>
      <c r="CA220" s="180"/>
      <c r="CB220" s="180"/>
      <c r="CC220" s="178"/>
      <c r="CD220" s="178"/>
      <c r="CE220" s="180"/>
      <c r="CF220" s="180"/>
      <c r="CG220" s="180"/>
      <c r="CH220" s="180"/>
      <c r="CI220" s="178"/>
      <c r="CJ220" s="178"/>
      <c r="CK220" s="180"/>
      <c r="CL220" s="180"/>
      <c r="CM220" s="180"/>
      <c r="CN220" s="116"/>
      <c r="CO220" s="218">
        <f t="shared" si="80"/>
        <v>1</v>
      </c>
      <c r="CP220" s="100">
        <f t="shared" si="81"/>
        <v>1.125</v>
      </c>
      <c r="CQ220" s="218">
        <f t="shared" si="82"/>
        <v>1.25</v>
      </c>
    </row>
    <row r="221" spans="1:97" s="101" customFormat="1" ht="16.5" hidden="1" customHeight="1" thickBot="1" x14ac:dyDescent="0.3">
      <c r="A221" s="99"/>
      <c r="V221" s="103"/>
      <c r="AA221" s="104"/>
      <c r="AB221" s="104"/>
      <c r="AD221" s="104"/>
      <c r="AE221" s="105"/>
      <c r="AH221" s="106"/>
      <c r="AI221" s="106"/>
      <c r="AK221" s="104"/>
      <c r="AR221" s="104"/>
      <c r="AV221" s="104"/>
      <c r="AX221" s="104"/>
      <c r="BB221" s="104"/>
      <c r="BC221" s="104"/>
      <c r="BF221" s="168"/>
      <c r="BG221" s="168"/>
      <c r="BH221" s="168"/>
      <c r="BI221" s="203" t="s">
        <v>578</v>
      </c>
      <c r="BJ221" s="190" t="s">
        <v>569</v>
      </c>
      <c r="BK221" s="196">
        <v>0.06</v>
      </c>
      <c r="BL221" s="190" t="s">
        <v>568</v>
      </c>
      <c r="BM221" s="189">
        <v>0.57999999999999996</v>
      </c>
      <c r="BN221" s="189">
        <v>1.04</v>
      </c>
      <c r="BO221" s="188" t="s">
        <v>258</v>
      </c>
      <c r="BP221" s="178"/>
      <c r="BQ221" s="102"/>
      <c r="BR221" s="102"/>
      <c r="BS221" s="178"/>
      <c r="BT221" s="178"/>
      <c r="BU221" s="178"/>
      <c r="BV221" s="180"/>
      <c r="BW221" s="178"/>
      <c r="BX221" s="196"/>
      <c r="BY221" s="190"/>
      <c r="BZ221" s="180"/>
      <c r="CA221" s="180"/>
      <c r="CB221" s="180"/>
      <c r="CC221" s="178"/>
      <c r="CD221" s="178"/>
      <c r="CE221" s="180"/>
      <c r="CF221" s="180"/>
      <c r="CG221" s="180"/>
      <c r="CH221" s="180"/>
      <c r="CI221" s="178"/>
      <c r="CJ221" s="178"/>
      <c r="CK221" s="180"/>
      <c r="CL221" s="180"/>
      <c r="CM221" s="180"/>
      <c r="CN221" s="116"/>
      <c r="CO221" s="218">
        <f t="shared" si="80"/>
        <v>0.57999999999999996</v>
      </c>
      <c r="CP221" s="100">
        <f t="shared" si="81"/>
        <v>0.81</v>
      </c>
      <c r="CQ221" s="218">
        <f t="shared" si="82"/>
        <v>1.04</v>
      </c>
    </row>
    <row r="222" spans="1:97" s="101" customFormat="1" ht="16.5" hidden="1" customHeight="1" thickBot="1" x14ac:dyDescent="0.3">
      <c r="A222" s="99"/>
      <c r="V222" s="103"/>
      <c r="AA222" s="104"/>
      <c r="AB222" s="104"/>
      <c r="AD222" s="104"/>
      <c r="AE222" s="105"/>
      <c r="AH222" s="106"/>
      <c r="AI222" s="106"/>
      <c r="AK222" s="104"/>
      <c r="AR222" s="104"/>
      <c r="AV222" s="104"/>
      <c r="AX222" s="104"/>
      <c r="BB222" s="104"/>
      <c r="BC222" s="104"/>
      <c r="BF222" s="168"/>
      <c r="BG222" s="168"/>
      <c r="BH222" s="168"/>
      <c r="BI222" s="203" t="s">
        <v>579</v>
      </c>
      <c r="BJ222" s="190" t="s">
        <v>569</v>
      </c>
      <c r="BK222" s="196">
        <v>0.3</v>
      </c>
      <c r="BL222" s="190" t="s">
        <v>568</v>
      </c>
      <c r="BM222" s="189">
        <v>0.57999999999999996</v>
      </c>
      <c r="BN222" s="189">
        <f>0.4/0.3</f>
        <v>1.3333333333333335</v>
      </c>
      <c r="BO222" s="188" t="s">
        <v>258</v>
      </c>
      <c r="BP222" s="178"/>
      <c r="BQ222" s="102"/>
      <c r="BR222" s="102"/>
      <c r="BS222" s="178"/>
      <c r="BT222" s="178"/>
      <c r="BU222" s="178"/>
      <c r="BV222" s="180"/>
      <c r="BW222" s="178"/>
      <c r="BX222" s="196"/>
      <c r="BY222" s="190"/>
      <c r="BZ222" s="180"/>
      <c r="CA222" s="180"/>
      <c r="CB222" s="180"/>
      <c r="CC222" s="178"/>
      <c r="CD222" s="178"/>
      <c r="CE222" s="180"/>
      <c r="CF222" s="180"/>
      <c r="CG222" s="180"/>
      <c r="CH222" s="180"/>
      <c r="CI222" s="178"/>
      <c r="CJ222" s="178"/>
      <c r="CK222" s="180"/>
      <c r="CL222" s="180"/>
      <c r="CM222" s="180"/>
      <c r="CN222" s="116"/>
      <c r="CO222" s="218">
        <f t="shared" si="80"/>
        <v>0.57999999999999996</v>
      </c>
      <c r="CP222" s="100">
        <f t="shared" si="81"/>
        <v>0.95666666666666678</v>
      </c>
      <c r="CQ222" s="218">
        <f t="shared" si="82"/>
        <v>1.3333333333333335</v>
      </c>
    </row>
    <row r="223" spans="1:97" s="101" customFormat="1" ht="26.25" hidden="1" customHeight="1" thickBot="1" x14ac:dyDescent="0.3">
      <c r="A223" s="99"/>
      <c r="V223" s="103"/>
      <c r="AA223" s="104"/>
      <c r="AB223" s="104"/>
      <c r="AD223" s="104"/>
      <c r="AE223" s="105"/>
      <c r="AH223" s="106"/>
      <c r="AI223" s="106"/>
      <c r="AK223" s="104"/>
      <c r="AR223" s="104"/>
      <c r="AV223" s="104"/>
      <c r="AX223" s="104"/>
      <c r="BB223" s="104"/>
      <c r="BC223" s="104"/>
      <c r="BF223" s="168"/>
      <c r="BG223" s="168"/>
      <c r="BH223" s="168"/>
      <c r="BI223" s="203" t="s">
        <v>580</v>
      </c>
      <c r="BJ223" s="190" t="s">
        <v>569</v>
      </c>
      <c r="BK223" s="196">
        <v>0</v>
      </c>
      <c r="BL223" s="190" t="s">
        <v>568</v>
      </c>
      <c r="BM223" s="189">
        <f>0.8/0.8</f>
        <v>1</v>
      </c>
      <c r="BN223" s="189">
        <f>1/0.8</f>
        <v>1.25</v>
      </c>
      <c r="BO223" s="188" t="s">
        <v>258</v>
      </c>
      <c r="BP223" s="178"/>
      <c r="BQ223" s="102"/>
      <c r="BR223" s="102"/>
      <c r="BS223" s="178"/>
      <c r="BT223" s="178"/>
      <c r="BU223" s="178"/>
      <c r="BV223" s="180"/>
      <c r="BW223" s="178"/>
      <c r="BX223" s="196"/>
      <c r="BY223" s="190"/>
      <c r="BZ223" s="180"/>
      <c r="CA223" s="180"/>
      <c r="CB223" s="180"/>
      <c r="CC223" s="178"/>
      <c r="CD223" s="178"/>
      <c r="CE223" s="180"/>
      <c r="CF223" s="180"/>
      <c r="CG223" s="180"/>
      <c r="CH223" s="180"/>
      <c r="CI223" s="178"/>
      <c r="CJ223" s="178"/>
      <c r="CK223" s="180"/>
      <c r="CL223" s="180"/>
      <c r="CM223" s="180"/>
      <c r="CN223" s="116"/>
      <c r="CO223" s="218">
        <f t="shared" si="80"/>
        <v>1</v>
      </c>
      <c r="CP223" s="100">
        <f t="shared" si="81"/>
        <v>1.125</v>
      </c>
      <c r="CQ223" s="218">
        <f t="shared" si="82"/>
        <v>1.25</v>
      </c>
    </row>
    <row r="224" spans="1:97" s="101" customFormat="1" ht="16.5" hidden="1" customHeight="1" thickBot="1" x14ac:dyDescent="0.3">
      <c r="A224" s="99"/>
      <c r="V224" s="103"/>
      <c r="AA224" s="104"/>
      <c r="AB224" s="104"/>
      <c r="AD224" s="104"/>
      <c r="AE224" s="105"/>
      <c r="AH224" s="106"/>
      <c r="AI224" s="106"/>
      <c r="AK224" s="104"/>
      <c r="AR224" s="104"/>
      <c r="AV224" s="104"/>
      <c r="AX224" s="104"/>
      <c r="BB224" s="104"/>
      <c r="BC224" s="104"/>
      <c r="BF224" s="168"/>
      <c r="BG224" s="168"/>
      <c r="BH224" s="168"/>
      <c r="BI224" s="203" t="s">
        <v>581</v>
      </c>
      <c r="BJ224" s="190" t="s">
        <v>569</v>
      </c>
      <c r="BK224" s="196">
        <v>0</v>
      </c>
      <c r="BL224" s="190" t="s">
        <v>568</v>
      </c>
      <c r="BM224" s="189">
        <f>0.8/0.8</f>
        <v>1</v>
      </c>
      <c r="BN224" s="189">
        <f>1/0.8</f>
        <v>1.25</v>
      </c>
      <c r="BO224" s="188" t="s">
        <v>258</v>
      </c>
      <c r="BP224" s="178"/>
      <c r="BQ224" s="102"/>
      <c r="BR224" s="102"/>
      <c r="BS224" s="178"/>
      <c r="BT224" s="178"/>
      <c r="BU224" s="178"/>
      <c r="BV224" s="180"/>
      <c r="BW224" s="178"/>
      <c r="BX224" s="196"/>
      <c r="BY224" s="190"/>
      <c r="BZ224" s="180"/>
      <c r="CA224" s="180"/>
      <c r="CB224" s="180"/>
      <c r="CC224" s="178"/>
      <c r="CD224" s="178"/>
      <c r="CE224" s="180"/>
      <c r="CF224" s="180"/>
      <c r="CG224" s="180"/>
      <c r="CH224" s="180"/>
      <c r="CI224" s="178"/>
      <c r="CJ224" s="178"/>
      <c r="CK224" s="180"/>
      <c r="CL224" s="180"/>
      <c r="CM224" s="180"/>
      <c r="CN224" s="116"/>
      <c r="CO224" s="218">
        <f t="shared" si="80"/>
        <v>1</v>
      </c>
      <c r="CP224" s="100">
        <f t="shared" si="81"/>
        <v>1.125</v>
      </c>
      <c r="CQ224" s="218">
        <f t="shared" si="82"/>
        <v>1.25</v>
      </c>
    </row>
    <row r="225" spans="1:97" s="101" customFormat="1" ht="16.5" hidden="1" customHeight="1" thickBot="1" x14ac:dyDescent="0.3">
      <c r="A225" s="99"/>
      <c r="V225" s="103"/>
      <c r="AA225" s="104"/>
      <c r="AB225" s="104"/>
      <c r="AD225" s="104"/>
      <c r="AE225" s="105"/>
      <c r="AH225" s="106"/>
      <c r="AI225" s="106"/>
      <c r="AK225" s="104"/>
      <c r="AR225" s="104"/>
      <c r="AU225" s="233"/>
      <c r="AV225" s="104"/>
      <c r="AX225" s="104"/>
      <c r="BB225" s="104"/>
      <c r="BC225" s="104"/>
      <c r="BF225" s="168"/>
      <c r="BG225" s="168"/>
      <c r="BH225" s="168"/>
      <c r="BI225" s="203" t="s">
        <v>582</v>
      </c>
      <c r="BJ225" s="190" t="s">
        <v>569</v>
      </c>
      <c r="BK225" s="196">
        <v>0.18</v>
      </c>
      <c r="BL225" s="190" t="s">
        <v>568</v>
      </c>
      <c r="BM225" s="189">
        <v>0.42</v>
      </c>
      <c r="BN225" s="189">
        <f>0.3/0.2</f>
        <v>1.4999999999999998</v>
      </c>
      <c r="BO225" s="188" t="s">
        <v>258</v>
      </c>
      <c r="BP225" s="178"/>
      <c r="BQ225" s="102"/>
      <c r="BR225" s="102"/>
      <c r="BS225" s="178"/>
      <c r="BT225" s="178"/>
      <c r="BU225" s="178"/>
      <c r="BV225" s="180"/>
      <c r="BW225" s="178"/>
      <c r="BX225" s="196"/>
      <c r="BY225" s="190"/>
      <c r="BZ225" s="180"/>
      <c r="CA225" s="180"/>
      <c r="CB225" s="180"/>
      <c r="CC225" s="178"/>
      <c r="CD225" s="178"/>
      <c r="CE225" s="180"/>
      <c r="CF225" s="180"/>
      <c r="CG225" s="180"/>
      <c r="CH225" s="180"/>
      <c r="CI225" s="178"/>
      <c r="CJ225" s="178"/>
      <c r="CK225" s="180"/>
      <c r="CL225" s="180"/>
      <c r="CM225" s="180"/>
      <c r="CN225" s="116"/>
      <c r="CO225" s="218">
        <f t="shared" si="80"/>
        <v>0.42</v>
      </c>
      <c r="CP225" s="100">
        <f t="shared" si="81"/>
        <v>0.95999999999999985</v>
      </c>
      <c r="CQ225" s="218">
        <f t="shared" si="82"/>
        <v>1.4999999999999998</v>
      </c>
    </row>
    <row r="226" spans="1:97" s="101" customFormat="1" ht="16.5" hidden="1" customHeight="1" thickBot="1" x14ac:dyDescent="0.3">
      <c r="A226" s="99"/>
      <c r="V226" s="103"/>
      <c r="AA226" s="104"/>
      <c r="AB226" s="104"/>
      <c r="AD226" s="104"/>
      <c r="AE226" s="105"/>
      <c r="AH226" s="106"/>
      <c r="AI226" s="106"/>
      <c r="AK226" s="104"/>
      <c r="AR226" s="104"/>
      <c r="AV226" s="104"/>
      <c r="AX226" s="104"/>
      <c r="BB226" s="104"/>
      <c r="BC226" s="104"/>
      <c r="BF226" s="168"/>
      <c r="BG226" s="168"/>
      <c r="BH226" s="168"/>
      <c r="BI226" s="203" t="s">
        <v>583</v>
      </c>
      <c r="BJ226" s="190" t="s">
        <v>569</v>
      </c>
      <c r="BK226" s="196">
        <v>0.48</v>
      </c>
      <c r="BL226" s="190" t="s">
        <v>568</v>
      </c>
      <c r="BM226" s="189">
        <v>0.32</v>
      </c>
      <c r="BN226" s="189">
        <f>0.4/0.3</f>
        <v>1.3333333333333335</v>
      </c>
      <c r="BO226" s="188" t="s">
        <v>258</v>
      </c>
      <c r="BP226" s="178"/>
      <c r="BQ226" s="102"/>
      <c r="BR226" s="102"/>
      <c r="BS226" s="178"/>
      <c r="BT226" s="178"/>
      <c r="BU226" s="178"/>
      <c r="BV226" s="180"/>
      <c r="BW226" s="178"/>
      <c r="BX226" s="196"/>
      <c r="BY226" s="190"/>
      <c r="BZ226" s="180"/>
      <c r="CA226" s="180"/>
      <c r="CB226" s="180"/>
      <c r="CC226" s="178"/>
      <c r="CD226" s="178"/>
      <c r="CE226" s="180"/>
      <c r="CF226" s="180"/>
      <c r="CG226" s="180"/>
      <c r="CH226" s="180"/>
      <c r="CI226" s="178"/>
      <c r="CJ226" s="178"/>
      <c r="CK226" s="180"/>
      <c r="CL226" s="180"/>
      <c r="CM226" s="180"/>
      <c r="CN226" s="116"/>
      <c r="CO226" s="218">
        <f t="shared" si="80"/>
        <v>0.32</v>
      </c>
      <c r="CP226" s="100">
        <f t="shared" si="81"/>
        <v>0.82666666666666677</v>
      </c>
      <c r="CQ226" s="218">
        <f t="shared" si="82"/>
        <v>1.3333333333333335</v>
      </c>
    </row>
    <row r="227" spans="1:97" s="101" customFormat="1" ht="16.5" hidden="1" customHeight="1" thickBot="1" x14ac:dyDescent="0.3">
      <c r="A227" s="99"/>
      <c r="V227" s="103"/>
      <c r="AA227" s="104"/>
      <c r="AB227" s="104"/>
      <c r="AD227" s="104"/>
      <c r="AE227" s="105"/>
      <c r="AH227" s="106"/>
      <c r="AI227" s="106"/>
      <c r="AK227" s="104"/>
      <c r="AR227" s="104"/>
      <c r="AV227" s="104"/>
      <c r="AX227" s="104"/>
      <c r="BB227" s="104"/>
      <c r="BC227" s="104"/>
      <c r="BF227" s="168"/>
      <c r="BG227" s="168"/>
      <c r="BH227" s="168"/>
      <c r="BI227" s="203" t="s">
        <v>584</v>
      </c>
      <c r="BJ227" s="190" t="s">
        <v>569</v>
      </c>
      <c r="BK227" s="196">
        <v>0.48</v>
      </c>
      <c r="BL227" s="190" t="s">
        <v>568</v>
      </c>
      <c r="BM227" s="189">
        <v>0.32</v>
      </c>
      <c r="BN227" s="189">
        <f>1/0.8</f>
        <v>1.25</v>
      </c>
      <c r="BO227" s="188" t="s">
        <v>258</v>
      </c>
      <c r="BP227" s="178"/>
      <c r="BQ227" s="102"/>
      <c r="BR227" s="102"/>
      <c r="BS227" s="178"/>
      <c r="BT227" s="178"/>
      <c r="BU227" s="178"/>
      <c r="BV227" s="180"/>
      <c r="BW227" s="178"/>
      <c r="BX227" s="196"/>
      <c r="BY227" s="190"/>
      <c r="BZ227" s="180"/>
      <c r="CA227" s="180"/>
      <c r="CB227" s="180"/>
      <c r="CC227" s="178"/>
      <c r="CD227" s="178"/>
      <c r="CE227" s="180"/>
      <c r="CF227" s="180"/>
      <c r="CG227" s="180"/>
      <c r="CH227" s="180"/>
      <c r="CI227" s="178"/>
      <c r="CJ227" s="178"/>
      <c r="CK227" s="180"/>
      <c r="CL227" s="180"/>
      <c r="CM227" s="180"/>
      <c r="CN227" s="116"/>
      <c r="CO227" s="218">
        <f t="shared" si="80"/>
        <v>0.32</v>
      </c>
      <c r="CP227" s="100">
        <f t="shared" si="81"/>
        <v>0.78500000000000003</v>
      </c>
      <c r="CQ227" s="218">
        <f t="shared" si="82"/>
        <v>1.25</v>
      </c>
    </row>
    <row r="228" spans="1:97" s="101" customFormat="1" ht="16.5" hidden="1" customHeight="1" thickBot="1" x14ac:dyDescent="0.3">
      <c r="A228" s="99"/>
      <c r="V228" s="103"/>
      <c r="AA228" s="104"/>
      <c r="AB228" s="104"/>
      <c r="AD228" s="104"/>
      <c r="AE228" s="105"/>
      <c r="AH228" s="106"/>
      <c r="AI228" s="106"/>
      <c r="AK228" s="104"/>
      <c r="AR228" s="104"/>
      <c r="AV228" s="104"/>
      <c r="AX228" s="104"/>
      <c r="BB228" s="104"/>
      <c r="BC228" s="104"/>
      <c r="BF228" s="168"/>
      <c r="BG228" s="168"/>
      <c r="BH228" s="168"/>
      <c r="BI228" s="203" t="s">
        <v>585</v>
      </c>
      <c r="BJ228" s="190" t="s">
        <v>569</v>
      </c>
      <c r="BK228" s="196">
        <v>0.12</v>
      </c>
      <c r="BL228" s="190" t="s">
        <v>568</v>
      </c>
      <c r="BM228" s="189">
        <v>0.42</v>
      </c>
      <c r="BN228" s="189">
        <f>1/0.8</f>
        <v>1.25</v>
      </c>
      <c r="BO228" s="188" t="s">
        <v>258</v>
      </c>
      <c r="BP228" s="178"/>
      <c r="BQ228" s="102"/>
      <c r="BR228" s="102"/>
      <c r="BS228" s="178"/>
      <c r="BT228" s="178"/>
      <c r="BU228" s="178"/>
      <c r="BV228" s="180"/>
      <c r="BW228" s="178"/>
      <c r="BX228" s="196"/>
      <c r="BY228" s="190"/>
      <c r="BZ228" s="180"/>
      <c r="CA228" s="180"/>
      <c r="CB228" s="180"/>
      <c r="CC228" s="178"/>
      <c r="CD228" s="178"/>
      <c r="CE228" s="180"/>
      <c r="CF228" s="180"/>
      <c r="CG228" s="180"/>
      <c r="CH228" s="180"/>
      <c r="CI228" s="178"/>
      <c r="CJ228" s="178"/>
      <c r="CK228" s="180"/>
      <c r="CL228" s="180"/>
      <c r="CM228" s="180"/>
      <c r="CN228" s="116"/>
      <c r="CO228" s="218">
        <f t="shared" si="80"/>
        <v>0.42</v>
      </c>
      <c r="CP228" s="100">
        <f t="shared" si="81"/>
        <v>0.83499999999999996</v>
      </c>
      <c r="CQ228" s="218">
        <f t="shared" si="82"/>
        <v>1.25</v>
      </c>
    </row>
    <row r="229" spans="1:97" s="101" customFormat="1" ht="16.5" hidden="1" customHeight="1" thickBot="1" x14ac:dyDescent="0.3">
      <c r="A229" s="99"/>
      <c r="V229" s="103"/>
      <c r="AA229" s="104"/>
      <c r="AB229" s="104"/>
      <c r="AD229" s="104"/>
      <c r="AE229" s="105"/>
      <c r="AH229" s="106"/>
      <c r="AI229" s="106"/>
      <c r="AK229" s="104"/>
      <c r="AR229" s="104"/>
      <c r="AU229" s="233"/>
      <c r="AV229" s="104"/>
      <c r="AX229" s="104"/>
      <c r="BB229" s="104"/>
      <c r="BC229" s="104"/>
      <c r="BF229" s="168"/>
      <c r="BG229" s="168"/>
      <c r="BH229" s="168"/>
      <c r="BI229" s="203" t="s">
        <v>586</v>
      </c>
      <c r="BJ229" s="190" t="s">
        <v>569</v>
      </c>
      <c r="BK229" s="196">
        <v>0.48</v>
      </c>
      <c r="BL229" s="190" t="s">
        <v>568</v>
      </c>
      <c r="BM229" s="189">
        <v>0.42</v>
      </c>
      <c r="BN229" s="189">
        <f>0.3/0.2</f>
        <v>1.4999999999999998</v>
      </c>
      <c r="BO229" s="188" t="s">
        <v>258</v>
      </c>
      <c r="BP229" s="178"/>
      <c r="BQ229" s="102"/>
      <c r="BR229" s="102"/>
      <c r="BS229" s="178"/>
      <c r="BT229" s="178"/>
      <c r="BU229" s="178"/>
      <c r="BV229" s="180"/>
      <c r="BW229" s="178"/>
      <c r="BX229" s="196"/>
      <c r="BY229" s="190"/>
      <c r="BZ229" s="180"/>
      <c r="CA229" s="180"/>
      <c r="CB229" s="180"/>
      <c r="CC229" s="178"/>
      <c r="CD229" s="178"/>
      <c r="CE229" s="180"/>
      <c r="CF229" s="180"/>
      <c r="CG229" s="180"/>
      <c r="CH229" s="180"/>
      <c r="CI229" s="178"/>
      <c r="CJ229" s="178"/>
      <c r="CK229" s="180"/>
      <c r="CL229" s="180"/>
      <c r="CM229" s="180"/>
      <c r="CN229" s="116"/>
      <c r="CO229" s="218">
        <f t="shared" si="80"/>
        <v>0.42</v>
      </c>
      <c r="CP229" s="100">
        <f t="shared" si="81"/>
        <v>0.95999999999999985</v>
      </c>
      <c r="CQ229" s="218">
        <f t="shared" si="82"/>
        <v>1.4999999999999998</v>
      </c>
    </row>
    <row r="230" spans="1:97" s="101" customFormat="1" ht="16.5" hidden="1" customHeight="1" thickBot="1" x14ac:dyDescent="0.3">
      <c r="A230" s="99"/>
      <c r="V230" s="103"/>
      <c r="AA230" s="104"/>
      <c r="AB230" s="104"/>
      <c r="AD230" s="104"/>
      <c r="AE230" s="105"/>
      <c r="AH230" s="106"/>
      <c r="AI230" s="106"/>
      <c r="AK230" s="104"/>
      <c r="AR230" s="104"/>
      <c r="AV230" s="104"/>
      <c r="AX230" s="104"/>
      <c r="BB230" s="104"/>
      <c r="BC230" s="104"/>
      <c r="BF230" s="168"/>
      <c r="BG230" s="168"/>
      <c r="BH230" s="168"/>
      <c r="BI230" s="203" t="s">
        <v>587</v>
      </c>
      <c r="BJ230" s="190" t="s">
        <v>569</v>
      </c>
      <c r="BK230" s="196">
        <v>0.3</v>
      </c>
      <c r="BL230" s="190" t="s">
        <v>568</v>
      </c>
      <c r="BM230" s="189">
        <v>0.3</v>
      </c>
      <c r="BN230" s="189">
        <f>1/0.8</f>
        <v>1.25</v>
      </c>
      <c r="BO230" s="188" t="s">
        <v>258</v>
      </c>
      <c r="BP230" s="178"/>
      <c r="BQ230" s="102"/>
      <c r="BR230" s="102"/>
      <c r="BS230" s="178"/>
      <c r="BT230" s="178"/>
      <c r="BU230" s="178"/>
      <c r="BV230" s="180"/>
      <c r="BW230" s="178"/>
      <c r="BX230" s="196"/>
      <c r="BY230" s="190"/>
      <c r="BZ230" s="180"/>
      <c r="CA230" s="180"/>
      <c r="CB230" s="180"/>
      <c r="CC230" s="178"/>
      <c r="CD230" s="178"/>
      <c r="CE230" s="180"/>
      <c r="CF230" s="180"/>
      <c r="CG230" s="180"/>
      <c r="CH230" s="180"/>
      <c r="CI230" s="178"/>
      <c r="CJ230" s="178"/>
      <c r="CK230" s="180"/>
      <c r="CL230" s="180"/>
      <c r="CM230" s="180"/>
      <c r="CN230" s="116"/>
      <c r="CO230" s="218">
        <f t="shared" si="80"/>
        <v>0.3</v>
      </c>
      <c r="CP230" s="100">
        <f t="shared" si="81"/>
        <v>0.77500000000000002</v>
      </c>
      <c r="CQ230" s="218">
        <f t="shared" si="82"/>
        <v>1.25</v>
      </c>
    </row>
    <row r="231" spans="1:97" s="100" customFormat="1" ht="16.5" hidden="1" customHeight="1" thickBot="1" x14ac:dyDescent="0.3">
      <c r="A231" s="147"/>
      <c r="V231" s="218"/>
      <c r="AA231" s="219"/>
      <c r="AB231" s="219"/>
      <c r="AD231" s="219"/>
      <c r="AE231" s="220"/>
      <c r="AH231" s="221"/>
      <c r="AI231" s="221"/>
      <c r="AK231" s="219"/>
      <c r="AR231" s="219"/>
      <c r="BD231" s="219"/>
      <c r="BF231" s="168"/>
      <c r="BG231" s="168"/>
      <c r="BH231" s="168"/>
      <c r="BI231" s="203" t="s">
        <v>570</v>
      </c>
      <c r="BJ231" s="190" t="s">
        <v>428</v>
      </c>
      <c r="BK231" s="196">
        <v>0.2</v>
      </c>
      <c r="BL231" s="190" t="s">
        <v>412</v>
      </c>
      <c r="BM231" s="189">
        <v>0.05</v>
      </c>
      <c r="BN231" s="189">
        <v>0.39</v>
      </c>
      <c r="BO231" s="188" t="s">
        <v>258</v>
      </c>
      <c r="BP231" s="224"/>
      <c r="BS231" s="224"/>
      <c r="BT231" s="224"/>
      <c r="BU231" s="224"/>
      <c r="BV231" s="225"/>
      <c r="BW231" s="224"/>
      <c r="BX231" s="223">
        <f>0.25*0.9*25</f>
        <v>5.625</v>
      </c>
      <c r="BY231" s="222" t="s">
        <v>298</v>
      </c>
      <c r="BZ231" s="225"/>
      <c r="CA231" s="225"/>
      <c r="CB231" s="225"/>
      <c r="CC231" s="224"/>
      <c r="CD231" s="224"/>
      <c r="CE231" s="225"/>
      <c r="CF231" s="225"/>
      <c r="CG231" s="225"/>
      <c r="CH231" s="225"/>
      <c r="CI231" s="224"/>
      <c r="CJ231" s="224"/>
      <c r="CK231" s="225"/>
      <c r="CL231" s="225"/>
      <c r="CM231" s="225"/>
      <c r="CN231" s="225"/>
      <c r="CO231" s="218">
        <f t="shared" si="80"/>
        <v>0.05</v>
      </c>
      <c r="CP231" s="100">
        <f t="shared" si="81"/>
        <v>0.22</v>
      </c>
      <c r="CQ231" s="218">
        <f t="shared" si="82"/>
        <v>0.39</v>
      </c>
      <c r="CR231" s="100">
        <v>0.05</v>
      </c>
      <c r="CS231" s="100">
        <v>0.3</v>
      </c>
    </row>
    <row r="232" spans="1:97" s="100" customFormat="1" ht="16.5" hidden="1" customHeight="1" thickBot="1" x14ac:dyDescent="0.3">
      <c r="A232" s="147"/>
      <c r="V232" s="218"/>
      <c r="AA232" s="219"/>
      <c r="AB232" s="219"/>
      <c r="AD232" s="219"/>
      <c r="AE232" s="220"/>
      <c r="AH232" s="221"/>
      <c r="AI232" s="221"/>
      <c r="AK232" s="219"/>
      <c r="AR232" s="219"/>
      <c r="BD232" s="219"/>
      <c r="BF232" s="168"/>
      <c r="BG232" s="168"/>
      <c r="BH232" s="168"/>
      <c r="BI232" s="203" t="s">
        <v>588</v>
      </c>
      <c r="BJ232" s="190" t="s">
        <v>569</v>
      </c>
      <c r="BK232" s="196">
        <v>0.48</v>
      </c>
      <c r="BL232" s="190" t="s">
        <v>568</v>
      </c>
      <c r="BM232" s="189">
        <v>0.05</v>
      </c>
      <c r="BN232" s="189">
        <v>0.32</v>
      </c>
      <c r="BO232" s="188" t="s">
        <v>258</v>
      </c>
      <c r="BP232" s="224"/>
      <c r="BS232" s="224"/>
      <c r="BT232" s="224"/>
      <c r="BU232" s="224"/>
      <c r="BV232" s="225"/>
      <c r="BW232" s="224"/>
      <c r="BX232" s="223">
        <f>0.25*0.9*25</f>
        <v>5.625</v>
      </c>
      <c r="BY232" s="222" t="s">
        <v>298</v>
      </c>
      <c r="BZ232" s="225"/>
      <c r="CA232" s="225"/>
      <c r="CB232" s="225"/>
      <c r="CC232" s="224"/>
      <c r="CD232" s="224"/>
      <c r="CE232" s="225"/>
      <c r="CF232" s="225"/>
      <c r="CG232" s="225"/>
      <c r="CH232" s="225"/>
      <c r="CI232" s="224"/>
      <c r="CJ232" s="224"/>
      <c r="CK232" s="225"/>
      <c r="CL232" s="225"/>
      <c r="CM232" s="225"/>
      <c r="CN232" s="225"/>
      <c r="CO232" s="218">
        <f t="shared" si="80"/>
        <v>0.05</v>
      </c>
      <c r="CP232" s="100">
        <f t="shared" si="81"/>
        <v>0.185</v>
      </c>
      <c r="CQ232" s="218">
        <f t="shared" si="82"/>
        <v>0.32</v>
      </c>
      <c r="CR232" s="100">
        <v>0.05</v>
      </c>
      <c r="CS232" s="100">
        <v>0.3</v>
      </c>
    </row>
    <row r="233" spans="1:97" s="100" customFormat="1" ht="16.5" hidden="1" customHeight="1" thickBot="1" x14ac:dyDescent="0.3">
      <c r="A233" s="147"/>
      <c r="V233" s="218"/>
      <c r="AA233" s="219"/>
      <c r="AB233" s="219"/>
      <c r="AD233" s="219"/>
      <c r="AE233" s="220"/>
      <c r="AH233" s="221"/>
      <c r="AI233" s="221"/>
      <c r="AK233" s="219"/>
      <c r="AR233" s="219"/>
      <c r="BF233" s="168"/>
      <c r="BG233" s="168"/>
      <c r="BH233" s="168"/>
      <c r="BI233" s="203" t="s">
        <v>589</v>
      </c>
      <c r="BJ233" s="190" t="s">
        <v>333</v>
      </c>
      <c r="BK233" s="250">
        <f>AV248</f>
        <v>5.497666666666666E-2</v>
      </c>
      <c r="BL233" s="190" t="s">
        <v>425</v>
      </c>
      <c r="BM233" s="189">
        <v>0.05</v>
      </c>
      <c r="BN233" s="189">
        <v>0.3</v>
      </c>
      <c r="BO233" s="188" t="s">
        <v>258</v>
      </c>
      <c r="BP233" s="224"/>
      <c r="BS233" s="224"/>
      <c r="BT233" s="224"/>
      <c r="BU233" s="224"/>
      <c r="BV233" s="225"/>
      <c r="BW233" s="224"/>
      <c r="BX233" s="223"/>
      <c r="BY233" s="222"/>
      <c r="BZ233" s="225"/>
      <c r="CA233" s="225"/>
      <c r="CB233" s="225"/>
      <c r="CC233" s="224"/>
      <c r="CD233" s="224"/>
      <c r="CE233" s="225"/>
      <c r="CF233" s="225"/>
      <c r="CG233" s="225"/>
      <c r="CH233" s="225"/>
      <c r="CI233" s="224"/>
      <c r="CJ233" s="224"/>
      <c r="CK233" s="225"/>
      <c r="CL233" s="225"/>
      <c r="CM233" s="225"/>
      <c r="CN233" s="225"/>
      <c r="CO233" s="218">
        <f t="shared" si="80"/>
        <v>0.05</v>
      </c>
      <c r="CP233" s="100">
        <f t="shared" si="81"/>
        <v>0.17499999999999999</v>
      </c>
      <c r="CQ233" s="218">
        <f t="shared" si="82"/>
        <v>0.3</v>
      </c>
      <c r="CR233" s="100">
        <v>0.28999999999999998</v>
      </c>
      <c r="CS233" s="100">
        <v>0.28999999999999998</v>
      </c>
    </row>
    <row r="234" spans="1:97" s="100" customFormat="1" ht="16.5" hidden="1" customHeight="1" thickBot="1" x14ac:dyDescent="0.3">
      <c r="A234" s="147"/>
      <c r="V234" s="218"/>
      <c r="AA234" s="219"/>
      <c r="AB234" s="219"/>
      <c r="AD234" s="219"/>
      <c r="AE234" s="220"/>
      <c r="AH234" s="221"/>
      <c r="AI234" s="221"/>
      <c r="AK234" s="219"/>
      <c r="AR234" s="219"/>
      <c r="BF234" s="168"/>
      <c r="BG234" s="168"/>
      <c r="BH234" s="168"/>
      <c r="BI234" s="203" t="s">
        <v>564</v>
      </c>
      <c r="BJ234" s="190" t="s">
        <v>333</v>
      </c>
      <c r="BK234" s="250">
        <f>AW248</f>
        <v>2.748833333333333E-2</v>
      </c>
      <c r="BL234" s="190" t="s">
        <v>425</v>
      </c>
      <c r="BM234" s="189">
        <v>0.05</v>
      </c>
      <c r="BN234" s="189">
        <v>0.3</v>
      </c>
      <c r="BO234" s="188" t="s">
        <v>258</v>
      </c>
      <c r="BP234" s="224"/>
      <c r="BS234" s="224"/>
      <c r="BT234" s="224"/>
      <c r="BU234" s="224"/>
      <c r="BV234" s="225"/>
      <c r="BW234" s="224"/>
      <c r="BX234" s="223"/>
      <c r="BY234" s="222"/>
      <c r="BZ234" s="225"/>
      <c r="CA234" s="225"/>
      <c r="CB234" s="225"/>
      <c r="CC234" s="224"/>
      <c r="CD234" s="224"/>
      <c r="CE234" s="225"/>
      <c r="CF234" s="225"/>
      <c r="CG234" s="225"/>
      <c r="CH234" s="225"/>
      <c r="CI234" s="224"/>
      <c r="CJ234" s="224"/>
      <c r="CK234" s="225"/>
      <c r="CL234" s="225"/>
      <c r="CM234" s="225"/>
      <c r="CN234" s="225"/>
      <c r="CO234" s="218">
        <f t="shared" si="80"/>
        <v>0.05</v>
      </c>
      <c r="CP234" s="100">
        <f t="shared" si="81"/>
        <v>0.17499999999999999</v>
      </c>
      <c r="CQ234" s="218">
        <f t="shared" si="82"/>
        <v>0.3</v>
      </c>
    </row>
    <row r="235" spans="1:97" s="100" customFormat="1" ht="16.5" hidden="1" customHeight="1" thickBot="1" x14ac:dyDescent="0.3">
      <c r="A235" s="147"/>
      <c r="V235" s="218"/>
      <c r="AA235" s="219"/>
      <c r="AB235" s="219"/>
      <c r="AD235" s="219"/>
      <c r="AE235" s="220"/>
      <c r="AH235" s="221"/>
      <c r="AI235" s="221"/>
      <c r="AK235" s="219"/>
      <c r="AR235" s="219"/>
      <c r="BF235" s="168"/>
      <c r="BG235" s="168"/>
      <c r="BH235" s="168"/>
      <c r="BI235" s="203" t="s">
        <v>565</v>
      </c>
      <c r="BJ235" s="190" t="s">
        <v>333</v>
      </c>
      <c r="BK235" s="250">
        <f>AX248</f>
        <v>3.9583199999999999E-2</v>
      </c>
      <c r="BL235" s="190" t="s">
        <v>425</v>
      </c>
      <c r="BM235" s="189">
        <v>0.05</v>
      </c>
      <c r="BN235" s="189">
        <v>0.3</v>
      </c>
      <c r="BO235" s="188" t="s">
        <v>258</v>
      </c>
      <c r="BP235" s="224"/>
      <c r="BS235" s="224"/>
      <c r="BT235" s="224"/>
      <c r="BU235" s="224"/>
      <c r="BV235" s="225"/>
      <c r="BW235" s="224"/>
      <c r="BX235" s="223"/>
      <c r="BY235" s="222"/>
      <c r="BZ235" s="225"/>
      <c r="CA235" s="225"/>
      <c r="CB235" s="225"/>
      <c r="CC235" s="224"/>
      <c r="CD235" s="224"/>
      <c r="CE235" s="225"/>
      <c r="CF235" s="225"/>
      <c r="CG235" s="225"/>
      <c r="CH235" s="225"/>
      <c r="CI235" s="224"/>
      <c r="CJ235" s="224"/>
      <c r="CK235" s="225"/>
      <c r="CL235" s="225"/>
      <c r="CM235" s="225"/>
      <c r="CN235" s="225"/>
      <c r="CO235" s="218">
        <f t="shared" si="80"/>
        <v>0.05</v>
      </c>
      <c r="CP235" s="100">
        <f t="shared" si="81"/>
        <v>0.17499999999999999</v>
      </c>
      <c r="CQ235" s="218">
        <f t="shared" si="82"/>
        <v>0.3</v>
      </c>
    </row>
    <row r="236" spans="1:97" s="100" customFormat="1" ht="16.5" hidden="1" customHeight="1" thickBot="1" x14ac:dyDescent="0.3">
      <c r="A236" s="147"/>
      <c r="V236" s="218"/>
      <c r="AA236" s="219"/>
      <c r="AB236" s="219"/>
      <c r="AD236" s="219"/>
      <c r="AE236" s="220"/>
      <c r="AH236" s="221"/>
      <c r="AI236" s="221"/>
      <c r="AK236" s="219"/>
      <c r="AR236" s="219"/>
      <c r="BF236" s="168"/>
      <c r="BG236" s="168"/>
      <c r="BH236" s="168"/>
      <c r="BI236" s="203" t="s">
        <v>566</v>
      </c>
      <c r="BJ236" s="190" t="s">
        <v>333</v>
      </c>
      <c r="BK236" s="250">
        <f>AY248</f>
        <v>1.9791599999999999E-2</v>
      </c>
      <c r="BL236" s="190" t="s">
        <v>425</v>
      </c>
      <c r="BM236" s="189">
        <v>0.05</v>
      </c>
      <c r="BN236" s="189">
        <v>0.3</v>
      </c>
      <c r="BO236" s="188" t="s">
        <v>258</v>
      </c>
      <c r="BP236" s="224"/>
      <c r="BS236" s="224"/>
      <c r="BT236" s="224"/>
      <c r="BU236" s="224"/>
      <c r="BV236" s="225"/>
      <c r="BW236" s="224"/>
      <c r="BX236" s="223"/>
      <c r="BY236" s="222"/>
      <c r="BZ236" s="225"/>
      <c r="CA236" s="225"/>
      <c r="CB236" s="225"/>
      <c r="CC236" s="224"/>
      <c r="CD236" s="224"/>
      <c r="CE236" s="225"/>
      <c r="CF236" s="225"/>
      <c r="CG236" s="225"/>
      <c r="CH236" s="225"/>
      <c r="CI236" s="224"/>
      <c r="CJ236" s="224"/>
      <c r="CK236" s="225"/>
      <c r="CL236" s="225"/>
      <c r="CM236" s="225"/>
      <c r="CN236" s="225"/>
      <c r="CO236" s="218">
        <f t="shared" si="80"/>
        <v>0.05</v>
      </c>
      <c r="CP236" s="100">
        <f t="shared" si="81"/>
        <v>0.17499999999999999</v>
      </c>
      <c r="CQ236" s="218">
        <f t="shared" si="82"/>
        <v>0.3</v>
      </c>
    </row>
    <row r="237" spans="1:97" s="100" customFormat="1" ht="16.5" hidden="1" customHeight="1" thickBot="1" x14ac:dyDescent="0.3">
      <c r="A237" s="147"/>
      <c r="V237" s="218"/>
      <c r="AA237" s="219"/>
      <c r="AB237" s="219"/>
      <c r="AD237" s="219"/>
      <c r="AE237" s="220"/>
      <c r="AH237" s="221"/>
      <c r="AI237" s="221"/>
      <c r="AK237" s="219"/>
      <c r="AR237" s="219"/>
      <c r="BF237" s="168"/>
      <c r="BG237" s="168"/>
      <c r="BH237" s="168"/>
      <c r="BI237" s="203" t="s">
        <v>589</v>
      </c>
      <c r="BJ237" s="190" t="s">
        <v>333</v>
      </c>
      <c r="BK237" s="250">
        <f>AZ248</f>
        <v>2.9687399999999996E-2</v>
      </c>
      <c r="BL237" s="190" t="s">
        <v>425</v>
      </c>
      <c r="BM237" s="189">
        <v>0.05</v>
      </c>
      <c r="BN237" s="189">
        <v>0.3</v>
      </c>
      <c r="BO237" s="188" t="s">
        <v>258</v>
      </c>
      <c r="BP237" s="224"/>
      <c r="BS237" s="224"/>
      <c r="BT237" s="224"/>
      <c r="BU237" s="224"/>
      <c r="BV237" s="225"/>
      <c r="BW237" s="224"/>
      <c r="BX237" s="223"/>
      <c r="BY237" s="222"/>
      <c r="BZ237" s="225"/>
      <c r="CA237" s="225"/>
      <c r="CB237" s="225"/>
      <c r="CC237" s="224"/>
      <c r="CD237" s="224"/>
      <c r="CE237" s="225"/>
      <c r="CF237" s="225"/>
      <c r="CG237" s="225"/>
      <c r="CH237" s="225"/>
      <c r="CI237" s="224"/>
      <c r="CJ237" s="224"/>
      <c r="CK237" s="225"/>
      <c r="CL237" s="225"/>
      <c r="CM237" s="225"/>
      <c r="CN237" s="225"/>
      <c r="CO237" s="218">
        <f t="shared" ref="CO237:CO300" si="83">BM237</f>
        <v>0.05</v>
      </c>
      <c r="CP237" s="100">
        <f t="shared" ref="CP237:CP300" si="84">(CO237+CQ237)/2</f>
        <v>0.17499999999999999</v>
      </c>
      <c r="CQ237" s="218">
        <f t="shared" ref="CQ237:CQ300" si="85">BN237</f>
        <v>0.3</v>
      </c>
    </row>
    <row r="238" spans="1:97" s="100" customFormat="1" ht="16.5" hidden="1" customHeight="1" thickBot="1" x14ac:dyDescent="0.3">
      <c r="A238" s="147"/>
      <c r="V238" s="218"/>
      <c r="AA238" s="219"/>
      <c r="AB238" s="219"/>
      <c r="AD238" s="219"/>
      <c r="AE238" s="220"/>
      <c r="AH238" s="221"/>
      <c r="AI238" s="221"/>
      <c r="AK238" s="219"/>
      <c r="AR238" s="219"/>
      <c r="BF238" s="168"/>
      <c r="BG238" s="168"/>
      <c r="BH238" s="168"/>
      <c r="BI238" s="203" t="s">
        <v>590</v>
      </c>
      <c r="BJ238" s="190" t="s">
        <v>333</v>
      </c>
      <c r="BK238" s="250">
        <f>AV249</f>
        <v>1.6666666666666666E-2</v>
      </c>
      <c r="BL238" s="190" t="s">
        <v>425</v>
      </c>
      <c r="BM238" s="189">
        <v>0.05</v>
      </c>
      <c r="BN238" s="189">
        <v>0.3</v>
      </c>
      <c r="BO238" s="188" t="s">
        <v>258</v>
      </c>
      <c r="BP238" s="224"/>
      <c r="BS238" s="224"/>
      <c r="BT238" s="224"/>
      <c r="BU238" s="224"/>
      <c r="BV238" s="225"/>
      <c r="BW238" s="224"/>
      <c r="BX238" s="223"/>
      <c r="BY238" s="222"/>
      <c r="BZ238" s="225"/>
      <c r="CA238" s="225"/>
      <c r="CB238" s="225"/>
      <c r="CC238" s="224"/>
      <c r="CD238" s="224"/>
      <c r="CE238" s="225"/>
      <c r="CF238" s="225"/>
      <c r="CG238" s="225"/>
      <c r="CH238" s="225"/>
      <c r="CI238" s="224"/>
      <c r="CJ238" s="224"/>
      <c r="CK238" s="225"/>
      <c r="CL238" s="225"/>
      <c r="CM238" s="225"/>
      <c r="CN238" s="225"/>
      <c r="CO238" s="218">
        <f t="shared" si="83"/>
        <v>0.05</v>
      </c>
      <c r="CP238" s="100">
        <f t="shared" si="84"/>
        <v>0.17499999999999999</v>
      </c>
      <c r="CQ238" s="218">
        <f t="shared" si="85"/>
        <v>0.3</v>
      </c>
    </row>
    <row r="239" spans="1:97" s="100" customFormat="1" ht="16.5" hidden="1" customHeight="1" thickBot="1" x14ac:dyDescent="0.3">
      <c r="A239" s="147"/>
      <c r="V239" s="218"/>
      <c r="AA239" s="219"/>
      <c r="AB239" s="219"/>
      <c r="AD239" s="219"/>
      <c r="AE239" s="220"/>
      <c r="AH239" s="221"/>
      <c r="AI239" s="221"/>
      <c r="AK239" s="219"/>
      <c r="AR239" s="219"/>
      <c r="BF239" s="168"/>
      <c r="BG239" s="168"/>
      <c r="BH239" s="168"/>
      <c r="BI239" s="203" t="s">
        <v>591</v>
      </c>
      <c r="BJ239" s="190" t="s">
        <v>333</v>
      </c>
      <c r="BK239" s="250">
        <f>AV250</f>
        <v>4.9999999999999996E-2</v>
      </c>
      <c r="BL239" s="190" t="s">
        <v>425</v>
      </c>
      <c r="BM239" s="189">
        <v>0.05</v>
      </c>
      <c r="BN239" s="189">
        <v>0.3</v>
      </c>
      <c r="BO239" s="188" t="s">
        <v>258</v>
      </c>
      <c r="BP239" s="224"/>
      <c r="BS239" s="224"/>
      <c r="BT239" s="224"/>
      <c r="BU239" s="224"/>
      <c r="BV239" s="225"/>
      <c r="BW239" s="224"/>
      <c r="BX239" s="223"/>
      <c r="BY239" s="222"/>
      <c r="BZ239" s="225"/>
      <c r="CA239" s="225"/>
      <c r="CB239" s="225"/>
      <c r="CC239" s="224"/>
      <c r="CD239" s="224"/>
      <c r="CE239" s="225"/>
      <c r="CF239" s="225"/>
      <c r="CG239" s="225"/>
      <c r="CH239" s="225"/>
      <c r="CI239" s="224"/>
      <c r="CJ239" s="224"/>
      <c r="CK239" s="225"/>
      <c r="CL239" s="225"/>
      <c r="CM239" s="225"/>
      <c r="CN239" s="225"/>
      <c r="CO239" s="218">
        <f t="shared" si="83"/>
        <v>0.05</v>
      </c>
      <c r="CP239" s="100">
        <f t="shared" si="84"/>
        <v>0.17499999999999999</v>
      </c>
      <c r="CQ239" s="218">
        <f t="shared" si="85"/>
        <v>0.3</v>
      </c>
    </row>
    <row r="240" spans="1:97" s="100" customFormat="1" ht="16.5" hidden="1" customHeight="1" thickBot="1" x14ac:dyDescent="0.3">
      <c r="A240" s="147"/>
      <c r="V240" s="218"/>
      <c r="AA240" s="219"/>
      <c r="AB240" s="219"/>
      <c r="AD240" s="219"/>
      <c r="AE240" s="220"/>
      <c r="AH240" s="221"/>
      <c r="AI240" s="221"/>
      <c r="AK240" s="219"/>
      <c r="AR240" s="219"/>
      <c r="AV240" s="100">
        <f>(0.449*0.15)+(0.171*0.4)+(0.047*0.43)+(0.026*0.24)+(0.007*0.39)</f>
        <v>0.16492999999999999</v>
      </c>
      <c r="BF240" s="168"/>
      <c r="BG240" s="168"/>
      <c r="BH240" s="168"/>
      <c r="BI240" s="203" t="s">
        <v>592</v>
      </c>
      <c r="BJ240" s="190" t="s">
        <v>333</v>
      </c>
      <c r="BK240" s="250">
        <f>AV250</f>
        <v>4.9999999999999996E-2</v>
      </c>
      <c r="BL240" s="190" t="s">
        <v>425</v>
      </c>
      <c r="BM240" s="189">
        <v>0.05</v>
      </c>
      <c r="BN240" s="189">
        <v>0.3</v>
      </c>
      <c r="BO240" s="188" t="s">
        <v>258</v>
      </c>
      <c r="BP240" s="224"/>
      <c r="BS240" s="224"/>
      <c r="BT240" s="224"/>
      <c r="BU240" s="224"/>
      <c r="BV240" s="225"/>
      <c r="BW240" s="224"/>
      <c r="BX240" s="223"/>
      <c r="BY240" s="222"/>
      <c r="BZ240" s="225"/>
      <c r="CA240" s="225"/>
      <c r="CB240" s="225"/>
      <c r="CC240" s="224"/>
      <c r="CD240" s="224"/>
      <c r="CE240" s="225"/>
      <c r="CF240" s="225"/>
      <c r="CG240" s="225"/>
      <c r="CH240" s="225"/>
      <c r="CI240" s="224"/>
      <c r="CJ240" s="224"/>
      <c r="CK240" s="225"/>
      <c r="CL240" s="225"/>
      <c r="CM240" s="225"/>
      <c r="CN240" s="225"/>
      <c r="CO240" s="218">
        <f t="shared" si="83"/>
        <v>0.05</v>
      </c>
      <c r="CP240" s="100">
        <f t="shared" si="84"/>
        <v>0.17499999999999999</v>
      </c>
      <c r="CQ240" s="218">
        <f t="shared" si="85"/>
        <v>0.3</v>
      </c>
    </row>
    <row r="241" spans="1:113" s="100" customFormat="1" ht="16.5" hidden="1" customHeight="1" thickBot="1" x14ac:dyDescent="0.3">
      <c r="A241" s="147"/>
      <c r="V241" s="218"/>
      <c r="AA241" s="219"/>
      <c r="AB241" s="219"/>
      <c r="AD241" s="219"/>
      <c r="AE241" s="220"/>
      <c r="AH241" s="221"/>
      <c r="AI241" s="221"/>
      <c r="AK241" s="219"/>
      <c r="AR241" s="219"/>
      <c r="BF241" s="168"/>
      <c r="BG241" s="168"/>
      <c r="BH241" s="168"/>
      <c r="BI241" s="203" t="s">
        <v>593</v>
      </c>
      <c r="BJ241" s="190" t="s">
        <v>333</v>
      </c>
      <c r="BK241" s="250">
        <f t="shared" ref="BK241:BK246" si="86">AV252</f>
        <v>7.9999999999999988E-2</v>
      </c>
      <c r="BL241" s="190" t="s">
        <v>425</v>
      </c>
      <c r="BM241" s="189">
        <v>0.05</v>
      </c>
      <c r="BN241" s="189">
        <v>0.3</v>
      </c>
      <c r="BO241" s="188" t="s">
        <v>258</v>
      </c>
      <c r="BP241" s="224"/>
      <c r="BS241" s="224"/>
      <c r="BT241" s="224"/>
      <c r="BU241" s="224"/>
      <c r="BV241" s="225"/>
      <c r="BW241" s="224"/>
      <c r="BX241" s="223"/>
      <c r="BY241" s="222"/>
      <c r="BZ241" s="225"/>
      <c r="CA241" s="225"/>
      <c r="CB241" s="225"/>
      <c r="CC241" s="224"/>
      <c r="CD241" s="224"/>
      <c r="CE241" s="225"/>
      <c r="CF241" s="225"/>
      <c r="CG241" s="225"/>
      <c r="CH241" s="225"/>
      <c r="CI241" s="224"/>
      <c r="CJ241" s="224"/>
      <c r="CK241" s="225"/>
      <c r="CL241" s="225"/>
      <c r="CM241" s="225"/>
      <c r="CN241" s="225"/>
      <c r="CO241" s="218">
        <f t="shared" si="83"/>
        <v>0.05</v>
      </c>
      <c r="CP241" s="100">
        <f t="shared" si="84"/>
        <v>0.17499999999999999</v>
      </c>
      <c r="CQ241" s="218">
        <f t="shared" si="85"/>
        <v>0.3</v>
      </c>
    </row>
    <row r="242" spans="1:113" s="100" customFormat="1" ht="16.5" hidden="1" customHeight="1" thickBot="1" x14ac:dyDescent="0.3">
      <c r="A242" s="147"/>
      <c r="V242" s="218"/>
      <c r="AA242" s="219"/>
      <c r="AB242" s="219"/>
      <c r="AD242" s="219"/>
      <c r="AE242" s="220"/>
      <c r="AH242" s="221"/>
      <c r="AI242" s="221"/>
      <c r="AK242" s="219"/>
      <c r="AR242" s="219"/>
      <c r="BF242" s="168"/>
      <c r="BG242" s="168"/>
      <c r="BH242" s="168"/>
      <c r="BI242" s="203" t="s">
        <v>594</v>
      </c>
      <c r="BJ242" s="190" t="s">
        <v>333</v>
      </c>
      <c r="BK242" s="250">
        <f t="shared" si="86"/>
        <v>0.14333333333333331</v>
      </c>
      <c r="BL242" s="190" t="s">
        <v>425</v>
      </c>
      <c r="BM242" s="189">
        <v>0.05</v>
      </c>
      <c r="BN242" s="189">
        <v>0.3</v>
      </c>
      <c r="BO242" s="188" t="s">
        <v>258</v>
      </c>
      <c r="BP242" s="224"/>
      <c r="BS242" s="224"/>
      <c r="BT242" s="224"/>
      <c r="BU242" s="224"/>
      <c r="BV242" s="225"/>
      <c r="BW242" s="224"/>
      <c r="BX242" s="223"/>
      <c r="BY242" s="222"/>
      <c r="BZ242" s="225"/>
      <c r="CA242" s="225"/>
      <c r="CB242" s="225"/>
      <c r="CC242" s="224"/>
      <c r="CD242" s="224"/>
      <c r="CE242" s="225"/>
      <c r="CF242" s="225"/>
      <c r="CG242" s="225"/>
      <c r="CH242" s="225"/>
      <c r="CI242" s="224"/>
      <c r="CJ242" s="224"/>
      <c r="CK242" s="225"/>
      <c r="CL242" s="225"/>
      <c r="CM242" s="225"/>
      <c r="CN242" s="225"/>
      <c r="CO242" s="218">
        <f t="shared" si="83"/>
        <v>0.05</v>
      </c>
      <c r="CP242" s="100">
        <f t="shared" si="84"/>
        <v>0.17499999999999999</v>
      </c>
      <c r="CQ242" s="218">
        <f t="shared" si="85"/>
        <v>0.3</v>
      </c>
    </row>
    <row r="243" spans="1:113" s="100" customFormat="1" ht="16.5" hidden="1" customHeight="1" thickBot="1" x14ac:dyDescent="0.3">
      <c r="A243" s="147"/>
      <c r="V243" s="218"/>
      <c r="AA243" s="219"/>
      <c r="AB243" s="219"/>
      <c r="AD243" s="219"/>
      <c r="AE243" s="220"/>
      <c r="AH243" s="221"/>
      <c r="AI243" s="221"/>
      <c r="AK243" s="219"/>
      <c r="AR243" s="219"/>
      <c r="BF243" s="168"/>
      <c r="BG243" s="168"/>
      <c r="BH243" s="168"/>
      <c r="BI243" s="203" t="s">
        <v>595</v>
      </c>
      <c r="BJ243" s="190" t="s">
        <v>333</v>
      </c>
      <c r="BK243" s="250">
        <f t="shared" si="86"/>
        <v>0.13333333333333333</v>
      </c>
      <c r="BL243" s="190" t="s">
        <v>425</v>
      </c>
      <c r="BM243" s="189">
        <v>0.05</v>
      </c>
      <c r="BN243" s="189">
        <v>0.3</v>
      </c>
      <c r="BO243" s="188" t="s">
        <v>258</v>
      </c>
      <c r="BP243" s="224"/>
      <c r="BS243" s="224"/>
      <c r="BT243" s="224"/>
      <c r="BU243" s="224"/>
      <c r="BV243" s="225"/>
      <c r="BW243" s="224"/>
      <c r="BX243" s="223"/>
      <c r="BY243" s="222"/>
      <c r="BZ243" s="225"/>
      <c r="CA243" s="225"/>
      <c r="CB243" s="225"/>
      <c r="CC243" s="224"/>
      <c r="CD243" s="224"/>
      <c r="CE243" s="225"/>
      <c r="CF243" s="225"/>
      <c r="CG243" s="225"/>
      <c r="CH243" s="225"/>
      <c r="CI243" s="224"/>
      <c r="CJ243" s="224"/>
      <c r="CK243" s="225"/>
      <c r="CL243" s="225"/>
      <c r="CM243" s="225"/>
      <c r="CN243" s="225"/>
      <c r="CO243" s="218">
        <f t="shared" si="83"/>
        <v>0.05</v>
      </c>
      <c r="CP243" s="100">
        <f t="shared" si="84"/>
        <v>0.17499999999999999</v>
      </c>
      <c r="CQ243" s="218">
        <f t="shared" si="85"/>
        <v>0.3</v>
      </c>
    </row>
    <row r="244" spans="1:113" s="100" customFormat="1" ht="16.5" hidden="1" customHeight="1" thickBot="1" x14ac:dyDescent="0.3">
      <c r="A244" s="147"/>
      <c r="V244" s="218"/>
      <c r="AA244" s="219"/>
      <c r="AB244" s="219"/>
      <c r="AD244" s="219"/>
      <c r="AE244" s="220"/>
      <c r="AH244" s="221"/>
      <c r="AI244" s="221"/>
      <c r="AK244" s="219"/>
      <c r="AR244" s="219"/>
      <c r="BF244" s="168"/>
      <c r="BG244" s="168"/>
      <c r="BH244" s="168"/>
      <c r="BI244" s="203" t="s">
        <v>596</v>
      </c>
      <c r="BJ244" s="190" t="s">
        <v>333</v>
      </c>
      <c r="BK244" s="250">
        <f t="shared" si="86"/>
        <v>0.13</v>
      </c>
      <c r="BL244" s="190" t="s">
        <v>425</v>
      </c>
      <c r="BM244" s="189">
        <v>0.05</v>
      </c>
      <c r="BN244" s="189">
        <v>0.3</v>
      </c>
      <c r="BO244" s="188" t="s">
        <v>258</v>
      </c>
      <c r="BP244" s="224"/>
      <c r="BS244" s="224"/>
      <c r="BT244" s="224"/>
      <c r="BU244" s="224"/>
      <c r="BV244" s="225"/>
      <c r="BW244" s="224"/>
      <c r="BX244" s="223"/>
      <c r="BY244" s="222"/>
      <c r="BZ244" s="225"/>
      <c r="CA244" s="225"/>
      <c r="CB244" s="225"/>
      <c r="CC244" s="224"/>
      <c r="CD244" s="224"/>
      <c r="CE244" s="225"/>
      <c r="CF244" s="225"/>
      <c r="CG244" s="225"/>
      <c r="CH244" s="225"/>
      <c r="CI244" s="224"/>
      <c r="CJ244" s="224"/>
      <c r="CK244" s="225"/>
      <c r="CL244" s="225"/>
      <c r="CM244" s="225"/>
      <c r="CN244" s="225"/>
      <c r="CO244" s="218">
        <f t="shared" si="83"/>
        <v>0.05</v>
      </c>
      <c r="CP244" s="100">
        <f t="shared" si="84"/>
        <v>0.17499999999999999</v>
      </c>
      <c r="CQ244" s="218">
        <f t="shared" si="85"/>
        <v>0.3</v>
      </c>
    </row>
    <row r="245" spans="1:113" s="100" customFormat="1" ht="16.5" hidden="1" customHeight="1" thickBot="1" x14ac:dyDescent="0.3">
      <c r="A245" s="147"/>
      <c r="V245" s="218"/>
      <c r="AA245" s="219"/>
      <c r="AB245" s="219"/>
      <c r="AD245" s="219"/>
      <c r="AE245" s="220"/>
      <c r="AH245" s="221"/>
      <c r="AI245" s="221"/>
      <c r="AK245" s="219"/>
      <c r="AR245" s="219"/>
      <c r="BF245" s="168"/>
      <c r="BG245" s="168"/>
      <c r="BH245" s="168"/>
      <c r="BI245" s="203" t="s">
        <v>597</v>
      </c>
      <c r="BJ245" s="190" t="s">
        <v>333</v>
      </c>
      <c r="BK245" s="250">
        <f t="shared" si="86"/>
        <v>1.3333333333333332E-2</v>
      </c>
      <c r="BL245" s="190" t="s">
        <v>425</v>
      </c>
      <c r="BM245" s="189">
        <v>0.05</v>
      </c>
      <c r="BN245" s="189">
        <v>0.3</v>
      </c>
      <c r="BO245" s="188" t="s">
        <v>258</v>
      </c>
      <c r="BP245" s="224"/>
      <c r="BS245" s="224"/>
      <c r="BT245" s="224"/>
      <c r="BU245" s="224"/>
      <c r="BV245" s="225"/>
      <c r="BW245" s="224"/>
      <c r="BX245" s="223"/>
      <c r="BY245" s="222"/>
      <c r="BZ245" s="225"/>
      <c r="CA245" s="225"/>
      <c r="CB245" s="225"/>
      <c r="CC245" s="224"/>
      <c r="CD245" s="224"/>
      <c r="CE245" s="225"/>
      <c r="CF245" s="225"/>
      <c r="CG245" s="225"/>
      <c r="CH245" s="225"/>
      <c r="CI245" s="224"/>
      <c r="CJ245" s="224"/>
      <c r="CK245" s="225"/>
      <c r="CL245" s="225"/>
      <c r="CM245" s="225"/>
      <c r="CN245" s="225"/>
      <c r="CO245" s="218">
        <f t="shared" si="83"/>
        <v>0.05</v>
      </c>
      <c r="CP245" s="100">
        <f t="shared" si="84"/>
        <v>0.17499999999999999</v>
      </c>
      <c r="CQ245" s="218">
        <f t="shared" si="85"/>
        <v>0.3</v>
      </c>
    </row>
    <row r="246" spans="1:113" s="100" customFormat="1" ht="16.5" hidden="1" customHeight="1" thickBot="1" x14ac:dyDescent="0.3">
      <c r="A246" s="147"/>
      <c r="V246" s="218"/>
      <c r="AA246" s="219"/>
      <c r="AB246" s="219"/>
      <c r="AD246" s="219"/>
      <c r="AE246" s="220"/>
      <c r="AH246" s="221"/>
      <c r="AI246" s="221"/>
      <c r="AK246" s="219"/>
      <c r="AR246" s="219"/>
      <c r="AV246" s="236" t="s">
        <v>504</v>
      </c>
      <c r="BF246" s="168"/>
      <c r="BG246" s="168"/>
      <c r="BH246" s="168"/>
      <c r="BI246" s="203" t="s">
        <v>598</v>
      </c>
      <c r="BJ246" s="190" t="s">
        <v>333</v>
      </c>
      <c r="BK246" s="250">
        <f t="shared" si="86"/>
        <v>3.3333333333333331E-3</v>
      </c>
      <c r="BL246" s="190" t="s">
        <v>425</v>
      </c>
      <c r="BM246" s="189">
        <v>0.05</v>
      </c>
      <c r="BN246" s="189">
        <v>0.3</v>
      </c>
      <c r="BO246" s="188" t="s">
        <v>258</v>
      </c>
      <c r="BP246" s="224"/>
      <c r="BS246" s="224"/>
      <c r="BT246" s="224"/>
      <c r="BU246" s="224"/>
      <c r="BV246" s="225"/>
      <c r="BW246" s="224"/>
      <c r="BX246" s="223"/>
      <c r="BY246" s="222"/>
      <c r="BZ246" s="225"/>
      <c r="CA246" s="225"/>
      <c r="CB246" s="225"/>
      <c r="CC246" s="224"/>
      <c r="CD246" s="224"/>
      <c r="CE246" s="225"/>
      <c r="CF246" s="225"/>
      <c r="CG246" s="225"/>
      <c r="CH246" s="225"/>
      <c r="CI246" s="224"/>
      <c r="CJ246" s="224"/>
      <c r="CK246" s="225"/>
      <c r="CL246" s="225"/>
      <c r="CM246" s="225"/>
      <c r="CN246" s="225"/>
      <c r="CO246" s="218">
        <f t="shared" si="83"/>
        <v>0.05</v>
      </c>
      <c r="CP246" s="100">
        <f t="shared" si="84"/>
        <v>0.17499999999999999</v>
      </c>
      <c r="CQ246" s="218">
        <f t="shared" si="85"/>
        <v>0.3</v>
      </c>
    </row>
    <row r="247" spans="1:113" s="101" customFormat="1" ht="29.25" hidden="1" customHeight="1" thickBot="1" x14ac:dyDescent="0.3">
      <c r="A247" s="99"/>
      <c r="V247" s="103"/>
      <c r="AA247" s="104"/>
      <c r="AB247" s="104"/>
      <c r="AD247" s="104"/>
      <c r="AE247" s="105"/>
      <c r="AH247" s="106"/>
      <c r="AI247" s="106"/>
      <c r="AK247" s="104"/>
      <c r="AR247" s="104"/>
      <c r="AT247" s="227"/>
      <c r="AU247" s="228" t="s">
        <v>484</v>
      </c>
      <c r="AV247" s="227" t="s">
        <v>496</v>
      </c>
      <c r="AW247" s="227" t="s">
        <v>479</v>
      </c>
      <c r="AX247" s="227" t="s">
        <v>561</v>
      </c>
      <c r="AY247" s="227" t="s">
        <v>480</v>
      </c>
      <c r="AZ247" s="227" t="s">
        <v>483</v>
      </c>
      <c r="BA247" s="229" t="s">
        <v>119</v>
      </c>
      <c r="BB247" s="230" t="s">
        <v>503</v>
      </c>
      <c r="BC247" s="230" t="s">
        <v>120</v>
      </c>
      <c r="BF247" s="168"/>
      <c r="BG247" s="168"/>
      <c r="BH247" s="168"/>
      <c r="BI247" s="203" t="s">
        <v>573</v>
      </c>
      <c r="BJ247" s="190" t="s">
        <v>476</v>
      </c>
      <c r="BK247" s="196">
        <v>5.6000000000000004E-7</v>
      </c>
      <c r="BL247" s="190" t="s">
        <v>425</v>
      </c>
      <c r="BM247" s="189">
        <v>0.1</v>
      </c>
      <c r="BN247" s="189">
        <v>1</v>
      </c>
      <c r="BO247" s="188" t="s">
        <v>258</v>
      </c>
      <c r="BP247" s="190" t="s">
        <v>476</v>
      </c>
      <c r="BQ247" s="196">
        <v>9.7999999999999993E-6</v>
      </c>
      <c r="BR247" s="186" t="s">
        <v>426</v>
      </c>
      <c r="BS247" s="189">
        <v>0.1</v>
      </c>
      <c r="BT247" s="189">
        <v>1</v>
      </c>
      <c r="BU247" s="188" t="s">
        <v>258</v>
      </c>
      <c r="BV247" s="190" t="s">
        <v>476</v>
      </c>
      <c r="BW247" s="196">
        <v>0.14000000000000001</v>
      </c>
      <c r="BX247" s="186" t="s">
        <v>571</v>
      </c>
      <c r="BY247" s="189">
        <v>0.1</v>
      </c>
      <c r="BZ247" s="189">
        <v>1</v>
      </c>
      <c r="CA247" s="188" t="s">
        <v>258</v>
      </c>
      <c r="CB247" s="180"/>
      <c r="CC247" s="178"/>
      <c r="CD247" s="178"/>
      <c r="CE247" s="180"/>
      <c r="CF247" s="180"/>
      <c r="CG247" s="180"/>
      <c r="CH247" s="180"/>
      <c r="CI247" s="178"/>
      <c r="CJ247" s="178"/>
      <c r="CK247" s="180"/>
      <c r="CL247" s="180"/>
      <c r="CM247" s="180"/>
      <c r="CN247" s="116"/>
      <c r="CO247" s="218">
        <f t="shared" si="83"/>
        <v>0.1</v>
      </c>
      <c r="CP247" s="100">
        <f t="shared" si="84"/>
        <v>0.55000000000000004</v>
      </c>
      <c r="CQ247" s="218">
        <f t="shared" si="85"/>
        <v>1</v>
      </c>
      <c r="CR247" s="101">
        <v>0.4</v>
      </c>
      <c r="CS247" s="101">
        <v>1</v>
      </c>
    </row>
    <row r="248" spans="1:113" s="101" customFormat="1" ht="29.25" hidden="1" customHeight="1" thickBot="1" x14ac:dyDescent="0.3">
      <c r="A248" s="99"/>
      <c r="V248" s="103"/>
      <c r="AA248" s="104"/>
      <c r="AB248" s="104"/>
      <c r="AD248" s="104"/>
      <c r="AE248" s="105"/>
      <c r="AH248" s="106"/>
      <c r="AI248" s="106"/>
      <c r="AK248" s="104"/>
      <c r="AR248" s="104"/>
      <c r="AT248" s="227" t="s">
        <v>486</v>
      </c>
      <c r="AU248" s="226" t="s">
        <v>498</v>
      </c>
      <c r="AV248" s="221">
        <f>((((0.449*0.15)+(0.171*0.4)+(0.047*0.43)+(0.026*0.24)+(0.007*0.39))*0.5*1)*0.5*(16/12))*(1-0)</f>
        <v>5.497666666666666E-2</v>
      </c>
      <c r="AW248" s="221">
        <f>((((0.449*0.15)+(0.171*0.4)+(0.047*0.43)+(0.026*0.24)+(0.007*0.39))*0.5*0.5)*0.5*(16/12))*(1-0)</f>
        <v>2.748833333333333E-2</v>
      </c>
      <c r="AX248" s="221">
        <f>((((0.449*0.15)+(0.171*0.4)+(0.047*0.43)+(0.026*0.24)+(0.007*0.39))*0.5*0.8)*0.5*(16/12))*(1-0.1)</f>
        <v>3.9583199999999999E-2</v>
      </c>
      <c r="AY248" s="221">
        <f>((((0.449*0.15)+(0.171*0.4)+(0.047*0.43)+(0.026*0.24)+(0.007*0.39))*0.5*0.4)*0.5*(16/12))*(1-0.1)</f>
        <v>1.9791599999999999E-2</v>
      </c>
      <c r="AZ248" s="221">
        <f>((((0.449*0.15)+(0.171*0.4)+(0.047*0.43)+(0.026*0.24)+(0.007*0.39))*0.5*0.6)*0.5*(16/12))*(1-0.1)</f>
        <v>2.9687399999999996E-2</v>
      </c>
      <c r="BA248" s="231">
        <f t="shared" ref="BA248:BA257" si="87">AVERAGE(AV248:AZ248)</f>
        <v>3.430544E-2</v>
      </c>
      <c r="BB248" s="231">
        <f t="shared" ref="BB248:BB257" si="88">STDEV(AV248:AZ248)</f>
        <v>1.3542573156662487E-2</v>
      </c>
      <c r="BC248" s="232">
        <f>1-((BA248-((BB248*2.78)/(SQRT(5))))/BA248)</f>
        <v>0.49079258210126564</v>
      </c>
      <c r="BF248" s="168"/>
      <c r="BG248" s="168"/>
      <c r="BH248" s="168"/>
      <c r="BI248" s="203" t="s">
        <v>572</v>
      </c>
      <c r="BJ248" s="190" t="s">
        <v>476</v>
      </c>
      <c r="BK248" s="196">
        <v>2.3699999999999999E-4</v>
      </c>
      <c r="BL248" s="190" t="s">
        <v>425</v>
      </c>
      <c r="BM248" s="189">
        <v>0.1</v>
      </c>
      <c r="BN248" s="189">
        <v>1</v>
      </c>
      <c r="BO248" s="188" t="s">
        <v>258</v>
      </c>
      <c r="BP248" s="190" t="s">
        <v>476</v>
      </c>
      <c r="BQ248" s="196">
        <v>6.0000000000000002E-5</v>
      </c>
      <c r="BR248" s="186" t="s">
        <v>426</v>
      </c>
      <c r="BS248" s="189">
        <v>0.1</v>
      </c>
      <c r="BT248" s="189">
        <v>1</v>
      </c>
      <c r="BU248" s="188" t="s">
        <v>258</v>
      </c>
      <c r="BV248" s="190" t="s">
        <v>476</v>
      </c>
      <c r="BW248" s="196">
        <v>0.23</v>
      </c>
      <c r="BX248" s="186" t="s">
        <v>571</v>
      </c>
      <c r="BY248" s="189">
        <v>0.1</v>
      </c>
      <c r="BZ248" s="189">
        <v>1</v>
      </c>
      <c r="CA248" s="188" t="s">
        <v>258</v>
      </c>
      <c r="CB248" s="180"/>
      <c r="CC248" s="178"/>
      <c r="CD248" s="178"/>
      <c r="CE248" s="180"/>
      <c r="CF248" s="180"/>
      <c r="CG248" s="180"/>
      <c r="CH248" s="180"/>
      <c r="CI248" s="178"/>
      <c r="CJ248" s="178"/>
      <c r="CK248" s="180"/>
      <c r="CL248" s="180"/>
      <c r="CM248" s="180"/>
      <c r="CN248" s="116"/>
      <c r="CO248" s="218">
        <f t="shared" si="83"/>
        <v>0.1</v>
      </c>
      <c r="CP248" s="100">
        <f t="shared" si="84"/>
        <v>0.55000000000000004</v>
      </c>
      <c r="CQ248" s="218">
        <f t="shared" si="85"/>
        <v>1</v>
      </c>
      <c r="CR248" s="101">
        <v>0.4</v>
      </c>
      <c r="CS248" s="101">
        <v>1</v>
      </c>
    </row>
    <row r="249" spans="1:113" s="101" customFormat="1" ht="29.25" hidden="1" customHeight="1" thickBot="1" x14ac:dyDescent="0.3">
      <c r="A249" s="99"/>
      <c r="V249" s="103"/>
      <c r="AA249" s="104"/>
      <c r="AB249" s="104"/>
      <c r="AD249" s="104"/>
      <c r="AE249" s="105"/>
      <c r="AH249" s="106"/>
      <c r="AI249" s="106"/>
      <c r="AK249" s="104"/>
      <c r="AR249" s="104"/>
      <c r="AT249" s="227" t="s">
        <v>562</v>
      </c>
      <c r="AU249" s="226">
        <v>0.05</v>
      </c>
      <c r="AV249" s="221">
        <f>((AU249*0.5*1)*0.5*(16/12))*(1-0)</f>
        <v>1.6666666666666666E-2</v>
      </c>
      <c r="AW249" s="221">
        <f>((AU249*0.5*0.5)*0.5*(16/12))*(1-0)</f>
        <v>8.3333333333333332E-3</v>
      </c>
      <c r="AX249" s="221">
        <f>((AU249*0.5*0.8)*0.5*(16/12))*(1-0.1)</f>
        <v>1.2000000000000002E-2</v>
      </c>
      <c r="AY249" s="221">
        <f t="shared" ref="AY249:AY257" si="89">((AU249*0.5*0.4)*0.5*(16/12))*(1-0.1)</f>
        <v>6.000000000000001E-3</v>
      </c>
      <c r="AZ249" s="221">
        <f t="shared" ref="AZ249:AZ257" si="90">((AU249*0.5*0.6)*0.5*(16/12))*(1-0.1)</f>
        <v>8.9999999999999993E-3</v>
      </c>
      <c r="BA249" s="231">
        <f t="shared" si="87"/>
        <v>1.0400000000000001E-2</v>
      </c>
      <c r="BB249" s="231">
        <f t="shared" si="88"/>
        <v>4.1055517967205765E-3</v>
      </c>
      <c r="BC249" s="232">
        <f>1-((BA249-((BB249*2.78)/(SQRT(5))))/BA249)</f>
        <v>0.49079258210126586</v>
      </c>
      <c r="BF249" s="168"/>
      <c r="BG249" s="168"/>
      <c r="BH249" s="168"/>
      <c r="BI249" s="203" t="s">
        <v>574</v>
      </c>
      <c r="BJ249" s="190" t="s">
        <v>476</v>
      </c>
      <c r="BK249" s="196">
        <v>6.4999999999999997E-3</v>
      </c>
      <c r="BL249" s="190" t="s">
        <v>425</v>
      </c>
      <c r="BM249" s="189">
        <v>0.1</v>
      </c>
      <c r="BN249" s="189">
        <v>1</v>
      </c>
      <c r="BO249" s="188" t="s">
        <v>258</v>
      </c>
      <c r="BP249" s="190" t="s">
        <v>476</v>
      </c>
      <c r="BQ249" s="196">
        <v>1.4999999999999999E-4</v>
      </c>
      <c r="BR249" s="186" t="s">
        <v>426</v>
      </c>
      <c r="BS249" s="189">
        <v>0.1</v>
      </c>
      <c r="BT249" s="189">
        <v>1</v>
      </c>
      <c r="BU249" s="188" t="s">
        <v>258</v>
      </c>
      <c r="BV249" s="190" t="s">
        <v>476</v>
      </c>
      <c r="BW249" s="196">
        <v>1.38</v>
      </c>
      <c r="BX249" s="186" t="s">
        <v>571</v>
      </c>
      <c r="BY249" s="189">
        <v>0.1</v>
      </c>
      <c r="BZ249" s="189">
        <v>1</v>
      </c>
      <c r="CA249" s="188" t="s">
        <v>258</v>
      </c>
      <c r="CB249" s="180"/>
      <c r="CC249" s="178"/>
      <c r="CD249" s="178"/>
      <c r="CE249" s="180"/>
      <c r="CF249" s="180"/>
      <c r="CG249" s="180"/>
      <c r="CH249" s="180"/>
      <c r="CI249" s="178"/>
      <c r="CJ249" s="178"/>
      <c r="CK249" s="180"/>
      <c r="CL249" s="180"/>
      <c r="CM249" s="180"/>
      <c r="CN249" s="116"/>
      <c r="CO249" s="218">
        <f t="shared" si="83"/>
        <v>0.1</v>
      </c>
      <c r="CP249" s="100">
        <f t="shared" si="84"/>
        <v>0.55000000000000004</v>
      </c>
      <c r="CQ249" s="218">
        <f t="shared" si="85"/>
        <v>1</v>
      </c>
      <c r="CR249" s="101">
        <v>0.4</v>
      </c>
      <c r="CS249" s="101">
        <v>1</v>
      </c>
    </row>
    <row r="250" spans="1:113" s="101" customFormat="1" ht="29.25" hidden="1" customHeight="1" thickBot="1" x14ac:dyDescent="0.3">
      <c r="A250" s="99"/>
      <c r="V250" s="103"/>
      <c r="AA250" s="104"/>
      <c r="AB250" s="104"/>
      <c r="AD250" s="104"/>
      <c r="AE250" s="105"/>
      <c r="AH250" s="106"/>
      <c r="AI250" s="106"/>
      <c r="AK250" s="104"/>
      <c r="AR250" s="104"/>
      <c r="AT250" s="227" t="s">
        <v>485</v>
      </c>
      <c r="AU250" s="226">
        <v>0.15</v>
      </c>
      <c r="AV250" s="221">
        <f>((AU250*0.5*1)*0.5*(16/12))*(1-0)</f>
        <v>4.9999999999999996E-2</v>
      </c>
      <c r="AW250" s="221">
        <f>((AU250*0.5*0.5)*0.5*(16/12))*(1-0)</f>
        <v>2.4999999999999998E-2</v>
      </c>
      <c r="AX250" s="221">
        <f>((AU250*0.5*0.8)*0.5*(16/12))*(1-0.1)</f>
        <v>3.5999999999999997E-2</v>
      </c>
      <c r="AY250" s="221">
        <f t="shared" si="89"/>
        <v>1.7999999999999999E-2</v>
      </c>
      <c r="AZ250" s="221">
        <f t="shared" si="90"/>
        <v>2.7E-2</v>
      </c>
      <c r="BA250" s="231">
        <f t="shared" si="87"/>
        <v>3.1199999999999995E-2</v>
      </c>
      <c r="BB250" s="231">
        <f t="shared" si="88"/>
        <v>1.2316655390161741E-2</v>
      </c>
      <c r="BC250" s="232">
        <f t="shared" ref="BC250:BC257" si="91">1-((BA250-((BB250*2.78)/(SQRT(5))))/BA250)</f>
        <v>0.49079258210126642</v>
      </c>
      <c r="BF250" s="168"/>
      <c r="BG250" s="168"/>
      <c r="BH250" s="168"/>
      <c r="BI250" s="203" t="s">
        <v>575</v>
      </c>
      <c r="BJ250" s="190" t="s">
        <v>476</v>
      </c>
      <c r="BK250" s="196">
        <v>5.6000000000000004E-7</v>
      </c>
      <c r="BL250" s="190" t="s">
        <v>425</v>
      </c>
      <c r="BM250" s="189">
        <v>0.1</v>
      </c>
      <c r="BN250" s="189">
        <v>1</v>
      </c>
      <c r="BO250" s="188" t="s">
        <v>258</v>
      </c>
      <c r="BP250" s="190" t="s">
        <v>476</v>
      </c>
      <c r="BQ250" s="196">
        <v>1E-4</v>
      </c>
      <c r="BR250" s="186" t="s">
        <v>426</v>
      </c>
      <c r="BS250" s="189">
        <v>0.1</v>
      </c>
      <c r="BT250" s="189">
        <v>1</v>
      </c>
      <c r="BU250" s="188" t="s">
        <v>258</v>
      </c>
      <c r="BV250" s="190" t="s">
        <v>476</v>
      </c>
      <c r="BW250" s="196">
        <v>0.56999999999999995</v>
      </c>
      <c r="BX250" s="186" t="s">
        <v>571</v>
      </c>
      <c r="BY250" s="189">
        <v>0.1</v>
      </c>
      <c r="BZ250" s="189">
        <v>1</v>
      </c>
      <c r="CA250" s="188" t="s">
        <v>258</v>
      </c>
      <c r="CB250" s="180"/>
      <c r="CC250" s="178"/>
      <c r="CD250" s="178"/>
      <c r="CE250" s="180"/>
      <c r="CF250" s="180"/>
      <c r="CG250" s="180"/>
      <c r="CH250" s="180"/>
      <c r="CI250" s="178"/>
      <c r="CJ250" s="178"/>
      <c r="CK250" s="180"/>
      <c r="CL250" s="180"/>
      <c r="CM250" s="180"/>
      <c r="CN250" s="116"/>
      <c r="CO250" s="218">
        <f t="shared" si="83"/>
        <v>0.1</v>
      </c>
      <c r="CP250" s="100">
        <f t="shared" si="84"/>
        <v>0.55000000000000004</v>
      </c>
      <c r="CQ250" s="218">
        <f t="shared" si="85"/>
        <v>1</v>
      </c>
      <c r="CR250" s="101">
        <v>0.4</v>
      </c>
      <c r="CS250" s="101">
        <v>1</v>
      </c>
    </row>
    <row r="251" spans="1:113" s="101" customFormat="1" ht="29.25" hidden="1" customHeight="1" thickBot="1" x14ac:dyDescent="0.3">
      <c r="A251" s="99"/>
      <c r="V251" s="103"/>
      <c r="AA251" s="104"/>
      <c r="AB251" s="104"/>
      <c r="AD251" s="104"/>
      <c r="AE251" s="105"/>
      <c r="AH251" s="106"/>
      <c r="AI251" s="106"/>
      <c r="AK251" s="104"/>
      <c r="AR251" s="104"/>
      <c r="AT251" s="227" t="s">
        <v>488</v>
      </c>
      <c r="AU251" s="226">
        <v>0.15</v>
      </c>
      <c r="AV251" s="221">
        <f t="shared" ref="AV251:AV257" si="92">((AU251*0.5*1)*0.5*(16/12))*(1-0)</f>
        <v>4.9999999999999996E-2</v>
      </c>
      <c r="AW251" s="221">
        <f t="shared" ref="AW251:AW257" si="93">((AU251*0.5*0.5)*0.5*(16/12))*(1-0)</f>
        <v>2.4999999999999998E-2</v>
      </c>
      <c r="AX251" s="221">
        <f t="shared" ref="AX251:AX257" si="94">((AU251*0.5*0.8)*0.5*(16/12))*(1-0.1)</f>
        <v>3.5999999999999997E-2</v>
      </c>
      <c r="AY251" s="221">
        <f t="shared" si="89"/>
        <v>1.7999999999999999E-2</v>
      </c>
      <c r="AZ251" s="221">
        <f t="shared" si="90"/>
        <v>2.7E-2</v>
      </c>
      <c r="BA251" s="231">
        <f t="shared" si="87"/>
        <v>3.1199999999999995E-2</v>
      </c>
      <c r="BB251" s="231">
        <f t="shared" si="88"/>
        <v>1.2316655390161741E-2</v>
      </c>
      <c r="BC251" s="232">
        <f t="shared" si="91"/>
        <v>0.49079258210126642</v>
      </c>
      <c r="BE251" s="220"/>
      <c r="BF251" s="168"/>
      <c r="BG251" s="168"/>
      <c r="BH251" s="168"/>
      <c r="BI251" s="203" t="s">
        <v>599</v>
      </c>
      <c r="BJ251" s="190" t="s">
        <v>476</v>
      </c>
      <c r="BK251" s="196">
        <v>5.6000000000000004E-7</v>
      </c>
      <c r="BL251" s="190" t="s">
        <v>425</v>
      </c>
      <c r="BM251" s="189">
        <v>0.1</v>
      </c>
      <c r="BN251" s="189">
        <v>1</v>
      </c>
      <c r="BO251" s="188" t="s">
        <v>258</v>
      </c>
      <c r="BP251" s="190" t="s">
        <v>476</v>
      </c>
      <c r="BQ251" s="196">
        <v>4.2000000000000002E-4</v>
      </c>
      <c r="BR251" s="186" t="s">
        <v>426</v>
      </c>
      <c r="BS251" s="189">
        <v>0.1</v>
      </c>
      <c r="BT251" s="189">
        <v>1</v>
      </c>
      <c r="BU251" s="188" t="s">
        <v>258</v>
      </c>
      <c r="BV251" s="190" t="s">
        <v>476</v>
      </c>
      <c r="BW251" s="196">
        <v>0.17</v>
      </c>
      <c r="BX251" s="186" t="s">
        <v>571</v>
      </c>
      <c r="BY251" s="189">
        <v>0.1</v>
      </c>
      <c r="BZ251" s="189">
        <v>1</v>
      </c>
      <c r="CA251" s="188" t="s">
        <v>258</v>
      </c>
      <c r="CB251" s="180"/>
      <c r="CC251" s="178"/>
      <c r="CD251" s="178"/>
      <c r="CE251" s="180"/>
      <c r="CF251" s="180"/>
      <c r="CG251" s="180"/>
      <c r="CH251" s="180"/>
      <c r="CI251" s="178"/>
      <c r="CJ251" s="178"/>
      <c r="CK251" s="180"/>
      <c r="CL251" s="180"/>
      <c r="CM251" s="180"/>
      <c r="CN251" s="116"/>
      <c r="CO251" s="218">
        <f t="shared" si="83"/>
        <v>0.1</v>
      </c>
      <c r="CP251" s="100">
        <f t="shared" si="84"/>
        <v>0.55000000000000004</v>
      </c>
      <c r="CQ251" s="218">
        <f t="shared" si="85"/>
        <v>1</v>
      </c>
      <c r="CR251" s="101">
        <v>0.4</v>
      </c>
      <c r="CS251" s="101">
        <v>1</v>
      </c>
    </row>
    <row r="252" spans="1:113" s="101" customFormat="1" ht="29.25" hidden="1" customHeight="1" thickBot="1" x14ac:dyDescent="0.3">
      <c r="A252" s="99"/>
      <c r="V252" s="103"/>
      <c r="AA252" s="104"/>
      <c r="AB252" s="104"/>
      <c r="AD252" s="104"/>
      <c r="AE252" s="105"/>
      <c r="AH252" s="106"/>
      <c r="AI252" s="106"/>
      <c r="AK252" s="104"/>
      <c r="AR252" s="104"/>
      <c r="AT252" s="227" t="s">
        <v>487</v>
      </c>
      <c r="AU252" s="226">
        <v>0.24</v>
      </c>
      <c r="AV252" s="221">
        <f t="shared" si="92"/>
        <v>7.9999999999999988E-2</v>
      </c>
      <c r="AW252" s="221">
        <f t="shared" si="93"/>
        <v>3.9999999999999994E-2</v>
      </c>
      <c r="AX252" s="221">
        <f t="shared" si="94"/>
        <v>5.7600000000000005E-2</v>
      </c>
      <c r="AY252" s="221">
        <f t="shared" si="89"/>
        <v>2.8800000000000003E-2</v>
      </c>
      <c r="AZ252" s="221">
        <f t="shared" si="90"/>
        <v>4.3199999999999995E-2</v>
      </c>
      <c r="BA252" s="231">
        <f t="shared" si="87"/>
        <v>4.9919999999999992E-2</v>
      </c>
      <c r="BB252" s="231">
        <f t="shared" si="88"/>
        <v>1.9706648624258784E-2</v>
      </c>
      <c r="BC252" s="232">
        <f t="shared" si="91"/>
        <v>0.49079258210126631</v>
      </c>
      <c r="BE252" s="220"/>
      <c r="BF252" s="168"/>
      <c r="BG252" s="168"/>
      <c r="BH252" s="168"/>
      <c r="BI252" s="203" t="s">
        <v>600</v>
      </c>
      <c r="BJ252" s="190" t="s">
        <v>476</v>
      </c>
      <c r="BK252" s="196">
        <v>9.7000000000000003E-6</v>
      </c>
      <c r="BL252" s="190" t="s">
        <v>425</v>
      </c>
      <c r="BM252" s="189">
        <v>0.1</v>
      </c>
      <c r="BN252" s="189">
        <v>1</v>
      </c>
      <c r="BO252" s="188" t="s">
        <v>258</v>
      </c>
      <c r="BP252" s="190" t="s">
        <v>476</v>
      </c>
      <c r="BQ252" s="196">
        <v>8.9999999999999998E-4</v>
      </c>
      <c r="BR252" s="186" t="s">
        <v>426</v>
      </c>
      <c r="BS252" s="189">
        <v>0.1</v>
      </c>
      <c r="BT252" s="189">
        <v>1</v>
      </c>
      <c r="BU252" s="188" t="s">
        <v>258</v>
      </c>
      <c r="BV252" s="190" t="s">
        <v>476</v>
      </c>
      <c r="BW252" s="196">
        <v>0.57999999999999996</v>
      </c>
      <c r="BX252" s="186" t="s">
        <v>571</v>
      </c>
      <c r="BY252" s="189">
        <v>0.1</v>
      </c>
      <c r="BZ252" s="189">
        <v>1</v>
      </c>
      <c r="CA252" s="188" t="s">
        <v>258</v>
      </c>
      <c r="CB252" s="180"/>
      <c r="CC252" s="178"/>
      <c r="CD252" s="178"/>
      <c r="CE252" s="180"/>
      <c r="CF252" s="180"/>
      <c r="CG252" s="180"/>
      <c r="CH252" s="180"/>
      <c r="CI252" s="178"/>
      <c r="CJ252" s="178"/>
      <c r="CK252" s="180"/>
      <c r="CL252" s="180"/>
      <c r="CM252" s="180"/>
      <c r="CN252" s="116"/>
      <c r="CO252" s="218">
        <f t="shared" si="83"/>
        <v>0.1</v>
      </c>
      <c r="CP252" s="100">
        <f t="shared" si="84"/>
        <v>0.55000000000000004</v>
      </c>
      <c r="CQ252" s="218">
        <f t="shared" si="85"/>
        <v>1</v>
      </c>
      <c r="CR252" s="101">
        <v>0.4</v>
      </c>
      <c r="CS252" s="101">
        <v>1</v>
      </c>
    </row>
    <row r="253" spans="1:113" s="101" customFormat="1" ht="29.25" hidden="1" customHeight="1" thickBot="1" x14ac:dyDescent="0.3">
      <c r="A253" s="99"/>
      <c r="V253" s="103"/>
      <c r="AA253" s="104"/>
      <c r="AB253" s="104"/>
      <c r="AD253" s="104"/>
      <c r="AE253" s="105"/>
      <c r="AH253" s="106"/>
      <c r="AI253" s="106"/>
      <c r="AK253" s="104"/>
      <c r="AR253" s="104"/>
      <c r="AT253" s="227" t="s">
        <v>489</v>
      </c>
      <c r="AU253" s="226">
        <v>0.43</v>
      </c>
      <c r="AV253" s="221">
        <f t="shared" si="92"/>
        <v>0.14333333333333331</v>
      </c>
      <c r="AW253" s="221">
        <f t="shared" si="93"/>
        <v>7.1666666666666656E-2</v>
      </c>
      <c r="AX253" s="221">
        <f t="shared" si="94"/>
        <v>0.1032</v>
      </c>
      <c r="AY253" s="221">
        <f t="shared" si="89"/>
        <v>5.16E-2</v>
      </c>
      <c r="AZ253" s="221">
        <f t="shared" si="90"/>
        <v>7.7399999999999997E-2</v>
      </c>
      <c r="BA253" s="231">
        <f t="shared" si="87"/>
        <v>8.9439999999999992E-2</v>
      </c>
      <c r="BB253" s="231">
        <f t="shared" si="88"/>
        <v>3.5307745451796956E-2</v>
      </c>
      <c r="BC253" s="232">
        <f t="shared" si="91"/>
        <v>0.49079258210126586</v>
      </c>
      <c r="BE253" s="220"/>
      <c r="BF253" s="168"/>
      <c r="BG253" s="168"/>
      <c r="BH253" s="168"/>
      <c r="BI253" s="203" t="s">
        <v>576</v>
      </c>
      <c r="BJ253" s="190" t="s">
        <v>476</v>
      </c>
      <c r="BK253" s="196">
        <v>9.7000000000000003E-6</v>
      </c>
      <c r="BL253" s="190" t="s">
        <v>425</v>
      </c>
      <c r="BM253" s="189">
        <v>0.1</v>
      </c>
      <c r="BN253" s="189">
        <v>1</v>
      </c>
      <c r="BO253" s="188" t="s">
        <v>258</v>
      </c>
      <c r="BP253" s="190" t="s">
        <v>476</v>
      </c>
      <c r="BQ253" s="196">
        <v>4.4999999999999999E-4</v>
      </c>
      <c r="BR253" s="186" t="s">
        <v>426</v>
      </c>
      <c r="BS253" s="189">
        <v>0.1</v>
      </c>
      <c r="BT253" s="189">
        <v>1</v>
      </c>
      <c r="BU253" s="188" t="s">
        <v>258</v>
      </c>
      <c r="BV253" s="190" t="s">
        <v>476</v>
      </c>
      <c r="BW253" s="196">
        <v>1.47</v>
      </c>
      <c r="BX253" s="186" t="s">
        <v>571</v>
      </c>
      <c r="BY253" s="189">
        <v>0.1</v>
      </c>
      <c r="BZ253" s="189">
        <v>1</v>
      </c>
      <c r="CA253" s="188" t="s">
        <v>258</v>
      </c>
      <c r="CB253" s="180"/>
      <c r="CC253" s="178"/>
      <c r="CD253" s="178"/>
      <c r="CE253" s="180"/>
      <c r="CF253" s="180"/>
      <c r="CG253" s="180"/>
      <c r="CH253" s="180"/>
      <c r="CI253" s="178"/>
      <c r="CJ253" s="178"/>
      <c r="CK253" s="180"/>
      <c r="CL253" s="180"/>
      <c r="CM253" s="180"/>
      <c r="CN253" s="116"/>
      <c r="CO253" s="218">
        <f t="shared" si="83"/>
        <v>0.1</v>
      </c>
      <c r="CP253" s="100">
        <f t="shared" si="84"/>
        <v>0.55000000000000004</v>
      </c>
      <c r="CQ253" s="218">
        <f t="shared" si="85"/>
        <v>1</v>
      </c>
      <c r="CR253" s="101">
        <v>0.4</v>
      </c>
      <c r="CS253" s="101">
        <v>1</v>
      </c>
    </row>
    <row r="254" spans="1:113" s="101" customFormat="1" ht="15" hidden="1" customHeight="1" x14ac:dyDescent="0.25">
      <c r="A254" s="99"/>
      <c r="V254" s="103"/>
      <c r="AA254" s="104"/>
      <c r="AB254" s="104"/>
      <c r="AD254" s="104"/>
      <c r="AE254" s="105"/>
      <c r="AH254" s="106"/>
      <c r="AI254" s="106"/>
      <c r="AK254" s="104"/>
      <c r="AR254" s="104"/>
      <c r="AT254" s="227" t="s">
        <v>490</v>
      </c>
      <c r="AU254" s="226">
        <v>0.4</v>
      </c>
      <c r="AV254" s="221">
        <f t="shared" si="92"/>
        <v>0.13333333333333333</v>
      </c>
      <c r="AW254" s="221">
        <f t="shared" si="93"/>
        <v>6.6666666666666666E-2</v>
      </c>
      <c r="AX254" s="221">
        <f t="shared" si="94"/>
        <v>9.6000000000000016E-2</v>
      </c>
      <c r="AY254" s="221">
        <f t="shared" si="89"/>
        <v>4.8000000000000008E-2</v>
      </c>
      <c r="AZ254" s="221">
        <f t="shared" si="90"/>
        <v>7.1999999999999995E-2</v>
      </c>
      <c r="BA254" s="231">
        <f t="shared" si="87"/>
        <v>8.320000000000001E-2</v>
      </c>
      <c r="BB254" s="231">
        <f t="shared" si="88"/>
        <v>3.2844414373764612E-2</v>
      </c>
      <c r="BC254" s="232">
        <f t="shared" si="91"/>
        <v>0.49079258210126586</v>
      </c>
      <c r="BE254" s="220"/>
      <c r="BF254" s="168"/>
      <c r="BG254" s="168"/>
      <c r="BH254" s="168"/>
      <c r="BI254" s="102"/>
      <c r="BJ254" s="178"/>
      <c r="BK254" s="178"/>
      <c r="BL254" s="178"/>
      <c r="BM254" s="169"/>
      <c r="BN254" s="169"/>
      <c r="BO254" s="169"/>
      <c r="BP254" s="178"/>
      <c r="BQ254" s="178"/>
      <c r="BR254" s="178"/>
      <c r="BS254" s="178"/>
      <c r="BT254" s="178"/>
      <c r="BU254" s="178"/>
      <c r="BV254" s="180"/>
      <c r="BW254" s="178"/>
      <c r="BX254" s="178"/>
      <c r="BY254" s="180"/>
      <c r="BZ254" s="180"/>
      <c r="CA254" s="180"/>
      <c r="CB254" s="180"/>
      <c r="CC254" s="178"/>
      <c r="CD254" s="178"/>
      <c r="CE254" s="180"/>
      <c r="CF254" s="180"/>
      <c r="CG254" s="180"/>
      <c r="CH254" s="180"/>
      <c r="CI254" s="178"/>
      <c r="CJ254" s="178"/>
      <c r="CK254" s="180"/>
      <c r="CL254" s="180"/>
      <c r="CM254" s="180"/>
      <c r="CN254" s="116"/>
      <c r="CO254" s="218">
        <f t="shared" si="83"/>
        <v>0</v>
      </c>
      <c r="CP254" s="100">
        <f t="shared" si="84"/>
        <v>0</v>
      </c>
      <c r="CQ254" s="218">
        <f t="shared" si="85"/>
        <v>0</v>
      </c>
    </row>
    <row r="255" spans="1:113" s="101" customFormat="1" ht="18" hidden="1" customHeight="1" thickBot="1" x14ac:dyDescent="0.3">
      <c r="A255" s="99"/>
      <c r="V255" s="103"/>
      <c r="AA255" s="104"/>
      <c r="AB255" s="104"/>
      <c r="AD255" s="104"/>
      <c r="AE255" s="105"/>
      <c r="AH255" s="106"/>
      <c r="AI255" s="106"/>
      <c r="AK255" s="104"/>
      <c r="AR255" s="104"/>
      <c r="AT255" s="227" t="s">
        <v>491</v>
      </c>
      <c r="AU255" s="226">
        <v>0.39</v>
      </c>
      <c r="AV255" s="221">
        <f t="shared" si="92"/>
        <v>0.13</v>
      </c>
      <c r="AW255" s="221">
        <f t="shared" si="93"/>
        <v>6.5000000000000002E-2</v>
      </c>
      <c r="AX255" s="221">
        <f t="shared" si="94"/>
        <v>9.3600000000000017E-2</v>
      </c>
      <c r="AY255" s="221">
        <f t="shared" si="89"/>
        <v>4.6800000000000008E-2</v>
      </c>
      <c r="AZ255" s="221">
        <f t="shared" si="90"/>
        <v>7.0199999999999985E-2</v>
      </c>
      <c r="BA255" s="231">
        <f t="shared" si="87"/>
        <v>8.1119999999999998E-2</v>
      </c>
      <c r="BB255" s="231">
        <f t="shared" si="88"/>
        <v>3.2023304014420516E-2</v>
      </c>
      <c r="BC255" s="232">
        <f t="shared" si="91"/>
        <v>0.49079258210126619</v>
      </c>
      <c r="BE255" s="219"/>
      <c r="BF255" s="168"/>
      <c r="BG255" s="168"/>
      <c r="BH255" s="168"/>
      <c r="BI255" s="102"/>
      <c r="BJ255" s="178"/>
      <c r="BK255" s="178"/>
      <c r="BL255" s="178"/>
      <c r="BM255" s="169"/>
      <c r="BN255" s="169"/>
      <c r="BO255" s="169"/>
      <c r="BP255" s="178"/>
      <c r="BQ255" s="178"/>
      <c r="BR255" s="178"/>
      <c r="BS255" s="178"/>
      <c r="BT255" s="178"/>
      <c r="BU255" s="178"/>
      <c r="BV255" s="180"/>
      <c r="BW255" s="178"/>
      <c r="BX255" s="178"/>
      <c r="BY255" s="180"/>
      <c r="BZ255" s="180"/>
      <c r="CA255" s="180"/>
      <c r="CB255" s="102"/>
      <c r="CC255" s="102"/>
      <c r="CD255" s="102"/>
      <c r="CE255" s="102"/>
      <c r="CF255" s="102"/>
      <c r="CG255" s="102"/>
      <c r="CH255" s="102"/>
      <c r="CI255" s="102"/>
      <c r="CJ255" s="102"/>
      <c r="CK255" s="102"/>
      <c r="CL255" s="102"/>
      <c r="CM255" s="102"/>
      <c r="CO255" s="218">
        <f t="shared" si="83"/>
        <v>0</v>
      </c>
      <c r="CP255" s="100">
        <f t="shared" si="84"/>
        <v>0</v>
      </c>
      <c r="CQ255" s="218">
        <f t="shared" si="85"/>
        <v>0</v>
      </c>
      <c r="DC255" s="116" t="s">
        <v>377</v>
      </c>
      <c r="DD255" s="116" t="s">
        <v>378</v>
      </c>
      <c r="DF255" s="116" t="s">
        <v>388</v>
      </c>
      <c r="DG255" s="116"/>
      <c r="DH255" s="116"/>
      <c r="DI255" s="116"/>
    </row>
    <row r="256" spans="1:113" s="101" customFormat="1" ht="33" hidden="1" customHeight="1" x14ac:dyDescent="0.25">
      <c r="A256" s="99"/>
      <c r="V256" s="103"/>
      <c r="AA256" s="104"/>
      <c r="AB256" s="104"/>
      <c r="AD256" s="104"/>
      <c r="AE256" s="105"/>
      <c r="AH256" s="106"/>
      <c r="AI256" s="106"/>
      <c r="AK256" s="104"/>
      <c r="AR256" s="104"/>
      <c r="AT256" s="227" t="s">
        <v>499</v>
      </c>
      <c r="AU256" s="226">
        <v>0.04</v>
      </c>
      <c r="AV256" s="221">
        <f t="shared" si="92"/>
        <v>1.3333333333333332E-2</v>
      </c>
      <c r="AW256" s="221">
        <f t="shared" si="93"/>
        <v>6.6666666666666662E-3</v>
      </c>
      <c r="AX256" s="221">
        <f t="shared" si="94"/>
        <v>9.5999999999999992E-3</v>
      </c>
      <c r="AY256" s="221">
        <f t="shared" si="89"/>
        <v>4.7999999999999996E-3</v>
      </c>
      <c r="AZ256" s="221">
        <f t="shared" si="90"/>
        <v>7.2000000000000007E-3</v>
      </c>
      <c r="BA256" s="231">
        <f t="shared" si="87"/>
        <v>8.3199999999999975E-3</v>
      </c>
      <c r="BB256" s="231">
        <f t="shared" si="88"/>
        <v>3.2844414373764635E-3</v>
      </c>
      <c r="BC256" s="232">
        <f t="shared" si="91"/>
        <v>0.49079258210126642</v>
      </c>
      <c r="BE256" s="104"/>
      <c r="BF256" s="168"/>
      <c r="BG256" s="168"/>
      <c r="BH256" s="168"/>
      <c r="BI256" s="1606" t="s">
        <v>334</v>
      </c>
      <c r="BJ256" s="1606" t="s">
        <v>253</v>
      </c>
      <c r="BK256" s="1606" t="s">
        <v>279</v>
      </c>
      <c r="BL256" s="251"/>
      <c r="BM256" s="1606" t="s">
        <v>233</v>
      </c>
      <c r="BN256" s="1606" t="s">
        <v>233</v>
      </c>
      <c r="BO256" s="1606" t="s">
        <v>240</v>
      </c>
      <c r="BP256" s="178"/>
      <c r="BQ256" s="178"/>
      <c r="BR256" s="178"/>
      <c r="BS256" s="178"/>
      <c r="BT256" s="178"/>
      <c r="BU256" s="178"/>
      <c r="BV256" s="180"/>
      <c r="BW256" s="178"/>
      <c r="BX256" s="178"/>
      <c r="BY256" s="180"/>
      <c r="BZ256" s="180"/>
      <c r="CA256" s="180"/>
      <c r="CB256" s="102"/>
      <c r="CC256" s="102"/>
      <c r="CD256" s="102"/>
      <c r="CE256" s="102"/>
      <c r="CF256" s="102"/>
      <c r="CG256" s="102"/>
      <c r="CH256" s="102"/>
      <c r="CI256" s="102"/>
      <c r="CJ256" s="102"/>
      <c r="CK256" s="102"/>
      <c r="CL256" s="102"/>
      <c r="CM256" s="102"/>
      <c r="CO256" s="218" t="str">
        <f t="shared" si="83"/>
        <v>Incertidumbre (+/- %)</v>
      </c>
      <c r="CP256" s="100" t="e">
        <f t="shared" si="84"/>
        <v>#VALUE!</v>
      </c>
      <c r="CQ256" s="218" t="str">
        <f t="shared" si="85"/>
        <v>Incertidumbre (+/- %)</v>
      </c>
      <c r="DA256" s="101">
        <v>0</v>
      </c>
      <c r="DC256" s="116" t="s">
        <v>99</v>
      </c>
      <c r="DD256" s="116" t="s">
        <v>98</v>
      </c>
      <c r="DF256" s="116" t="s">
        <v>98</v>
      </c>
      <c r="DG256" s="116"/>
      <c r="DH256" s="116"/>
      <c r="DI256" s="116"/>
    </row>
    <row r="257" spans="1:113" s="101" customFormat="1" ht="15.75" hidden="1" customHeight="1" thickBot="1" x14ac:dyDescent="0.3">
      <c r="A257" s="99"/>
      <c r="V257" s="103"/>
      <c r="AA257" s="104"/>
      <c r="AB257" s="104"/>
      <c r="AD257" s="104"/>
      <c r="AE257" s="105"/>
      <c r="AH257" s="106"/>
      <c r="AI257" s="106"/>
      <c r="AK257" s="104"/>
      <c r="AR257" s="104"/>
      <c r="AT257" s="227" t="s">
        <v>492</v>
      </c>
      <c r="AU257" s="226">
        <v>0.01</v>
      </c>
      <c r="AV257" s="221">
        <f t="shared" si="92"/>
        <v>3.3333333333333331E-3</v>
      </c>
      <c r="AW257" s="221">
        <f t="shared" si="93"/>
        <v>1.6666666666666666E-3</v>
      </c>
      <c r="AX257" s="221">
        <f t="shared" si="94"/>
        <v>2.3999999999999998E-3</v>
      </c>
      <c r="AY257" s="221">
        <f t="shared" si="89"/>
        <v>1.1999999999999999E-3</v>
      </c>
      <c r="AZ257" s="221">
        <f t="shared" si="90"/>
        <v>1.8000000000000002E-3</v>
      </c>
      <c r="BA257" s="231">
        <f t="shared" si="87"/>
        <v>2.0799999999999994E-3</v>
      </c>
      <c r="BB257" s="231">
        <f t="shared" si="88"/>
        <v>8.2111035934411534E-4</v>
      </c>
      <c r="BC257" s="232">
        <f t="shared" si="91"/>
        <v>0.49079258210126597</v>
      </c>
      <c r="BE257" s="104"/>
      <c r="BF257" s="168"/>
      <c r="BG257" s="168"/>
      <c r="BH257" s="168"/>
      <c r="BI257" s="1607"/>
      <c r="BJ257" s="1607"/>
      <c r="BK257" s="1607"/>
      <c r="BL257" s="252" t="s">
        <v>251</v>
      </c>
      <c r="BM257" s="1607"/>
      <c r="BN257" s="1607"/>
      <c r="BO257" s="1607"/>
      <c r="BP257" s="178"/>
      <c r="BQ257" s="178"/>
      <c r="BR257" s="178"/>
      <c r="BS257" s="178"/>
      <c r="BT257" s="178"/>
      <c r="BU257" s="178"/>
      <c r="BV257" s="180"/>
      <c r="BW257" s="178"/>
      <c r="BX257" s="178"/>
      <c r="BY257" s="180"/>
      <c r="BZ257" s="180"/>
      <c r="CA257" s="180"/>
      <c r="CB257" s="102"/>
      <c r="CC257" s="102"/>
      <c r="CD257" s="102"/>
      <c r="CE257" s="102"/>
      <c r="CF257" s="102"/>
      <c r="CG257" s="102"/>
      <c r="CH257" s="102"/>
      <c r="CI257" s="102"/>
      <c r="CJ257" s="102"/>
      <c r="CK257" s="102"/>
      <c r="CL257" s="102"/>
      <c r="CM257" s="102"/>
      <c r="CO257" s="218">
        <f t="shared" si="83"/>
        <v>0</v>
      </c>
      <c r="CP257" s="100">
        <f t="shared" si="84"/>
        <v>0</v>
      </c>
      <c r="CQ257" s="218">
        <f t="shared" si="85"/>
        <v>0</v>
      </c>
      <c r="DA257" s="101">
        <v>0</v>
      </c>
      <c r="DC257" s="116">
        <v>0</v>
      </c>
      <c r="DD257" s="116">
        <v>0</v>
      </c>
      <c r="DF257" s="116">
        <v>0</v>
      </c>
      <c r="DG257" s="116"/>
      <c r="DH257" s="116"/>
      <c r="DI257" s="116"/>
    </row>
    <row r="258" spans="1:113" s="101" customFormat="1" ht="39" hidden="1" customHeight="1" thickBot="1" x14ac:dyDescent="0.3">
      <c r="A258" s="99"/>
      <c r="V258" s="103"/>
      <c r="AA258" s="104"/>
      <c r="AB258" s="104"/>
      <c r="AD258" s="104"/>
      <c r="AE258" s="105"/>
      <c r="AH258" s="106"/>
      <c r="AI258" s="106"/>
      <c r="AK258" s="104"/>
      <c r="AR258" s="104"/>
      <c r="AT258" s="100"/>
      <c r="AU258" s="233" t="s">
        <v>119</v>
      </c>
      <c r="AV258" s="234">
        <f>AVERAGE(AV248:AV257)</f>
        <v>6.749766666666665E-2</v>
      </c>
      <c r="AW258" s="234">
        <f>AVERAGE(AW248:AW257)</f>
        <v>3.3748833333333325E-2</v>
      </c>
      <c r="AX258" s="234">
        <f>AVERAGE(AX248:AX257)</f>
        <v>4.8598320000000007E-2</v>
      </c>
      <c r="AY258" s="234">
        <f>AVERAGE(AY248:AY257)</f>
        <v>2.4299160000000004E-2</v>
      </c>
      <c r="AZ258" s="234">
        <f>AVERAGE(AZ248:AZ257)</f>
        <v>3.6448739999999993E-2</v>
      </c>
      <c r="BB258" s="104"/>
      <c r="BC258" s="104"/>
      <c r="BE258" s="104"/>
      <c r="BF258" s="168"/>
      <c r="BG258" s="168"/>
      <c r="BH258" s="168"/>
      <c r="BI258" s="203" t="s">
        <v>500</v>
      </c>
      <c r="BJ258" s="190" t="s">
        <v>100</v>
      </c>
      <c r="BK258" s="196">
        <v>84.62</v>
      </c>
      <c r="BL258" s="190" t="s">
        <v>413</v>
      </c>
      <c r="BM258" s="189">
        <v>0.2</v>
      </c>
      <c r="BN258" s="189">
        <v>0.5</v>
      </c>
      <c r="BO258" s="188" t="s">
        <v>462</v>
      </c>
      <c r="BP258" s="178"/>
      <c r="BQ258" s="196">
        <v>1425</v>
      </c>
      <c r="BR258" s="190" t="s">
        <v>414</v>
      </c>
      <c r="BS258" s="178"/>
      <c r="BT258" s="178"/>
      <c r="BU258" s="178"/>
      <c r="BV258" s="180"/>
      <c r="BW258" s="178"/>
      <c r="BX258" s="178"/>
      <c r="BY258" s="180"/>
      <c r="BZ258" s="180"/>
      <c r="CA258" s="180"/>
      <c r="CB258" s="102"/>
      <c r="CC258" s="102"/>
      <c r="CD258" s="102"/>
      <c r="CE258" s="102"/>
      <c r="CF258" s="102"/>
      <c r="CG258" s="102"/>
      <c r="CH258" s="102"/>
      <c r="CI258" s="102"/>
      <c r="CJ258" s="102"/>
      <c r="CK258" s="102"/>
      <c r="CL258" s="102"/>
      <c r="CM258" s="102"/>
      <c r="CO258" s="218">
        <f t="shared" si="83"/>
        <v>0.2</v>
      </c>
      <c r="CP258" s="100">
        <f t="shared" si="84"/>
        <v>0.35</v>
      </c>
      <c r="CQ258" s="218">
        <f t="shared" si="85"/>
        <v>0.5</v>
      </c>
      <c r="CR258" s="101">
        <v>0.2</v>
      </c>
      <c r="CS258" s="101">
        <v>0.5</v>
      </c>
      <c r="CZ258" s="101" t="s">
        <v>54</v>
      </c>
      <c r="DA258" s="101" t="s">
        <v>57</v>
      </c>
      <c r="DB258" s="101" t="s">
        <v>100</v>
      </c>
      <c r="DC258" s="116">
        <v>57</v>
      </c>
      <c r="DD258" s="141">
        <f>+DC258*21</f>
        <v>1197</v>
      </c>
      <c r="DE258" s="116" t="s">
        <v>375</v>
      </c>
      <c r="DF258" s="116">
        <f t="shared" ref="DF258:DF274" si="95">+DC258*25</f>
        <v>1425</v>
      </c>
      <c r="DG258" s="116"/>
      <c r="DH258" s="116"/>
      <c r="DI258" s="116"/>
    </row>
    <row r="259" spans="1:113" s="101" customFormat="1" ht="39" hidden="1" customHeight="1" thickBot="1" x14ac:dyDescent="0.3">
      <c r="A259" s="99"/>
      <c r="V259" s="103"/>
      <c r="AA259" s="104"/>
      <c r="AB259" s="104"/>
      <c r="AD259" s="104"/>
      <c r="AE259" s="105"/>
      <c r="AH259" s="106"/>
      <c r="AI259" s="106"/>
      <c r="AK259" s="104"/>
      <c r="AR259" s="104"/>
      <c r="AT259" s="100"/>
      <c r="AU259" s="233" t="s">
        <v>503</v>
      </c>
      <c r="AV259" s="233">
        <f>STDEV(AV248:AV257)</f>
        <v>5.2230230403710561E-2</v>
      </c>
      <c r="AW259" s="233">
        <f>STDEV(AW248:AW257)</f>
        <v>2.611511520185528E-2</v>
      </c>
      <c r="AX259" s="233">
        <f>STDEV(AX248:AX257)</f>
        <v>3.7605765890671605E-2</v>
      </c>
      <c r="AY259" s="233">
        <f>STDEV(AY248:AY257)</f>
        <v>1.8802882945335803E-2</v>
      </c>
      <c r="AZ259" s="233">
        <f>STDEV(AZ248:AZ257)</f>
        <v>2.8204324418003707E-2</v>
      </c>
      <c r="BB259" s="104"/>
      <c r="BC259" s="104"/>
      <c r="BE259" s="104"/>
      <c r="BF259" s="168"/>
      <c r="BG259" s="168"/>
      <c r="BH259" s="168"/>
      <c r="BI259" s="203" t="s">
        <v>501</v>
      </c>
      <c r="BJ259" s="190" t="s">
        <v>100</v>
      </c>
      <c r="BK259" s="196">
        <v>60.44</v>
      </c>
      <c r="BL259" s="190" t="s">
        <v>413</v>
      </c>
      <c r="BM259" s="189">
        <v>0.2</v>
      </c>
      <c r="BN259" s="189">
        <v>0.5</v>
      </c>
      <c r="BO259" s="188" t="s">
        <v>462</v>
      </c>
      <c r="BP259" s="178"/>
      <c r="BQ259" s="196"/>
      <c r="BR259" s="190"/>
      <c r="BS259" s="178"/>
      <c r="BT259" s="178"/>
      <c r="BU259" s="178"/>
      <c r="BV259" s="180"/>
      <c r="BW259" s="178"/>
      <c r="BX259" s="178"/>
      <c r="BY259" s="180"/>
      <c r="BZ259" s="180"/>
      <c r="CA259" s="180"/>
      <c r="CB259" s="102"/>
      <c r="CC259" s="102"/>
      <c r="CD259" s="102"/>
      <c r="CE259" s="102"/>
      <c r="CF259" s="102"/>
      <c r="CG259" s="102"/>
      <c r="CH259" s="102"/>
      <c r="CI259" s="102"/>
      <c r="CJ259" s="102"/>
      <c r="CK259" s="102"/>
      <c r="CL259" s="102"/>
      <c r="CM259" s="102"/>
      <c r="CO259" s="218">
        <f t="shared" si="83"/>
        <v>0.2</v>
      </c>
      <c r="CP259" s="100">
        <f t="shared" si="84"/>
        <v>0.35</v>
      </c>
      <c r="CQ259" s="218">
        <f t="shared" si="85"/>
        <v>0.5</v>
      </c>
      <c r="DC259" s="116"/>
      <c r="DD259" s="141"/>
      <c r="DE259" s="116"/>
      <c r="DF259" s="116"/>
      <c r="DG259" s="116"/>
      <c r="DH259" s="116"/>
      <c r="DI259" s="116"/>
    </row>
    <row r="260" spans="1:113" s="101" customFormat="1" ht="39" hidden="1" customHeight="1" thickBot="1" x14ac:dyDescent="0.3">
      <c r="A260" s="99"/>
      <c r="V260" s="103"/>
      <c r="AA260" s="104"/>
      <c r="AB260" s="104"/>
      <c r="AD260" s="104"/>
      <c r="AE260" s="105"/>
      <c r="AH260" s="106"/>
      <c r="AI260" s="106"/>
      <c r="AK260" s="104"/>
      <c r="AR260" s="104"/>
      <c r="AU260" s="233" t="s">
        <v>117</v>
      </c>
      <c r="AV260" s="233">
        <f>BJ415</f>
        <v>2.31</v>
      </c>
      <c r="AW260" s="235">
        <f>AV260</f>
        <v>2.31</v>
      </c>
      <c r="AX260" s="235">
        <f>AW260</f>
        <v>2.31</v>
      </c>
      <c r="AY260" s="235">
        <f>AX260</f>
        <v>2.31</v>
      </c>
      <c r="AZ260" s="235">
        <f>AY260</f>
        <v>2.31</v>
      </c>
      <c r="BB260" s="104"/>
      <c r="BC260" s="104"/>
      <c r="BE260" s="104"/>
      <c r="BF260" s="168"/>
      <c r="BG260" s="168"/>
      <c r="BH260" s="168"/>
      <c r="BI260" s="203" t="s">
        <v>502</v>
      </c>
      <c r="BJ260" s="190" t="s">
        <v>100</v>
      </c>
      <c r="BK260" s="196">
        <v>53.05</v>
      </c>
      <c r="BL260" s="190" t="s">
        <v>413</v>
      </c>
      <c r="BM260" s="189">
        <v>0.2</v>
      </c>
      <c r="BN260" s="189">
        <v>0.5</v>
      </c>
      <c r="BO260" s="188" t="s">
        <v>462</v>
      </c>
      <c r="BP260" s="178"/>
      <c r="BQ260" s="196"/>
      <c r="BR260" s="190"/>
      <c r="BS260" s="178"/>
      <c r="BT260" s="178"/>
      <c r="BU260" s="178"/>
      <c r="BV260" s="180"/>
      <c r="BW260" s="178"/>
      <c r="BX260" s="178"/>
      <c r="BY260" s="180"/>
      <c r="BZ260" s="180"/>
      <c r="CA260" s="180"/>
      <c r="CB260" s="102"/>
      <c r="CC260" s="102"/>
      <c r="CD260" s="102"/>
      <c r="CE260" s="102"/>
      <c r="CF260" s="102"/>
      <c r="CG260" s="102"/>
      <c r="CH260" s="102"/>
      <c r="CI260" s="102"/>
      <c r="CJ260" s="102"/>
      <c r="CK260" s="102"/>
      <c r="CL260" s="102"/>
      <c r="CM260" s="102"/>
      <c r="CO260" s="218">
        <f t="shared" si="83"/>
        <v>0.2</v>
      </c>
      <c r="CP260" s="100">
        <f t="shared" si="84"/>
        <v>0.35</v>
      </c>
      <c r="CQ260" s="218">
        <f t="shared" si="85"/>
        <v>0.5</v>
      </c>
      <c r="DC260" s="116"/>
      <c r="DD260" s="141"/>
      <c r="DE260" s="116"/>
      <c r="DF260" s="116"/>
      <c r="DG260" s="116"/>
      <c r="DH260" s="116"/>
      <c r="DI260" s="116"/>
    </row>
    <row r="261" spans="1:113" s="101" customFormat="1" ht="15" hidden="1" customHeight="1" thickBot="1" x14ac:dyDescent="0.3">
      <c r="A261" s="99"/>
      <c r="V261" s="103"/>
      <c r="AA261" s="104"/>
      <c r="AB261" s="104"/>
      <c r="AD261" s="104"/>
      <c r="AE261" s="105"/>
      <c r="AH261" s="106"/>
      <c r="AI261" s="106"/>
      <c r="AK261" s="104"/>
      <c r="AR261" s="104"/>
      <c r="AU261" s="233" t="s">
        <v>120</v>
      </c>
      <c r="AV261" s="232">
        <f>1-((AV258-((AV259*AV260)/(SQRT(9))))/AV258)</f>
        <v>0.59583211386354795</v>
      </c>
      <c r="AW261" s="232">
        <f>1-((AW258-((AW259*AW260)/(SQRT(9))))/AW258)</f>
        <v>0.59583211386354795</v>
      </c>
      <c r="AX261" s="232">
        <f>1-((AX258-((AX259*AX260)/(SQRT(9))))/AX258)</f>
        <v>0.59583211386354773</v>
      </c>
      <c r="AY261" s="232">
        <f>1-((AY258-((AY259*AY260)/(SQRT(9))))/AY258)</f>
        <v>0.59583211386354773</v>
      </c>
      <c r="AZ261" s="232">
        <f>1-((AZ258-((AZ259*AZ260)/(SQRT(9))))/AZ258)</f>
        <v>0.59583211386354806</v>
      </c>
      <c r="BB261" s="104"/>
      <c r="BC261" s="104"/>
      <c r="BE261" s="104"/>
      <c r="BF261" s="168"/>
      <c r="BG261" s="168"/>
      <c r="BH261" s="168"/>
      <c r="BI261" s="203" t="s">
        <v>463</v>
      </c>
      <c r="BJ261" s="190" t="s">
        <v>100</v>
      </c>
      <c r="BK261" s="196">
        <v>57.53</v>
      </c>
      <c r="BL261" s="190" t="s">
        <v>413</v>
      </c>
      <c r="BM261" s="189">
        <v>0.2</v>
      </c>
      <c r="BN261" s="189">
        <v>0.5</v>
      </c>
      <c r="BO261" s="188" t="s">
        <v>462</v>
      </c>
      <c r="BP261" s="178"/>
      <c r="BQ261" s="196"/>
      <c r="BR261" s="190"/>
      <c r="BS261" s="178"/>
      <c r="BT261" s="178"/>
      <c r="BU261" s="178"/>
      <c r="BV261" s="180"/>
      <c r="BW261" s="178"/>
      <c r="BX261" s="178"/>
      <c r="BY261" s="180"/>
      <c r="BZ261" s="180"/>
      <c r="CA261" s="180"/>
      <c r="CB261" s="102"/>
      <c r="CC261" s="102"/>
      <c r="CD261" s="102"/>
      <c r="CE261" s="102"/>
      <c r="CF261" s="102"/>
      <c r="CG261" s="102"/>
      <c r="CH261" s="102"/>
      <c r="CI261" s="102"/>
      <c r="CJ261" s="102"/>
      <c r="CK261" s="102"/>
      <c r="CL261" s="102"/>
      <c r="CM261" s="102"/>
      <c r="CO261" s="218">
        <f t="shared" si="83"/>
        <v>0.2</v>
      </c>
      <c r="CP261" s="100">
        <f t="shared" si="84"/>
        <v>0.35</v>
      </c>
      <c r="CQ261" s="218">
        <f t="shared" si="85"/>
        <v>0.5</v>
      </c>
      <c r="DC261" s="116"/>
      <c r="DD261" s="141"/>
      <c r="DE261" s="116"/>
      <c r="DF261" s="116"/>
      <c r="DG261" s="116"/>
      <c r="DH261" s="116"/>
      <c r="DI261" s="116"/>
    </row>
    <row r="262" spans="1:113" s="101" customFormat="1" ht="15" hidden="1" customHeight="1" thickBot="1" x14ac:dyDescent="0.3">
      <c r="A262" s="99"/>
      <c r="V262" s="103"/>
      <c r="AA262" s="104"/>
      <c r="AB262" s="104"/>
      <c r="AD262" s="104"/>
      <c r="AE262" s="105"/>
      <c r="AH262" s="106"/>
      <c r="AI262" s="106"/>
      <c r="AK262" s="104"/>
      <c r="AR262" s="104"/>
      <c r="AV262" s="104"/>
      <c r="AX262" s="104"/>
      <c r="BB262" s="104"/>
      <c r="BC262" s="104"/>
      <c r="BE262" s="104"/>
      <c r="BF262" s="168"/>
      <c r="BG262" s="168"/>
      <c r="BH262" s="168"/>
      <c r="BI262" s="203" t="s">
        <v>464</v>
      </c>
      <c r="BJ262" s="190" t="s">
        <v>100</v>
      </c>
      <c r="BK262" s="196">
        <v>20.14</v>
      </c>
      <c r="BL262" s="190" t="s">
        <v>413</v>
      </c>
      <c r="BM262" s="189">
        <v>0.2</v>
      </c>
      <c r="BN262" s="189">
        <v>0.5</v>
      </c>
      <c r="BO262" s="188" t="s">
        <v>462</v>
      </c>
      <c r="BP262" s="178"/>
      <c r="BQ262" s="196"/>
      <c r="BR262" s="190"/>
      <c r="BS262" s="178"/>
      <c r="BT262" s="178"/>
      <c r="BU262" s="178"/>
      <c r="BV262" s="180"/>
      <c r="BW262" s="178"/>
      <c r="BX262" s="178"/>
      <c r="BY262" s="180"/>
      <c r="BZ262" s="180"/>
      <c r="CA262" s="180"/>
      <c r="CB262" s="102"/>
      <c r="CC262" s="102"/>
      <c r="CD262" s="102"/>
      <c r="CE262" s="102"/>
      <c r="CF262" s="102"/>
      <c r="CG262" s="102"/>
      <c r="CH262" s="102"/>
      <c r="CI262" s="102"/>
      <c r="CJ262" s="102"/>
      <c r="CK262" s="102"/>
      <c r="CL262" s="102"/>
      <c r="CM262" s="102"/>
      <c r="CO262" s="218">
        <f t="shared" si="83"/>
        <v>0.2</v>
      </c>
      <c r="CP262" s="100">
        <f t="shared" si="84"/>
        <v>0.35</v>
      </c>
      <c r="CQ262" s="218">
        <f t="shared" si="85"/>
        <v>0.5</v>
      </c>
      <c r="DC262" s="116"/>
      <c r="DD262" s="141"/>
      <c r="DE262" s="116"/>
      <c r="DF262" s="116"/>
      <c r="DG262" s="116"/>
      <c r="DH262" s="116"/>
      <c r="DI262" s="116"/>
    </row>
    <row r="263" spans="1:113" s="101" customFormat="1" ht="15" hidden="1" customHeight="1" thickBot="1" x14ac:dyDescent="0.3">
      <c r="A263" s="99"/>
      <c r="V263" s="103"/>
      <c r="AA263" s="104"/>
      <c r="AB263" s="104"/>
      <c r="AD263" s="104"/>
      <c r="AE263" s="105"/>
      <c r="AH263" s="106"/>
      <c r="AI263" s="106"/>
      <c r="AK263" s="104"/>
      <c r="AR263" s="104"/>
      <c r="AV263" s="104"/>
      <c r="AX263" s="104"/>
      <c r="BB263" s="104"/>
      <c r="BC263" s="104"/>
      <c r="BE263" s="104"/>
      <c r="BF263" s="168"/>
      <c r="BG263" s="168"/>
      <c r="BH263" s="168"/>
      <c r="BI263" s="203" t="s">
        <v>465</v>
      </c>
      <c r="BJ263" s="190" t="s">
        <v>100</v>
      </c>
      <c r="BK263" s="196">
        <v>30.91</v>
      </c>
      <c r="BL263" s="190" t="s">
        <v>413</v>
      </c>
      <c r="BM263" s="189">
        <v>0.2</v>
      </c>
      <c r="BN263" s="189">
        <v>0.5</v>
      </c>
      <c r="BO263" s="188" t="s">
        <v>462</v>
      </c>
      <c r="BP263" s="178"/>
      <c r="BQ263" s="196"/>
      <c r="BR263" s="190"/>
      <c r="BS263" s="178"/>
      <c r="BT263" s="178"/>
      <c r="BU263" s="178"/>
      <c r="BV263" s="180"/>
      <c r="BW263" s="178"/>
      <c r="BX263" s="178"/>
      <c r="BY263" s="180"/>
      <c r="BZ263" s="180"/>
      <c r="CA263" s="180"/>
      <c r="CB263" s="102"/>
      <c r="CC263" s="102"/>
      <c r="CD263" s="102"/>
      <c r="CE263" s="102"/>
      <c r="CF263" s="102"/>
      <c r="CG263" s="102"/>
      <c r="CH263" s="102"/>
      <c r="CI263" s="102"/>
      <c r="CJ263" s="102"/>
      <c r="CK263" s="102"/>
      <c r="CL263" s="102"/>
      <c r="CM263" s="102"/>
      <c r="CO263" s="218">
        <f t="shared" si="83"/>
        <v>0.2</v>
      </c>
      <c r="CP263" s="100">
        <f t="shared" si="84"/>
        <v>0.35</v>
      </c>
      <c r="CQ263" s="218">
        <f t="shared" si="85"/>
        <v>0.5</v>
      </c>
      <c r="DC263" s="116"/>
      <c r="DD263" s="141"/>
      <c r="DE263" s="116"/>
      <c r="DF263" s="116"/>
      <c r="DG263" s="116"/>
      <c r="DH263" s="116"/>
      <c r="DI263" s="116"/>
    </row>
    <row r="264" spans="1:113" s="101" customFormat="1" ht="15" hidden="1" customHeight="1" thickBot="1" x14ac:dyDescent="0.3">
      <c r="A264" s="99"/>
      <c r="V264" s="103"/>
      <c r="AA264" s="104"/>
      <c r="AB264" s="104"/>
      <c r="AD264" s="104"/>
      <c r="AE264" s="105"/>
      <c r="AH264" s="106"/>
      <c r="AI264" s="106"/>
      <c r="AK264" s="104"/>
      <c r="AR264" s="104"/>
      <c r="AV264" s="104"/>
      <c r="AX264" s="104"/>
      <c r="BB264" s="104"/>
      <c r="BC264" s="104"/>
      <c r="BE264" s="104"/>
      <c r="BF264" s="168"/>
      <c r="BG264" s="168"/>
      <c r="BH264" s="168"/>
      <c r="BI264" s="203" t="s">
        <v>466</v>
      </c>
      <c r="BJ264" s="190" t="s">
        <v>100</v>
      </c>
      <c r="BK264" s="196">
        <v>36.97</v>
      </c>
      <c r="BL264" s="190" t="s">
        <v>413</v>
      </c>
      <c r="BM264" s="189">
        <v>0.2</v>
      </c>
      <c r="BN264" s="189">
        <v>0.5</v>
      </c>
      <c r="BO264" s="188" t="s">
        <v>462</v>
      </c>
      <c r="BP264" s="178"/>
      <c r="BQ264" s="196"/>
      <c r="BR264" s="190"/>
      <c r="BS264" s="178"/>
      <c r="BT264" s="178"/>
      <c r="BU264" s="178"/>
      <c r="BV264" s="180"/>
      <c r="BW264" s="178"/>
      <c r="BX264" s="178"/>
      <c r="BY264" s="180"/>
      <c r="BZ264" s="180"/>
      <c r="CA264" s="180"/>
      <c r="CB264" s="102"/>
      <c r="CC264" s="102"/>
      <c r="CD264" s="102"/>
      <c r="CE264" s="102"/>
      <c r="CF264" s="102"/>
      <c r="CG264" s="102"/>
      <c r="CH264" s="102"/>
      <c r="CI264" s="102"/>
      <c r="CJ264" s="102"/>
      <c r="CK264" s="102"/>
      <c r="CL264" s="102"/>
      <c r="CM264" s="102"/>
      <c r="CO264" s="218">
        <f t="shared" si="83"/>
        <v>0.2</v>
      </c>
      <c r="CP264" s="100">
        <f t="shared" si="84"/>
        <v>0.35</v>
      </c>
      <c r="CQ264" s="218">
        <f t="shared" si="85"/>
        <v>0.5</v>
      </c>
      <c r="DC264" s="116"/>
      <c r="DD264" s="141"/>
      <c r="DE264" s="116"/>
      <c r="DF264" s="116"/>
      <c r="DG264" s="116"/>
      <c r="DH264" s="116"/>
      <c r="DI264" s="116"/>
    </row>
    <row r="265" spans="1:113" s="101" customFormat="1" ht="15" hidden="1" customHeight="1" thickBot="1" x14ac:dyDescent="0.3">
      <c r="A265" s="99"/>
      <c r="V265" s="103"/>
      <c r="AA265" s="104"/>
      <c r="AB265" s="104"/>
      <c r="AD265" s="104"/>
      <c r="AE265" s="105"/>
      <c r="AH265" s="106"/>
      <c r="AI265" s="106"/>
      <c r="AK265" s="104"/>
      <c r="AR265" s="104"/>
      <c r="AV265" s="104"/>
      <c r="AX265" s="104"/>
      <c r="BB265" s="104"/>
      <c r="BC265" s="104"/>
      <c r="BE265" s="104"/>
      <c r="BF265" s="168"/>
      <c r="BG265" s="168"/>
      <c r="BH265" s="168"/>
      <c r="BI265" s="203" t="s">
        <v>57</v>
      </c>
      <c r="BJ265" s="190" t="s">
        <v>100</v>
      </c>
      <c r="BK265" s="196">
        <v>63</v>
      </c>
      <c r="BL265" s="190" t="s">
        <v>413</v>
      </c>
      <c r="BM265" s="189">
        <v>0.3</v>
      </c>
      <c r="BN265" s="189">
        <v>0.5</v>
      </c>
      <c r="BO265" s="188" t="s">
        <v>258</v>
      </c>
      <c r="BP265" s="178"/>
      <c r="BQ265" s="196"/>
      <c r="BR265" s="190"/>
      <c r="BS265" s="178"/>
      <c r="BT265" s="178"/>
      <c r="BU265" s="178"/>
      <c r="BV265" s="180"/>
      <c r="BW265" s="178"/>
      <c r="BX265" s="178"/>
      <c r="BY265" s="180"/>
      <c r="BZ265" s="180"/>
      <c r="CA265" s="180"/>
      <c r="CB265" s="102"/>
      <c r="CC265" s="102"/>
      <c r="CD265" s="102"/>
      <c r="CE265" s="102"/>
      <c r="CF265" s="102"/>
      <c r="CG265" s="102"/>
      <c r="CH265" s="102"/>
      <c r="CI265" s="102"/>
      <c r="CJ265" s="102"/>
      <c r="CK265" s="102"/>
      <c r="CL265" s="102"/>
      <c r="CM265" s="102"/>
      <c r="CO265" s="218">
        <f t="shared" si="83"/>
        <v>0.3</v>
      </c>
      <c r="CP265" s="100">
        <f t="shared" si="84"/>
        <v>0.4</v>
      </c>
      <c r="CQ265" s="218">
        <f t="shared" si="85"/>
        <v>0.5</v>
      </c>
      <c r="DC265" s="116"/>
      <c r="DD265" s="141"/>
      <c r="DE265" s="116"/>
      <c r="DF265" s="116"/>
      <c r="DG265" s="116"/>
      <c r="DH265" s="116"/>
      <c r="DI265" s="116"/>
    </row>
    <row r="266" spans="1:113" s="101" customFormat="1" ht="15" hidden="1" customHeight="1" thickBot="1" x14ac:dyDescent="0.3">
      <c r="A266" s="99"/>
      <c r="V266" s="103"/>
      <c r="AA266" s="104"/>
      <c r="AB266" s="104"/>
      <c r="AD266" s="104"/>
      <c r="AE266" s="105"/>
      <c r="AH266" s="106"/>
      <c r="AI266" s="106"/>
      <c r="AK266" s="104"/>
      <c r="AR266" s="104"/>
      <c r="AV266" s="104"/>
      <c r="AX266" s="104"/>
      <c r="BB266" s="104"/>
      <c r="BC266" s="104"/>
      <c r="BE266" s="104"/>
      <c r="BF266" s="168"/>
      <c r="BG266" s="168"/>
      <c r="BH266" s="168"/>
      <c r="BI266" s="203" t="s">
        <v>59</v>
      </c>
      <c r="BJ266" s="190" t="s">
        <v>100</v>
      </c>
      <c r="BK266" s="196">
        <v>56</v>
      </c>
      <c r="BL266" s="190" t="s">
        <v>413</v>
      </c>
      <c r="BM266" s="189">
        <v>0.3</v>
      </c>
      <c r="BN266" s="189">
        <v>0.5</v>
      </c>
      <c r="BO266" s="188" t="s">
        <v>258</v>
      </c>
      <c r="BP266" s="178"/>
      <c r="BQ266" s="196">
        <v>1225</v>
      </c>
      <c r="BR266" s="190" t="s">
        <v>414</v>
      </c>
      <c r="BS266" s="178"/>
      <c r="BT266" s="178"/>
      <c r="BU266" s="178"/>
      <c r="BV266" s="180"/>
      <c r="BW266" s="178"/>
      <c r="BX266" s="178"/>
      <c r="BY266" s="180"/>
      <c r="BZ266" s="180"/>
      <c r="CA266" s="180"/>
      <c r="CB266" s="102"/>
      <c r="CC266" s="102"/>
      <c r="CD266" s="102"/>
      <c r="CE266" s="102"/>
      <c r="CF266" s="102"/>
      <c r="CG266" s="102"/>
      <c r="CH266" s="102"/>
      <c r="CI266" s="102"/>
      <c r="CJ266" s="102"/>
      <c r="CK266" s="102"/>
      <c r="CL266" s="102"/>
      <c r="CM266" s="102"/>
      <c r="CO266" s="218">
        <f t="shared" si="83"/>
        <v>0.3</v>
      </c>
      <c r="CP266" s="100">
        <f t="shared" si="84"/>
        <v>0.4</v>
      </c>
      <c r="CQ266" s="218">
        <f t="shared" si="85"/>
        <v>0.5</v>
      </c>
      <c r="CR266" s="101">
        <v>0.2</v>
      </c>
      <c r="CS266" s="101">
        <v>0.5</v>
      </c>
      <c r="DA266" s="101" t="s">
        <v>59</v>
      </c>
      <c r="DB266" s="101" t="s">
        <v>100</v>
      </c>
      <c r="DC266" s="116">
        <v>49</v>
      </c>
      <c r="DD266" s="141">
        <f t="shared" ref="DD266:DD274" si="96">+DC266*21</f>
        <v>1029</v>
      </c>
      <c r="DE266" s="116" t="s">
        <v>375</v>
      </c>
      <c r="DF266" s="116">
        <f t="shared" si="95"/>
        <v>1225</v>
      </c>
      <c r="DG266" s="116"/>
      <c r="DH266" s="116"/>
      <c r="DI266" s="116"/>
    </row>
    <row r="267" spans="1:113" s="101" customFormat="1" ht="15" hidden="1" customHeight="1" thickBot="1" x14ac:dyDescent="0.3">
      <c r="A267" s="99"/>
      <c r="V267" s="103"/>
      <c r="AA267" s="104"/>
      <c r="AB267" s="104"/>
      <c r="AD267" s="104"/>
      <c r="AE267" s="105"/>
      <c r="AH267" s="106"/>
      <c r="AI267" s="106"/>
      <c r="AK267" s="104"/>
      <c r="AR267" s="104"/>
      <c r="AV267" s="104"/>
      <c r="AX267" s="104"/>
      <c r="BB267" s="104"/>
      <c r="BC267" s="104"/>
      <c r="BE267" s="104"/>
      <c r="BF267" s="168"/>
      <c r="BG267" s="168"/>
      <c r="BH267" s="168"/>
      <c r="BI267" s="203" t="s">
        <v>56</v>
      </c>
      <c r="BJ267" s="190" t="s">
        <v>100</v>
      </c>
      <c r="BK267" s="196">
        <v>55</v>
      </c>
      <c r="BL267" s="190" t="s">
        <v>413</v>
      </c>
      <c r="BM267" s="189">
        <v>0.3</v>
      </c>
      <c r="BN267" s="189">
        <v>0.5</v>
      </c>
      <c r="BO267" s="188" t="s">
        <v>258</v>
      </c>
      <c r="BP267" s="178"/>
      <c r="BQ267" s="196">
        <v>1375</v>
      </c>
      <c r="BR267" s="190" t="s">
        <v>414</v>
      </c>
      <c r="BS267" s="178"/>
      <c r="BT267" s="178"/>
      <c r="BU267" s="178"/>
      <c r="BV267" s="180"/>
      <c r="BW267" s="178"/>
      <c r="BX267" s="178"/>
      <c r="BY267" s="180"/>
      <c r="BZ267" s="180"/>
      <c r="CA267" s="180"/>
      <c r="CB267" s="102"/>
      <c r="CC267" s="102"/>
      <c r="CD267" s="102"/>
      <c r="CE267" s="102"/>
      <c r="CF267" s="102"/>
      <c r="CG267" s="102"/>
      <c r="CH267" s="102"/>
      <c r="CI267" s="102"/>
      <c r="CJ267" s="102"/>
      <c r="CK267" s="102"/>
      <c r="CL267" s="102"/>
      <c r="CM267" s="102"/>
      <c r="CO267" s="218">
        <f t="shared" si="83"/>
        <v>0.3</v>
      </c>
      <c r="CP267" s="100">
        <f t="shared" si="84"/>
        <v>0.4</v>
      </c>
      <c r="CQ267" s="218">
        <f t="shared" si="85"/>
        <v>0.5</v>
      </c>
      <c r="CR267" s="101">
        <v>0.2</v>
      </c>
      <c r="CS267" s="101">
        <v>0.5</v>
      </c>
      <c r="DA267" s="101" t="s">
        <v>56</v>
      </c>
      <c r="DB267" s="101" t="s">
        <v>100</v>
      </c>
      <c r="DC267" s="116">
        <v>55</v>
      </c>
      <c r="DD267" s="141">
        <f t="shared" si="96"/>
        <v>1155</v>
      </c>
      <c r="DE267" s="116" t="s">
        <v>375</v>
      </c>
      <c r="DF267" s="116">
        <f t="shared" si="95"/>
        <v>1375</v>
      </c>
      <c r="DG267" s="116"/>
      <c r="DH267" s="116"/>
      <c r="DI267" s="116"/>
    </row>
    <row r="268" spans="1:113" s="101" customFormat="1" ht="15" hidden="1" customHeight="1" thickBot="1" x14ac:dyDescent="0.3">
      <c r="A268" s="99"/>
      <c r="V268" s="103"/>
      <c r="AA268" s="104"/>
      <c r="AB268" s="104"/>
      <c r="AD268" s="104"/>
      <c r="AE268" s="105"/>
      <c r="AH268" s="106"/>
      <c r="AI268" s="106"/>
      <c r="AK268" s="104"/>
      <c r="AR268" s="104"/>
      <c r="AV268" s="104"/>
      <c r="AX268" s="104"/>
      <c r="BB268" s="104"/>
      <c r="BC268" s="104"/>
      <c r="BE268" s="104"/>
      <c r="BF268" s="168"/>
      <c r="BG268" s="168"/>
      <c r="BH268" s="168"/>
      <c r="BI268" s="203" t="s">
        <v>101</v>
      </c>
      <c r="BJ268" s="190" t="s">
        <v>100</v>
      </c>
      <c r="BK268" s="196">
        <v>5</v>
      </c>
      <c r="BL268" s="190" t="s">
        <v>413</v>
      </c>
      <c r="BM268" s="189">
        <v>0.3</v>
      </c>
      <c r="BN268" s="189">
        <v>0.5</v>
      </c>
      <c r="BO268" s="188" t="s">
        <v>258</v>
      </c>
      <c r="BP268" s="178"/>
      <c r="BQ268" s="196">
        <v>125</v>
      </c>
      <c r="BR268" s="190" t="s">
        <v>414</v>
      </c>
      <c r="BS268" s="178"/>
      <c r="BT268" s="178"/>
      <c r="BU268" s="178"/>
      <c r="BV268" s="180"/>
      <c r="BW268" s="178"/>
      <c r="BX268" s="178"/>
      <c r="BY268" s="180"/>
      <c r="BZ268" s="180"/>
      <c r="CA268" s="180"/>
      <c r="CB268" s="102"/>
      <c r="CC268" s="102"/>
      <c r="CD268" s="102"/>
      <c r="CE268" s="102"/>
      <c r="CF268" s="102"/>
      <c r="CG268" s="102"/>
      <c r="CH268" s="102"/>
      <c r="CI268" s="102"/>
      <c r="CJ268" s="102"/>
      <c r="CK268" s="102"/>
      <c r="CL268" s="102"/>
      <c r="CM268" s="102"/>
      <c r="CO268" s="218">
        <f t="shared" si="83"/>
        <v>0.3</v>
      </c>
      <c r="CP268" s="100">
        <f t="shared" si="84"/>
        <v>0.4</v>
      </c>
      <c r="CQ268" s="218">
        <f t="shared" si="85"/>
        <v>0.5</v>
      </c>
      <c r="CR268" s="101">
        <v>0.2</v>
      </c>
      <c r="CS268" s="101">
        <v>0.5</v>
      </c>
      <c r="DA268" s="101" t="s">
        <v>101</v>
      </c>
      <c r="DB268" s="101" t="s">
        <v>100</v>
      </c>
      <c r="DC268" s="116">
        <v>5</v>
      </c>
      <c r="DD268" s="141">
        <f t="shared" si="96"/>
        <v>105</v>
      </c>
      <c r="DE268" s="116" t="s">
        <v>375</v>
      </c>
      <c r="DF268" s="116">
        <f t="shared" si="95"/>
        <v>125</v>
      </c>
      <c r="DG268" s="116"/>
      <c r="DH268" s="116"/>
      <c r="DI268" s="116"/>
    </row>
    <row r="269" spans="1:113" s="101" customFormat="1" ht="15" hidden="1" customHeight="1" thickBot="1" x14ac:dyDescent="0.3">
      <c r="A269" s="99"/>
      <c r="V269" s="103"/>
      <c r="AA269" s="104"/>
      <c r="AB269" s="104"/>
      <c r="AD269" s="104"/>
      <c r="AE269" s="105"/>
      <c r="AH269" s="106"/>
      <c r="AI269" s="106"/>
      <c r="AK269" s="104"/>
      <c r="AR269" s="104"/>
      <c r="AV269" s="104"/>
      <c r="AX269" s="104"/>
      <c r="BB269" s="104"/>
      <c r="BC269" s="104"/>
      <c r="BE269" s="104"/>
      <c r="BF269" s="168"/>
      <c r="BG269" s="168"/>
      <c r="BH269" s="168"/>
      <c r="BI269" s="203" t="s">
        <v>55</v>
      </c>
      <c r="BJ269" s="190" t="s">
        <v>100</v>
      </c>
      <c r="BK269" s="196">
        <v>5</v>
      </c>
      <c r="BL269" s="190" t="s">
        <v>413</v>
      </c>
      <c r="BM269" s="189">
        <v>0.3</v>
      </c>
      <c r="BN269" s="189">
        <v>0.5</v>
      </c>
      <c r="BO269" s="188" t="s">
        <v>258</v>
      </c>
      <c r="BP269" s="178"/>
      <c r="BQ269" s="196">
        <v>125</v>
      </c>
      <c r="BR269" s="190" t="s">
        <v>414</v>
      </c>
      <c r="BS269" s="178"/>
      <c r="BT269" s="178"/>
      <c r="BU269" s="178"/>
      <c r="BV269" s="180"/>
      <c r="BW269" s="178"/>
      <c r="BX269" s="178"/>
      <c r="BY269" s="180"/>
      <c r="BZ269" s="180"/>
      <c r="CA269" s="180"/>
      <c r="CB269" s="102"/>
      <c r="CC269" s="102"/>
      <c r="CD269" s="102"/>
      <c r="CE269" s="102"/>
      <c r="CF269" s="102"/>
      <c r="CG269" s="102"/>
      <c r="CH269" s="102"/>
      <c r="CI269" s="102"/>
      <c r="CJ269" s="102"/>
      <c r="CK269" s="102"/>
      <c r="CL269" s="102"/>
      <c r="CM269" s="102"/>
      <c r="CO269" s="218">
        <f t="shared" si="83"/>
        <v>0.3</v>
      </c>
      <c r="CP269" s="100">
        <f t="shared" si="84"/>
        <v>0.4</v>
      </c>
      <c r="CQ269" s="218">
        <f t="shared" si="85"/>
        <v>0.5</v>
      </c>
      <c r="CR269" s="101">
        <v>0.2</v>
      </c>
      <c r="CS269" s="101">
        <v>0.5</v>
      </c>
      <c r="DA269" s="101" t="s">
        <v>55</v>
      </c>
      <c r="DB269" s="101" t="s">
        <v>100</v>
      </c>
      <c r="DC269" s="116">
        <v>5</v>
      </c>
      <c r="DD269" s="141">
        <f t="shared" si="96"/>
        <v>105</v>
      </c>
      <c r="DE269" s="116" t="s">
        <v>375</v>
      </c>
      <c r="DF269" s="116">
        <f t="shared" si="95"/>
        <v>125</v>
      </c>
      <c r="DG269" s="116"/>
      <c r="DH269" s="116"/>
      <c r="DI269" s="116"/>
    </row>
    <row r="270" spans="1:113" s="101" customFormat="1" ht="15" hidden="1" customHeight="1" thickBot="1" x14ac:dyDescent="0.3">
      <c r="A270" s="99"/>
      <c r="V270" s="103"/>
      <c r="AA270" s="104"/>
      <c r="AB270" s="104"/>
      <c r="AD270" s="104"/>
      <c r="AE270" s="105"/>
      <c r="AH270" s="106"/>
      <c r="AI270" s="106"/>
      <c r="AK270" s="104"/>
      <c r="AR270" s="104"/>
      <c r="AV270" s="104"/>
      <c r="AX270" s="104"/>
      <c r="BB270" s="104"/>
      <c r="BC270" s="104"/>
      <c r="BE270" s="104"/>
      <c r="BF270" s="168"/>
      <c r="BG270" s="168"/>
      <c r="BH270" s="168"/>
      <c r="BI270" s="203" t="s">
        <v>60</v>
      </c>
      <c r="BJ270" s="190" t="s">
        <v>100</v>
      </c>
      <c r="BK270" s="196">
        <v>18</v>
      </c>
      <c r="BL270" s="190" t="s">
        <v>413</v>
      </c>
      <c r="BM270" s="189">
        <v>0.3</v>
      </c>
      <c r="BN270" s="189">
        <v>0.5</v>
      </c>
      <c r="BO270" s="188" t="s">
        <v>258</v>
      </c>
      <c r="BP270" s="178"/>
      <c r="BQ270" s="196">
        <v>450</v>
      </c>
      <c r="BR270" s="190" t="s">
        <v>414</v>
      </c>
      <c r="BS270" s="178"/>
      <c r="BT270" s="178"/>
      <c r="BU270" s="178"/>
      <c r="BV270" s="180"/>
      <c r="BW270" s="178"/>
      <c r="BX270" s="178"/>
      <c r="BY270" s="180"/>
      <c r="BZ270" s="180"/>
      <c r="CA270" s="180"/>
      <c r="CB270" s="102"/>
      <c r="CC270" s="102"/>
      <c r="CD270" s="102"/>
      <c r="CE270" s="102"/>
      <c r="CF270" s="102"/>
      <c r="CG270" s="102"/>
      <c r="CH270" s="102"/>
      <c r="CI270" s="102"/>
      <c r="CJ270" s="102"/>
      <c r="CK270" s="102"/>
      <c r="CL270" s="102"/>
      <c r="CM270" s="102"/>
      <c r="CO270" s="218">
        <f t="shared" si="83"/>
        <v>0.3</v>
      </c>
      <c r="CP270" s="100">
        <f t="shared" si="84"/>
        <v>0.4</v>
      </c>
      <c r="CQ270" s="218">
        <f t="shared" si="85"/>
        <v>0.5</v>
      </c>
      <c r="CR270" s="101">
        <v>0.2</v>
      </c>
      <c r="CS270" s="101">
        <v>0.5</v>
      </c>
      <c r="DA270" s="101" t="s">
        <v>60</v>
      </c>
      <c r="DB270" s="101" t="s">
        <v>100</v>
      </c>
      <c r="DC270" s="116">
        <v>18</v>
      </c>
      <c r="DD270" s="141">
        <f t="shared" si="96"/>
        <v>378</v>
      </c>
      <c r="DE270" s="116" t="s">
        <v>375</v>
      </c>
      <c r="DF270" s="116">
        <f t="shared" si="95"/>
        <v>450</v>
      </c>
      <c r="DG270" s="116"/>
      <c r="DH270" s="116"/>
      <c r="DI270" s="116"/>
    </row>
    <row r="271" spans="1:113" s="101" customFormat="1" ht="15" hidden="1" customHeight="1" thickBot="1" x14ac:dyDescent="0.3">
      <c r="A271" s="99"/>
      <c r="V271" s="103"/>
      <c r="AA271" s="104"/>
      <c r="AB271" s="104"/>
      <c r="AD271" s="104"/>
      <c r="AE271" s="105"/>
      <c r="AH271" s="106"/>
      <c r="AI271" s="106"/>
      <c r="AK271" s="104"/>
      <c r="AR271" s="104"/>
      <c r="AV271" s="104"/>
      <c r="AX271" s="104"/>
      <c r="BB271" s="104"/>
      <c r="BC271" s="104"/>
      <c r="BE271" s="104"/>
      <c r="BF271" s="168"/>
      <c r="BG271" s="168"/>
      <c r="BH271" s="168"/>
      <c r="BI271" s="203" t="s">
        <v>61</v>
      </c>
      <c r="BJ271" s="190" t="s">
        <v>100</v>
      </c>
      <c r="BK271" s="196">
        <f>BQ271/25</f>
        <v>10</v>
      </c>
      <c r="BL271" s="190" t="s">
        <v>413</v>
      </c>
      <c r="BM271" s="189">
        <v>0.3</v>
      </c>
      <c r="BN271" s="189">
        <v>0.5</v>
      </c>
      <c r="BO271" s="188" t="s">
        <v>258</v>
      </c>
      <c r="BP271" s="178"/>
      <c r="BQ271" s="196">
        <v>250</v>
      </c>
      <c r="BR271" s="190" t="s">
        <v>414</v>
      </c>
      <c r="BS271" s="178"/>
      <c r="BT271" s="178"/>
      <c r="BU271" s="178"/>
      <c r="BV271" s="180"/>
      <c r="BW271" s="178"/>
      <c r="BX271" s="178"/>
      <c r="BY271" s="180"/>
      <c r="BZ271" s="180"/>
      <c r="CA271" s="180"/>
      <c r="CB271" s="102"/>
      <c r="CC271" s="102"/>
      <c r="CD271" s="102"/>
      <c r="CE271" s="102"/>
      <c r="CF271" s="102"/>
      <c r="CG271" s="102"/>
      <c r="CH271" s="102"/>
      <c r="CI271" s="102"/>
      <c r="CJ271" s="102"/>
      <c r="CK271" s="102"/>
      <c r="CL271" s="102"/>
      <c r="CM271" s="102"/>
      <c r="CO271" s="218">
        <f t="shared" si="83"/>
        <v>0.3</v>
      </c>
      <c r="CP271" s="100">
        <f t="shared" si="84"/>
        <v>0.4</v>
      </c>
      <c r="CQ271" s="218">
        <f t="shared" si="85"/>
        <v>0.5</v>
      </c>
      <c r="CR271" s="101">
        <v>0.2</v>
      </c>
      <c r="CS271" s="101">
        <v>0.5</v>
      </c>
      <c r="DA271" s="101" t="s">
        <v>61</v>
      </c>
      <c r="DB271" s="101" t="s">
        <v>100</v>
      </c>
      <c r="DC271" s="116">
        <v>10</v>
      </c>
      <c r="DD271" s="141">
        <f t="shared" si="96"/>
        <v>210</v>
      </c>
      <c r="DE271" s="116" t="s">
        <v>375</v>
      </c>
      <c r="DF271" s="116">
        <f t="shared" si="95"/>
        <v>250</v>
      </c>
      <c r="DG271" s="116"/>
      <c r="DH271" s="116"/>
      <c r="DI271" s="116"/>
    </row>
    <row r="272" spans="1:113" s="101" customFormat="1" ht="15" hidden="1" customHeight="1" thickBot="1" x14ac:dyDescent="0.3">
      <c r="A272" s="99"/>
      <c r="V272" s="103"/>
      <c r="AA272" s="104"/>
      <c r="AB272" s="104"/>
      <c r="AD272" s="104"/>
      <c r="AE272" s="105"/>
      <c r="AH272" s="106"/>
      <c r="AI272" s="106"/>
      <c r="AK272" s="104"/>
      <c r="AR272" s="104"/>
      <c r="AV272" s="104"/>
      <c r="AX272" s="104"/>
      <c r="BB272" s="104"/>
      <c r="BC272" s="104"/>
      <c r="BE272" s="104"/>
      <c r="BF272" s="168"/>
      <c r="BG272" s="168"/>
      <c r="BH272" s="168"/>
      <c r="BI272" s="203" t="s">
        <v>102</v>
      </c>
      <c r="BJ272" s="190" t="s">
        <v>100</v>
      </c>
      <c r="BK272" s="196">
        <f>BQ272/25</f>
        <v>1</v>
      </c>
      <c r="BL272" s="190" t="s">
        <v>413</v>
      </c>
      <c r="BM272" s="189">
        <v>0.3</v>
      </c>
      <c r="BN272" s="189">
        <v>0.5</v>
      </c>
      <c r="BO272" s="188" t="s">
        <v>258</v>
      </c>
      <c r="BP272" s="178"/>
      <c r="BQ272" s="196">
        <v>25</v>
      </c>
      <c r="BR272" s="190" t="s">
        <v>414</v>
      </c>
      <c r="BS272" s="178"/>
      <c r="BT272" s="178"/>
      <c r="BU272" s="178"/>
      <c r="BV272" s="180"/>
      <c r="BW272" s="178"/>
      <c r="BX272" s="178"/>
      <c r="BY272" s="180"/>
      <c r="BZ272" s="180"/>
      <c r="CA272" s="180"/>
      <c r="CB272" s="102"/>
      <c r="CC272" s="102"/>
      <c r="CD272" s="102"/>
      <c r="CE272" s="102"/>
      <c r="CF272" s="102"/>
      <c r="CG272" s="102"/>
      <c r="CH272" s="102"/>
      <c r="CI272" s="102"/>
      <c r="CJ272" s="102"/>
      <c r="CK272" s="102"/>
      <c r="CL272" s="102"/>
      <c r="CM272" s="102"/>
      <c r="CO272" s="218">
        <f t="shared" si="83"/>
        <v>0.3</v>
      </c>
      <c r="CP272" s="100">
        <f t="shared" si="84"/>
        <v>0.4</v>
      </c>
      <c r="CQ272" s="218">
        <f t="shared" si="85"/>
        <v>0.5</v>
      </c>
      <c r="DC272" s="116"/>
      <c r="DD272" s="141"/>
      <c r="DE272" s="116"/>
      <c r="DF272" s="116"/>
      <c r="DG272" s="116"/>
      <c r="DH272" s="116"/>
      <c r="DI272" s="116"/>
    </row>
    <row r="273" spans="1:119" s="101" customFormat="1" ht="15" hidden="1" customHeight="1" thickBot="1" x14ac:dyDescent="0.3">
      <c r="A273" s="99"/>
      <c r="V273" s="103"/>
      <c r="AA273" s="104"/>
      <c r="AB273" s="104"/>
      <c r="AD273" s="104"/>
      <c r="AE273" s="105"/>
      <c r="AH273" s="106"/>
      <c r="AI273" s="106"/>
      <c r="AK273" s="104"/>
      <c r="AR273" s="104"/>
      <c r="AV273" s="104"/>
      <c r="AX273" s="104"/>
      <c r="BB273" s="104"/>
      <c r="BC273" s="104"/>
      <c r="BE273" s="104"/>
      <c r="BF273" s="168"/>
      <c r="BG273" s="168"/>
      <c r="BH273" s="168"/>
      <c r="BI273" s="203" t="s">
        <v>467</v>
      </c>
      <c r="BJ273" s="190" t="s">
        <v>100</v>
      </c>
      <c r="BK273" s="196">
        <v>5.4199999999999998E-2</v>
      </c>
      <c r="BL273" s="190" t="s">
        <v>413</v>
      </c>
      <c r="BM273" s="189">
        <v>0.3</v>
      </c>
      <c r="BN273" s="189">
        <v>0.5</v>
      </c>
      <c r="BO273" s="188" t="s">
        <v>258</v>
      </c>
      <c r="BP273" s="178"/>
      <c r="BQ273" s="196">
        <f>BK273*25</f>
        <v>1.355</v>
      </c>
      <c r="BR273" s="190" t="s">
        <v>414</v>
      </c>
      <c r="BS273" s="178"/>
      <c r="BT273" s="178"/>
      <c r="BU273" s="178"/>
      <c r="BV273" s="180"/>
      <c r="BW273" s="178"/>
      <c r="BX273" s="178"/>
      <c r="BY273" s="180"/>
      <c r="BZ273" s="180"/>
      <c r="CA273" s="180"/>
      <c r="CB273" s="102"/>
      <c r="CC273" s="102"/>
      <c r="CD273" s="102"/>
      <c r="CE273" s="102"/>
      <c r="CF273" s="102"/>
      <c r="CG273" s="102"/>
      <c r="CH273" s="102"/>
      <c r="CI273" s="102"/>
      <c r="CJ273" s="102"/>
      <c r="CK273" s="102"/>
      <c r="CL273" s="102"/>
      <c r="CM273" s="102"/>
      <c r="CO273" s="218">
        <f t="shared" si="83"/>
        <v>0.3</v>
      </c>
      <c r="CP273" s="100">
        <f t="shared" si="84"/>
        <v>0.4</v>
      </c>
      <c r="CQ273" s="218">
        <f t="shared" si="85"/>
        <v>0.5</v>
      </c>
      <c r="DC273" s="116"/>
      <c r="DD273" s="141"/>
      <c r="DE273" s="116"/>
      <c r="DF273" s="116"/>
      <c r="DG273" s="116"/>
      <c r="DH273" s="116"/>
      <c r="DI273" s="116"/>
    </row>
    <row r="274" spans="1:119" s="101" customFormat="1" ht="15" hidden="1" customHeight="1" thickBot="1" x14ac:dyDescent="0.3">
      <c r="A274" s="99"/>
      <c r="V274" s="103"/>
      <c r="AA274" s="104"/>
      <c r="AB274" s="104"/>
      <c r="AD274" s="104"/>
      <c r="AE274" s="105"/>
      <c r="AH274" s="106"/>
      <c r="AI274" s="106"/>
      <c r="AK274" s="104"/>
      <c r="AR274" s="104"/>
      <c r="AV274" s="104"/>
      <c r="AX274" s="104"/>
      <c r="BB274" s="104"/>
      <c r="BC274" s="104"/>
      <c r="BE274" s="104"/>
      <c r="BF274" s="168"/>
      <c r="BG274" s="168"/>
      <c r="BH274" s="168"/>
      <c r="BI274" s="203" t="s">
        <v>468</v>
      </c>
      <c r="BJ274" s="190" t="s">
        <v>100</v>
      </c>
      <c r="BK274" s="196">
        <v>9.522E-5</v>
      </c>
      <c r="BL274" s="190" t="s">
        <v>413</v>
      </c>
      <c r="BM274" s="189">
        <v>0.3</v>
      </c>
      <c r="BN274" s="189">
        <v>0.5</v>
      </c>
      <c r="BO274" s="188" t="s">
        <v>469</v>
      </c>
      <c r="BP274" s="178"/>
      <c r="BQ274" s="196">
        <f>BK274*25</f>
        <v>2.3804999999999998E-3</v>
      </c>
      <c r="BR274" s="190" t="s">
        <v>414</v>
      </c>
      <c r="BS274" s="178"/>
      <c r="BT274" s="178"/>
      <c r="BU274" s="178"/>
      <c r="BV274" s="178"/>
      <c r="BW274" s="178"/>
      <c r="BX274" s="178"/>
      <c r="BY274" s="178"/>
      <c r="BZ274" s="178"/>
      <c r="CA274" s="178"/>
      <c r="CB274" s="180"/>
      <c r="CC274" s="178"/>
      <c r="CD274" s="178"/>
      <c r="CE274" s="180"/>
      <c r="CF274" s="180"/>
      <c r="CG274" s="180"/>
      <c r="CH274" s="180"/>
      <c r="CI274" s="178"/>
      <c r="CJ274" s="178"/>
      <c r="CK274" s="180"/>
      <c r="CL274" s="180"/>
      <c r="CM274" s="180"/>
      <c r="CN274" s="116"/>
      <c r="CO274" s="218">
        <f t="shared" si="83"/>
        <v>0.3</v>
      </c>
      <c r="CP274" s="100">
        <f t="shared" si="84"/>
        <v>0.4</v>
      </c>
      <c r="CQ274" s="218">
        <f t="shared" si="85"/>
        <v>0.5</v>
      </c>
      <c r="CR274" s="101">
        <v>0.2</v>
      </c>
      <c r="CS274" s="101">
        <v>0.5</v>
      </c>
      <c r="DA274" s="101" t="s">
        <v>102</v>
      </c>
      <c r="DB274" s="101" t="s">
        <v>100</v>
      </c>
      <c r="DC274" s="116">
        <v>1</v>
      </c>
      <c r="DD274" s="141">
        <f t="shared" si="96"/>
        <v>21</v>
      </c>
      <c r="DE274" s="116" t="s">
        <v>375</v>
      </c>
      <c r="DF274" s="116">
        <f t="shared" si="95"/>
        <v>25</v>
      </c>
      <c r="DG274" s="116"/>
      <c r="DH274" s="116"/>
      <c r="DI274" s="116"/>
    </row>
    <row r="275" spans="1:119" s="101" customFormat="1" ht="15" hidden="1" customHeight="1" x14ac:dyDescent="0.25">
      <c r="A275" s="99"/>
      <c r="V275" s="103"/>
      <c r="AA275" s="104"/>
      <c r="AB275" s="104"/>
      <c r="AD275" s="104"/>
      <c r="AE275" s="105"/>
      <c r="AH275" s="106"/>
      <c r="AI275" s="106"/>
      <c r="AK275" s="104"/>
      <c r="AR275" s="104"/>
      <c r="AV275" s="104"/>
      <c r="AX275" s="104"/>
      <c r="BB275" s="104"/>
      <c r="BC275" s="104"/>
      <c r="BE275" s="104"/>
      <c r="BF275" s="168"/>
      <c r="BG275" s="168"/>
      <c r="BH275" s="168"/>
      <c r="BI275" s="102"/>
      <c r="BJ275" s="178"/>
      <c r="BK275" s="178"/>
      <c r="BL275" s="178"/>
      <c r="BM275" s="169"/>
      <c r="BN275" s="169"/>
      <c r="BO275" s="169"/>
      <c r="BP275" s="178"/>
      <c r="BQ275" s="178"/>
      <c r="BR275" s="178"/>
      <c r="BS275" s="178"/>
      <c r="BT275" s="178"/>
      <c r="BU275" s="178"/>
      <c r="BV275" s="178"/>
      <c r="BW275" s="178"/>
      <c r="BX275" s="178"/>
      <c r="BY275" s="178"/>
      <c r="BZ275" s="178"/>
      <c r="CA275" s="178"/>
      <c r="CB275" s="180"/>
      <c r="CC275" s="178"/>
      <c r="CD275" s="178"/>
      <c r="CE275" s="180"/>
      <c r="CF275" s="180"/>
      <c r="CG275" s="180"/>
      <c r="CH275" s="180"/>
      <c r="CI275" s="178"/>
      <c r="CJ275" s="178"/>
      <c r="CK275" s="180"/>
      <c r="CL275" s="180"/>
      <c r="CM275" s="180"/>
      <c r="CN275" s="116"/>
      <c r="CO275" s="218">
        <f t="shared" si="83"/>
        <v>0</v>
      </c>
      <c r="CP275" s="100">
        <f t="shared" si="84"/>
        <v>0</v>
      </c>
      <c r="CQ275" s="218">
        <f t="shared" si="85"/>
        <v>0</v>
      </c>
      <c r="DA275" s="101">
        <v>0</v>
      </c>
      <c r="DB275" s="101">
        <v>0</v>
      </c>
      <c r="DC275" s="116">
        <v>0</v>
      </c>
      <c r="DD275" s="101">
        <v>0</v>
      </c>
      <c r="DF275" s="116">
        <f>+DC300*25</f>
        <v>1050</v>
      </c>
      <c r="DG275" s="116"/>
      <c r="DH275" s="116"/>
      <c r="DI275" s="116"/>
    </row>
    <row r="276" spans="1:119" s="101" customFormat="1" ht="15.75" hidden="1" customHeight="1" thickBot="1" x14ac:dyDescent="0.3">
      <c r="A276" s="99"/>
      <c r="V276" s="103"/>
      <c r="AA276" s="104"/>
      <c r="AB276" s="104"/>
      <c r="AD276" s="104"/>
      <c r="AE276" s="105"/>
      <c r="AH276" s="106"/>
      <c r="AI276" s="106"/>
      <c r="AK276" s="104"/>
      <c r="AR276" s="104"/>
      <c r="AV276" s="104"/>
      <c r="AX276" s="104"/>
      <c r="BB276" s="104"/>
      <c r="BC276" s="104"/>
      <c r="BE276" s="104"/>
      <c r="BF276" s="168"/>
      <c r="BG276" s="168"/>
      <c r="BH276" s="168"/>
      <c r="BI276" s="102"/>
      <c r="BJ276" s="178"/>
      <c r="BK276" s="178"/>
      <c r="BL276" s="178"/>
      <c r="BM276" s="169"/>
      <c r="BN276" s="169"/>
      <c r="BO276" s="169"/>
      <c r="BP276" s="178"/>
      <c r="BQ276" s="178"/>
      <c r="BR276" s="178"/>
      <c r="BS276" s="178"/>
      <c r="BT276" s="178"/>
      <c r="BU276" s="178"/>
      <c r="BV276" s="178"/>
      <c r="BW276" s="178"/>
      <c r="BX276" s="178"/>
      <c r="BY276" s="178"/>
      <c r="BZ276" s="178"/>
      <c r="CA276" s="178"/>
      <c r="CB276" s="180"/>
      <c r="CC276" s="178"/>
      <c r="CD276" s="178"/>
      <c r="CE276" s="180"/>
      <c r="CF276" s="180"/>
      <c r="CG276" s="180"/>
      <c r="CH276" s="180"/>
      <c r="CI276" s="178"/>
      <c r="CJ276" s="178"/>
      <c r="CK276" s="180"/>
      <c r="CL276" s="180"/>
      <c r="CM276" s="180"/>
      <c r="CN276" s="116"/>
      <c r="CO276" s="218">
        <f t="shared" si="83"/>
        <v>0</v>
      </c>
      <c r="CP276" s="100">
        <f t="shared" si="84"/>
        <v>0</v>
      </c>
      <c r="CQ276" s="218">
        <f t="shared" si="85"/>
        <v>0</v>
      </c>
      <c r="DC276" s="116"/>
      <c r="DF276" s="116"/>
      <c r="DG276" s="116"/>
      <c r="DH276" s="116"/>
      <c r="DI276" s="116"/>
    </row>
    <row r="277" spans="1:119" s="101" customFormat="1" ht="15.75" hidden="1" customHeight="1" thickBot="1" x14ac:dyDescent="0.3">
      <c r="A277" s="99"/>
      <c r="S277" s="244" t="s">
        <v>558</v>
      </c>
      <c r="V277" s="103"/>
      <c r="AA277" s="104"/>
      <c r="AB277" s="104"/>
      <c r="AD277" s="104"/>
      <c r="AF277" s="104"/>
      <c r="AI277" s="238" t="s">
        <v>555</v>
      </c>
      <c r="AJ277" s="238"/>
      <c r="AK277" s="238"/>
      <c r="AL277" s="238"/>
      <c r="AM277" s="238"/>
      <c r="AO277" s="238"/>
      <c r="AP277" s="238"/>
      <c r="AQ277" s="238"/>
      <c r="AR277" s="238"/>
      <c r="AS277" s="238"/>
      <c r="AT277" s="238"/>
      <c r="AU277" s="238"/>
      <c r="AV277" s="238"/>
      <c r="AW277" s="238"/>
      <c r="AX277" s="238"/>
      <c r="AY277" s="238"/>
      <c r="AZ277" s="238"/>
      <c r="BA277" s="238"/>
      <c r="BB277" s="238"/>
      <c r="BC277" s="238"/>
      <c r="BD277" s="238"/>
      <c r="BF277" s="168"/>
      <c r="BG277" s="168"/>
      <c r="BH277" s="168"/>
      <c r="BI277" s="102"/>
      <c r="BJ277" s="178"/>
      <c r="BK277" s="1608" t="s">
        <v>106</v>
      </c>
      <c r="BL277" s="1609"/>
      <c r="BM277" s="1609"/>
      <c r="BN277" s="1609"/>
      <c r="BO277" s="1610"/>
      <c r="BP277" s="1608" t="s">
        <v>110</v>
      </c>
      <c r="BQ277" s="1609"/>
      <c r="BR277" s="1609"/>
      <c r="BS277" s="1609"/>
      <c r="BT277" s="1610"/>
      <c r="BU277" s="178"/>
      <c r="BV277" s="178"/>
      <c r="BW277" s="178"/>
      <c r="BX277" s="178"/>
      <c r="BY277" s="178"/>
      <c r="BZ277" s="178"/>
      <c r="CA277" s="178"/>
      <c r="CB277" s="180"/>
      <c r="CC277" s="178"/>
      <c r="CD277" s="178"/>
      <c r="CE277" s="180"/>
      <c r="CF277" s="180"/>
      <c r="CG277" s="180"/>
      <c r="CH277" s="180"/>
      <c r="CI277" s="178"/>
      <c r="CJ277" s="178"/>
      <c r="CK277" s="180"/>
      <c r="CL277" s="180"/>
      <c r="CM277" s="180"/>
      <c r="CN277" s="116"/>
      <c r="CO277" s="218">
        <f t="shared" si="83"/>
        <v>0</v>
      </c>
      <c r="CP277" s="100">
        <f t="shared" si="84"/>
        <v>0</v>
      </c>
      <c r="CQ277" s="218">
        <f t="shared" si="85"/>
        <v>0</v>
      </c>
      <c r="DA277" s="254" t="s">
        <v>155</v>
      </c>
      <c r="DB277" s="1618" t="s">
        <v>379</v>
      </c>
      <c r="DC277" s="1618" t="s">
        <v>380</v>
      </c>
      <c r="DD277" s="1618"/>
      <c r="DE277" s="1619" t="s">
        <v>159</v>
      </c>
      <c r="DF277" s="1618" t="s">
        <v>160</v>
      </c>
      <c r="DG277" s="1618" t="s">
        <v>162</v>
      </c>
      <c r="DH277" s="1618" t="s">
        <v>389</v>
      </c>
      <c r="DI277" s="1618" t="s">
        <v>390</v>
      </c>
      <c r="DJ277" s="1618" t="s">
        <v>380</v>
      </c>
      <c r="DK277" s="1618"/>
      <c r="DL277" s="1618" t="s">
        <v>391</v>
      </c>
      <c r="DM277" s="1618"/>
    </row>
    <row r="278" spans="1:119" s="101" customFormat="1" ht="21.75" hidden="1" customHeight="1" x14ac:dyDescent="0.25">
      <c r="A278" s="99"/>
      <c r="S278" s="243">
        <v>0</v>
      </c>
      <c r="T278" s="243">
        <v>0</v>
      </c>
      <c r="U278" s="243">
        <v>5.0000000000000001E-3</v>
      </c>
      <c r="V278" s="243">
        <v>0.02</v>
      </c>
      <c r="W278" s="243">
        <v>5.0000000000000001E-3</v>
      </c>
      <c r="X278" s="243">
        <v>0</v>
      </c>
      <c r="Y278" s="243">
        <v>0.01</v>
      </c>
      <c r="Z278" s="243">
        <v>7.0000000000000007E-2</v>
      </c>
      <c r="AA278" s="245">
        <v>0</v>
      </c>
      <c r="AB278" s="245">
        <v>0</v>
      </c>
      <c r="AC278" s="243">
        <v>6.0000000000000001E-3</v>
      </c>
      <c r="AD278" s="245"/>
      <c r="AE278" s="243">
        <v>0.1</v>
      </c>
      <c r="AF278" s="245">
        <v>0.01</v>
      </c>
      <c r="AG278" s="243">
        <v>0.01</v>
      </c>
      <c r="AH278" s="100"/>
      <c r="AI278" s="1611" t="s">
        <v>556</v>
      </c>
      <c r="AJ278" s="1611"/>
      <c r="AK278" s="1611"/>
      <c r="AL278" s="1611"/>
      <c r="AM278" s="1611"/>
      <c r="AN278" s="238" t="s">
        <v>554</v>
      </c>
      <c r="AO278" s="238"/>
      <c r="AP278" s="238"/>
      <c r="AQ278" s="238"/>
      <c r="AR278" s="238"/>
      <c r="AS278" s="238"/>
      <c r="AT278" s="238"/>
      <c r="AU278" s="238"/>
      <c r="AV278" s="238"/>
      <c r="AW278" s="238"/>
      <c r="AX278" s="238"/>
      <c r="AY278" s="238"/>
      <c r="AZ278" s="238"/>
      <c r="BA278" s="238"/>
      <c r="BB278" s="238"/>
      <c r="BC278" s="238"/>
      <c r="BD278" s="238"/>
      <c r="BF278" s="168"/>
      <c r="BG278" s="168"/>
      <c r="BH278" s="168"/>
      <c r="BI278" s="1606" t="s">
        <v>58</v>
      </c>
      <c r="BJ278" s="251"/>
      <c r="BK278" s="1606" t="s">
        <v>280</v>
      </c>
      <c r="BL278" s="251"/>
      <c r="BM278" s="1606" t="s">
        <v>233</v>
      </c>
      <c r="BN278" s="1606" t="s">
        <v>233</v>
      </c>
      <c r="BO278" s="1606" t="s">
        <v>240</v>
      </c>
      <c r="BP278" s="1606" t="s">
        <v>281</v>
      </c>
      <c r="BQ278" s="251"/>
      <c r="BR278" s="1606" t="s">
        <v>233</v>
      </c>
      <c r="BS278" s="1606" t="s">
        <v>233</v>
      </c>
      <c r="BT278" s="1606" t="s">
        <v>240</v>
      </c>
      <c r="BU278" s="178"/>
      <c r="BV278" s="178"/>
      <c r="BW278" s="178"/>
      <c r="BX278" s="178"/>
      <c r="BY278" s="178"/>
      <c r="BZ278" s="178"/>
      <c r="CA278" s="178"/>
      <c r="CB278" s="180"/>
      <c r="CC278" s="178"/>
      <c r="CD278" s="178"/>
      <c r="CE278" s="180"/>
      <c r="CF278" s="180"/>
      <c r="CG278" s="180"/>
      <c r="CH278" s="180"/>
      <c r="CI278" s="178"/>
      <c r="CJ278" s="178"/>
      <c r="CK278" s="180"/>
      <c r="CL278" s="180"/>
      <c r="CM278" s="180"/>
      <c r="CN278" s="116"/>
      <c r="CO278" s="218" t="str">
        <f t="shared" si="83"/>
        <v>Incertidumbre (+/- %)</v>
      </c>
      <c r="CP278" s="100" t="e">
        <f t="shared" si="84"/>
        <v>#VALUE!</v>
      </c>
      <c r="CQ278" s="218" t="str">
        <f t="shared" si="85"/>
        <v>Incertidumbre (+/- %)</v>
      </c>
      <c r="DA278" s="254"/>
      <c r="DB278" s="1618"/>
      <c r="DC278" s="253">
        <v>1995</v>
      </c>
      <c r="DD278" s="254">
        <v>2007</v>
      </c>
      <c r="DE278" s="1619"/>
      <c r="DF278" s="1618"/>
      <c r="DG278" s="1618"/>
      <c r="DH278" s="1618"/>
      <c r="DI278" s="1618"/>
      <c r="DJ278" s="254">
        <v>1995</v>
      </c>
      <c r="DK278" s="254">
        <v>2007</v>
      </c>
      <c r="DL278" s="254">
        <v>1995</v>
      </c>
      <c r="DM278" s="254">
        <v>2007</v>
      </c>
    </row>
    <row r="279" spans="1:119" s="101" customFormat="1" ht="34.5" hidden="1" customHeight="1" thickBot="1" x14ac:dyDescent="0.3">
      <c r="Q279" s="242" t="s">
        <v>557</v>
      </c>
      <c r="R279" s="242" t="s">
        <v>559</v>
      </c>
      <c r="S279" s="242" t="s">
        <v>532</v>
      </c>
      <c r="T279" s="242" t="s">
        <v>533</v>
      </c>
      <c r="U279" s="242" t="s">
        <v>530</v>
      </c>
      <c r="V279" s="242" t="s">
        <v>531</v>
      </c>
      <c r="W279" s="242" t="s">
        <v>529</v>
      </c>
      <c r="X279" s="242" t="s">
        <v>528</v>
      </c>
      <c r="Y279" s="242" t="s">
        <v>537</v>
      </c>
      <c r="Z279" s="242" t="s">
        <v>538</v>
      </c>
      <c r="AA279" s="242" t="s">
        <v>544</v>
      </c>
      <c r="AB279" s="242" t="s">
        <v>534</v>
      </c>
      <c r="AC279" s="242" t="s">
        <v>539</v>
      </c>
      <c r="AD279" s="243"/>
      <c r="AE279" s="242" t="s">
        <v>540</v>
      </c>
      <c r="AF279" s="242" t="s">
        <v>535</v>
      </c>
      <c r="AG279" s="242" t="s">
        <v>536</v>
      </c>
      <c r="AH279" s="242" t="s">
        <v>560</v>
      </c>
      <c r="AI279" s="239" t="s">
        <v>513</v>
      </c>
      <c r="AJ279" s="239" t="s">
        <v>527</v>
      </c>
      <c r="AK279" s="102"/>
      <c r="AL279" s="239" t="s">
        <v>514</v>
      </c>
      <c r="AM279" s="239" t="s">
        <v>526</v>
      </c>
      <c r="AN279" s="241" t="s">
        <v>543</v>
      </c>
      <c r="AO279" s="241" t="s">
        <v>542</v>
      </c>
      <c r="AP279" s="240" t="s">
        <v>532</v>
      </c>
      <c r="AQ279" s="240" t="s">
        <v>533</v>
      </c>
      <c r="AS279" s="240" t="s">
        <v>530</v>
      </c>
      <c r="AT279" s="240" t="s">
        <v>531</v>
      </c>
      <c r="AU279" s="240" t="s">
        <v>529</v>
      </c>
      <c r="AV279" s="240" t="s">
        <v>528</v>
      </c>
      <c r="AW279" s="240" t="s">
        <v>537</v>
      </c>
      <c r="AY279" s="240" t="s">
        <v>538</v>
      </c>
      <c r="AZ279" s="240" t="s">
        <v>544</v>
      </c>
      <c r="BA279" s="240" t="s">
        <v>534</v>
      </c>
      <c r="BB279" s="240" t="s">
        <v>539</v>
      </c>
      <c r="BC279" s="240" t="s">
        <v>540</v>
      </c>
      <c r="BD279" s="240" t="s">
        <v>535</v>
      </c>
      <c r="BE279" s="240" t="s">
        <v>536</v>
      </c>
      <c r="BF279" s="168"/>
      <c r="BG279" s="168"/>
      <c r="BH279" s="168"/>
      <c r="BI279" s="1607"/>
      <c r="BJ279" s="252" t="s">
        <v>253</v>
      </c>
      <c r="BK279" s="1607"/>
      <c r="BL279" s="252" t="s">
        <v>251</v>
      </c>
      <c r="BM279" s="1607"/>
      <c r="BN279" s="1607"/>
      <c r="BO279" s="1607"/>
      <c r="BP279" s="1607"/>
      <c r="BQ279" s="252" t="s">
        <v>251</v>
      </c>
      <c r="BR279" s="1607"/>
      <c r="BS279" s="1607"/>
      <c r="BT279" s="1607"/>
      <c r="BU279" s="178"/>
      <c r="BV279" s="178"/>
      <c r="BW279" s="178"/>
      <c r="BX279" s="178"/>
      <c r="BY279" s="178"/>
      <c r="BZ279" s="178"/>
      <c r="CA279" s="178"/>
      <c r="CB279" s="180"/>
      <c r="CC279" s="178"/>
      <c r="CD279" s="178"/>
      <c r="CE279" s="180"/>
      <c r="CF279" s="180"/>
      <c r="CG279" s="180"/>
      <c r="CH279" s="180"/>
      <c r="CI279" s="178"/>
      <c r="CJ279" s="178"/>
      <c r="CK279" s="180"/>
      <c r="CL279" s="180"/>
      <c r="CM279" s="180"/>
      <c r="CN279" s="116"/>
      <c r="CO279" s="218">
        <f t="shared" si="83"/>
        <v>0</v>
      </c>
      <c r="CP279" s="100">
        <f t="shared" si="84"/>
        <v>0</v>
      </c>
      <c r="CQ279" s="218">
        <f t="shared" si="85"/>
        <v>0</v>
      </c>
      <c r="CZ279" s="101" t="s">
        <v>58</v>
      </c>
      <c r="DA279" s="254">
        <v>0</v>
      </c>
      <c r="DB279" s="253">
        <v>0</v>
      </c>
      <c r="DC279" s="253">
        <v>0</v>
      </c>
      <c r="DD279" s="254">
        <v>0</v>
      </c>
      <c r="DE279" s="254">
        <v>0</v>
      </c>
      <c r="DF279" s="253">
        <v>0</v>
      </c>
      <c r="DG279" s="253">
        <v>0</v>
      </c>
      <c r="DH279" s="253">
        <v>0</v>
      </c>
      <c r="DI279" s="253">
        <v>0</v>
      </c>
      <c r="DJ279" s="254">
        <v>0</v>
      </c>
      <c r="DK279" s="254">
        <v>0</v>
      </c>
      <c r="DL279" s="254">
        <v>0</v>
      </c>
      <c r="DM279" s="254">
        <v>0</v>
      </c>
      <c r="DN279" s="101">
        <v>0</v>
      </c>
    </row>
    <row r="280" spans="1:119" s="101" customFormat="1" ht="33.75" hidden="1" customHeight="1" thickBot="1" x14ac:dyDescent="0.4">
      <c r="O280" s="227" t="s">
        <v>128</v>
      </c>
      <c r="Q280" s="243">
        <v>0.48</v>
      </c>
      <c r="R280" s="243">
        <v>400</v>
      </c>
      <c r="S280" s="246">
        <f t="shared" ref="S280:AG298" si="97">((($Q280*($R280/1000)*365)*1)*S$278)*(44/28)</f>
        <v>0</v>
      </c>
      <c r="T280" s="246">
        <f t="shared" si="97"/>
        <v>0</v>
      </c>
      <c r="U280" s="246">
        <f t="shared" si="97"/>
        <v>0.55062857142857136</v>
      </c>
      <c r="V280" s="246">
        <f t="shared" si="97"/>
        <v>2.2025142857142854</v>
      </c>
      <c r="W280" s="246">
        <f t="shared" si="97"/>
        <v>0.55062857142857136</v>
      </c>
      <c r="X280" s="246">
        <f t="shared" si="97"/>
        <v>0</v>
      </c>
      <c r="Y280" s="246">
        <f t="shared" si="97"/>
        <v>1.1012571428571427</v>
      </c>
      <c r="Z280" s="246">
        <f t="shared" si="97"/>
        <v>7.708800000000001</v>
      </c>
      <c r="AA280" s="246">
        <f t="shared" si="97"/>
        <v>0</v>
      </c>
      <c r="AB280" s="246">
        <f t="shared" si="97"/>
        <v>0</v>
      </c>
      <c r="AC280" s="246">
        <f t="shared" si="97"/>
        <v>0.66075428571428574</v>
      </c>
      <c r="AD280" s="246">
        <f t="shared" si="97"/>
        <v>0</v>
      </c>
      <c r="AE280" s="246">
        <f t="shared" si="97"/>
        <v>11.012571428571428</v>
      </c>
      <c r="AF280" s="246">
        <v>0</v>
      </c>
      <c r="AG280" s="246">
        <f t="shared" si="97"/>
        <v>1.1012571428571427</v>
      </c>
      <c r="AH280" s="243"/>
      <c r="AI280" s="102">
        <v>1</v>
      </c>
      <c r="AJ280" s="102">
        <v>58</v>
      </c>
      <c r="AL280" s="102">
        <v>29</v>
      </c>
      <c r="AM280" s="237">
        <v>0.3</v>
      </c>
      <c r="AN280" s="241">
        <v>2.9</v>
      </c>
      <c r="AO280" s="241">
        <v>0.13</v>
      </c>
      <c r="AP280" s="247">
        <f>(AN280*365)*(AO280*0.67*0.01*1)</f>
        <v>0.92195350000000009</v>
      </c>
      <c r="AQ280" s="247">
        <f>(AN280*365)*(AO280*0.67*0.001*1)</f>
        <v>9.2195350000000023E-2</v>
      </c>
      <c r="AR280" s="248"/>
      <c r="AS280" s="247">
        <f>(AN280*365)*(AO280*0.67*0.02*1)</f>
        <v>1.8439070000000002</v>
      </c>
      <c r="AT280" s="247">
        <f>(AN280*365)*(AO280*0.67*0.01*1)</f>
        <v>0.92195350000000009</v>
      </c>
      <c r="AU280" s="247">
        <f>(AN280*365)*(AO280*0.67*0.25*1)</f>
        <v>23.048837500000001</v>
      </c>
      <c r="AV280" s="247">
        <f>(AN280*365)*(AO280*0.67*0.73*1)</f>
        <v>67.302605499999999</v>
      </c>
      <c r="AW280" s="247">
        <f>(AN280*365)*(AO280*0.67*0.03*1)</f>
        <v>2.7658605000000005</v>
      </c>
      <c r="AX280" s="248"/>
      <c r="AY280" s="247">
        <f>(AN280*365)*(AO280*0.67*0.25*1)</f>
        <v>23.048837500000001</v>
      </c>
      <c r="AZ280" s="247">
        <f t="shared" ref="AZ280:AZ315" si="98">(AN280*365)*(AO280*0.67*1*1)</f>
        <v>92.195350000000005</v>
      </c>
      <c r="BA280" s="247">
        <f t="shared" ref="BA280:BA315" si="99">(AN280*365)*(AO280*0.67*0.1*1)</f>
        <v>9.2195350000000005</v>
      </c>
      <c r="BB280" s="247">
        <f t="shared" ref="BB280:BB315" si="100">(AN280*365)*(AO280*0.67*0.005*1)</f>
        <v>0.46097675000000005</v>
      </c>
      <c r="BC280" s="247">
        <f>(AN280*365)*(AO280*0.67*0.005*1)</f>
        <v>0.46097675000000005</v>
      </c>
      <c r="BD280" s="247">
        <v>0</v>
      </c>
      <c r="BE280" s="247">
        <v>0</v>
      </c>
      <c r="BF280" s="168"/>
      <c r="BG280" s="168"/>
      <c r="BH280" s="168"/>
      <c r="BI280" s="203" t="s">
        <v>601</v>
      </c>
      <c r="BJ280" s="190" t="s">
        <v>168</v>
      </c>
      <c r="BK280" s="196">
        <f>BV280/25</f>
        <v>1</v>
      </c>
      <c r="BL280" s="190" t="s">
        <v>413</v>
      </c>
      <c r="BM280" s="189">
        <v>0.2</v>
      </c>
      <c r="BN280" s="189">
        <v>0.5</v>
      </c>
      <c r="BO280" s="188" t="s">
        <v>258</v>
      </c>
      <c r="BP280" s="196">
        <f>BY280/298</f>
        <v>1.2445714285714284</v>
      </c>
      <c r="BQ280" s="190" t="s">
        <v>415</v>
      </c>
      <c r="BR280" s="189">
        <v>0.2</v>
      </c>
      <c r="BS280" s="189">
        <v>0.5</v>
      </c>
      <c r="BT280" s="188" t="s">
        <v>258</v>
      </c>
      <c r="BU280" s="178"/>
      <c r="BV280" s="196">
        <v>25</v>
      </c>
      <c r="BW280" s="190" t="s">
        <v>414</v>
      </c>
      <c r="BX280" s="178"/>
      <c r="BY280" s="196">
        <v>370.88228571428567</v>
      </c>
      <c r="BZ280" s="190" t="s">
        <v>414</v>
      </c>
      <c r="CA280" s="178"/>
      <c r="CB280" s="180"/>
      <c r="CC280" s="178"/>
      <c r="CD280" s="178"/>
      <c r="CE280" s="180"/>
      <c r="CF280" s="180"/>
      <c r="CG280" s="180"/>
      <c r="CH280" s="180"/>
      <c r="CI280" s="178"/>
      <c r="CJ280" s="178"/>
      <c r="CK280" s="180"/>
      <c r="CL280" s="180"/>
      <c r="CM280" s="180"/>
      <c r="CN280" s="116"/>
      <c r="CO280" s="218">
        <f t="shared" si="83"/>
        <v>0.2</v>
      </c>
      <c r="CP280" s="100">
        <f t="shared" si="84"/>
        <v>0.35</v>
      </c>
      <c r="CQ280" s="218">
        <f t="shared" si="85"/>
        <v>0.5</v>
      </c>
      <c r="CR280" s="101">
        <v>0.2</v>
      </c>
      <c r="CS280" s="101">
        <v>0.5</v>
      </c>
      <c r="CZ280" s="101" t="s">
        <v>58</v>
      </c>
      <c r="DA280" s="23" t="s">
        <v>125</v>
      </c>
      <c r="DB280" s="23">
        <v>1</v>
      </c>
      <c r="DC280" s="142">
        <f>+DB280*21</f>
        <v>21</v>
      </c>
      <c r="DD280" s="142">
        <f>+DB280*25</f>
        <v>25</v>
      </c>
      <c r="DE280" s="23">
        <v>40</v>
      </c>
      <c r="DF280" s="23">
        <v>0.99</v>
      </c>
      <c r="DG280" s="142">
        <f>+DE280*DF280</f>
        <v>39.6</v>
      </c>
      <c r="DH280" s="23">
        <v>0.02</v>
      </c>
      <c r="DI280" s="149">
        <f>+DG280*DH280*44/28</f>
        <v>1.2445714285714284</v>
      </c>
      <c r="DJ280" s="149">
        <f>+DI280*310</f>
        <v>385.81714285714281</v>
      </c>
      <c r="DK280" s="149">
        <f>+DI280*298</f>
        <v>370.88228571428567</v>
      </c>
      <c r="DL280" s="150">
        <f>+DC280+DJ280</f>
        <v>406.81714285714281</v>
      </c>
      <c r="DM280" s="150">
        <f>+DD280+DK280</f>
        <v>395.88228571428567</v>
      </c>
      <c r="DN280" s="116" t="s">
        <v>168</v>
      </c>
      <c r="DO280" s="101" t="s">
        <v>392</v>
      </c>
    </row>
    <row r="281" spans="1:119" s="101" customFormat="1" ht="33.75" hidden="1" customHeight="1" thickBot="1" x14ac:dyDescent="0.4">
      <c r="O281" s="227" t="s">
        <v>129</v>
      </c>
      <c r="Q281" s="243">
        <v>0.48</v>
      </c>
      <c r="R281" s="243">
        <v>400</v>
      </c>
      <c r="S281" s="246">
        <f t="shared" si="97"/>
        <v>0</v>
      </c>
      <c r="T281" s="246">
        <f t="shared" si="97"/>
        <v>0</v>
      </c>
      <c r="U281" s="246">
        <f t="shared" si="97"/>
        <v>0.55062857142857136</v>
      </c>
      <c r="V281" s="246">
        <f t="shared" si="97"/>
        <v>2.2025142857142854</v>
      </c>
      <c r="W281" s="246">
        <f t="shared" si="97"/>
        <v>0.55062857142857136</v>
      </c>
      <c r="X281" s="246">
        <f t="shared" si="97"/>
        <v>0</v>
      </c>
      <c r="Y281" s="246">
        <f t="shared" si="97"/>
        <v>1.1012571428571427</v>
      </c>
      <c r="Z281" s="246">
        <f t="shared" si="97"/>
        <v>7.708800000000001</v>
      </c>
      <c r="AA281" s="246">
        <f t="shared" si="97"/>
        <v>0</v>
      </c>
      <c r="AB281" s="246">
        <f t="shared" si="97"/>
        <v>0</v>
      </c>
      <c r="AC281" s="246">
        <f t="shared" si="97"/>
        <v>0.66075428571428574</v>
      </c>
      <c r="AD281" s="246">
        <f t="shared" si="97"/>
        <v>0</v>
      </c>
      <c r="AE281" s="246">
        <f t="shared" si="97"/>
        <v>11.012571428571428</v>
      </c>
      <c r="AF281" s="246">
        <v>0</v>
      </c>
      <c r="AG281" s="246">
        <f t="shared" si="97"/>
        <v>1.1012571428571427</v>
      </c>
      <c r="AH281" s="243"/>
      <c r="AI281" s="102">
        <v>1</v>
      </c>
      <c r="AJ281" s="102">
        <v>98</v>
      </c>
      <c r="AL281" s="102">
        <v>75</v>
      </c>
      <c r="AM281" s="237">
        <v>0.3</v>
      </c>
      <c r="AN281" s="241">
        <v>2.9</v>
      </c>
      <c r="AO281" s="241">
        <v>0.13</v>
      </c>
      <c r="AP281" s="247">
        <f>(AN281*365)*(AO281*0.67*0.015*1)</f>
        <v>1.3829302500000002</v>
      </c>
      <c r="AQ281" s="247">
        <f>(AN281*365)*(AO281*0.67*0.005*1)</f>
        <v>0.46097675000000005</v>
      </c>
      <c r="AR281" s="248"/>
      <c r="AS281" s="247">
        <f>(AN281*365)*(AO281*0.67*0.04*1)</f>
        <v>3.6878140000000004</v>
      </c>
      <c r="AT281" s="247">
        <f>(AN281*365)*(AO281*0.67*0.015*1)</f>
        <v>1.3829302500000002</v>
      </c>
      <c r="AU281" s="247">
        <f>(AN281*365)*(AO281*0.67*0.65*1)</f>
        <v>59.926977500000007</v>
      </c>
      <c r="AV281" s="247">
        <f>(AN281*365)*(AO281*0.67*0.79*1)</f>
        <v>72.834326500000003</v>
      </c>
      <c r="AW281" s="247">
        <f>(AN281*365)*(AO281*0.67*0.03*1)</f>
        <v>2.7658605000000005</v>
      </c>
      <c r="AX281" s="248"/>
      <c r="AY281" s="247">
        <f>(AN281*365)*(AO281*0.67*0.65*1)</f>
        <v>59.926977500000007</v>
      </c>
      <c r="AZ281" s="247">
        <f t="shared" si="98"/>
        <v>92.195350000000005</v>
      </c>
      <c r="BA281" s="247">
        <f t="shared" si="99"/>
        <v>9.2195350000000005</v>
      </c>
      <c r="BB281" s="247">
        <f t="shared" si="100"/>
        <v>0.46097675000000005</v>
      </c>
      <c r="BC281" s="247">
        <f>(AN281*365)*(AO281*0.67*0.01*1)</f>
        <v>0.92195350000000009</v>
      </c>
      <c r="BD281" s="247">
        <v>0</v>
      </c>
      <c r="BE281" s="247">
        <v>0</v>
      </c>
      <c r="BF281" s="168"/>
      <c r="BG281" s="168"/>
      <c r="BH281" s="168"/>
      <c r="BI281" s="203" t="s">
        <v>126</v>
      </c>
      <c r="BJ281" s="190" t="s">
        <v>168</v>
      </c>
      <c r="BK281" s="196">
        <f t="shared" ref="BK281:BK309" si="101">BV281/25</f>
        <v>1</v>
      </c>
      <c r="BL281" s="190" t="s">
        <v>413</v>
      </c>
      <c r="BM281" s="189">
        <v>0.2</v>
      </c>
      <c r="BN281" s="189">
        <v>0.5</v>
      </c>
      <c r="BO281" s="188" t="s">
        <v>258</v>
      </c>
      <c r="BP281" s="196">
        <f t="shared" ref="BP281:BP309" si="102">BY281/298</f>
        <v>1.2445714285714284</v>
      </c>
      <c r="BQ281" s="190" t="s">
        <v>415</v>
      </c>
      <c r="BR281" s="189">
        <v>0.2</v>
      </c>
      <c r="BS281" s="189">
        <v>0.5</v>
      </c>
      <c r="BT281" s="188" t="s">
        <v>258</v>
      </c>
      <c r="BU281" s="178"/>
      <c r="BV281" s="196">
        <v>25</v>
      </c>
      <c r="BW281" s="190" t="s">
        <v>414</v>
      </c>
      <c r="BX281" s="178"/>
      <c r="BY281" s="196">
        <v>370.88228571428567</v>
      </c>
      <c r="BZ281" s="190" t="s">
        <v>414</v>
      </c>
      <c r="CA281" s="178"/>
      <c r="CB281" s="180"/>
      <c r="CC281" s="178"/>
      <c r="CD281" s="178"/>
      <c r="CE281" s="180"/>
      <c r="CF281" s="180"/>
      <c r="CG281" s="180"/>
      <c r="CH281" s="180"/>
      <c r="CI281" s="178"/>
      <c r="CJ281" s="178"/>
      <c r="CK281" s="180"/>
      <c r="CL281" s="180"/>
      <c r="CM281" s="180"/>
      <c r="CN281" s="116"/>
      <c r="CO281" s="218">
        <f t="shared" si="83"/>
        <v>0.2</v>
      </c>
      <c r="CP281" s="100">
        <f t="shared" si="84"/>
        <v>0.35</v>
      </c>
      <c r="CQ281" s="218">
        <f t="shared" si="85"/>
        <v>0.5</v>
      </c>
      <c r="CR281" s="101">
        <v>0.2</v>
      </c>
      <c r="CS281" s="101">
        <v>0.5</v>
      </c>
      <c r="DA281" s="23" t="s">
        <v>126</v>
      </c>
      <c r="DB281" s="23">
        <v>1</v>
      </c>
      <c r="DC281" s="142">
        <f t="shared" ref="DC281:DC309" si="103">+DB281*21</f>
        <v>21</v>
      </c>
      <c r="DD281" s="142">
        <f t="shared" ref="DD281:DD309" si="104">+DB281*25</f>
        <v>25</v>
      </c>
      <c r="DE281" s="23">
        <v>40</v>
      </c>
      <c r="DF281" s="23">
        <v>0.99</v>
      </c>
      <c r="DG281" s="142">
        <f t="shared" ref="DG281:DG309" si="105">+DE281*DF281</f>
        <v>39.6</v>
      </c>
      <c r="DH281" s="23">
        <v>0.02</v>
      </c>
      <c r="DI281" s="149">
        <f t="shared" ref="DI281:DI309" si="106">+DG281*DH281*44/28</f>
        <v>1.2445714285714284</v>
      </c>
      <c r="DJ281" s="149">
        <f t="shared" ref="DJ281:DJ309" si="107">+DI281*310</f>
        <v>385.81714285714281</v>
      </c>
      <c r="DK281" s="149">
        <f t="shared" ref="DK281:DK309" si="108">+DI281*298</f>
        <v>370.88228571428567</v>
      </c>
      <c r="DL281" s="150">
        <f t="shared" ref="DL281:DM309" si="109">+DC281+DJ281</f>
        <v>406.81714285714281</v>
      </c>
      <c r="DM281" s="150">
        <f t="shared" si="109"/>
        <v>395.88228571428567</v>
      </c>
      <c r="DN281" s="116" t="s">
        <v>168</v>
      </c>
      <c r="DO281" s="101" t="s">
        <v>392</v>
      </c>
    </row>
    <row r="282" spans="1:119" s="101" customFormat="1" ht="33.75" hidden="1" customHeight="1" thickBot="1" x14ac:dyDescent="0.4">
      <c r="O282" s="227" t="s">
        <v>130</v>
      </c>
      <c r="Q282" s="243">
        <v>0.48</v>
      </c>
      <c r="R282" s="243">
        <v>400</v>
      </c>
      <c r="S282" s="246">
        <f t="shared" si="97"/>
        <v>0</v>
      </c>
      <c r="T282" s="246">
        <f t="shared" si="97"/>
        <v>0</v>
      </c>
      <c r="U282" s="246">
        <f t="shared" si="97"/>
        <v>0.55062857142857136</v>
      </c>
      <c r="V282" s="246">
        <f t="shared" si="97"/>
        <v>2.2025142857142854</v>
      </c>
      <c r="W282" s="246">
        <f t="shared" si="97"/>
        <v>0.55062857142857136</v>
      </c>
      <c r="X282" s="246">
        <f t="shared" si="97"/>
        <v>0</v>
      </c>
      <c r="Y282" s="246">
        <f t="shared" si="97"/>
        <v>1.1012571428571427</v>
      </c>
      <c r="Z282" s="246">
        <f t="shared" si="97"/>
        <v>7.708800000000001</v>
      </c>
      <c r="AA282" s="246">
        <f t="shared" si="97"/>
        <v>0</v>
      </c>
      <c r="AB282" s="246">
        <f t="shared" si="97"/>
        <v>0</v>
      </c>
      <c r="AC282" s="246">
        <f t="shared" si="97"/>
        <v>0.66075428571428574</v>
      </c>
      <c r="AD282" s="246">
        <f t="shared" si="97"/>
        <v>0</v>
      </c>
      <c r="AE282" s="246">
        <f t="shared" si="97"/>
        <v>11.012571428571428</v>
      </c>
      <c r="AF282" s="246">
        <v>0</v>
      </c>
      <c r="AG282" s="246">
        <f t="shared" si="97"/>
        <v>1.1012571428571427</v>
      </c>
      <c r="AH282" s="243"/>
      <c r="AI282" s="102">
        <v>1</v>
      </c>
      <c r="AJ282" s="102">
        <v>112</v>
      </c>
      <c r="AL282" s="102">
        <v>92</v>
      </c>
      <c r="AM282" s="237">
        <v>0.3</v>
      </c>
      <c r="AN282" s="241">
        <v>2.9</v>
      </c>
      <c r="AO282" s="241">
        <v>0.13</v>
      </c>
      <c r="AP282" s="247">
        <f>(AN282*365)*(AO282*0.67*0.02*1)</f>
        <v>1.8439070000000002</v>
      </c>
      <c r="AQ282" s="247">
        <f>(AN282*365)*(AO282*0.67*0.01*1)</f>
        <v>0.92195350000000009</v>
      </c>
      <c r="AR282" s="248"/>
      <c r="AS282" s="247">
        <f>(AN282*365)*(AO282*0.67*0.05*1)</f>
        <v>4.6097675000000002</v>
      </c>
      <c r="AT282" s="247">
        <f>(AN282*365)*(AO282*0.67*0.02*1)</f>
        <v>1.8439070000000002</v>
      </c>
      <c r="AU282" s="247">
        <f>(AN282*365)*(AO282*0.67*0.8*1)</f>
        <v>73.756280000000004</v>
      </c>
      <c r="AV282" s="247">
        <f>(AN282*365)*(AO282*0.67*0.8*1)</f>
        <v>73.756280000000004</v>
      </c>
      <c r="AW282" s="247">
        <f>(AN282*365)*(AO282*0.67*0.3*1)</f>
        <v>27.658605000000005</v>
      </c>
      <c r="AX282" s="248"/>
      <c r="AY282" s="247">
        <f>(AN282*365)*(AO282*0.67*0.8*1)</f>
        <v>73.756280000000004</v>
      </c>
      <c r="AZ282" s="247">
        <f t="shared" si="98"/>
        <v>92.195350000000005</v>
      </c>
      <c r="BA282" s="247">
        <f t="shared" si="99"/>
        <v>9.2195350000000005</v>
      </c>
      <c r="BB282" s="247">
        <f t="shared" si="100"/>
        <v>0.46097675000000005</v>
      </c>
      <c r="BC282" s="247">
        <f>(AN282*365)*(AO282*0.67*0.015*1)</f>
        <v>1.3829302500000002</v>
      </c>
      <c r="BD282" s="247">
        <v>0</v>
      </c>
      <c r="BE282" s="247">
        <v>0</v>
      </c>
      <c r="BF282" s="168"/>
      <c r="BG282" s="168"/>
      <c r="BH282" s="168"/>
      <c r="BI282" s="203" t="s">
        <v>127</v>
      </c>
      <c r="BJ282" s="190" t="s">
        <v>168</v>
      </c>
      <c r="BK282" s="196">
        <f t="shared" si="101"/>
        <v>1</v>
      </c>
      <c r="BL282" s="190" t="s">
        <v>413</v>
      </c>
      <c r="BM282" s="189">
        <v>0.2</v>
      </c>
      <c r="BN282" s="189">
        <v>0.5</v>
      </c>
      <c r="BO282" s="188" t="s">
        <v>258</v>
      </c>
      <c r="BP282" s="196">
        <f t="shared" si="102"/>
        <v>1.2445714285714284</v>
      </c>
      <c r="BQ282" s="190" t="s">
        <v>415</v>
      </c>
      <c r="BR282" s="189">
        <v>0.2</v>
      </c>
      <c r="BS282" s="189">
        <v>0.5</v>
      </c>
      <c r="BT282" s="188" t="s">
        <v>258</v>
      </c>
      <c r="BU282" s="178"/>
      <c r="BV282" s="196">
        <v>25</v>
      </c>
      <c r="BW282" s="190" t="s">
        <v>414</v>
      </c>
      <c r="BX282" s="178"/>
      <c r="BY282" s="196">
        <v>370.88228571428567</v>
      </c>
      <c r="BZ282" s="190" t="s">
        <v>414</v>
      </c>
      <c r="CA282" s="178"/>
      <c r="CB282" s="180"/>
      <c r="CC282" s="178"/>
      <c r="CD282" s="178"/>
      <c r="CE282" s="180"/>
      <c r="CF282" s="180"/>
      <c r="CG282" s="180"/>
      <c r="CH282" s="180"/>
      <c r="CI282" s="178"/>
      <c r="CJ282" s="178"/>
      <c r="CK282" s="180"/>
      <c r="CL282" s="180"/>
      <c r="CM282" s="180"/>
      <c r="CN282" s="116"/>
      <c r="CO282" s="218">
        <f t="shared" si="83"/>
        <v>0.2</v>
      </c>
      <c r="CP282" s="100">
        <f t="shared" si="84"/>
        <v>0.35</v>
      </c>
      <c r="CQ282" s="218">
        <f t="shared" si="85"/>
        <v>0.5</v>
      </c>
      <c r="CR282" s="101">
        <v>0.2</v>
      </c>
      <c r="CS282" s="101">
        <v>0.5</v>
      </c>
      <c r="DA282" s="23" t="s">
        <v>127</v>
      </c>
      <c r="DB282" s="23">
        <v>1</v>
      </c>
      <c r="DC282" s="142">
        <f t="shared" si="103"/>
        <v>21</v>
      </c>
      <c r="DD282" s="142">
        <f t="shared" si="104"/>
        <v>25</v>
      </c>
      <c r="DE282" s="23">
        <v>40</v>
      </c>
      <c r="DF282" s="23">
        <v>0.99</v>
      </c>
      <c r="DG282" s="142">
        <f t="shared" si="105"/>
        <v>39.6</v>
      </c>
      <c r="DH282" s="23">
        <v>0.02</v>
      </c>
      <c r="DI282" s="149">
        <f t="shared" si="106"/>
        <v>1.2445714285714284</v>
      </c>
      <c r="DJ282" s="149">
        <f t="shared" si="107"/>
        <v>385.81714285714281</v>
      </c>
      <c r="DK282" s="149">
        <f t="shared" si="108"/>
        <v>370.88228571428567</v>
      </c>
      <c r="DL282" s="150">
        <f t="shared" si="109"/>
        <v>406.81714285714281</v>
      </c>
      <c r="DM282" s="150">
        <f t="shared" si="109"/>
        <v>395.88228571428567</v>
      </c>
      <c r="DN282" s="116" t="s">
        <v>168</v>
      </c>
      <c r="DO282" s="101" t="s">
        <v>392</v>
      </c>
    </row>
    <row r="283" spans="1:119" s="101" customFormat="1" ht="33.75" hidden="1" customHeight="1" thickBot="1" x14ac:dyDescent="0.4">
      <c r="O283" s="227" t="s">
        <v>125</v>
      </c>
      <c r="Q283" s="243">
        <v>0.36</v>
      </c>
      <c r="R283" s="243">
        <v>305</v>
      </c>
      <c r="S283" s="246">
        <f t="shared" si="97"/>
        <v>0</v>
      </c>
      <c r="T283" s="246">
        <f t="shared" si="97"/>
        <v>0</v>
      </c>
      <c r="U283" s="246">
        <f t="shared" si="97"/>
        <v>0.3148907142857143</v>
      </c>
      <c r="V283" s="246">
        <f t="shared" si="97"/>
        <v>1.2595628571428572</v>
      </c>
      <c r="W283" s="246">
        <f t="shared" si="97"/>
        <v>0.3148907142857143</v>
      </c>
      <c r="X283" s="246">
        <f t="shared" si="97"/>
        <v>0</v>
      </c>
      <c r="Y283" s="246">
        <f t="shared" si="97"/>
        <v>0.6297814285714286</v>
      </c>
      <c r="Z283" s="246">
        <f t="shared" si="97"/>
        <v>4.4084700000000003</v>
      </c>
      <c r="AA283" s="246">
        <f t="shared" si="97"/>
        <v>0</v>
      </c>
      <c r="AB283" s="246">
        <f t="shared" si="97"/>
        <v>0</v>
      </c>
      <c r="AC283" s="246">
        <f t="shared" si="97"/>
        <v>0.37786885714285712</v>
      </c>
      <c r="AD283" s="246">
        <f t="shared" si="97"/>
        <v>0</v>
      </c>
      <c r="AE283" s="246">
        <f t="shared" si="97"/>
        <v>6.2978142857142849</v>
      </c>
      <c r="AF283" s="246">
        <v>0</v>
      </c>
      <c r="AG283" s="246">
        <f t="shared" si="97"/>
        <v>0.6297814285714286</v>
      </c>
      <c r="AH283" s="243"/>
      <c r="AI283" s="102">
        <v>1</v>
      </c>
      <c r="AJ283" s="100">
        <v>0</v>
      </c>
      <c r="AL283" s="102">
        <v>8</v>
      </c>
      <c r="AM283" s="237">
        <v>0.3</v>
      </c>
      <c r="AN283" s="241">
        <v>2.5</v>
      </c>
      <c r="AO283" s="241">
        <v>0.1</v>
      </c>
      <c r="AP283" s="247">
        <f>(AN283*365)*(AO283*0.67*0.01*1)</f>
        <v>0.611375</v>
      </c>
      <c r="AQ283" s="247">
        <f>(AN283*365)*(AO283*0.67*0.001*1)</f>
        <v>6.1137500000000004E-2</v>
      </c>
      <c r="AR283" s="248"/>
      <c r="AS283" s="247">
        <f>(AN283*365)*(AO283*0.67*0.02*1)</f>
        <v>1.22275</v>
      </c>
      <c r="AT283" s="247">
        <f>(AN283*365)*(AO283*0.67*0.01*1)</f>
        <v>0.611375</v>
      </c>
      <c r="AU283" s="247">
        <f>(AN283*365)*(AO283*0.67*0.25*1)</f>
        <v>15.284375000000001</v>
      </c>
      <c r="AV283" s="247">
        <f>(AN283*365)*(AO283*0.67*0.73*1)</f>
        <v>44.630375000000001</v>
      </c>
      <c r="AW283" s="247">
        <f>(AN283*365)*(AO283*0.67*0.03*1)</f>
        <v>1.834125</v>
      </c>
      <c r="AX283" s="248"/>
      <c r="AY283" s="247">
        <f>(AN283*365)*(AO283*0.67*0.25*1)</f>
        <v>15.284375000000001</v>
      </c>
      <c r="AZ283" s="247">
        <f t="shared" si="98"/>
        <v>61.137500000000003</v>
      </c>
      <c r="BA283" s="247">
        <f t="shared" si="99"/>
        <v>6.1137500000000014</v>
      </c>
      <c r="BB283" s="247">
        <f t="shared" si="100"/>
        <v>0.3056875</v>
      </c>
      <c r="BC283" s="247">
        <f>(AN283*365)*(AO283*0.67*0.005*1)</f>
        <v>0.3056875</v>
      </c>
      <c r="BD283" s="247">
        <v>0</v>
      </c>
      <c r="BE283" s="247">
        <v>0</v>
      </c>
      <c r="BF283" s="168"/>
      <c r="BG283" s="168"/>
      <c r="BH283" s="168"/>
      <c r="BI283" s="203" t="s">
        <v>128</v>
      </c>
      <c r="BJ283" s="190" t="s">
        <v>168</v>
      </c>
      <c r="BK283" s="196">
        <f t="shared" si="101"/>
        <v>0</v>
      </c>
      <c r="BL283" s="190" t="s">
        <v>413</v>
      </c>
      <c r="BM283" s="189">
        <v>0.2</v>
      </c>
      <c r="BN283" s="189">
        <v>0.5</v>
      </c>
      <c r="BO283" s="188" t="s">
        <v>258</v>
      </c>
      <c r="BP283" s="196">
        <f t="shared" si="102"/>
        <v>0.79200000000000004</v>
      </c>
      <c r="BQ283" s="190" t="s">
        <v>415</v>
      </c>
      <c r="BR283" s="189">
        <v>0.2</v>
      </c>
      <c r="BS283" s="189">
        <v>0.5</v>
      </c>
      <c r="BT283" s="188" t="s">
        <v>258</v>
      </c>
      <c r="BU283" s="178"/>
      <c r="BV283" s="196">
        <v>0</v>
      </c>
      <c r="BW283" s="190" t="s">
        <v>414</v>
      </c>
      <c r="BX283" s="178"/>
      <c r="BY283" s="196">
        <v>236.01600000000002</v>
      </c>
      <c r="BZ283" s="190" t="s">
        <v>414</v>
      </c>
      <c r="CA283" s="178"/>
      <c r="CB283" s="180"/>
      <c r="CC283" s="178"/>
      <c r="CD283" s="178"/>
      <c r="CE283" s="180"/>
      <c r="CF283" s="180"/>
      <c r="CG283" s="180"/>
      <c r="CH283" s="180"/>
      <c r="CI283" s="178"/>
      <c r="CJ283" s="178"/>
      <c r="CK283" s="180"/>
      <c r="CL283" s="180"/>
      <c r="CM283" s="180"/>
      <c r="CN283" s="116"/>
      <c r="CO283" s="218">
        <f t="shared" si="83"/>
        <v>0.2</v>
      </c>
      <c r="CP283" s="100">
        <f t="shared" si="84"/>
        <v>0.35</v>
      </c>
      <c r="CQ283" s="218">
        <f t="shared" si="85"/>
        <v>0.5</v>
      </c>
      <c r="CR283" s="101">
        <v>0.2</v>
      </c>
      <c r="CS283" s="101">
        <v>0.5</v>
      </c>
      <c r="DA283" s="23" t="s">
        <v>128</v>
      </c>
      <c r="DB283" s="23">
        <v>0</v>
      </c>
      <c r="DC283" s="142">
        <f t="shared" si="103"/>
        <v>0</v>
      </c>
      <c r="DD283" s="142">
        <f t="shared" si="104"/>
        <v>0</v>
      </c>
      <c r="DE283" s="23">
        <v>70</v>
      </c>
      <c r="DF283" s="23">
        <v>0.36</v>
      </c>
      <c r="DG283" s="142">
        <f t="shared" si="105"/>
        <v>25.2</v>
      </c>
      <c r="DH283" s="23">
        <v>0.02</v>
      </c>
      <c r="DI283" s="149">
        <f t="shared" si="106"/>
        <v>0.79200000000000004</v>
      </c>
      <c r="DJ283" s="149">
        <f t="shared" si="107"/>
        <v>245.52</v>
      </c>
      <c r="DK283" s="149">
        <f t="shared" si="108"/>
        <v>236.01600000000002</v>
      </c>
      <c r="DL283" s="150">
        <f t="shared" si="109"/>
        <v>245.52</v>
      </c>
      <c r="DM283" s="150">
        <f t="shared" si="109"/>
        <v>236.01600000000002</v>
      </c>
      <c r="DN283" s="116" t="s">
        <v>168</v>
      </c>
      <c r="DO283" s="101" t="s">
        <v>392</v>
      </c>
    </row>
    <row r="284" spans="1:119" s="101" customFormat="1" ht="33.75" hidden="1" customHeight="1" thickBot="1" x14ac:dyDescent="0.4">
      <c r="O284" s="227" t="s">
        <v>126</v>
      </c>
      <c r="Q284" s="243">
        <v>0.36</v>
      </c>
      <c r="R284" s="243">
        <v>305</v>
      </c>
      <c r="S284" s="246">
        <f t="shared" si="97"/>
        <v>0</v>
      </c>
      <c r="T284" s="246">
        <f t="shared" si="97"/>
        <v>0</v>
      </c>
      <c r="U284" s="246">
        <f t="shared" si="97"/>
        <v>0.3148907142857143</v>
      </c>
      <c r="V284" s="246">
        <f t="shared" si="97"/>
        <v>1.2595628571428572</v>
      </c>
      <c r="W284" s="246">
        <f t="shared" si="97"/>
        <v>0.3148907142857143</v>
      </c>
      <c r="X284" s="246">
        <f t="shared" si="97"/>
        <v>0</v>
      </c>
      <c r="Y284" s="246">
        <f t="shared" si="97"/>
        <v>0.6297814285714286</v>
      </c>
      <c r="Z284" s="246">
        <f t="shared" si="97"/>
        <v>4.4084700000000003</v>
      </c>
      <c r="AA284" s="246">
        <f t="shared" si="97"/>
        <v>0</v>
      </c>
      <c r="AB284" s="246">
        <f t="shared" si="97"/>
        <v>0</v>
      </c>
      <c r="AC284" s="246">
        <f t="shared" si="97"/>
        <v>0.37786885714285712</v>
      </c>
      <c r="AD284" s="246">
        <f t="shared" si="97"/>
        <v>0</v>
      </c>
      <c r="AE284" s="246">
        <f t="shared" si="97"/>
        <v>6.2978142857142849</v>
      </c>
      <c r="AF284" s="246">
        <v>0</v>
      </c>
      <c r="AG284" s="246">
        <f t="shared" si="97"/>
        <v>0.6297814285714286</v>
      </c>
      <c r="AH284" s="243"/>
      <c r="AI284" s="102">
        <v>1</v>
      </c>
      <c r="AJ284" s="100">
        <v>0</v>
      </c>
      <c r="AL284" s="102">
        <v>21</v>
      </c>
      <c r="AM284" s="237">
        <v>0.3</v>
      </c>
      <c r="AN284" s="241">
        <v>2.5</v>
      </c>
      <c r="AO284" s="241">
        <v>0.1</v>
      </c>
      <c r="AP284" s="247">
        <f>(AN284*365)*(AO284*0.67*0.015*1)</f>
        <v>0.9170625</v>
      </c>
      <c r="AQ284" s="247">
        <f>(AN284*365)*(AO284*0.67*0.005*1)</f>
        <v>0.3056875</v>
      </c>
      <c r="AR284" s="248"/>
      <c r="AS284" s="247">
        <f>(AN284*365)*(AO284*0.67*0.04*1)</f>
        <v>2.4455</v>
      </c>
      <c r="AT284" s="247">
        <f>(AN284*365)*(AO284*0.67*0.015*1)</f>
        <v>0.9170625</v>
      </c>
      <c r="AU284" s="247">
        <f>(AN284*365)*(AO284*0.67*0.65*1)</f>
        <v>39.739375000000003</v>
      </c>
      <c r="AV284" s="247">
        <f>(AN284*365)*(AO284*0.67*0.79*1)</f>
        <v>48.298625000000001</v>
      </c>
      <c r="AW284" s="247">
        <f>(AN284*365)*(AO284*0.67*0.03*1)</f>
        <v>1.834125</v>
      </c>
      <c r="AX284" s="248"/>
      <c r="AY284" s="247">
        <f>(AN284*365)*(AO284*0.67*0.65*1)</f>
        <v>39.739375000000003</v>
      </c>
      <c r="AZ284" s="247">
        <f t="shared" si="98"/>
        <v>61.137500000000003</v>
      </c>
      <c r="BA284" s="247">
        <f t="shared" si="99"/>
        <v>6.1137500000000014</v>
      </c>
      <c r="BB284" s="247">
        <f t="shared" si="100"/>
        <v>0.3056875</v>
      </c>
      <c r="BC284" s="247">
        <f>(AN284*365)*(AO284*0.67*0.01*1)</f>
        <v>0.611375</v>
      </c>
      <c r="BD284" s="247">
        <v>0</v>
      </c>
      <c r="BE284" s="247">
        <v>0</v>
      </c>
      <c r="BF284" s="168"/>
      <c r="BG284" s="168"/>
      <c r="BH284" s="168"/>
      <c r="BI284" s="203" t="s">
        <v>129</v>
      </c>
      <c r="BJ284" s="190" t="s">
        <v>168</v>
      </c>
      <c r="BK284" s="196">
        <f t="shared" si="101"/>
        <v>1</v>
      </c>
      <c r="BL284" s="190" t="s">
        <v>413</v>
      </c>
      <c r="BM284" s="189">
        <v>0.2</v>
      </c>
      <c r="BN284" s="189">
        <v>0.5</v>
      </c>
      <c r="BO284" s="188" t="s">
        <v>258</v>
      </c>
      <c r="BP284" s="196">
        <f t="shared" si="102"/>
        <v>0.79200000000000004</v>
      </c>
      <c r="BQ284" s="190" t="s">
        <v>415</v>
      </c>
      <c r="BR284" s="189">
        <v>0.2</v>
      </c>
      <c r="BS284" s="189">
        <v>0.5</v>
      </c>
      <c r="BT284" s="188" t="s">
        <v>258</v>
      </c>
      <c r="BU284" s="178"/>
      <c r="BV284" s="196">
        <v>25</v>
      </c>
      <c r="BW284" s="190" t="s">
        <v>414</v>
      </c>
      <c r="BX284" s="178"/>
      <c r="BY284" s="196">
        <v>236.01600000000002</v>
      </c>
      <c r="BZ284" s="190" t="s">
        <v>414</v>
      </c>
      <c r="CA284" s="178"/>
      <c r="CB284" s="180"/>
      <c r="CC284" s="178"/>
      <c r="CD284" s="178"/>
      <c r="CE284" s="180"/>
      <c r="CF284" s="180"/>
      <c r="CG284" s="180"/>
      <c r="CH284" s="180"/>
      <c r="CI284" s="178"/>
      <c r="CJ284" s="178"/>
      <c r="CK284" s="180"/>
      <c r="CL284" s="180"/>
      <c r="CM284" s="180"/>
      <c r="CN284" s="116"/>
      <c r="CO284" s="218">
        <f t="shared" si="83"/>
        <v>0.2</v>
      </c>
      <c r="CP284" s="100">
        <f t="shared" si="84"/>
        <v>0.35</v>
      </c>
      <c r="CQ284" s="218">
        <f t="shared" si="85"/>
        <v>0.5</v>
      </c>
      <c r="CR284" s="101">
        <v>0.2</v>
      </c>
      <c r="CS284" s="101">
        <v>0.5</v>
      </c>
      <c r="DA284" s="23" t="s">
        <v>129</v>
      </c>
      <c r="DB284" s="23">
        <v>1</v>
      </c>
      <c r="DC284" s="142">
        <f t="shared" si="103"/>
        <v>21</v>
      </c>
      <c r="DD284" s="142">
        <f t="shared" si="104"/>
        <v>25</v>
      </c>
      <c r="DE284" s="23">
        <v>70</v>
      </c>
      <c r="DF284" s="23">
        <v>0.36</v>
      </c>
      <c r="DG284" s="142">
        <f t="shared" si="105"/>
        <v>25.2</v>
      </c>
      <c r="DH284" s="23">
        <v>0.02</v>
      </c>
      <c r="DI284" s="149">
        <f t="shared" si="106"/>
        <v>0.79200000000000004</v>
      </c>
      <c r="DJ284" s="149">
        <f t="shared" si="107"/>
        <v>245.52</v>
      </c>
      <c r="DK284" s="149">
        <f t="shared" si="108"/>
        <v>236.01600000000002</v>
      </c>
      <c r="DL284" s="150">
        <f t="shared" si="109"/>
        <v>266.52</v>
      </c>
      <c r="DM284" s="150">
        <f t="shared" si="109"/>
        <v>261.01600000000002</v>
      </c>
      <c r="DN284" s="116" t="s">
        <v>168</v>
      </c>
      <c r="DO284" s="101" t="s">
        <v>392</v>
      </c>
    </row>
    <row r="285" spans="1:119" s="101" customFormat="1" ht="33.75" hidden="1" customHeight="1" thickBot="1" x14ac:dyDescent="0.4">
      <c r="O285" s="227" t="s">
        <v>127</v>
      </c>
      <c r="Q285" s="243">
        <v>0.36</v>
      </c>
      <c r="R285" s="243">
        <v>305</v>
      </c>
      <c r="S285" s="246">
        <f t="shared" si="97"/>
        <v>0</v>
      </c>
      <c r="T285" s="246">
        <f t="shared" si="97"/>
        <v>0</v>
      </c>
      <c r="U285" s="246">
        <f t="shared" si="97"/>
        <v>0.3148907142857143</v>
      </c>
      <c r="V285" s="246">
        <f t="shared" si="97"/>
        <v>1.2595628571428572</v>
      </c>
      <c r="W285" s="246">
        <f t="shared" si="97"/>
        <v>0.3148907142857143</v>
      </c>
      <c r="X285" s="246">
        <f t="shared" si="97"/>
        <v>0</v>
      </c>
      <c r="Y285" s="246">
        <f t="shared" si="97"/>
        <v>0.6297814285714286</v>
      </c>
      <c r="Z285" s="246">
        <f t="shared" si="97"/>
        <v>4.4084700000000003</v>
      </c>
      <c r="AA285" s="246">
        <f t="shared" si="97"/>
        <v>0</v>
      </c>
      <c r="AB285" s="246">
        <f t="shared" si="97"/>
        <v>0</v>
      </c>
      <c r="AC285" s="246">
        <f t="shared" si="97"/>
        <v>0.37786885714285712</v>
      </c>
      <c r="AD285" s="246">
        <f t="shared" si="97"/>
        <v>0</v>
      </c>
      <c r="AE285" s="246">
        <f t="shared" si="97"/>
        <v>6.2978142857142849</v>
      </c>
      <c r="AF285" s="246">
        <v>0</v>
      </c>
      <c r="AG285" s="246">
        <f t="shared" si="97"/>
        <v>0.6297814285714286</v>
      </c>
      <c r="AH285" s="243"/>
      <c r="AI285" s="102">
        <v>2</v>
      </c>
      <c r="AJ285" s="100">
        <v>0</v>
      </c>
      <c r="AL285" s="102">
        <v>26</v>
      </c>
      <c r="AM285" s="237">
        <v>0.3</v>
      </c>
      <c r="AN285" s="241">
        <v>2.5</v>
      </c>
      <c r="AO285" s="241">
        <v>0.1</v>
      </c>
      <c r="AP285" s="247">
        <f>(AN285*365)*(AO285*0.67*0.02*1)</f>
        <v>1.22275</v>
      </c>
      <c r="AQ285" s="247">
        <f>(AN285*365)*(AO285*0.67*0.01*1)</f>
        <v>0.611375</v>
      </c>
      <c r="AR285" s="248"/>
      <c r="AS285" s="247">
        <f>(AN285*365)*(AO285*0.67*0.05*1)</f>
        <v>3.0568750000000007</v>
      </c>
      <c r="AT285" s="247">
        <f>(AN285*365)*(AO285*0.67*0.02*1)</f>
        <v>1.22275</v>
      </c>
      <c r="AU285" s="247">
        <f>(AN285*365)*(AO285*0.67*0.8*1)</f>
        <v>48.910000000000011</v>
      </c>
      <c r="AV285" s="247">
        <f>(AN285*365)*(AO285*0.67*0.8*1)</f>
        <v>48.910000000000011</v>
      </c>
      <c r="AW285" s="247">
        <f>(AN285*365)*(AO285*0.67*0.3*1)</f>
        <v>18.341249999999999</v>
      </c>
      <c r="AX285" s="248"/>
      <c r="AY285" s="247">
        <f>(AN285*365)*(AO285*0.67*0.8*1)</f>
        <v>48.910000000000011</v>
      </c>
      <c r="AZ285" s="247">
        <f t="shared" si="98"/>
        <v>61.137500000000003</v>
      </c>
      <c r="BA285" s="247">
        <f t="shared" si="99"/>
        <v>6.1137500000000014</v>
      </c>
      <c r="BB285" s="247">
        <f t="shared" si="100"/>
        <v>0.3056875</v>
      </c>
      <c r="BC285" s="247">
        <f>(AN285*365)*(AO285*0.67*0.015*1)</f>
        <v>0.9170625</v>
      </c>
      <c r="BD285" s="247">
        <v>0</v>
      </c>
      <c r="BE285" s="247">
        <v>0</v>
      </c>
      <c r="BF285" s="168"/>
      <c r="BG285" s="168"/>
      <c r="BH285" s="168"/>
      <c r="BI285" s="203" t="s">
        <v>130</v>
      </c>
      <c r="BJ285" s="190" t="s">
        <v>168</v>
      </c>
      <c r="BK285" s="196">
        <f t="shared" si="101"/>
        <v>2</v>
      </c>
      <c r="BL285" s="190" t="s">
        <v>413</v>
      </c>
      <c r="BM285" s="189">
        <v>0.2</v>
      </c>
      <c r="BN285" s="189">
        <v>0.5</v>
      </c>
      <c r="BO285" s="188" t="s">
        <v>258</v>
      </c>
      <c r="BP285" s="196">
        <f t="shared" si="102"/>
        <v>0.79200000000000004</v>
      </c>
      <c r="BQ285" s="190" t="s">
        <v>415</v>
      </c>
      <c r="BR285" s="189">
        <v>0.2</v>
      </c>
      <c r="BS285" s="189">
        <v>0.5</v>
      </c>
      <c r="BT285" s="188" t="s">
        <v>258</v>
      </c>
      <c r="BU285" s="178"/>
      <c r="BV285" s="196">
        <v>50</v>
      </c>
      <c r="BW285" s="190" t="s">
        <v>414</v>
      </c>
      <c r="BX285" s="178"/>
      <c r="BY285" s="196">
        <v>236.01600000000002</v>
      </c>
      <c r="BZ285" s="190" t="s">
        <v>414</v>
      </c>
      <c r="CA285" s="178"/>
      <c r="CB285" s="180"/>
      <c r="CC285" s="178"/>
      <c r="CD285" s="178"/>
      <c r="CE285" s="180"/>
      <c r="CF285" s="180"/>
      <c r="CG285" s="180"/>
      <c r="CH285" s="180"/>
      <c r="CI285" s="178"/>
      <c r="CJ285" s="178"/>
      <c r="CK285" s="180"/>
      <c r="CL285" s="180"/>
      <c r="CM285" s="180"/>
      <c r="CN285" s="116"/>
      <c r="CO285" s="218">
        <f t="shared" si="83"/>
        <v>0.2</v>
      </c>
      <c r="CP285" s="100">
        <f t="shared" si="84"/>
        <v>0.35</v>
      </c>
      <c r="CQ285" s="218">
        <f t="shared" si="85"/>
        <v>0.5</v>
      </c>
      <c r="CR285" s="101">
        <v>0.2</v>
      </c>
      <c r="CS285" s="101">
        <v>0.5</v>
      </c>
      <c r="DA285" s="23" t="s">
        <v>130</v>
      </c>
      <c r="DB285" s="23">
        <v>2</v>
      </c>
      <c r="DC285" s="142">
        <f t="shared" si="103"/>
        <v>42</v>
      </c>
      <c r="DD285" s="142">
        <f t="shared" si="104"/>
        <v>50</v>
      </c>
      <c r="DE285" s="23">
        <v>70</v>
      </c>
      <c r="DF285" s="23">
        <v>0.36</v>
      </c>
      <c r="DG285" s="142">
        <f t="shared" si="105"/>
        <v>25.2</v>
      </c>
      <c r="DH285" s="23">
        <v>0.02</v>
      </c>
      <c r="DI285" s="149">
        <f t="shared" si="106"/>
        <v>0.79200000000000004</v>
      </c>
      <c r="DJ285" s="149">
        <f t="shared" si="107"/>
        <v>245.52</v>
      </c>
      <c r="DK285" s="149">
        <f t="shared" si="108"/>
        <v>236.01600000000002</v>
      </c>
      <c r="DL285" s="150">
        <f t="shared" si="109"/>
        <v>287.52</v>
      </c>
      <c r="DM285" s="150">
        <f t="shared" si="109"/>
        <v>286.01600000000002</v>
      </c>
      <c r="DN285" s="116" t="s">
        <v>168</v>
      </c>
      <c r="DO285" s="101" t="s">
        <v>392</v>
      </c>
    </row>
    <row r="286" spans="1:119" s="101" customFormat="1" ht="33.75" hidden="1" customHeight="1" thickBot="1" x14ac:dyDescent="0.4">
      <c r="O286" s="227" t="s">
        <v>131</v>
      </c>
      <c r="Q286" s="243">
        <v>0.82</v>
      </c>
      <c r="R286" s="243">
        <v>1.8</v>
      </c>
      <c r="S286" s="246">
        <f t="shared" si="97"/>
        <v>0</v>
      </c>
      <c r="T286" s="246">
        <f t="shared" si="97"/>
        <v>0</v>
      </c>
      <c r="U286" s="246">
        <f t="shared" si="97"/>
        <v>4.2329571428571426E-3</v>
      </c>
      <c r="V286" s="246">
        <f t="shared" si="97"/>
        <v>1.6931828571428571E-2</v>
      </c>
      <c r="W286" s="246">
        <f t="shared" si="97"/>
        <v>4.2329571428571426E-3</v>
      </c>
      <c r="X286" s="246">
        <f t="shared" si="97"/>
        <v>0</v>
      </c>
      <c r="Y286" s="246">
        <v>0</v>
      </c>
      <c r="Z286" s="246">
        <v>0</v>
      </c>
      <c r="AA286" s="246">
        <f t="shared" si="97"/>
        <v>0</v>
      </c>
      <c r="AB286" s="246">
        <f t="shared" si="97"/>
        <v>0</v>
      </c>
      <c r="AC286" s="246">
        <f t="shared" si="97"/>
        <v>5.0795485714285717E-3</v>
      </c>
      <c r="AD286" s="246">
        <f t="shared" si="97"/>
        <v>0</v>
      </c>
      <c r="AE286" s="246">
        <f t="shared" si="97"/>
        <v>8.4659142857142863E-2</v>
      </c>
      <c r="AF286" s="246">
        <f t="shared" si="97"/>
        <v>8.4659142857142853E-3</v>
      </c>
      <c r="AG286" s="246">
        <f t="shared" si="97"/>
        <v>8.4659142857142853E-3</v>
      </c>
      <c r="AH286" s="243"/>
      <c r="AI286" s="102">
        <v>0.01</v>
      </c>
      <c r="AJ286" s="102">
        <v>1.2</v>
      </c>
      <c r="AL286" s="100">
        <v>0</v>
      </c>
      <c r="AM286" s="237">
        <v>0.3</v>
      </c>
      <c r="AN286" s="241">
        <v>0.1</v>
      </c>
      <c r="AO286" s="241">
        <v>0.24</v>
      </c>
      <c r="AP286" s="247">
        <f>(AN286*365)*(AO286*0.67*0.01*1)</f>
        <v>5.8692000000000001E-2</v>
      </c>
      <c r="AQ286" s="247">
        <f>(AN286*365)*(AO286*0.67*0.001*1)</f>
        <v>5.8691999999999998E-3</v>
      </c>
      <c r="AR286" s="248"/>
      <c r="AS286" s="247">
        <f>(AN286*365)*(AO286*0.67*0.02*1)</f>
        <v>0.117384</v>
      </c>
      <c r="AT286" s="247">
        <f>(AN286*365)*(AO286*0.67*0.01*1)</f>
        <v>5.8692000000000001E-2</v>
      </c>
      <c r="AU286" s="247">
        <f>(AN286*365)*(AO286*0.67*0.25*1)</f>
        <v>1.4673</v>
      </c>
      <c r="AV286" s="247">
        <f>(AN286*365)*(AO286*0.67*0.73*1)</f>
        <v>4.284516</v>
      </c>
      <c r="AW286" s="247">
        <v>0</v>
      </c>
      <c r="AX286" s="247" t="s">
        <v>541</v>
      </c>
      <c r="AY286" s="247">
        <v>0</v>
      </c>
      <c r="AZ286" s="247">
        <f t="shared" si="98"/>
        <v>5.8692000000000002</v>
      </c>
      <c r="BA286" s="247">
        <f t="shared" si="99"/>
        <v>0.58692</v>
      </c>
      <c r="BB286" s="247">
        <f t="shared" si="100"/>
        <v>2.9346000000000001E-2</v>
      </c>
      <c r="BC286" s="247">
        <f>(AN286*365)*(AO286*0.67*0.005*1)</f>
        <v>2.9346000000000001E-2</v>
      </c>
      <c r="BD286" s="247">
        <f>(AN286*365)*(AO286*0.67*0.0015*1)</f>
        <v>8.8038000000000005E-3</v>
      </c>
      <c r="BE286" s="247">
        <v>0</v>
      </c>
      <c r="BF286" s="168"/>
      <c r="BG286" s="168"/>
      <c r="BH286" s="168"/>
      <c r="BI286" s="203" t="s">
        <v>131</v>
      </c>
      <c r="BJ286" s="190" t="s">
        <v>169</v>
      </c>
      <c r="BK286" s="196">
        <f t="shared" si="101"/>
        <v>1.2E-2</v>
      </c>
      <c r="BL286" s="190" t="s">
        <v>413</v>
      </c>
      <c r="BM286" s="189">
        <v>0.2</v>
      </c>
      <c r="BN286" s="189">
        <v>0.5</v>
      </c>
      <c r="BO286" s="188" t="s">
        <v>258</v>
      </c>
      <c r="BP286" s="196">
        <f t="shared" si="102"/>
        <v>7.92E-3</v>
      </c>
      <c r="BQ286" s="190" t="s">
        <v>415</v>
      </c>
      <c r="BR286" s="189">
        <v>0.2</v>
      </c>
      <c r="BS286" s="189">
        <v>0.5</v>
      </c>
      <c r="BT286" s="188" t="s">
        <v>258</v>
      </c>
      <c r="BU286" s="178"/>
      <c r="BV286" s="196">
        <v>0.3</v>
      </c>
      <c r="BW286" s="190" t="s">
        <v>414</v>
      </c>
      <c r="BX286" s="178"/>
      <c r="BY286" s="196">
        <v>2.36016</v>
      </c>
      <c r="BZ286" s="190" t="s">
        <v>414</v>
      </c>
      <c r="CA286" s="178"/>
      <c r="CB286" s="180"/>
      <c r="CC286" s="178"/>
      <c r="CD286" s="178"/>
      <c r="CE286" s="180"/>
      <c r="CF286" s="180"/>
      <c r="CG286" s="180"/>
      <c r="CH286" s="180"/>
      <c r="CI286" s="178"/>
      <c r="CJ286" s="178"/>
      <c r="CK286" s="180"/>
      <c r="CL286" s="180"/>
      <c r="CM286" s="180"/>
      <c r="CN286" s="116"/>
      <c r="CO286" s="218">
        <f t="shared" si="83"/>
        <v>0.2</v>
      </c>
      <c r="CP286" s="100">
        <f t="shared" si="84"/>
        <v>0.35</v>
      </c>
      <c r="CQ286" s="218">
        <f t="shared" si="85"/>
        <v>0.5</v>
      </c>
      <c r="CR286" s="101">
        <v>0.2</v>
      </c>
      <c r="CS286" s="101">
        <v>0.5</v>
      </c>
      <c r="DA286" s="23" t="s">
        <v>131</v>
      </c>
      <c r="DB286" s="23">
        <v>1.2E-2</v>
      </c>
      <c r="DC286" s="142">
        <f t="shared" si="103"/>
        <v>0.252</v>
      </c>
      <c r="DD286" s="142">
        <f t="shared" si="104"/>
        <v>0.3</v>
      </c>
      <c r="DE286" s="23">
        <v>0.6</v>
      </c>
      <c r="DF286" s="23">
        <v>0.42</v>
      </c>
      <c r="DG286" s="142">
        <f t="shared" si="105"/>
        <v>0.252</v>
      </c>
      <c r="DH286" s="23">
        <v>0.02</v>
      </c>
      <c r="DI286" s="149">
        <f t="shared" si="106"/>
        <v>7.92E-3</v>
      </c>
      <c r="DJ286" s="149">
        <f t="shared" si="107"/>
        <v>2.4552</v>
      </c>
      <c r="DK286" s="149">
        <f t="shared" si="108"/>
        <v>2.36016</v>
      </c>
      <c r="DL286" s="150">
        <f t="shared" si="109"/>
        <v>2.7072000000000003</v>
      </c>
      <c r="DM286" s="150">
        <f t="shared" si="109"/>
        <v>2.6601599999999999</v>
      </c>
      <c r="DN286" s="116" t="s">
        <v>169</v>
      </c>
      <c r="DO286" s="101" t="s">
        <v>393</v>
      </c>
    </row>
    <row r="287" spans="1:119" s="101" customFormat="1" ht="33.75" hidden="1" customHeight="1" thickBot="1" x14ac:dyDescent="0.4">
      <c r="O287" s="227" t="s">
        <v>132</v>
      </c>
      <c r="Q287" s="243">
        <v>0.82</v>
      </c>
      <c r="R287" s="243">
        <v>1.8</v>
      </c>
      <c r="S287" s="246">
        <f t="shared" si="97"/>
        <v>0</v>
      </c>
      <c r="T287" s="246">
        <f t="shared" si="97"/>
        <v>0</v>
      </c>
      <c r="U287" s="246">
        <f t="shared" si="97"/>
        <v>4.2329571428571426E-3</v>
      </c>
      <c r="V287" s="246">
        <f t="shared" si="97"/>
        <v>1.6931828571428571E-2</v>
      </c>
      <c r="W287" s="246">
        <f t="shared" si="97"/>
        <v>4.2329571428571426E-3</v>
      </c>
      <c r="X287" s="246">
        <f t="shared" si="97"/>
        <v>0</v>
      </c>
      <c r="Y287" s="246">
        <v>0</v>
      </c>
      <c r="Z287" s="246">
        <v>0</v>
      </c>
      <c r="AA287" s="246">
        <f t="shared" si="97"/>
        <v>0</v>
      </c>
      <c r="AB287" s="246">
        <f t="shared" si="97"/>
        <v>0</v>
      </c>
      <c r="AC287" s="246">
        <f t="shared" si="97"/>
        <v>5.0795485714285717E-3</v>
      </c>
      <c r="AD287" s="246">
        <f t="shared" si="97"/>
        <v>0</v>
      </c>
      <c r="AE287" s="246">
        <f t="shared" si="97"/>
        <v>8.4659142857142863E-2</v>
      </c>
      <c r="AF287" s="246">
        <f t="shared" si="97"/>
        <v>8.4659142857142853E-3</v>
      </c>
      <c r="AG287" s="246">
        <f t="shared" si="97"/>
        <v>8.4659142857142853E-3</v>
      </c>
      <c r="AH287" s="243"/>
      <c r="AI287" s="102">
        <v>0.02</v>
      </c>
      <c r="AJ287" s="102">
        <v>1.4</v>
      </c>
      <c r="AL287" s="100">
        <v>0</v>
      </c>
      <c r="AM287" s="237">
        <v>0.3</v>
      </c>
      <c r="AN287" s="241">
        <v>0.1</v>
      </c>
      <c r="AO287" s="241">
        <v>0.24</v>
      </c>
      <c r="AP287" s="247">
        <f>(AN287*365)*(AO287*0.67*0.015*1)</f>
        <v>8.8038000000000005E-2</v>
      </c>
      <c r="AQ287" s="247">
        <f>(AN287*365)*(AO287*0.67*0.005*1)</f>
        <v>2.9346000000000001E-2</v>
      </c>
      <c r="AR287" s="248"/>
      <c r="AS287" s="247">
        <f>(AN287*365)*(AO287*0.67*0.04*1)</f>
        <v>0.234768</v>
      </c>
      <c r="AT287" s="247">
        <f>(AN287*365)*(AO287*0.67*0.015*1)</f>
        <v>8.8038000000000005E-2</v>
      </c>
      <c r="AU287" s="247">
        <f>(AN287*365)*(AO287*0.67*0.65*1)</f>
        <v>3.8149800000000003</v>
      </c>
      <c r="AV287" s="247">
        <f>(AN287*365)*(AO287*0.67*0.79*1)</f>
        <v>4.6366680000000002</v>
      </c>
      <c r="AW287" s="247">
        <v>0</v>
      </c>
      <c r="AX287" s="247" t="s">
        <v>541</v>
      </c>
      <c r="AY287" s="247">
        <v>0</v>
      </c>
      <c r="AZ287" s="247">
        <f t="shared" si="98"/>
        <v>5.8692000000000002</v>
      </c>
      <c r="BA287" s="247">
        <f t="shared" si="99"/>
        <v>0.58692</v>
      </c>
      <c r="BB287" s="247">
        <f t="shared" si="100"/>
        <v>2.9346000000000001E-2</v>
      </c>
      <c r="BC287" s="247">
        <f>(AN287*365)*(AO287*0.67*0.01*1)</f>
        <v>5.8692000000000001E-2</v>
      </c>
      <c r="BD287" s="247">
        <f>(AN287*365)*(AO287*0.67*0.0015*1)</f>
        <v>8.8038000000000005E-3</v>
      </c>
      <c r="BE287" s="247">
        <v>0</v>
      </c>
      <c r="BF287" s="168"/>
      <c r="BG287" s="168"/>
      <c r="BH287" s="168"/>
      <c r="BI287" s="203" t="s">
        <v>132</v>
      </c>
      <c r="BJ287" s="190" t="s">
        <v>169</v>
      </c>
      <c r="BK287" s="196">
        <f t="shared" si="101"/>
        <v>1.7999999999999999E-2</v>
      </c>
      <c r="BL287" s="190" t="s">
        <v>413</v>
      </c>
      <c r="BM287" s="189">
        <v>0.2</v>
      </c>
      <c r="BN287" s="189">
        <v>0.5</v>
      </c>
      <c r="BO287" s="188" t="s">
        <v>258</v>
      </c>
      <c r="BP287" s="196">
        <f t="shared" si="102"/>
        <v>7.92E-3</v>
      </c>
      <c r="BQ287" s="190" t="s">
        <v>415</v>
      </c>
      <c r="BR287" s="189">
        <v>0.2</v>
      </c>
      <c r="BS287" s="189">
        <v>0.5</v>
      </c>
      <c r="BT287" s="188" t="s">
        <v>258</v>
      </c>
      <c r="BU287" s="178"/>
      <c r="BV287" s="196">
        <v>0.44999999999999996</v>
      </c>
      <c r="BW287" s="190" t="s">
        <v>414</v>
      </c>
      <c r="BX287" s="178"/>
      <c r="BY287" s="196">
        <v>2.36016</v>
      </c>
      <c r="BZ287" s="190" t="s">
        <v>414</v>
      </c>
      <c r="CA287" s="178"/>
      <c r="CB287" s="180"/>
      <c r="CC287" s="178"/>
      <c r="CD287" s="178"/>
      <c r="CE287" s="180"/>
      <c r="CF287" s="180"/>
      <c r="CG287" s="180"/>
      <c r="CH287" s="180"/>
      <c r="CI287" s="178"/>
      <c r="CJ287" s="178"/>
      <c r="CK287" s="180"/>
      <c r="CL287" s="180"/>
      <c r="CM287" s="180"/>
      <c r="CN287" s="116"/>
      <c r="CO287" s="218">
        <f t="shared" si="83"/>
        <v>0.2</v>
      </c>
      <c r="CP287" s="100">
        <f t="shared" si="84"/>
        <v>0.35</v>
      </c>
      <c r="CQ287" s="218">
        <f t="shared" si="85"/>
        <v>0.5</v>
      </c>
      <c r="CR287" s="101">
        <v>0.2</v>
      </c>
      <c r="CS287" s="101">
        <v>0.5</v>
      </c>
      <c r="DA287" s="23" t="s">
        <v>132</v>
      </c>
      <c r="DB287" s="23">
        <v>1.7999999999999999E-2</v>
      </c>
      <c r="DC287" s="142">
        <f t="shared" si="103"/>
        <v>0.37799999999999995</v>
      </c>
      <c r="DD287" s="142">
        <f t="shared" si="104"/>
        <v>0.44999999999999996</v>
      </c>
      <c r="DE287" s="23">
        <v>0.6</v>
      </c>
      <c r="DF287" s="23">
        <v>0.42</v>
      </c>
      <c r="DG287" s="142">
        <f t="shared" si="105"/>
        <v>0.252</v>
      </c>
      <c r="DH287" s="23">
        <v>0.02</v>
      </c>
      <c r="DI287" s="149">
        <f t="shared" si="106"/>
        <v>7.92E-3</v>
      </c>
      <c r="DJ287" s="149">
        <f t="shared" si="107"/>
        <v>2.4552</v>
      </c>
      <c r="DK287" s="149">
        <f t="shared" si="108"/>
        <v>2.36016</v>
      </c>
      <c r="DL287" s="150">
        <f t="shared" si="109"/>
        <v>2.8332000000000002</v>
      </c>
      <c r="DM287" s="150">
        <f t="shared" si="109"/>
        <v>2.8101599999999998</v>
      </c>
      <c r="DN287" s="116" t="s">
        <v>169</v>
      </c>
      <c r="DO287" s="101" t="s">
        <v>393</v>
      </c>
    </row>
    <row r="288" spans="1:119" s="101" customFormat="1" ht="33.75" hidden="1" customHeight="1" thickBot="1" x14ac:dyDescent="0.4">
      <c r="O288" s="227" t="s">
        <v>133</v>
      </c>
      <c r="Q288" s="243">
        <v>0.82</v>
      </c>
      <c r="R288" s="243">
        <v>1.8</v>
      </c>
      <c r="S288" s="246">
        <f t="shared" si="97"/>
        <v>0</v>
      </c>
      <c r="T288" s="246">
        <f t="shared" si="97"/>
        <v>0</v>
      </c>
      <c r="U288" s="246">
        <f t="shared" si="97"/>
        <v>4.2329571428571426E-3</v>
      </c>
      <c r="V288" s="246">
        <f t="shared" si="97"/>
        <v>1.6931828571428571E-2</v>
      </c>
      <c r="W288" s="246">
        <f t="shared" si="97"/>
        <v>4.2329571428571426E-3</v>
      </c>
      <c r="X288" s="246">
        <f t="shared" si="97"/>
        <v>0</v>
      </c>
      <c r="Y288" s="246">
        <v>0</v>
      </c>
      <c r="Z288" s="246">
        <v>0</v>
      </c>
      <c r="AA288" s="246">
        <f t="shared" si="97"/>
        <v>0</v>
      </c>
      <c r="AB288" s="246">
        <f t="shared" si="97"/>
        <v>0</v>
      </c>
      <c r="AC288" s="246">
        <f t="shared" si="97"/>
        <v>5.0795485714285717E-3</v>
      </c>
      <c r="AD288" s="246">
        <f t="shared" si="97"/>
        <v>0</v>
      </c>
      <c r="AE288" s="246">
        <f t="shared" si="97"/>
        <v>8.4659142857142863E-2</v>
      </c>
      <c r="AF288" s="246">
        <f t="shared" si="97"/>
        <v>8.4659142857142853E-3</v>
      </c>
      <c r="AG288" s="246">
        <f t="shared" si="97"/>
        <v>8.4659142857142853E-3</v>
      </c>
      <c r="AH288" s="243"/>
      <c r="AI288" s="102">
        <v>0.02</v>
      </c>
      <c r="AJ288" s="102">
        <v>1.4</v>
      </c>
      <c r="AL288" s="100">
        <v>0</v>
      </c>
      <c r="AM288" s="237">
        <v>0.3</v>
      </c>
      <c r="AN288" s="241">
        <v>0.1</v>
      </c>
      <c r="AO288" s="241">
        <v>0.24</v>
      </c>
      <c r="AP288" s="247">
        <f>(AN288*365)*(AO288*0.67*0.02*1)</f>
        <v>0.117384</v>
      </c>
      <c r="AQ288" s="247">
        <f>(AN288*365)*(AO288*0.67*0.01*1)</f>
        <v>5.8692000000000001E-2</v>
      </c>
      <c r="AR288" s="248"/>
      <c r="AS288" s="247">
        <f>(AN288*365)*(AO288*0.67*0.05*1)</f>
        <v>0.29346</v>
      </c>
      <c r="AT288" s="247">
        <f>(AN288*365)*(AO288*0.67*0.02*1)</f>
        <v>0.117384</v>
      </c>
      <c r="AU288" s="247">
        <f>(AN288*365)*(AO288*0.67*0.8*1)</f>
        <v>4.69536</v>
      </c>
      <c r="AV288" s="247">
        <f>(AN288*365)*(AO288*0.67*0.8*1)</f>
        <v>4.69536</v>
      </c>
      <c r="AW288" s="247">
        <v>0</v>
      </c>
      <c r="AX288" s="247" t="s">
        <v>541</v>
      </c>
      <c r="AY288" s="247">
        <v>0</v>
      </c>
      <c r="AZ288" s="247">
        <f t="shared" si="98"/>
        <v>5.8692000000000002</v>
      </c>
      <c r="BA288" s="247">
        <f t="shared" si="99"/>
        <v>0.58692</v>
      </c>
      <c r="BB288" s="247">
        <f t="shared" si="100"/>
        <v>2.9346000000000001E-2</v>
      </c>
      <c r="BC288" s="247">
        <f>(AN288*365)*(AO288*0.67*0.015*1)</f>
        <v>8.8038000000000005E-2</v>
      </c>
      <c r="BD288" s="247">
        <f>(AN288*365)*(AO288*0.67*0.0015*1)</f>
        <v>8.8038000000000005E-3</v>
      </c>
      <c r="BE288" s="247">
        <v>0</v>
      </c>
      <c r="BF288" s="168"/>
      <c r="BG288" s="168"/>
      <c r="BH288" s="168"/>
      <c r="BI288" s="203" t="s">
        <v>133</v>
      </c>
      <c r="BJ288" s="190" t="s">
        <v>169</v>
      </c>
      <c r="BK288" s="196">
        <f t="shared" si="101"/>
        <v>2.3E-2</v>
      </c>
      <c r="BL288" s="190" t="s">
        <v>413</v>
      </c>
      <c r="BM288" s="189">
        <v>0.2</v>
      </c>
      <c r="BN288" s="189">
        <v>0.5</v>
      </c>
      <c r="BO288" s="188" t="s">
        <v>258</v>
      </c>
      <c r="BP288" s="196">
        <f t="shared" si="102"/>
        <v>7.92E-3</v>
      </c>
      <c r="BQ288" s="190" t="s">
        <v>415</v>
      </c>
      <c r="BR288" s="189">
        <v>0.2</v>
      </c>
      <c r="BS288" s="189">
        <v>0.5</v>
      </c>
      <c r="BT288" s="188" t="s">
        <v>258</v>
      </c>
      <c r="BU288" s="178"/>
      <c r="BV288" s="196">
        <v>0.57499999999999996</v>
      </c>
      <c r="BW288" s="190" t="s">
        <v>414</v>
      </c>
      <c r="BX288" s="178"/>
      <c r="BY288" s="196">
        <v>2.36016</v>
      </c>
      <c r="BZ288" s="190" t="s">
        <v>414</v>
      </c>
      <c r="CA288" s="178"/>
      <c r="CB288" s="180"/>
      <c r="CC288" s="178"/>
      <c r="CD288" s="178"/>
      <c r="CE288" s="180"/>
      <c r="CF288" s="180"/>
      <c r="CG288" s="180"/>
      <c r="CH288" s="180"/>
      <c r="CI288" s="178"/>
      <c r="CJ288" s="178"/>
      <c r="CK288" s="180"/>
      <c r="CL288" s="180"/>
      <c r="CM288" s="180"/>
      <c r="CN288" s="116"/>
      <c r="CO288" s="218">
        <f t="shared" si="83"/>
        <v>0.2</v>
      </c>
      <c r="CP288" s="100">
        <f t="shared" si="84"/>
        <v>0.35</v>
      </c>
      <c r="CQ288" s="218">
        <f t="shared" si="85"/>
        <v>0.5</v>
      </c>
      <c r="CR288" s="101">
        <v>0.2</v>
      </c>
      <c r="CS288" s="101">
        <v>0.5</v>
      </c>
      <c r="DA288" s="23" t="s">
        <v>133</v>
      </c>
      <c r="DB288" s="23">
        <v>2.3E-2</v>
      </c>
      <c r="DC288" s="142">
        <f t="shared" si="103"/>
        <v>0.48299999999999998</v>
      </c>
      <c r="DD288" s="142">
        <f t="shared" si="104"/>
        <v>0.57499999999999996</v>
      </c>
      <c r="DE288" s="23">
        <v>0.6</v>
      </c>
      <c r="DF288" s="23">
        <v>0.42</v>
      </c>
      <c r="DG288" s="142">
        <f t="shared" si="105"/>
        <v>0.252</v>
      </c>
      <c r="DH288" s="23">
        <v>0.02</v>
      </c>
      <c r="DI288" s="149">
        <f t="shared" si="106"/>
        <v>7.92E-3</v>
      </c>
      <c r="DJ288" s="149">
        <f t="shared" si="107"/>
        <v>2.4552</v>
      </c>
      <c r="DK288" s="149">
        <f t="shared" si="108"/>
        <v>2.36016</v>
      </c>
      <c r="DL288" s="150">
        <f t="shared" si="109"/>
        <v>2.9382000000000001</v>
      </c>
      <c r="DM288" s="150">
        <f t="shared" si="109"/>
        <v>2.9351599999999998</v>
      </c>
      <c r="DN288" s="116" t="s">
        <v>169</v>
      </c>
      <c r="DO288" s="101" t="s">
        <v>393</v>
      </c>
    </row>
    <row r="289" spans="15:119" s="101" customFormat="1" ht="33.75" hidden="1" customHeight="1" thickBot="1" x14ac:dyDescent="0.4">
      <c r="O289" s="227" t="s">
        <v>134</v>
      </c>
      <c r="Q289" s="243">
        <v>1.17</v>
      </c>
      <c r="R289" s="243">
        <v>28</v>
      </c>
      <c r="S289" s="246">
        <f t="shared" si="97"/>
        <v>0</v>
      </c>
      <c r="T289" s="246">
        <f t="shared" si="97"/>
        <v>0</v>
      </c>
      <c r="U289" s="246">
        <f t="shared" si="97"/>
        <v>9.3950999999999993E-2</v>
      </c>
      <c r="V289" s="246">
        <f t="shared" si="97"/>
        <v>0.37580399999999997</v>
      </c>
      <c r="W289" s="246">
        <f t="shared" si="97"/>
        <v>9.3950999999999993E-2</v>
      </c>
      <c r="X289" s="246">
        <f t="shared" si="97"/>
        <v>0</v>
      </c>
      <c r="Y289" s="246">
        <f t="shared" si="97"/>
        <v>0.18790199999999999</v>
      </c>
      <c r="Z289" s="246">
        <f t="shared" si="97"/>
        <v>1.3153140000000001</v>
      </c>
      <c r="AA289" s="246">
        <f t="shared" si="97"/>
        <v>0</v>
      </c>
      <c r="AB289" s="246">
        <f t="shared" si="97"/>
        <v>0</v>
      </c>
      <c r="AC289" s="246">
        <f t="shared" si="97"/>
        <v>0.1127412</v>
      </c>
      <c r="AD289" s="246">
        <f t="shared" si="97"/>
        <v>0</v>
      </c>
      <c r="AE289" s="246">
        <f t="shared" si="97"/>
        <v>1.8790199999999999</v>
      </c>
      <c r="AF289" s="246">
        <v>0</v>
      </c>
      <c r="AG289" s="246">
        <f t="shared" si="97"/>
        <v>0.18790199999999999</v>
      </c>
      <c r="AH289" s="243"/>
      <c r="AI289" s="102">
        <v>0.1</v>
      </c>
      <c r="AJ289" s="100">
        <v>0</v>
      </c>
      <c r="AL289" s="100">
        <v>0</v>
      </c>
      <c r="AM289" s="237">
        <v>0.3</v>
      </c>
      <c r="AN289" s="241">
        <v>0.32</v>
      </c>
      <c r="AO289" s="241">
        <v>0.13</v>
      </c>
      <c r="AP289" s="247">
        <f>(AN289*365)*(AO289*0.67*0.01*1)</f>
        <v>0.10173280000000001</v>
      </c>
      <c r="AQ289" s="247">
        <f>(AN289*365)*(AO289*0.67*0.001*1)</f>
        <v>1.0173280000000002E-2</v>
      </c>
      <c r="AR289" s="248"/>
      <c r="AS289" s="247">
        <f>(AN289*365)*(AO289*0.67*0.02*1)</f>
        <v>0.20346560000000002</v>
      </c>
      <c r="AT289" s="247">
        <f>(AN289*365)*(AO289*0.67*0.01*1)</f>
        <v>0.10173280000000001</v>
      </c>
      <c r="AU289" s="247">
        <f>(AN289*365)*(AO289*0.67*0.25*1)</f>
        <v>2.5433200000000005</v>
      </c>
      <c r="AV289" s="247">
        <f>(AN289*365)*(AO289*0.67*0.73*1)</f>
        <v>7.4264944000000002</v>
      </c>
      <c r="AW289" s="247">
        <f>(AN289*365)*(AO289*0.67*0.03*1)</f>
        <v>0.30519840000000004</v>
      </c>
      <c r="AX289" s="248"/>
      <c r="AY289" s="247">
        <f>(AN289*365)*(AO289*0.67*0.25*1)</f>
        <v>2.5433200000000005</v>
      </c>
      <c r="AZ289" s="247">
        <f t="shared" si="98"/>
        <v>10.173280000000002</v>
      </c>
      <c r="BA289" s="247">
        <f t="shared" si="99"/>
        <v>1.017328</v>
      </c>
      <c r="BB289" s="247">
        <f t="shared" si="100"/>
        <v>5.0866400000000006E-2</v>
      </c>
      <c r="BC289" s="247">
        <f>(AN289*365)*(AO289*0.67*0.005*1)</f>
        <v>5.0866400000000006E-2</v>
      </c>
      <c r="BD289" s="247">
        <v>0</v>
      </c>
      <c r="BE289" s="247">
        <v>0</v>
      </c>
      <c r="BF289" s="168"/>
      <c r="BG289" s="168"/>
      <c r="BH289" s="168"/>
      <c r="BI289" s="203" t="s">
        <v>134</v>
      </c>
      <c r="BJ289" s="190" t="s">
        <v>168</v>
      </c>
      <c r="BK289" s="196">
        <f t="shared" si="101"/>
        <v>0.1</v>
      </c>
      <c r="BL289" s="190" t="s">
        <v>413</v>
      </c>
      <c r="BM289" s="189">
        <v>0.2</v>
      </c>
      <c r="BN289" s="189">
        <v>0.5</v>
      </c>
      <c r="BO289" s="188" t="s">
        <v>258</v>
      </c>
      <c r="BP289" s="196">
        <f t="shared" si="102"/>
        <v>0.37714285714285711</v>
      </c>
      <c r="BQ289" s="190" t="s">
        <v>415</v>
      </c>
      <c r="BR289" s="189">
        <v>0.2</v>
      </c>
      <c r="BS289" s="189">
        <v>0.5</v>
      </c>
      <c r="BT289" s="188" t="s">
        <v>258</v>
      </c>
      <c r="BU289" s="178"/>
      <c r="BV289" s="196">
        <v>2.5</v>
      </c>
      <c r="BW289" s="190" t="s">
        <v>414</v>
      </c>
      <c r="BX289" s="178"/>
      <c r="BY289" s="196">
        <v>112.38857142857142</v>
      </c>
      <c r="BZ289" s="190" t="s">
        <v>414</v>
      </c>
      <c r="CA289" s="178"/>
      <c r="CB289" s="180"/>
      <c r="CC289" s="178"/>
      <c r="CD289" s="178"/>
      <c r="CE289" s="180"/>
      <c r="CF289" s="180"/>
      <c r="CG289" s="180"/>
      <c r="CH289" s="180"/>
      <c r="CI289" s="178"/>
      <c r="CJ289" s="178"/>
      <c r="CK289" s="180"/>
      <c r="CL289" s="180"/>
      <c r="CM289" s="180"/>
      <c r="CN289" s="116"/>
      <c r="CO289" s="218">
        <f t="shared" si="83"/>
        <v>0.2</v>
      </c>
      <c r="CP289" s="100">
        <f t="shared" si="84"/>
        <v>0.35</v>
      </c>
      <c r="CQ289" s="218">
        <f t="shared" si="85"/>
        <v>0.5</v>
      </c>
      <c r="CR289" s="101">
        <v>0.2</v>
      </c>
      <c r="CS289" s="101">
        <v>0.5</v>
      </c>
      <c r="DA289" s="23" t="s">
        <v>134</v>
      </c>
      <c r="DB289" s="23">
        <v>0.1</v>
      </c>
      <c r="DC289" s="142">
        <f t="shared" si="103"/>
        <v>2.1</v>
      </c>
      <c r="DD289" s="142">
        <f t="shared" si="104"/>
        <v>2.5</v>
      </c>
      <c r="DE289" s="23">
        <v>12</v>
      </c>
      <c r="DF289" s="23">
        <v>1</v>
      </c>
      <c r="DG289" s="142">
        <f t="shared" si="105"/>
        <v>12</v>
      </c>
      <c r="DH289" s="23">
        <v>0.02</v>
      </c>
      <c r="DI289" s="149">
        <f t="shared" si="106"/>
        <v>0.37714285714285711</v>
      </c>
      <c r="DJ289" s="149">
        <f t="shared" si="107"/>
        <v>116.91428571428571</v>
      </c>
      <c r="DK289" s="149">
        <f t="shared" si="108"/>
        <v>112.38857142857142</v>
      </c>
      <c r="DL289" s="150">
        <f t="shared" si="109"/>
        <v>119.01428571428571</v>
      </c>
      <c r="DM289" s="150">
        <f t="shared" si="109"/>
        <v>114.88857142857142</v>
      </c>
      <c r="DN289" s="116" t="s">
        <v>168</v>
      </c>
      <c r="DO289" s="101" t="s">
        <v>392</v>
      </c>
    </row>
    <row r="290" spans="15:119" s="101" customFormat="1" ht="33.75" hidden="1" customHeight="1" thickBot="1" x14ac:dyDescent="0.4">
      <c r="O290" s="227" t="s">
        <v>335</v>
      </c>
      <c r="Q290" s="243">
        <v>1.17</v>
      </c>
      <c r="R290" s="243">
        <v>28</v>
      </c>
      <c r="S290" s="246">
        <f t="shared" si="97"/>
        <v>0</v>
      </c>
      <c r="T290" s="246">
        <f t="shared" si="97"/>
        <v>0</v>
      </c>
      <c r="U290" s="246">
        <f t="shared" si="97"/>
        <v>9.3950999999999993E-2</v>
      </c>
      <c r="V290" s="246">
        <f t="shared" si="97"/>
        <v>0.37580399999999997</v>
      </c>
      <c r="W290" s="246">
        <f t="shared" si="97"/>
        <v>9.3950999999999993E-2</v>
      </c>
      <c r="X290" s="246">
        <f t="shared" si="97"/>
        <v>0</v>
      </c>
      <c r="Y290" s="246">
        <f t="shared" si="97"/>
        <v>0.18790199999999999</v>
      </c>
      <c r="Z290" s="246">
        <f t="shared" si="97"/>
        <v>1.3153140000000001</v>
      </c>
      <c r="AA290" s="246">
        <f t="shared" si="97"/>
        <v>0</v>
      </c>
      <c r="AB290" s="246">
        <f t="shared" si="97"/>
        <v>0</v>
      </c>
      <c r="AC290" s="246">
        <f t="shared" si="97"/>
        <v>0.1127412</v>
      </c>
      <c r="AD290" s="246">
        <f t="shared" si="97"/>
        <v>0</v>
      </c>
      <c r="AE290" s="246">
        <f t="shared" si="97"/>
        <v>1.8790199999999999</v>
      </c>
      <c r="AF290" s="246">
        <v>0</v>
      </c>
      <c r="AG290" s="246">
        <f t="shared" si="97"/>
        <v>0.18790199999999999</v>
      </c>
      <c r="AH290" s="243"/>
      <c r="AI290" s="102">
        <v>0.15</v>
      </c>
      <c r="AJ290" s="100">
        <v>0</v>
      </c>
      <c r="AL290" s="100">
        <v>0</v>
      </c>
      <c r="AM290" s="237">
        <v>0.3</v>
      </c>
      <c r="AN290" s="241">
        <v>0.32</v>
      </c>
      <c r="AO290" s="241">
        <v>0.13</v>
      </c>
      <c r="AP290" s="247">
        <f>(AN290*365)*(AO290*0.67*0.015*1)</f>
        <v>0.15259920000000002</v>
      </c>
      <c r="AQ290" s="247">
        <f>(AN290*365)*(AO290*0.67*0.005*1)</f>
        <v>5.0866400000000006E-2</v>
      </c>
      <c r="AR290" s="248"/>
      <c r="AS290" s="247">
        <f>(AN290*365)*(AO290*0.67*0.04*1)</f>
        <v>0.40693120000000005</v>
      </c>
      <c r="AT290" s="247">
        <f>(AN290*365)*(AO290*0.67*0.015*1)</f>
        <v>0.15259920000000002</v>
      </c>
      <c r="AU290" s="247">
        <f>(AN290*365)*(AO290*0.67*0.65*1)</f>
        <v>6.6126320000000005</v>
      </c>
      <c r="AV290" s="247">
        <f>(AN290*365)*(AO290*0.67*0.79*1)</f>
        <v>8.0368912000000012</v>
      </c>
      <c r="AW290" s="247">
        <f>(AN290*365)*(AO290*0.67*0.03*1)</f>
        <v>0.30519840000000004</v>
      </c>
      <c r="AX290" s="248"/>
      <c r="AY290" s="247">
        <f>(AN290*365)*(AO290*0.67*0.65*1)</f>
        <v>6.6126320000000005</v>
      </c>
      <c r="AZ290" s="247">
        <f t="shared" si="98"/>
        <v>10.173280000000002</v>
      </c>
      <c r="BA290" s="247">
        <f t="shared" si="99"/>
        <v>1.017328</v>
      </c>
      <c r="BB290" s="247">
        <f t="shared" si="100"/>
        <v>5.0866400000000006E-2</v>
      </c>
      <c r="BC290" s="247">
        <f>(AN290*365)*(AO290*0.67*0.01*1)</f>
        <v>0.10173280000000001</v>
      </c>
      <c r="BD290" s="247">
        <v>0</v>
      </c>
      <c r="BE290" s="247">
        <v>0</v>
      </c>
      <c r="BF290" s="168"/>
      <c r="BG290" s="168"/>
      <c r="BH290" s="168"/>
      <c r="BI290" s="203" t="s">
        <v>335</v>
      </c>
      <c r="BJ290" s="190" t="s">
        <v>168</v>
      </c>
      <c r="BK290" s="196">
        <f t="shared" si="101"/>
        <v>0.16</v>
      </c>
      <c r="BL290" s="190" t="s">
        <v>413</v>
      </c>
      <c r="BM290" s="189">
        <v>0.2</v>
      </c>
      <c r="BN290" s="189">
        <v>0.5</v>
      </c>
      <c r="BO290" s="188" t="s">
        <v>258</v>
      </c>
      <c r="BP290" s="196">
        <f t="shared" si="102"/>
        <v>0.37714285714285711</v>
      </c>
      <c r="BQ290" s="190" t="s">
        <v>415</v>
      </c>
      <c r="BR290" s="189">
        <v>0.2</v>
      </c>
      <c r="BS290" s="189">
        <v>0.5</v>
      </c>
      <c r="BT290" s="188" t="s">
        <v>258</v>
      </c>
      <c r="BU290" s="180"/>
      <c r="BV290" s="196">
        <v>4</v>
      </c>
      <c r="BW290" s="190" t="s">
        <v>414</v>
      </c>
      <c r="BX290" s="180"/>
      <c r="BY290" s="196">
        <v>112.38857142857142</v>
      </c>
      <c r="BZ290" s="190" t="s">
        <v>414</v>
      </c>
      <c r="CA290" s="178"/>
      <c r="CB290" s="180"/>
      <c r="CC290" s="178"/>
      <c r="CD290" s="178"/>
      <c r="CE290" s="180"/>
      <c r="CF290" s="180"/>
      <c r="CG290" s="180"/>
      <c r="CH290" s="180"/>
      <c r="CI290" s="178"/>
      <c r="CJ290" s="178"/>
      <c r="CK290" s="180"/>
      <c r="CL290" s="180"/>
      <c r="CM290" s="180"/>
      <c r="CN290" s="116"/>
      <c r="CO290" s="218">
        <f t="shared" si="83"/>
        <v>0.2</v>
      </c>
      <c r="CP290" s="100">
        <f t="shared" si="84"/>
        <v>0.35</v>
      </c>
      <c r="CQ290" s="218">
        <f t="shared" si="85"/>
        <v>0.5</v>
      </c>
      <c r="CR290" s="101">
        <v>0.2</v>
      </c>
      <c r="CS290" s="101">
        <v>0.5</v>
      </c>
      <c r="DA290" s="23" t="s">
        <v>335</v>
      </c>
      <c r="DB290" s="23">
        <v>0.16</v>
      </c>
      <c r="DC290" s="142">
        <f t="shared" si="103"/>
        <v>3.36</v>
      </c>
      <c r="DD290" s="142">
        <f t="shared" si="104"/>
        <v>4</v>
      </c>
      <c r="DE290" s="23">
        <v>12</v>
      </c>
      <c r="DF290" s="23">
        <v>1</v>
      </c>
      <c r="DG290" s="142">
        <f t="shared" si="105"/>
        <v>12</v>
      </c>
      <c r="DH290" s="23">
        <v>0.02</v>
      </c>
      <c r="DI290" s="149">
        <f t="shared" si="106"/>
        <v>0.37714285714285711</v>
      </c>
      <c r="DJ290" s="149">
        <f t="shared" si="107"/>
        <v>116.91428571428571</v>
      </c>
      <c r="DK290" s="149">
        <f t="shared" si="108"/>
        <v>112.38857142857142</v>
      </c>
      <c r="DL290" s="150">
        <f t="shared" si="109"/>
        <v>120.27428571428571</v>
      </c>
      <c r="DM290" s="150">
        <f t="shared" si="109"/>
        <v>116.38857142857142</v>
      </c>
      <c r="DN290" s="116" t="s">
        <v>168</v>
      </c>
      <c r="DO290" s="101" t="s">
        <v>392</v>
      </c>
    </row>
    <row r="291" spans="15:119" s="101" customFormat="1" ht="33.75" hidden="1" customHeight="1" thickBot="1" x14ac:dyDescent="0.4">
      <c r="O291" s="227" t="s">
        <v>136</v>
      </c>
      <c r="Q291" s="243">
        <v>1.17</v>
      </c>
      <c r="R291" s="243">
        <v>28</v>
      </c>
      <c r="S291" s="246">
        <f t="shared" si="97"/>
        <v>0</v>
      </c>
      <c r="T291" s="246">
        <f t="shared" si="97"/>
        <v>0</v>
      </c>
      <c r="U291" s="246">
        <f t="shared" si="97"/>
        <v>9.3950999999999993E-2</v>
      </c>
      <c r="V291" s="246">
        <f t="shared" si="97"/>
        <v>0.37580399999999997</v>
      </c>
      <c r="W291" s="246">
        <f t="shared" si="97"/>
        <v>9.3950999999999993E-2</v>
      </c>
      <c r="X291" s="246">
        <f t="shared" si="97"/>
        <v>0</v>
      </c>
      <c r="Y291" s="246">
        <f t="shared" si="97"/>
        <v>0.18790199999999999</v>
      </c>
      <c r="Z291" s="246">
        <f t="shared" si="97"/>
        <v>1.3153140000000001</v>
      </c>
      <c r="AA291" s="246">
        <f t="shared" si="97"/>
        <v>0</v>
      </c>
      <c r="AB291" s="246">
        <f t="shared" si="97"/>
        <v>0</v>
      </c>
      <c r="AC291" s="246">
        <f t="shared" si="97"/>
        <v>0.1127412</v>
      </c>
      <c r="AD291" s="246">
        <f t="shared" si="97"/>
        <v>0</v>
      </c>
      <c r="AE291" s="246">
        <f t="shared" si="97"/>
        <v>1.8790199999999999</v>
      </c>
      <c r="AF291" s="246">
        <v>0</v>
      </c>
      <c r="AG291" s="246">
        <f t="shared" si="97"/>
        <v>0.18790199999999999</v>
      </c>
      <c r="AH291" s="243"/>
      <c r="AI291" s="102">
        <v>0.2</v>
      </c>
      <c r="AJ291" s="100">
        <v>0</v>
      </c>
      <c r="AL291" s="100">
        <v>0</v>
      </c>
      <c r="AM291" s="237">
        <v>0.3</v>
      </c>
      <c r="AN291" s="241">
        <v>0.32</v>
      </c>
      <c r="AO291" s="241">
        <v>0.13</v>
      </c>
      <c r="AP291" s="247">
        <f>(AN291*365)*(AO291*0.67*0.02*1)</f>
        <v>0.20346560000000002</v>
      </c>
      <c r="AQ291" s="247">
        <f>(AN291*365)*(AO291*0.67*0.01*1)</f>
        <v>0.10173280000000001</v>
      </c>
      <c r="AR291" s="248"/>
      <c r="AS291" s="247">
        <f>(AN291*365)*(AO291*0.67*0.05*1)</f>
        <v>0.50866400000000001</v>
      </c>
      <c r="AT291" s="247">
        <f>(AN291*365)*(AO291*0.67*0.02*1)</f>
        <v>0.20346560000000002</v>
      </c>
      <c r="AU291" s="247">
        <f>(AN291*365)*(AO291*0.67*0.8*1)</f>
        <v>8.1386240000000001</v>
      </c>
      <c r="AV291" s="247">
        <f>(AN291*365)*(AO291*0.67*0.8*1)</f>
        <v>8.1386240000000001</v>
      </c>
      <c r="AW291" s="247">
        <f>(AN291*365)*(AO291*0.67*0.3*1)</f>
        <v>3.0519840000000005</v>
      </c>
      <c r="AX291" s="248"/>
      <c r="AY291" s="247">
        <f>(AN291*365)*(AO291*0.67*0.8*1)</f>
        <v>8.1386240000000001</v>
      </c>
      <c r="AZ291" s="247">
        <f t="shared" si="98"/>
        <v>10.173280000000002</v>
      </c>
      <c r="BA291" s="247">
        <f t="shared" si="99"/>
        <v>1.017328</v>
      </c>
      <c r="BB291" s="247">
        <f t="shared" si="100"/>
        <v>5.0866400000000006E-2</v>
      </c>
      <c r="BC291" s="247">
        <f>(AN291*365)*(AO291*0.67*0.015*1)</f>
        <v>0.15259920000000002</v>
      </c>
      <c r="BD291" s="247">
        <v>0</v>
      </c>
      <c r="BE291" s="247">
        <v>0</v>
      </c>
      <c r="BF291" s="168"/>
      <c r="BG291" s="168"/>
      <c r="BH291" s="168"/>
      <c r="BI291" s="203" t="s">
        <v>136</v>
      </c>
      <c r="BJ291" s="190" t="s">
        <v>168</v>
      </c>
      <c r="BK291" s="196">
        <f t="shared" si="101"/>
        <v>0.21</v>
      </c>
      <c r="BL291" s="190" t="s">
        <v>413</v>
      </c>
      <c r="BM291" s="189">
        <v>0.2</v>
      </c>
      <c r="BN291" s="189">
        <v>0.5</v>
      </c>
      <c r="BO291" s="188" t="s">
        <v>258</v>
      </c>
      <c r="BP291" s="196">
        <f t="shared" si="102"/>
        <v>0.37714285714285711</v>
      </c>
      <c r="BQ291" s="190" t="s">
        <v>415</v>
      </c>
      <c r="BR291" s="189">
        <v>0.2</v>
      </c>
      <c r="BS291" s="189">
        <v>0.5</v>
      </c>
      <c r="BT291" s="188" t="s">
        <v>258</v>
      </c>
      <c r="BU291" s="180"/>
      <c r="BV291" s="196">
        <v>5.25</v>
      </c>
      <c r="BW291" s="190" t="s">
        <v>414</v>
      </c>
      <c r="BX291" s="180"/>
      <c r="BY291" s="196">
        <v>112.38857142857142</v>
      </c>
      <c r="BZ291" s="190" t="s">
        <v>414</v>
      </c>
      <c r="CA291" s="178"/>
      <c r="CB291" s="180"/>
      <c r="CC291" s="178"/>
      <c r="CD291" s="178"/>
      <c r="CE291" s="180"/>
      <c r="CF291" s="180"/>
      <c r="CG291" s="180"/>
      <c r="CH291" s="180"/>
      <c r="CI291" s="178"/>
      <c r="CJ291" s="178"/>
      <c r="CK291" s="180"/>
      <c r="CL291" s="180"/>
      <c r="CM291" s="180"/>
      <c r="CN291" s="116"/>
      <c r="CO291" s="218">
        <f t="shared" si="83"/>
        <v>0.2</v>
      </c>
      <c r="CP291" s="100">
        <f t="shared" si="84"/>
        <v>0.35</v>
      </c>
      <c r="CQ291" s="218">
        <f t="shared" si="85"/>
        <v>0.5</v>
      </c>
      <c r="CR291" s="101">
        <v>0.2</v>
      </c>
      <c r="CS291" s="101">
        <v>0.5</v>
      </c>
      <c r="DA291" s="23" t="s">
        <v>136</v>
      </c>
      <c r="DB291" s="23">
        <v>0.21</v>
      </c>
      <c r="DC291" s="142">
        <f t="shared" si="103"/>
        <v>4.41</v>
      </c>
      <c r="DD291" s="142">
        <f t="shared" si="104"/>
        <v>5.25</v>
      </c>
      <c r="DE291" s="23">
        <v>12</v>
      </c>
      <c r="DF291" s="23">
        <v>1</v>
      </c>
      <c r="DG291" s="142">
        <f t="shared" si="105"/>
        <v>12</v>
      </c>
      <c r="DH291" s="23">
        <v>0.02</v>
      </c>
      <c r="DI291" s="149">
        <f t="shared" si="106"/>
        <v>0.37714285714285711</v>
      </c>
      <c r="DJ291" s="149">
        <f t="shared" si="107"/>
        <v>116.91428571428571</v>
      </c>
      <c r="DK291" s="149">
        <f t="shared" si="108"/>
        <v>112.38857142857142</v>
      </c>
      <c r="DL291" s="150">
        <f t="shared" si="109"/>
        <v>121.32428571428571</v>
      </c>
      <c r="DM291" s="150">
        <f t="shared" si="109"/>
        <v>117.63857142857142</v>
      </c>
      <c r="DN291" s="116" t="s">
        <v>168</v>
      </c>
      <c r="DO291" s="101" t="s">
        <v>392</v>
      </c>
    </row>
    <row r="292" spans="15:119" s="101" customFormat="1" ht="33.75" hidden="1" customHeight="1" thickBot="1" x14ac:dyDescent="0.4">
      <c r="O292" s="227" t="s">
        <v>523</v>
      </c>
      <c r="Q292" s="243">
        <v>1.57</v>
      </c>
      <c r="R292" s="243">
        <v>28</v>
      </c>
      <c r="S292" s="246">
        <f t="shared" si="97"/>
        <v>0</v>
      </c>
      <c r="T292" s="246">
        <f t="shared" si="97"/>
        <v>0</v>
      </c>
      <c r="U292" s="246">
        <f t="shared" si="97"/>
        <v>0.12607100000000002</v>
      </c>
      <c r="V292" s="246">
        <f t="shared" si="97"/>
        <v>0.50428400000000007</v>
      </c>
      <c r="W292" s="246">
        <f t="shared" si="97"/>
        <v>0.12607100000000002</v>
      </c>
      <c r="X292" s="246">
        <f t="shared" si="97"/>
        <v>0</v>
      </c>
      <c r="Y292" s="246">
        <f t="shared" si="97"/>
        <v>0.25214200000000003</v>
      </c>
      <c r="Z292" s="246">
        <f t="shared" si="97"/>
        <v>1.7649940000000004</v>
      </c>
      <c r="AA292" s="246">
        <f t="shared" si="97"/>
        <v>0</v>
      </c>
      <c r="AB292" s="246">
        <f t="shared" si="97"/>
        <v>0</v>
      </c>
      <c r="AC292" s="246">
        <f t="shared" si="97"/>
        <v>0.15128520000000001</v>
      </c>
      <c r="AD292" s="246">
        <f t="shared" si="97"/>
        <v>0</v>
      </c>
      <c r="AE292" s="246">
        <f t="shared" si="97"/>
        <v>2.52142</v>
      </c>
      <c r="AF292" s="246">
        <v>0</v>
      </c>
      <c r="AG292" s="246">
        <f t="shared" si="97"/>
        <v>0.25214200000000003</v>
      </c>
      <c r="AH292" s="243"/>
      <c r="AI292" s="102">
        <v>1</v>
      </c>
      <c r="AJ292" s="102">
        <v>12</v>
      </c>
      <c r="AL292" s="102">
        <v>8</v>
      </c>
      <c r="AM292" s="237">
        <v>0.3</v>
      </c>
      <c r="AN292" s="241">
        <v>0.3</v>
      </c>
      <c r="AO292" s="241">
        <v>0.28999999999999998</v>
      </c>
      <c r="AP292" s="247">
        <f>(AN292*365)*(AO292*0.67*0.01*1)</f>
        <v>0.21275850000000002</v>
      </c>
      <c r="AQ292" s="247">
        <f>(AN292*365)*(AO292*0.67*0.001*1)</f>
        <v>2.1275850000000002E-2</v>
      </c>
      <c r="AR292" s="248"/>
      <c r="AS292" s="247">
        <f>(AN292*365)*(AO292*0.67*0.02*1)</f>
        <v>0.42551700000000003</v>
      </c>
      <c r="AT292" s="247">
        <f>(AN292*365)*(AO292*0.67*0.01*1)</f>
        <v>0.21275850000000002</v>
      </c>
      <c r="AU292" s="247">
        <f>(AN292*365)*(AO292*0.67*0.25*1)</f>
        <v>5.3189624999999996</v>
      </c>
      <c r="AV292" s="247">
        <f>(AN292*365)*(AO292*0.67*0.73*1)</f>
        <v>15.5313705</v>
      </c>
      <c r="AW292" s="247">
        <f>(AN292*365)*(AO292*0.67*0.03*1)</f>
        <v>0.6382755</v>
      </c>
      <c r="AX292" s="248"/>
      <c r="AY292" s="247">
        <f>(AN292*365)*(AO292*0.67*0.25*1)</f>
        <v>5.3189624999999996</v>
      </c>
      <c r="AZ292" s="247">
        <f t="shared" si="98"/>
        <v>21.275849999999998</v>
      </c>
      <c r="BA292" s="247">
        <f t="shared" si="99"/>
        <v>2.1275850000000003</v>
      </c>
      <c r="BB292" s="247">
        <f t="shared" si="100"/>
        <v>0.10637925000000001</v>
      </c>
      <c r="BC292" s="247">
        <f>(AN292*365)*(AO292*0.67*0.005*1)</f>
        <v>0.10637925000000001</v>
      </c>
      <c r="BD292" s="247">
        <v>0</v>
      </c>
      <c r="BE292" s="247">
        <v>0</v>
      </c>
      <c r="BF292" s="168"/>
      <c r="BG292" s="168"/>
      <c r="BH292" s="168"/>
      <c r="BI292" s="203" t="s">
        <v>137</v>
      </c>
      <c r="BJ292" s="190" t="s">
        <v>168</v>
      </c>
      <c r="BK292" s="196">
        <f t="shared" si="101"/>
        <v>0</v>
      </c>
      <c r="BL292" s="190" t="s">
        <v>413</v>
      </c>
      <c r="BM292" s="189">
        <v>0.2</v>
      </c>
      <c r="BN292" s="189">
        <v>0.5</v>
      </c>
      <c r="BO292" s="188" t="s">
        <v>258</v>
      </c>
      <c r="BP292" s="196">
        <f t="shared" si="102"/>
        <v>0.25645714285714288</v>
      </c>
      <c r="BQ292" s="190" t="s">
        <v>415</v>
      </c>
      <c r="BR292" s="189">
        <v>0.2</v>
      </c>
      <c r="BS292" s="189">
        <v>0.5</v>
      </c>
      <c r="BT292" s="188" t="s">
        <v>258</v>
      </c>
      <c r="BU292" s="180"/>
      <c r="BV292" s="196">
        <v>0</v>
      </c>
      <c r="BW292" s="190" t="s">
        <v>414</v>
      </c>
      <c r="BX292" s="180"/>
      <c r="BY292" s="196">
        <v>76.424228571428586</v>
      </c>
      <c r="BZ292" s="190" t="s">
        <v>414</v>
      </c>
      <c r="CA292" s="178"/>
      <c r="CB292" s="180"/>
      <c r="CC292" s="178"/>
      <c r="CD292" s="178"/>
      <c r="CE292" s="180"/>
      <c r="CF292" s="180"/>
      <c r="CG292" s="180"/>
      <c r="CH292" s="180"/>
      <c r="CI292" s="178"/>
      <c r="CJ292" s="178"/>
      <c r="CK292" s="180"/>
      <c r="CL292" s="180"/>
      <c r="CM292" s="180"/>
      <c r="CN292" s="116"/>
      <c r="CO292" s="218">
        <f t="shared" si="83"/>
        <v>0.2</v>
      </c>
      <c r="CP292" s="100">
        <f t="shared" si="84"/>
        <v>0.35</v>
      </c>
      <c r="CQ292" s="218">
        <f t="shared" si="85"/>
        <v>0.5</v>
      </c>
      <c r="CR292" s="101">
        <v>0.2</v>
      </c>
      <c r="CS292" s="101">
        <v>0.5</v>
      </c>
      <c r="DA292" s="23" t="s">
        <v>137</v>
      </c>
      <c r="DB292" s="23">
        <v>0</v>
      </c>
      <c r="DC292" s="142">
        <f t="shared" si="103"/>
        <v>0</v>
      </c>
      <c r="DD292" s="142">
        <f t="shared" si="104"/>
        <v>0</v>
      </c>
      <c r="DE292" s="23">
        <v>16</v>
      </c>
      <c r="DF292" s="23">
        <v>0.51</v>
      </c>
      <c r="DG292" s="142">
        <f t="shared" si="105"/>
        <v>8.16</v>
      </c>
      <c r="DH292" s="23">
        <v>0.02</v>
      </c>
      <c r="DI292" s="149">
        <f t="shared" si="106"/>
        <v>0.25645714285714288</v>
      </c>
      <c r="DJ292" s="149">
        <f t="shared" si="107"/>
        <v>79.5017142857143</v>
      </c>
      <c r="DK292" s="149">
        <f t="shared" si="108"/>
        <v>76.424228571428586</v>
      </c>
      <c r="DL292" s="150">
        <f t="shared" si="109"/>
        <v>79.5017142857143</v>
      </c>
      <c r="DM292" s="150">
        <f t="shared" si="109"/>
        <v>76.424228571428586</v>
      </c>
      <c r="DN292" s="116" t="s">
        <v>168</v>
      </c>
      <c r="DO292" s="101" t="s">
        <v>392</v>
      </c>
    </row>
    <row r="293" spans="15:119" s="101" customFormat="1" ht="33.75" hidden="1" customHeight="1" thickBot="1" x14ac:dyDescent="0.4">
      <c r="O293" s="227" t="s">
        <v>524</v>
      </c>
      <c r="Q293" s="243">
        <v>1.57</v>
      </c>
      <c r="R293" s="243">
        <v>28</v>
      </c>
      <c r="S293" s="246">
        <f t="shared" si="97"/>
        <v>0</v>
      </c>
      <c r="T293" s="246">
        <f t="shared" si="97"/>
        <v>0</v>
      </c>
      <c r="U293" s="246">
        <f t="shared" si="97"/>
        <v>0.12607100000000002</v>
      </c>
      <c r="V293" s="246">
        <f t="shared" si="97"/>
        <v>0.50428400000000007</v>
      </c>
      <c r="W293" s="246">
        <f t="shared" si="97"/>
        <v>0.12607100000000002</v>
      </c>
      <c r="X293" s="246">
        <f t="shared" si="97"/>
        <v>0</v>
      </c>
      <c r="Y293" s="246">
        <f t="shared" si="97"/>
        <v>0.25214200000000003</v>
      </c>
      <c r="Z293" s="246">
        <f t="shared" si="97"/>
        <v>1.7649940000000004</v>
      </c>
      <c r="AA293" s="246">
        <f t="shared" si="97"/>
        <v>0</v>
      </c>
      <c r="AB293" s="246">
        <f t="shared" si="97"/>
        <v>0</v>
      </c>
      <c r="AC293" s="246">
        <f t="shared" si="97"/>
        <v>0.15128520000000001</v>
      </c>
      <c r="AD293" s="246">
        <f t="shared" si="97"/>
        <v>0</v>
      </c>
      <c r="AE293" s="246">
        <f t="shared" si="97"/>
        <v>2.52142</v>
      </c>
      <c r="AF293" s="246">
        <v>0</v>
      </c>
      <c r="AG293" s="246">
        <f t="shared" si="97"/>
        <v>0.25214200000000003</v>
      </c>
      <c r="AH293" s="243"/>
      <c r="AI293" s="102">
        <v>1</v>
      </c>
      <c r="AJ293" s="102">
        <v>20</v>
      </c>
      <c r="AL293" s="102">
        <v>18</v>
      </c>
      <c r="AM293" s="237">
        <v>0.3</v>
      </c>
      <c r="AN293" s="241">
        <v>0.3</v>
      </c>
      <c r="AO293" s="241">
        <v>0.28999999999999998</v>
      </c>
      <c r="AP293" s="247">
        <f>(AN293*365)*(AO293*0.67*0.015*1)</f>
        <v>0.31913775</v>
      </c>
      <c r="AQ293" s="247">
        <f>(AN293*365)*(AO293*0.67*0.005*1)</f>
        <v>0.10637925000000001</v>
      </c>
      <c r="AR293" s="248"/>
      <c r="AS293" s="247">
        <f>(AN293*365)*(AO293*0.67*0.04*1)</f>
        <v>0.85103400000000007</v>
      </c>
      <c r="AT293" s="247">
        <f>(AN293*365)*(AO293*0.67*0.015*1)</f>
        <v>0.31913775</v>
      </c>
      <c r="AU293" s="247">
        <f>(AN293*365)*(AO293*0.67*0.65*1)</f>
        <v>13.829302500000002</v>
      </c>
      <c r="AV293" s="247">
        <f>(AN293*365)*(AO293*0.67*0.79*1)</f>
        <v>16.807921499999999</v>
      </c>
      <c r="AW293" s="247">
        <f>(AN293*365)*(AO293*0.67*0.03*1)</f>
        <v>0.6382755</v>
      </c>
      <c r="AX293" s="248"/>
      <c r="AY293" s="247">
        <f>(AN293*365)*(AO293*0.67*0.65*1)</f>
        <v>13.829302500000002</v>
      </c>
      <c r="AZ293" s="247">
        <f t="shared" si="98"/>
        <v>21.275849999999998</v>
      </c>
      <c r="BA293" s="247">
        <f t="shared" si="99"/>
        <v>2.1275850000000003</v>
      </c>
      <c r="BB293" s="247">
        <f t="shared" si="100"/>
        <v>0.10637925000000001</v>
      </c>
      <c r="BC293" s="247">
        <f>(AN293*365)*(AO293*0.67*0.01*1)</f>
        <v>0.21275850000000002</v>
      </c>
      <c r="BD293" s="247">
        <v>0</v>
      </c>
      <c r="BE293" s="247">
        <v>0</v>
      </c>
      <c r="BF293" s="168"/>
      <c r="BG293" s="168"/>
      <c r="BH293" s="168"/>
      <c r="BI293" s="203" t="s">
        <v>336</v>
      </c>
      <c r="BJ293" s="190" t="s">
        <v>168</v>
      </c>
      <c r="BK293" s="196">
        <f t="shared" si="101"/>
        <v>1</v>
      </c>
      <c r="BL293" s="190" t="s">
        <v>413</v>
      </c>
      <c r="BM293" s="189">
        <v>0.2</v>
      </c>
      <c r="BN293" s="189">
        <v>0.5</v>
      </c>
      <c r="BO293" s="188" t="s">
        <v>258</v>
      </c>
      <c r="BP293" s="196">
        <f t="shared" si="102"/>
        <v>0.25645714285714288</v>
      </c>
      <c r="BQ293" s="190" t="s">
        <v>415</v>
      </c>
      <c r="BR293" s="189">
        <v>0.2</v>
      </c>
      <c r="BS293" s="189">
        <v>0.5</v>
      </c>
      <c r="BT293" s="188" t="s">
        <v>258</v>
      </c>
      <c r="BU293" s="180"/>
      <c r="BV293" s="196">
        <v>25</v>
      </c>
      <c r="BW293" s="190" t="s">
        <v>414</v>
      </c>
      <c r="BX293" s="180"/>
      <c r="BY293" s="196">
        <v>76.424228571428586</v>
      </c>
      <c r="BZ293" s="190" t="s">
        <v>414</v>
      </c>
      <c r="CA293" s="180"/>
      <c r="CB293" s="180"/>
      <c r="CC293" s="178"/>
      <c r="CD293" s="178"/>
      <c r="CE293" s="180"/>
      <c r="CF293" s="180"/>
      <c r="CG293" s="180"/>
      <c r="CH293" s="180"/>
      <c r="CI293" s="178"/>
      <c r="CJ293" s="178"/>
      <c r="CK293" s="180"/>
      <c r="CL293" s="180"/>
      <c r="CM293" s="180"/>
      <c r="CN293" s="116"/>
      <c r="CO293" s="218">
        <f t="shared" si="83"/>
        <v>0.2</v>
      </c>
      <c r="CP293" s="100">
        <f t="shared" si="84"/>
        <v>0.35</v>
      </c>
      <c r="CQ293" s="218">
        <f t="shared" si="85"/>
        <v>0.5</v>
      </c>
      <c r="CR293" s="101">
        <v>0.2</v>
      </c>
      <c r="CS293" s="101">
        <v>0.5</v>
      </c>
      <c r="DA293" s="23" t="s">
        <v>336</v>
      </c>
      <c r="DB293" s="23">
        <v>1</v>
      </c>
      <c r="DC293" s="142">
        <f t="shared" si="103"/>
        <v>21</v>
      </c>
      <c r="DD293" s="142">
        <f t="shared" si="104"/>
        <v>25</v>
      </c>
      <c r="DE293" s="23">
        <v>16</v>
      </c>
      <c r="DF293" s="23">
        <v>0.51</v>
      </c>
      <c r="DG293" s="142">
        <f t="shared" si="105"/>
        <v>8.16</v>
      </c>
      <c r="DH293" s="23">
        <v>0.02</v>
      </c>
      <c r="DI293" s="149">
        <f t="shared" si="106"/>
        <v>0.25645714285714288</v>
      </c>
      <c r="DJ293" s="149">
        <f t="shared" si="107"/>
        <v>79.5017142857143</v>
      </c>
      <c r="DK293" s="149">
        <f t="shared" si="108"/>
        <v>76.424228571428586</v>
      </c>
      <c r="DL293" s="150">
        <f t="shared" si="109"/>
        <v>100.5017142857143</v>
      </c>
      <c r="DM293" s="150">
        <f t="shared" si="109"/>
        <v>101.42422857142859</v>
      </c>
      <c r="DN293" s="116" t="s">
        <v>168</v>
      </c>
      <c r="DO293" s="101" t="s">
        <v>392</v>
      </c>
    </row>
    <row r="294" spans="15:119" s="101" customFormat="1" ht="33.75" hidden="1" customHeight="1" thickBot="1" x14ac:dyDescent="0.4">
      <c r="O294" s="227" t="s">
        <v>525</v>
      </c>
      <c r="Q294" s="243">
        <v>1.57</v>
      </c>
      <c r="R294" s="243">
        <v>28</v>
      </c>
      <c r="S294" s="246">
        <f t="shared" si="97"/>
        <v>0</v>
      </c>
      <c r="T294" s="246">
        <f t="shared" si="97"/>
        <v>0</v>
      </c>
      <c r="U294" s="246">
        <f t="shared" si="97"/>
        <v>0.12607100000000002</v>
      </c>
      <c r="V294" s="246">
        <f t="shared" si="97"/>
        <v>0.50428400000000007</v>
      </c>
      <c r="W294" s="246">
        <f t="shared" si="97"/>
        <v>0.12607100000000002</v>
      </c>
      <c r="X294" s="246">
        <f t="shared" si="97"/>
        <v>0</v>
      </c>
      <c r="Y294" s="246">
        <f t="shared" si="97"/>
        <v>0.25214200000000003</v>
      </c>
      <c r="Z294" s="246">
        <f t="shared" si="97"/>
        <v>1.7649940000000004</v>
      </c>
      <c r="AA294" s="246">
        <f t="shared" si="97"/>
        <v>0</v>
      </c>
      <c r="AB294" s="246">
        <f t="shared" si="97"/>
        <v>0</v>
      </c>
      <c r="AC294" s="246">
        <f t="shared" si="97"/>
        <v>0.15128520000000001</v>
      </c>
      <c r="AD294" s="246">
        <f t="shared" si="97"/>
        <v>0</v>
      </c>
      <c r="AE294" s="246">
        <f t="shared" si="97"/>
        <v>2.52142</v>
      </c>
      <c r="AF294" s="246">
        <v>0</v>
      </c>
      <c r="AG294" s="246">
        <f t="shared" si="97"/>
        <v>0.25214200000000003</v>
      </c>
      <c r="AH294" s="243"/>
      <c r="AI294" s="102">
        <v>2</v>
      </c>
      <c r="AJ294" s="102">
        <v>23</v>
      </c>
      <c r="AL294" s="102">
        <v>21</v>
      </c>
      <c r="AM294" s="237">
        <v>0.3</v>
      </c>
      <c r="AN294" s="241">
        <v>0.3</v>
      </c>
      <c r="AO294" s="241">
        <v>0.28999999999999998</v>
      </c>
      <c r="AP294" s="247">
        <f>(AN294*365)*(AO294*0.67*0.02*1)</f>
        <v>0.42551700000000003</v>
      </c>
      <c r="AQ294" s="247">
        <f>(AN294*365)*(AO294*0.67*0.01*1)</f>
        <v>0.21275850000000002</v>
      </c>
      <c r="AR294" s="248"/>
      <c r="AS294" s="247">
        <f>(AN294*365)*(AO294*0.67*0.05*1)</f>
        <v>1.0637925000000001</v>
      </c>
      <c r="AT294" s="247">
        <f>(AN294*365)*(AO294*0.67*0.02*1)</f>
        <v>0.42551700000000003</v>
      </c>
      <c r="AU294" s="247">
        <f>(AN294*365)*(AO294*0.67*0.8*1)</f>
        <v>17.020680000000002</v>
      </c>
      <c r="AV294" s="247">
        <f>(AN294*365)*(AO294*0.67*0.8*1)</f>
        <v>17.020680000000002</v>
      </c>
      <c r="AW294" s="247">
        <f>(AN294*365)*(AO294*0.67*0.3*1)</f>
        <v>6.3827549999999995</v>
      </c>
      <c r="AX294" s="248"/>
      <c r="AY294" s="247">
        <f>(AN294*365)*(AO294*0.67*0.8*1)</f>
        <v>17.020680000000002</v>
      </c>
      <c r="AZ294" s="247">
        <f t="shared" si="98"/>
        <v>21.275849999999998</v>
      </c>
      <c r="BA294" s="247">
        <f t="shared" si="99"/>
        <v>2.1275850000000003</v>
      </c>
      <c r="BB294" s="247">
        <f t="shared" si="100"/>
        <v>0.10637925000000001</v>
      </c>
      <c r="BC294" s="247">
        <f>(AN294*365)*(AO294*0.67*0.015*1)</f>
        <v>0.31913775</v>
      </c>
      <c r="BD294" s="247">
        <v>0</v>
      </c>
      <c r="BE294" s="247">
        <v>0</v>
      </c>
      <c r="BF294" s="168"/>
      <c r="BG294" s="168"/>
      <c r="BH294" s="168"/>
      <c r="BI294" s="203" t="s">
        <v>139</v>
      </c>
      <c r="BJ294" s="190" t="s">
        <v>168</v>
      </c>
      <c r="BK294" s="196">
        <f t="shared" si="101"/>
        <v>2</v>
      </c>
      <c r="BL294" s="190" t="s">
        <v>413</v>
      </c>
      <c r="BM294" s="189">
        <v>0.2</v>
      </c>
      <c r="BN294" s="189">
        <v>0.5</v>
      </c>
      <c r="BO294" s="188" t="s">
        <v>258</v>
      </c>
      <c r="BP294" s="196">
        <f t="shared" si="102"/>
        <v>0.25645714285714288</v>
      </c>
      <c r="BQ294" s="190" t="s">
        <v>415</v>
      </c>
      <c r="BR294" s="189">
        <v>0.2</v>
      </c>
      <c r="BS294" s="189">
        <v>0.5</v>
      </c>
      <c r="BT294" s="188" t="s">
        <v>258</v>
      </c>
      <c r="BU294" s="180"/>
      <c r="BV294" s="196">
        <v>50</v>
      </c>
      <c r="BW294" s="190" t="s">
        <v>414</v>
      </c>
      <c r="BX294" s="180"/>
      <c r="BY294" s="196">
        <v>76.424228571428586</v>
      </c>
      <c r="BZ294" s="190" t="s">
        <v>414</v>
      </c>
      <c r="CA294" s="180"/>
      <c r="CB294" s="180"/>
      <c r="CC294" s="178"/>
      <c r="CD294" s="178"/>
      <c r="CE294" s="180"/>
      <c r="CF294" s="180"/>
      <c r="CG294" s="180"/>
      <c r="CH294" s="180"/>
      <c r="CI294" s="178"/>
      <c r="CJ294" s="178"/>
      <c r="CK294" s="180"/>
      <c r="CL294" s="180"/>
      <c r="CM294" s="180"/>
      <c r="CN294" s="116"/>
      <c r="CO294" s="218">
        <f t="shared" si="83"/>
        <v>0.2</v>
      </c>
      <c r="CP294" s="100">
        <f t="shared" si="84"/>
        <v>0.35</v>
      </c>
      <c r="CQ294" s="218">
        <f t="shared" si="85"/>
        <v>0.5</v>
      </c>
      <c r="CR294" s="101">
        <v>0.2</v>
      </c>
      <c r="CS294" s="101">
        <v>0.5</v>
      </c>
      <c r="DA294" s="23" t="s">
        <v>139</v>
      </c>
      <c r="DB294" s="23">
        <v>2</v>
      </c>
      <c r="DC294" s="142">
        <f t="shared" si="103"/>
        <v>42</v>
      </c>
      <c r="DD294" s="142">
        <f t="shared" si="104"/>
        <v>50</v>
      </c>
      <c r="DE294" s="23">
        <v>16</v>
      </c>
      <c r="DF294" s="23">
        <v>0.51</v>
      </c>
      <c r="DG294" s="142">
        <f t="shared" si="105"/>
        <v>8.16</v>
      </c>
      <c r="DH294" s="23">
        <v>0.02</v>
      </c>
      <c r="DI294" s="149">
        <f t="shared" si="106"/>
        <v>0.25645714285714288</v>
      </c>
      <c r="DJ294" s="149">
        <f t="shared" si="107"/>
        <v>79.5017142857143</v>
      </c>
      <c r="DK294" s="149">
        <f t="shared" si="108"/>
        <v>76.424228571428586</v>
      </c>
      <c r="DL294" s="150">
        <f t="shared" si="109"/>
        <v>121.5017142857143</v>
      </c>
      <c r="DM294" s="150">
        <f t="shared" si="109"/>
        <v>126.42422857142859</v>
      </c>
      <c r="DN294" s="116" t="s">
        <v>168</v>
      </c>
      <c r="DO294" s="101" t="s">
        <v>392</v>
      </c>
    </row>
    <row r="295" spans="15:119" s="101" customFormat="1" ht="18.75" hidden="1" customHeight="1" thickBot="1" x14ac:dyDescent="0.4">
      <c r="O295" s="227" t="s">
        <v>545</v>
      </c>
      <c r="Q295" s="243">
        <v>0.55000000000000004</v>
      </c>
      <c r="R295" s="243">
        <v>28</v>
      </c>
      <c r="S295" s="246">
        <f t="shared" si="97"/>
        <v>0</v>
      </c>
      <c r="T295" s="246">
        <f t="shared" si="97"/>
        <v>0</v>
      </c>
      <c r="U295" s="246">
        <f t="shared" si="97"/>
        <v>4.4165000000000003E-2</v>
      </c>
      <c r="V295" s="246">
        <f t="shared" si="97"/>
        <v>0.17666000000000001</v>
      </c>
      <c r="W295" s="246">
        <f t="shared" si="97"/>
        <v>4.4165000000000003E-2</v>
      </c>
      <c r="X295" s="246">
        <f t="shared" si="97"/>
        <v>0</v>
      </c>
      <c r="Y295" s="246">
        <f t="shared" si="97"/>
        <v>8.8330000000000006E-2</v>
      </c>
      <c r="Z295" s="246">
        <f t="shared" si="97"/>
        <v>0.61831000000000003</v>
      </c>
      <c r="AA295" s="246">
        <f t="shared" si="97"/>
        <v>0</v>
      </c>
      <c r="AB295" s="246">
        <f t="shared" si="97"/>
        <v>0</v>
      </c>
      <c r="AC295" s="246">
        <f t="shared" si="97"/>
        <v>5.299800000000001E-2</v>
      </c>
      <c r="AD295" s="246">
        <f t="shared" si="97"/>
        <v>0</v>
      </c>
      <c r="AE295" s="246">
        <f t="shared" si="97"/>
        <v>0.88330000000000009</v>
      </c>
      <c r="AF295" s="246">
        <v>0</v>
      </c>
      <c r="AG295" s="246">
        <f t="shared" si="97"/>
        <v>8.8330000000000006E-2</v>
      </c>
      <c r="AH295" s="243"/>
      <c r="AI295" s="102">
        <v>1</v>
      </c>
      <c r="AJ295" s="102">
        <v>23</v>
      </c>
      <c r="AL295" s="102">
        <v>12</v>
      </c>
      <c r="AM295" s="237">
        <v>0.3</v>
      </c>
      <c r="AN295" s="241">
        <v>0.3</v>
      </c>
      <c r="AO295" s="241">
        <v>0.28999999999999998</v>
      </c>
      <c r="AP295" s="247">
        <f>(AN295*365)*(AO295*0.67*0.01*1)</f>
        <v>0.21275850000000002</v>
      </c>
      <c r="AQ295" s="247">
        <f>(AN295*365)*(AO295*0.67*0.001*1)</f>
        <v>2.1275850000000002E-2</v>
      </c>
      <c r="AR295" s="248"/>
      <c r="AS295" s="247">
        <f>(AN295*365)*(AO295*0.67*0.02*1)</f>
        <v>0.42551700000000003</v>
      </c>
      <c r="AT295" s="247">
        <f>(AN295*365)*(AO295*0.67*0.01*1)</f>
        <v>0.21275850000000002</v>
      </c>
      <c r="AU295" s="247">
        <f>(AN295*365)*(AO295*0.67*0.25*1)</f>
        <v>5.3189624999999996</v>
      </c>
      <c r="AV295" s="247">
        <f>(AN295*365)*(AO295*0.67*0.73*1)</f>
        <v>15.5313705</v>
      </c>
      <c r="AW295" s="247">
        <f>(AN295*365)*(AO295*0.67*0.03*1)</f>
        <v>0.6382755</v>
      </c>
      <c r="AX295" s="248"/>
      <c r="AY295" s="247">
        <f>(AN295*365)*(AO295*0.67*0.25*1)</f>
        <v>5.3189624999999996</v>
      </c>
      <c r="AZ295" s="247">
        <f t="shared" si="98"/>
        <v>21.275849999999998</v>
      </c>
      <c r="BA295" s="247">
        <f t="shared" si="99"/>
        <v>2.1275850000000003</v>
      </c>
      <c r="BB295" s="247">
        <f t="shared" si="100"/>
        <v>0.10637925000000001</v>
      </c>
      <c r="BC295" s="247">
        <f>(AN295*365)*(AO295*0.67*0.005*1)</f>
        <v>0.10637925000000001</v>
      </c>
      <c r="BD295" s="247">
        <v>0</v>
      </c>
      <c r="BE295" s="247">
        <v>0</v>
      </c>
      <c r="BF295" s="168"/>
      <c r="BG295" s="168"/>
      <c r="BH295" s="168"/>
      <c r="BI295" s="203" t="s">
        <v>337</v>
      </c>
      <c r="BJ295" s="190" t="s">
        <v>168</v>
      </c>
      <c r="BK295" s="196">
        <f t="shared" si="101"/>
        <v>0</v>
      </c>
      <c r="BL295" s="190" t="s">
        <v>413</v>
      </c>
      <c r="BM295" s="189">
        <v>0.2</v>
      </c>
      <c r="BN295" s="189">
        <v>0.5</v>
      </c>
      <c r="BO295" s="188" t="s">
        <v>258</v>
      </c>
      <c r="BP295" s="196">
        <f t="shared" si="102"/>
        <v>5.0285714285714281E-2</v>
      </c>
      <c r="BQ295" s="190" t="s">
        <v>415</v>
      </c>
      <c r="BR295" s="189">
        <v>0.2</v>
      </c>
      <c r="BS295" s="189">
        <v>0.5</v>
      </c>
      <c r="BT295" s="188" t="s">
        <v>258</v>
      </c>
      <c r="BU295" s="180"/>
      <c r="BV295" s="196">
        <v>0</v>
      </c>
      <c r="BW295" s="190" t="s">
        <v>414</v>
      </c>
      <c r="BX295" s="180"/>
      <c r="BY295" s="196">
        <v>14.985142857142856</v>
      </c>
      <c r="BZ295" s="190" t="s">
        <v>414</v>
      </c>
      <c r="CA295" s="180"/>
      <c r="CB295" s="180"/>
      <c r="CC295" s="178"/>
      <c r="CD295" s="178"/>
      <c r="CE295" s="180"/>
      <c r="CF295" s="180"/>
      <c r="CG295" s="180"/>
      <c r="CH295" s="180"/>
      <c r="CI295" s="178"/>
      <c r="CJ295" s="178"/>
      <c r="CK295" s="180"/>
      <c r="CL295" s="180"/>
      <c r="CM295" s="180"/>
      <c r="CN295" s="116"/>
      <c r="CO295" s="218">
        <f t="shared" si="83"/>
        <v>0.2</v>
      </c>
      <c r="CP295" s="100">
        <f t="shared" si="84"/>
        <v>0.35</v>
      </c>
      <c r="CQ295" s="218">
        <f t="shared" si="85"/>
        <v>0.5</v>
      </c>
      <c r="CR295" s="101">
        <v>0.2</v>
      </c>
      <c r="CS295" s="101">
        <v>0.5</v>
      </c>
      <c r="DA295" s="23" t="s">
        <v>337</v>
      </c>
      <c r="DB295" s="23">
        <v>0</v>
      </c>
      <c r="DC295" s="142">
        <f t="shared" si="103"/>
        <v>0</v>
      </c>
      <c r="DD295" s="142">
        <f t="shared" si="104"/>
        <v>0</v>
      </c>
      <c r="DE295" s="23">
        <v>16</v>
      </c>
      <c r="DF295" s="23">
        <v>0.4</v>
      </c>
      <c r="DG295" s="142">
        <f t="shared" si="105"/>
        <v>6.4</v>
      </c>
      <c r="DH295" s="23">
        <v>5.0000000000000001E-3</v>
      </c>
      <c r="DI295" s="149">
        <f t="shared" si="106"/>
        <v>5.0285714285714281E-2</v>
      </c>
      <c r="DJ295" s="149">
        <f t="shared" si="107"/>
        <v>15.588571428571427</v>
      </c>
      <c r="DK295" s="149">
        <f t="shared" si="108"/>
        <v>14.985142857142856</v>
      </c>
      <c r="DL295" s="150">
        <f t="shared" si="109"/>
        <v>15.588571428571427</v>
      </c>
      <c r="DM295" s="150">
        <f t="shared" si="109"/>
        <v>14.985142857142856</v>
      </c>
      <c r="DN295" s="116" t="s">
        <v>168</v>
      </c>
      <c r="DO295" s="101" t="s">
        <v>392</v>
      </c>
    </row>
    <row r="296" spans="15:119" s="101" customFormat="1" ht="33.75" hidden="1" customHeight="1" thickBot="1" x14ac:dyDescent="0.4">
      <c r="O296" s="227" t="s">
        <v>546</v>
      </c>
      <c r="Q296" s="243">
        <v>0.55000000000000004</v>
      </c>
      <c r="R296" s="243">
        <v>28</v>
      </c>
      <c r="S296" s="246">
        <f t="shared" si="97"/>
        <v>0</v>
      </c>
      <c r="T296" s="246">
        <f t="shared" si="97"/>
        <v>0</v>
      </c>
      <c r="U296" s="246">
        <f t="shared" si="97"/>
        <v>4.4165000000000003E-2</v>
      </c>
      <c r="V296" s="246">
        <f t="shared" si="97"/>
        <v>0.17666000000000001</v>
      </c>
      <c r="W296" s="246">
        <f t="shared" si="97"/>
        <v>4.4165000000000003E-2</v>
      </c>
      <c r="X296" s="246">
        <f t="shared" si="97"/>
        <v>0</v>
      </c>
      <c r="Y296" s="246">
        <f t="shared" si="97"/>
        <v>8.8330000000000006E-2</v>
      </c>
      <c r="Z296" s="246">
        <f t="shared" si="97"/>
        <v>0.61831000000000003</v>
      </c>
      <c r="AA296" s="246">
        <f t="shared" si="97"/>
        <v>0</v>
      </c>
      <c r="AB296" s="246">
        <f t="shared" si="97"/>
        <v>0</v>
      </c>
      <c r="AC296" s="246">
        <f t="shared" si="97"/>
        <v>5.299800000000001E-2</v>
      </c>
      <c r="AD296" s="246">
        <f t="shared" si="97"/>
        <v>0</v>
      </c>
      <c r="AE296" s="246">
        <f t="shared" si="97"/>
        <v>0.88330000000000009</v>
      </c>
      <c r="AF296" s="246">
        <v>0</v>
      </c>
      <c r="AG296" s="246">
        <f t="shared" si="97"/>
        <v>8.8330000000000006E-2</v>
      </c>
      <c r="AH296" s="243"/>
      <c r="AI296" s="102">
        <v>1</v>
      </c>
      <c r="AJ296" s="102">
        <v>39</v>
      </c>
      <c r="AL296" s="102">
        <v>27</v>
      </c>
      <c r="AM296" s="237">
        <v>0.3</v>
      </c>
      <c r="AN296" s="241">
        <v>0.3</v>
      </c>
      <c r="AO296" s="241">
        <v>0.28999999999999998</v>
      </c>
      <c r="AP296" s="247">
        <f>(AN296*365)*(AO296*0.67*0.015*1)</f>
        <v>0.31913775</v>
      </c>
      <c r="AQ296" s="247">
        <f>(AN296*365)*(AO296*0.67*0.005*1)</f>
        <v>0.10637925000000001</v>
      </c>
      <c r="AR296" s="248"/>
      <c r="AS296" s="247">
        <f>(AN296*365)*(AO296*0.67*0.04*1)</f>
        <v>0.85103400000000007</v>
      </c>
      <c r="AT296" s="247">
        <f>(AN296*365)*(AO296*0.67*0.015*1)</f>
        <v>0.31913775</v>
      </c>
      <c r="AU296" s="247">
        <f>(AN296*365)*(AO296*0.67*0.65*1)</f>
        <v>13.829302500000002</v>
      </c>
      <c r="AV296" s="247">
        <f>(AN296*365)*(AO296*0.67*0.79*1)</f>
        <v>16.807921499999999</v>
      </c>
      <c r="AW296" s="247">
        <f>(AN296*365)*(AO296*0.67*0.03*1)</f>
        <v>0.6382755</v>
      </c>
      <c r="AX296" s="248"/>
      <c r="AY296" s="247">
        <f>(AN296*365)*(AO296*0.67*0.65*1)</f>
        <v>13.829302500000002</v>
      </c>
      <c r="AZ296" s="247">
        <f t="shared" si="98"/>
        <v>21.275849999999998</v>
      </c>
      <c r="BA296" s="247">
        <f t="shared" si="99"/>
        <v>2.1275850000000003</v>
      </c>
      <c r="BB296" s="247">
        <f t="shared" si="100"/>
        <v>0.10637925000000001</v>
      </c>
      <c r="BC296" s="247">
        <f>(AN296*365)*(AO296*0.67*0.01*1)</f>
        <v>0.21275850000000002</v>
      </c>
      <c r="BD296" s="247">
        <v>0</v>
      </c>
      <c r="BE296" s="247">
        <v>0</v>
      </c>
      <c r="BF296" s="168"/>
      <c r="BG296" s="168"/>
      <c r="BH296" s="168"/>
      <c r="BI296" s="203" t="s">
        <v>338</v>
      </c>
      <c r="BJ296" s="190" t="s">
        <v>168</v>
      </c>
      <c r="BK296" s="196">
        <f t="shared" si="101"/>
        <v>1</v>
      </c>
      <c r="BL296" s="190" t="s">
        <v>413</v>
      </c>
      <c r="BM296" s="189">
        <v>0.2</v>
      </c>
      <c r="BN296" s="189">
        <v>0.5</v>
      </c>
      <c r="BO296" s="188" t="s">
        <v>258</v>
      </c>
      <c r="BP296" s="196">
        <f t="shared" si="102"/>
        <v>5.0285714285714281E-2</v>
      </c>
      <c r="BQ296" s="190" t="s">
        <v>415</v>
      </c>
      <c r="BR296" s="189">
        <v>0.2</v>
      </c>
      <c r="BS296" s="189">
        <v>0.5</v>
      </c>
      <c r="BT296" s="188" t="s">
        <v>258</v>
      </c>
      <c r="BU296" s="180"/>
      <c r="BV296" s="196">
        <v>25</v>
      </c>
      <c r="BW296" s="190" t="s">
        <v>414</v>
      </c>
      <c r="BX296" s="180"/>
      <c r="BY296" s="196">
        <v>14.985142857142856</v>
      </c>
      <c r="BZ296" s="190" t="s">
        <v>414</v>
      </c>
      <c r="CA296" s="180"/>
      <c r="CB296" s="180"/>
      <c r="CC296" s="178"/>
      <c r="CD296" s="178"/>
      <c r="CE296" s="180"/>
      <c r="CF296" s="180"/>
      <c r="CG296" s="180"/>
      <c r="CH296" s="180"/>
      <c r="CI296" s="178"/>
      <c r="CJ296" s="178"/>
      <c r="CK296" s="180"/>
      <c r="CL296" s="180"/>
      <c r="CM296" s="180"/>
      <c r="CN296" s="116"/>
      <c r="CO296" s="218">
        <f t="shared" si="83"/>
        <v>0.2</v>
      </c>
      <c r="CP296" s="100">
        <f t="shared" si="84"/>
        <v>0.35</v>
      </c>
      <c r="CQ296" s="218">
        <f t="shared" si="85"/>
        <v>0.5</v>
      </c>
      <c r="CR296" s="101">
        <v>0.2</v>
      </c>
      <c r="CS296" s="101">
        <v>0.5</v>
      </c>
      <c r="DA296" s="23" t="s">
        <v>338</v>
      </c>
      <c r="DB296" s="23">
        <v>1</v>
      </c>
      <c r="DC296" s="142">
        <f t="shared" si="103"/>
        <v>21</v>
      </c>
      <c r="DD296" s="142">
        <f t="shared" si="104"/>
        <v>25</v>
      </c>
      <c r="DE296" s="23">
        <v>16</v>
      </c>
      <c r="DF296" s="23">
        <v>0.4</v>
      </c>
      <c r="DG296" s="142">
        <f t="shared" si="105"/>
        <v>6.4</v>
      </c>
      <c r="DH296" s="23">
        <v>5.0000000000000001E-3</v>
      </c>
      <c r="DI296" s="149">
        <f t="shared" si="106"/>
        <v>5.0285714285714281E-2</v>
      </c>
      <c r="DJ296" s="149">
        <f t="shared" si="107"/>
        <v>15.588571428571427</v>
      </c>
      <c r="DK296" s="149">
        <f t="shared" si="108"/>
        <v>14.985142857142856</v>
      </c>
      <c r="DL296" s="150">
        <f t="shared" si="109"/>
        <v>36.588571428571427</v>
      </c>
      <c r="DM296" s="150">
        <f t="shared" si="109"/>
        <v>39.985142857142854</v>
      </c>
      <c r="DN296" s="116" t="s">
        <v>168</v>
      </c>
      <c r="DO296" s="101" t="s">
        <v>392</v>
      </c>
    </row>
    <row r="297" spans="15:119" s="101" customFormat="1" ht="33.75" hidden="1" customHeight="1" thickBot="1" x14ac:dyDescent="0.4">
      <c r="O297" s="227" t="s">
        <v>547</v>
      </c>
      <c r="Q297" s="243">
        <v>0.55000000000000004</v>
      </c>
      <c r="R297" s="243">
        <v>28</v>
      </c>
      <c r="S297" s="246">
        <f t="shared" si="97"/>
        <v>0</v>
      </c>
      <c r="T297" s="246">
        <f t="shared" si="97"/>
        <v>0</v>
      </c>
      <c r="U297" s="246">
        <f t="shared" si="97"/>
        <v>4.4165000000000003E-2</v>
      </c>
      <c r="V297" s="246">
        <f t="shared" si="97"/>
        <v>0.17666000000000001</v>
      </c>
      <c r="W297" s="246">
        <f t="shared" si="97"/>
        <v>4.4165000000000003E-2</v>
      </c>
      <c r="X297" s="246">
        <f t="shared" si="97"/>
        <v>0</v>
      </c>
      <c r="Y297" s="246">
        <f t="shared" si="97"/>
        <v>8.8330000000000006E-2</v>
      </c>
      <c r="Z297" s="246">
        <f t="shared" si="97"/>
        <v>0.61831000000000003</v>
      </c>
      <c r="AA297" s="246">
        <f t="shared" si="97"/>
        <v>0</v>
      </c>
      <c r="AB297" s="246">
        <f t="shared" si="97"/>
        <v>0</v>
      </c>
      <c r="AC297" s="246">
        <f t="shared" si="97"/>
        <v>5.299800000000001E-2</v>
      </c>
      <c r="AD297" s="246">
        <f t="shared" si="97"/>
        <v>0</v>
      </c>
      <c r="AE297" s="246">
        <f t="shared" si="97"/>
        <v>0.88330000000000009</v>
      </c>
      <c r="AF297" s="246">
        <v>0</v>
      </c>
      <c r="AG297" s="246">
        <f t="shared" si="97"/>
        <v>8.8330000000000006E-2</v>
      </c>
      <c r="AH297" s="243"/>
      <c r="AI297" s="102">
        <v>2</v>
      </c>
      <c r="AJ297" s="102">
        <v>45</v>
      </c>
      <c r="AL297" s="102">
        <v>33</v>
      </c>
      <c r="AM297" s="237">
        <v>0.3</v>
      </c>
      <c r="AN297" s="241">
        <v>0.3</v>
      </c>
      <c r="AO297" s="241">
        <v>0.28999999999999998</v>
      </c>
      <c r="AP297" s="247">
        <f>(AN297*365)*(AO297*0.67*0.02*1)</f>
        <v>0.42551700000000003</v>
      </c>
      <c r="AQ297" s="247">
        <f>(AN297*365)*(AO297*0.67*0.01*1)</f>
        <v>0.21275850000000002</v>
      </c>
      <c r="AR297" s="248"/>
      <c r="AS297" s="247">
        <f>(AN297*365)*(AO297*0.67*0.05*1)</f>
        <v>1.0637925000000001</v>
      </c>
      <c r="AT297" s="247">
        <f>(AN297*365)*(AO297*0.67*0.02*1)</f>
        <v>0.42551700000000003</v>
      </c>
      <c r="AU297" s="247">
        <f>(AN297*365)*(AO297*0.67*0.8*1)</f>
        <v>17.020680000000002</v>
      </c>
      <c r="AV297" s="247">
        <f>(AN297*365)*(AO297*0.67*0.8*1)</f>
        <v>17.020680000000002</v>
      </c>
      <c r="AW297" s="247">
        <f>(AN297*365)*(AO297*0.67*0.3*1)</f>
        <v>6.3827549999999995</v>
      </c>
      <c r="AX297" s="248"/>
      <c r="AY297" s="247">
        <f>(AN297*365)*(AO297*0.67*0.8*1)</f>
        <v>17.020680000000002</v>
      </c>
      <c r="AZ297" s="247">
        <f t="shared" si="98"/>
        <v>21.275849999999998</v>
      </c>
      <c r="BA297" s="247">
        <f t="shared" si="99"/>
        <v>2.1275850000000003</v>
      </c>
      <c r="BB297" s="247">
        <f t="shared" si="100"/>
        <v>0.10637925000000001</v>
      </c>
      <c r="BC297" s="247">
        <f>(AN297*365)*(AO297*0.67*0.015*1)</f>
        <v>0.31913775</v>
      </c>
      <c r="BD297" s="247">
        <v>0</v>
      </c>
      <c r="BE297" s="247">
        <v>0</v>
      </c>
      <c r="BF297" s="168"/>
      <c r="BG297" s="168"/>
      <c r="BH297" s="168"/>
      <c r="BI297" s="203" t="s">
        <v>339</v>
      </c>
      <c r="BJ297" s="190" t="s">
        <v>168</v>
      </c>
      <c r="BK297" s="196">
        <f t="shared" si="101"/>
        <v>2</v>
      </c>
      <c r="BL297" s="190" t="s">
        <v>413</v>
      </c>
      <c r="BM297" s="189">
        <v>0.2</v>
      </c>
      <c r="BN297" s="189">
        <v>0.5</v>
      </c>
      <c r="BO297" s="188" t="s">
        <v>258</v>
      </c>
      <c r="BP297" s="196">
        <f t="shared" si="102"/>
        <v>5.0285714285714281E-2</v>
      </c>
      <c r="BQ297" s="190" t="s">
        <v>415</v>
      </c>
      <c r="BR297" s="189">
        <v>0.2</v>
      </c>
      <c r="BS297" s="189">
        <v>0.5</v>
      </c>
      <c r="BT297" s="188" t="s">
        <v>258</v>
      </c>
      <c r="BU297" s="180"/>
      <c r="BV297" s="196">
        <v>50</v>
      </c>
      <c r="BW297" s="190" t="s">
        <v>414</v>
      </c>
      <c r="BX297" s="180"/>
      <c r="BY297" s="196">
        <v>14.985142857142856</v>
      </c>
      <c r="BZ297" s="190" t="s">
        <v>414</v>
      </c>
      <c r="CA297" s="180"/>
      <c r="CB297" s="180"/>
      <c r="CC297" s="178"/>
      <c r="CD297" s="178"/>
      <c r="CE297" s="180"/>
      <c r="CF297" s="180"/>
      <c r="CG297" s="180"/>
      <c r="CH297" s="180"/>
      <c r="CI297" s="178"/>
      <c r="CJ297" s="178"/>
      <c r="CK297" s="180"/>
      <c r="CL297" s="180"/>
      <c r="CM297" s="180"/>
      <c r="CN297" s="116"/>
      <c r="CO297" s="218">
        <f t="shared" si="83"/>
        <v>0.2</v>
      </c>
      <c r="CP297" s="100">
        <f t="shared" si="84"/>
        <v>0.35</v>
      </c>
      <c r="CQ297" s="218">
        <f t="shared" si="85"/>
        <v>0.5</v>
      </c>
      <c r="CR297" s="101">
        <v>0.2</v>
      </c>
      <c r="CS297" s="101">
        <v>0.5</v>
      </c>
      <c r="DA297" s="23" t="s">
        <v>339</v>
      </c>
      <c r="DB297" s="23">
        <v>2</v>
      </c>
      <c r="DC297" s="142">
        <f t="shared" si="103"/>
        <v>42</v>
      </c>
      <c r="DD297" s="142">
        <f t="shared" si="104"/>
        <v>50</v>
      </c>
      <c r="DE297" s="23">
        <v>16</v>
      </c>
      <c r="DF297" s="23">
        <v>0.4</v>
      </c>
      <c r="DG297" s="142">
        <f t="shared" si="105"/>
        <v>6.4</v>
      </c>
      <c r="DH297" s="23">
        <v>5.0000000000000001E-3</v>
      </c>
      <c r="DI297" s="149">
        <f t="shared" si="106"/>
        <v>5.0285714285714281E-2</v>
      </c>
      <c r="DJ297" s="149">
        <f t="shared" si="107"/>
        <v>15.588571428571427</v>
      </c>
      <c r="DK297" s="149">
        <f t="shared" si="108"/>
        <v>14.985142857142856</v>
      </c>
      <c r="DL297" s="150">
        <f t="shared" si="109"/>
        <v>57.588571428571427</v>
      </c>
      <c r="DM297" s="150">
        <f t="shared" si="109"/>
        <v>64.985142857142861</v>
      </c>
      <c r="DN297" s="116" t="s">
        <v>168</v>
      </c>
      <c r="DO297" s="101" t="s">
        <v>392</v>
      </c>
    </row>
    <row r="298" spans="15:119" s="101" customFormat="1" ht="33.75" hidden="1" customHeight="1" thickBot="1" x14ac:dyDescent="0.4">
      <c r="O298" s="227" t="s">
        <v>143</v>
      </c>
      <c r="Q298" s="243">
        <v>0.32</v>
      </c>
      <c r="R298" s="243">
        <v>380</v>
      </c>
      <c r="S298" s="246">
        <f t="shared" si="97"/>
        <v>0</v>
      </c>
      <c r="T298" s="246">
        <f t="shared" si="97"/>
        <v>0</v>
      </c>
      <c r="U298" s="246">
        <f t="shared" si="97"/>
        <v>0.34873142857142858</v>
      </c>
      <c r="V298" s="246">
        <f t="shared" si="97"/>
        <v>1.3949257142857143</v>
      </c>
      <c r="W298" s="246">
        <f t="shared" si="97"/>
        <v>0.34873142857142858</v>
      </c>
      <c r="X298" s="246">
        <f t="shared" si="97"/>
        <v>0</v>
      </c>
      <c r="Y298" s="246">
        <f t="shared" ref="Y298:AE298" si="110">((($Q298*($R298/1000)*365)*1)*Y$278)*(44/28)</f>
        <v>0.69746285714285716</v>
      </c>
      <c r="Z298" s="246">
        <f t="shared" si="110"/>
        <v>4.8822400000000004</v>
      </c>
      <c r="AA298" s="246">
        <f t="shared" si="110"/>
        <v>0</v>
      </c>
      <c r="AB298" s="246">
        <f t="shared" si="110"/>
        <v>0</v>
      </c>
      <c r="AC298" s="246">
        <f t="shared" si="110"/>
        <v>0.41847771428571423</v>
      </c>
      <c r="AD298" s="246">
        <f t="shared" si="110"/>
        <v>0</v>
      </c>
      <c r="AE298" s="246">
        <f t="shared" si="110"/>
        <v>6.9746285714285721</v>
      </c>
      <c r="AF298" s="246">
        <v>0</v>
      </c>
      <c r="AG298" s="246">
        <f t="shared" ref="AG298:AG303" si="111">((($Q298*($R298/1000)*365)*1)*AG$278)*(44/28)</f>
        <v>0.69746285714285716</v>
      </c>
      <c r="AH298" s="243"/>
      <c r="AI298" s="102">
        <v>1</v>
      </c>
      <c r="AJ298" s="100">
        <v>0</v>
      </c>
      <c r="AL298" s="102">
        <v>5</v>
      </c>
      <c r="AM298" s="237">
        <v>0.3</v>
      </c>
      <c r="AN298" s="241">
        <v>3.9</v>
      </c>
      <c r="AO298" s="241">
        <v>0.1</v>
      </c>
      <c r="AP298" s="247">
        <f>(AN298*365)*(AO298*0.67*0.01*1)</f>
        <v>0.95374500000000006</v>
      </c>
      <c r="AQ298" s="247">
        <f>(AN298*365)*(AO298*0.67*0.001*1)</f>
        <v>9.5374500000000001E-2</v>
      </c>
      <c r="AR298" s="248"/>
      <c r="AS298" s="247">
        <f>(AN298*365)*(AO298*0.67*0.02*1)</f>
        <v>1.9074900000000001</v>
      </c>
      <c r="AT298" s="247">
        <f>(AN298*365)*(AO298*0.67*0.01*1)</f>
        <v>0.95374500000000006</v>
      </c>
      <c r="AU298" s="247">
        <f>(AN298*365)*(AO298*0.67*0.25*1)</f>
        <v>23.843625000000003</v>
      </c>
      <c r="AV298" s="247">
        <f>(AN298*365)*(AO298*0.67*0.73*1)</f>
        <v>69.623384999999999</v>
      </c>
      <c r="AW298" s="247">
        <f>(AN298*365)*(AO298*0.67*0.03*1)</f>
        <v>2.8612350000000002</v>
      </c>
      <c r="AX298" s="248"/>
      <c r="AY298" s="247">
        <f>(AN298*365)*(AO298*0.67*0.25*1)</f>
        <v>23.843625000000003</v>
      </c>
      <c r="AZ298" s="247">
        <f t="shared" si="98"/>
        <v>95.374500000000012</v>
      </c>
      <c r="BA298" s="247">
        <f t="shared" si="99"/>
        <v>9.5374500000000015</v>
      </c>
      <c r="BB298" s="247">
        <f t="shared" si="100"/>
        <v>0.47687250000000003</v>
      </c>
      <c r="BC298" s="247">
        <f>(AN298*365)*(AO298*0.67*0.005*1)</f>
        <v>0.47687250000000003</v>
      </c>
      <c r="BD298" s="247">
        <v>0</v>
      </c>
      <c r="BE298" s="247">
        <v>0</v>
      </c>
      <c r="BF298" s="168"/>
      <c r="BG298" s="168"/>
      <c r="BH298" s="168"/>
      <c r="BI298" s="203" t="s">
        <v>143</v>
      </c>
      <c r="BJ298" s="190" t="s">
        <v>168</v>
      </c>
      <c r="BK298" s="196">
        <f t="shared" si="101"/>
        <v>1</v>
      </c>
      <c r="BL298" s="190" t="s">
        <v>413</v>
      </c>
      <c r="BM298" s="189">
        <v>0.2</v>
      </c>
      <c r="BN298" s="189">
        <v>0.5</v>
      </c>
      <c r="BO298" s="188" t="s">
        <v>258</v>
      </c>
      <c r="BP298" s="196">
        <f t="shared" si="102"/>
        <v>1.2445714285714284</v>
      </c>
      <c r="BQ298" s="190" t="s">
        <v>415</v>
      </c>
      <c r="BR298" s="189">
        <v>0.2</v>
      </c>
      <c r="BS298" s="189">
        <v>0.5</v>
      </c>
      <c r="BT298" s="188" t="s">
        <v>258</v>
      </c>
      <c r="BU298" s="180"/>
      <c r="BV298" s="196">
        <v>25</v>
      </c>
      <c r="BW298" s="190" t="s">
        <v>414</v>
      </c>
      <c r="BX298" s="180"/>
      <c r="BY298" s="196">
        <v>370.88228571428567</v>
      </c>
      <c r="BZ298" s="190" t="s">
        <v>414</v>
      </c>
      <c r="CA298" s="180"/>
      <c r="CB298" s="180"/>
      <c r="CC298" s="178"/>
      <c r="CD298" s="178"/>
      <c r="CE298" s="180"/>
      <c r="CF298" s="180"/>
      <c r="CG298" s="180"/>
      <c r="CH298" s="180"/>
      <c r="CI298" s="178"/>
      <c r="CJ298" s="178"/>
      <c r="CK298" s="180"/>
      <c r="CL298" s="180"/>
      <c r="CM298" s="180"/>
      <c r="CN298" s="116"/>
      <c r="CO298" s="218">
        <f t="shared" si="83"/>
        <v>0.2</v>
      </c>
      <c r="CP298" s="100">
        <f t="shared" si="84"/>
        <v>0.35</v>
      </c>
      <c r="CQ298" s="218">
        <f t="shared" si="85"/>
        <v>0.5</v>
      </c>
      <c r="CR298" s="101">
        <v>0.2</v>
      </c>
      <c r="CS298" s="101">
        <v>0.5</v>
      </c>
      <c r="DA298" s="23" t="s">
        <v>143</v>
      </c>
      <c r="DB298" s="23">
        <v>1</v>
      </c>
      <c r="DC298" s="142">
        <f t="shared" si="103"/>
        <v>21</v>
      </c>
      <c r="DD298" s="142">
        <f t="shared" si="104"/>
        <v>25</v>
      </c>
      <c r="DE298" s="23">
        <v>40</v>
      </c>
      <c r="DF298" s="23">
        <v>0.99</v>
      </c>
      <c r="DG298" s="142">
        <f t="shared" si="105"/>
        <v>39.6</v>
      </c>
      <c r="DH298" s="23">
        <v>0.02</v>
      </c>
      <c r="DI298" s="149">
        <f t="shared" si="106"/>
        <v>1.2445714285714284</v>
      </c>
      <c r="DJ298" s="149">
        <f t="shared" si="107"/>
        <v>385.81714285714281</v>
      </c>
      <c r="DK298" s="149">
        <f t="shared" si="108"/>
        <v>370.88228571428567</v>
      </c>
      <c r="DL298" s="150">
        <f t="shared" si="109"/>
        <v>406.81714285714281</v>
      </c>
      <c r="DM298" s="150">
        <f t="shared" si="109"/>
        <v>395.88228571428567</v>
      </c>
      <c r="DN298" s="116" t="s">
        <v>168</v>
      </c>
      <c r="DO298" s="101" t="s">
        <v>392</v>
      </c>
    </row>
    <row r="299" spans="15:119" s="101" customFormat="1" ht="33.75" hidden="1" customHeight="1" thickBot="1" x14ac:dyDescent="0.4">
      <c r="O299" s="227" t="s">
        <v>144</v>
      </c>
      <c r="Q299" s="243">
        <v>0.32</v>
      </c>
      <c r="R299" s="243">
        <v>380</v>
      </c>
      <c r="S299" s="246">
        <f t="shared" ref="S299:AG312" si="112">((($Q299*($R299/1000)*365)*1)*S$278)*(44/28)</f>
        <v>0</v>
      </c>
      <c r="T299" s="246">
        <f t="shared" si="112"/>
        <v>0</v>
      </c>
      <c r="U299" s="246">
        <f t="shared" si="112"/>
        <v>0.34873142857142858</v>
      </c>
      <c r="V299" s="246">
        <f t="shared" si="112"/>
        <v>1.3949257142857143</v>
      </c>
      <c r="W299" s="246">
        <f t="shared" si="112"/>
        <v>0.34873142857142858</v>
      </c>
      <c r="X299" s="246">
        <f t="shared" si="112"/>
        <v>0</v>
      </c>
      <c r="Y299" s="246">
        <f t="shared" si="112"/>
        <v>0.69746285714285716</v>
      </c>
      <c r="Z299" s="246">
        <f t="shared" si="112"/>
        <v>4.8822400000000004</v>
      </c>
      <c r="AA299" s="246">
        <f t="shared" si="112"/>
        <v>0</v>
      </c>
      <c r="AB299" s="246">
        <f t="shared" si="112"/>
        <v>0</v>
      </c>
      <c r="AC299" s="246">
        <f t="shared" si="112"/>
        <v>0.41847771428571423</v>
      </c>
      <c r="AD299" s="246">
        <f t="shared" si="112"/>
        <v>0</v>
      </c>
      <c r="AE299" s="246">
        <f t="shared" si="112"/>
        <v>6.9746285714285721</v>
      </c>
      <c r="AF299" s="246">
        <v>0</v>
      </c>
      <c r="AG299" s="246">
        <f t="shared" si="111"/>
        <v>0.69746285714285716</v>
      </c>
      <c r="AH299" s="243"/>
      <c r="AI299" s="102">
        <v>1</v>
      </c>
      <c r="AJ299" s="100">
        <v>0</v>
      </c>
      <c r="AL299" s="102">
        <v>14</v>
      </c>
      <c r="AM299" s="237">
        <v>0.3</v>
      </c>
      <c r="AN299" s="241">
        <v>3.9</v>
      </c>
      <c r="AO299" s="241">
        <v>0.1</v>
      </c>
      <c r="AP299" s="247">
        <f>(AN299*365)*(AO299*0.67*0.015*1)</f>
        <v>1.4306175000000001</v>
      </c>
      <c r="AQ299" s="247">
        <f>(AN299*365)*(AO299*0.67*0.005*1)</f>
        <v>0.47687250000000003</v>
      </c>
      <c r="AR299" s="248"/>
      <c r="AS299" s="247">
        <f>(AN299*365)*(AO299*0.67*0.04*1)</f>
        <v>3.8149800000000003</v>
      </c>
      <c r="AT299" s="247">
        <f>(AN299*365)*(AO299*0.67*0.015*1)</f>
        <v>1.4306175000000001</v>
      </c>
      <c r="AU299" s="247">
        <f>(AN299*365)*(AO299*0.67*0.65*1)</f>
        <v>61.993425000000009</v>
      </c>
      <c r="AV299" s="247">
        <f>(AN299*365)*(AO299*0.67*0.79*1)</f>
        <v>75.345855</v>
      </c>
      <c r="AW299" s="247">
        <f>(AN299*365)*(AO299*0.67*0.03*1)</f>
        <v>2.8612350000000002</v>
      </c>
      <c r="AX299" s="248"/>
      <c r="AY299" s="247">
        <f>(AN299*365)*(AO299*0.67*0.65*1)</f>
        <v>61.993425000000009</v>
      </c>
      <c r="AZ299" s="247">
        <f t="shared" si="98"/>
        <v>95.374500000000012</v>
      </c>
      <c r="BA299" s="247">
        <f t="shared" si="99"/>
        <v>9.5374500000000015</v>
      </c>
      <c r="BB299" s="247">
        <f t="shared" si="100"/>
        <v>0.47687250000000003</v>
      </c>
      <c r="BC299" s="247">
        <f>(AN299*365)*(AO299*0.67*0.01*1)</f>
        <v>0.95374500000000006</v>
      </c>
      <c r="BD299" s="247">
        <v>0</v>
      </c>
      <c r="BE299" s="247">
        <v>0</v>
      </c>
      <c r="BF299" s="168"/>
      <c r="BG299" s="168"/>
      <c r="BH299" s="168"/>
      <c r="BI299" s="203" t="s">
        <v>144</v>
      </c>
      <c r="BJ299" s="190" t="s">
        <v>168</v>
      </c>
      <c r="BK299" s="196">
        <f t="shared" si="101"/>
        <v>1</v>
      </c>
      <c r="BL299" s="190" t="s">
        <v>413</v>
      </c>
      <c r="BM299" s="189">
        <v>0.2</v>
      </c>
      <c r="BN299" s="189">
        <v>0.5</v>
      </c>
      <c r="BO299" s="188" t="s">
        <v>258</v>
      </c>
      <c r="BP299" s="196">
        <f t="shared" si="102"/>
        <v>1.2445714285714284</v>
      </c>
      <c r="BQ299" s="190" t="s">
        <v>415</v>
      </c>
      <c r="BR299" s="189">
        <v>0.2</v>
      </c>
      <c r="BS299" s="189">
        <v>0.5</v>
      </c>
      <c r="BT299" s="188" t="s">
        <v>258</v>
      </c>
      <c r="BU299" s="180"/>
      <c r="BV299" s="196">
        <v>25</v>
      </c>
      <c r="BW299" s="190" t="s">
        <v>414</v>
      </c>
      <c r="BX299" s="180"/>
      <c r="BY299" s="196">
        <v>370.88228571428567</v>
      </c>
      <c r="BZ299" s="190" t="s">
        <v>414</v>
      </c>
      <c r="CA299" s="180"/>
      <c r="CB299" s="180"/>
      <c r="CC299" s="178"/>
      <c r="CD299" s="178"/>
      <c r="CE299" s="180"/>
      <c r="CF299" s="180"/>
      <c r="CG299" s="180"/>
      <c r="CH299" s="180"/>
      <c r="CI299" s="178"/>
      <c r="CJ299" s="178"/>
      <c r="CK299" s="180"/>
      <c r="CL299" s="180"/>
      <c r="CM299" s="180"/>
      <c r="CN299" s="116"/>
      <c r="CO299" s="218">
        <f t="shared" si="83"/>
        <v>0.2</v>
      </c>
      <c r="CP299" s="100">
        <f t="shared" si="84"/>
        <v>0.35</v>
      </c>
      <c r="CQ299" s="218">
        <f t="shared" si="85"/>
        <v>0.5</v>
      </c>
      <c r="CR299" s="101">
        <v>0.2</v>
      </c>
      <c r="CS299" s="101">
        <v>0.5</v>
      </c>
      <c r="DA299" s="23" t="s">
        <v>144</v>
      </c>
      <c r="DB299" s="23">
        <v>1</v>
      </c>
      <c r="DC299" s="142">
        <f t="shared" si="103"/>
        <v>21</v>
      </c>
      <c r="DD299" s="142">
        <f t="shared" si="104"/>
        <v>25</v>
      </c>
      <c r="DE299" s="23">
        <v>40</v>
      </c>
      <c r="DF299" s="23">
        <v>0.99</v>
      </c>
      <c r="DG299" s="142">
        <f t="shared" si="105"/>
        <v>39.6</v>
      </c>
      <c r="DH299" s="23">
        <v>0.02</v>
      </c>
      <c r="DI299" s="149">
        <f t="shared" si="106"/>
        <v>1.2445714285714284</v>
      </c>
      <c r="DJ299" s="149">
        <f t="shared" si="107"/>
        <v>385.81714285714281</v>
      </c>
      <c r="DK299" s="149">
        <f t="shared" si="108"/>
        <v>370.88228571428567</v>
      </c>
      <c r="DL299" s="150">
        <f t="shared" si="109"/>
        <v>406.81714285714281</v>
      </c>
      <c r="DM299" s="150">
        <f t="shared" si="109"/>
        <v>395.88228571428567</v>
      </c>
      <c r="DN299" s="116" t="s">
        <v>168</v>
      </c>
      <c r="DO299" s="101" t="s">
        <v>392</v>
      </c>
    </row>
    <row r="300" spans="15:119" s="101" customFormat="1" ht="33.75" hidden="1" customHeight="1" thickBot="1" x14ac:dyDescent="0.4">
      <c r="O300" s="227" t="s">
        <v>145</v>
      </c>
      <c r="Q300" s="243">
        <v>0.32</v>
      </c>
      <c r="R300" s="243">
        <v>380</v>
      </c>
      <c r="S300" s="246">
        <f t="shared" si="112"/>
        <v>0</v>
      </c>
      <c r="T300" s="246">
        <f t="shared" si="112"/>
        <v>0</v>
      </c>
      <c r="U300" s="246">
        <f t="shared" si="112"/>
        <v>0.34873142857142858</v>
      </c>
      <c r="V300" s="246">
        <f t="shared" si="112"/>
        <v>1.3949257142857143</v>
      </c>
      <c r="W300" s="246">
        <f t="shared" si="112"/>
        <v>0.34873142857142858</v>
      </c>
      <c r="X300" s="246">
        <f t="shared" si="112"/>
        <v>0</v>
      </c>
      <c r="Y300" s="246">
        <f t="shared" si="112"/>
        <v>0.69746285714285716</v>
      </c>
      <c r="Z300" s="246">
        <f t="shared" si="112"/>
        <v>4.8822400000000004</v>
      </c>
      <c r="AA300" s="246">
        <f t="shared" si="112"/>
        <v>0</v>
      </c>
      <c r="AB300" s="246">
        <f t="shared" si="112"/>
        <v>0</v>
      </c>
      <c r="AC300" s="246">
        <f t="shared" si="112"/>
        <v>0.41847771428571423</v>
      </c>
      <c r="AD300" s="246">
        <f t="shared" si="112"/>
        <v>0</v>
      </c>
      <c r="AE300" s="246">
        <f t="shared" si="112"/>
        <v>6.9746285714285721</v>
      </c>
      <c r="AF300" s="246">
        <v>0</v>
      </c>
      <c r="AG300" s="246">
        <f t="shared" si="111"/>
        <v>0.69746285714285716</v>
      </c>
      <c r="AH300" s="243"/>
      <c r="AI300" s="102">
        <v>2</v>
      </c>
      <c r="AJ300" s="100">
        <v>0</v>
      </c>
      <c r="AL300" s="102">
        <v>17</v>
      </c>
      <c r="AM300" s="237">
        <v>0.3</v>
      </c>
      <c r="AN300" s="241">
        <v>3.9</v>
      </c>
      <c r="AO300" s="241">
        <v>0.1</v>
      </c>
      <c r="AP300" s="247">
        <f>(AN300*365)*(AO300*0.67*0.02*1)</f>
        <v>1.9074900000000001</v>
      </c>
      <c r="AQ300" s="247">
        <f>(AN300*365)*(AO300*0.67*0.01*1)</f>
        <v>0.95374500000000006</v>
      </c>
      <c r="AR300" s="248"/>
      <c r="AS300" s="247">
        <f>(AN300*365)*(AO300*0.67*0.05*1)</f>
        <v>4.7687250000000008</v>
      </c>
      <c r="AT300" s="247">
        <f>(AN300*365)*(AO300*0.67*0.02*1)</f>
        <v>1.9074900000000001</v>
      </c>
      <c r="AU300" s="247">
        <f>(AN300*365)*(AO300*0.67*0.8*1)</f>
        <v>76.299600000000012</v>
      </c>
      <c r="AV300" s="247">
        <f>(AN300*365)*(AO300*0.67*0.8*1)</f>
        <v>76.299600000000012</v>
      </c>
      <c r="AW300" s="247">
        <f>(AN300*365)*(AO300*0.67*0.3*1)</f>
        <v>28.612349999999999</v>
      </c>
      <c r="AX300" s="248"/>
      <c r="AY300" s="247">
        <f>(AN300*365)*(AO300*0.67*0.8*1)</f>
        <v>76.299600000000012</v>
      </c>
      <c r="AZ300" s="247">
        <f t="shared" si="98"/>
        <v>95.374500000000012</v>
      </c>
      <c r="BA300" s="247">
        <f t="shared" si="99"/>
        <v>9.5374500000000015</v>
      </c>
      <c r="BB300" s="247">
        <f t="shared" si="100"/>
        <v>0.47687250000000003</v>
      </c>
      <c r="BC300" s="247">
        <f>(AN300*365)*(AO300*0.67*0.015*1)</f>
        <v>1.4306175000000001</v>
      </c>
      <c r="BD300" s="247">
        <v>0</v>
      </c>
      <c r="BE300" s="247">
        <v>0</v>
      </c>
      <c r="BF300" s="168"/>
      <c r="BG300" s="168"/>
      <c r="BH300" s="168"/>
      <c r="BI300" s="203" t="s">
        <v>145</v>
      </c>
      <c r="BJ300" s="190" t="s">
        <v>168</v>
      </c>
      <c r="BK300" s="196">
        <f t="shared" si="101"/>
        <v>2</v>
      </c>
      <c r="BL300" s="190" t="s">
        <v>413</v>
      </c>
      <c r="BM300" s="189">
        <v>0.2</v>
      </c>
      <c r="BN300" s="189">
        <v>0.5</v>
      </c>
      <c r="BO300" s="188" t="s">
        <v>258</v>
      </c>
      <c r="BP300" s="196">
        <f t="shared" si="102"/>
        <v>1.2445714285714284</v>
      </c>
      <c r="BQ300" s="190" t="s">
        <v>415</v>
      </c>
      <c r="BR300" s="189">
        <v>0.2</v>
      </c>
      <c r="BS300" s="189">
        <v>0.5</v>
      </c>
      <c r="BT300" s="188" t="s">
        <v>258</v>
      </c>
      <c r="BU300" s="180"/>
      <c r="BV300" s="196">
        <v>50</v>
      </c>
      <c r="BW300" s="190" t="s">
        <v>414</v>
      </c>
      <c r="BX300" s="180"/>
      <c r="BY300" s="196">
        <v>370.88228571428567</v>
      </c>
      <c r="BZ300" s="190" t="s">
        <v>414</v>
      </c>
      <c r="CA300" s="180"/>
      <c r="CB300" s="180"/>
      <c r="CC300" s="178"/>
      <c r="CD300" s="178"/>
      <c r="CE300" s="180"/>
      <c r="CF300" s="180"/>
      <c r="CG300" s="180"/>
      <c r="CH300" s="180"/>
      <c r="CI300" s="178"/>
      <c r="CJ300" s="178"/>
      <c r="CK300" s="180"/>
      <c r="CL300" s="180"/>
      <c r="CM300" s="180"/>
      <c r="CN300" s="116"/>
      <c r="CO300" s="218">
        <f t="shared" si="83"/>
        <v>0.2</v>
      </c>
      <c r="CP300" s="100">
        <f t="shared" si="84"/>
        <v>0.35</v>
      </c>
      <c r="CQ300" s="218">
        <f t="shared" si="85"/>
        <v>0.5</v>
      </c>
      <c r="CR300" s="101">
        <v>0.2</v>
      </c>
      <c r="CS300" s="101">
        <v>0.5</v>
      </c>
      <c r="DA300" s="23" t="s">
        <v>145</v>
      </c>
      <c r="DB300" s="23">
        <v>2</v>
      </c>
      <c r="DC300" s="142">
        <f t="shared" si="103"/>
        <v>42</v>
      </c>
      <c r="DD300" s="142">
        <f t="shared" si="104"/>
        <v>50</v>
      </c>
      <c r="DE300" s="23">
        <v>40</v>
      </c>
      <c r="DF300" s="23">
        <v>0.99</v>
      </c>
      <c r="DG300" s="142">
        <f t="shared" si="105"/>
        <v>39.6</v>
      </c>
      <c r="DH300" s="23">
        <v>0.02</v>
      </c>
      <c r="DI300" s="149">
        <f t="shared" si="106"/>
        <v>1.2445714285714284</v>
      </c>
      <c r="DJ300" s="149">
        <f t="shared" si="107"/>
        <v>385.81714285714281</v>
      </c>
      <c r="DK300" s="149">
        <f t="shared" si="108"/>
        <v>370.88228571428567</v>
      </c>
      <c r="DL300" s="150">
        <f t="shared" si="109"/>
        <v>427.81714285714281</v>
      </c>
      <c r="DM300" s="150">
        <f t="shared" si="109"/>
        <v>420.88228571428567</v>
      </c>
      <c r="DN300" s="116" t="s">
        <v>168</v>
      </c>
      <c r="DO300" s="101" t="s">
        <v>392</v>
      </c>
    </row>
    <row r="301" spans="15:119" s="101" customFormat="1" ht="33.75" hidden="1" customHeight="1" thickBot="1" x14ac:dyDescent="0.4">
      <c r="O301" s="227" t="s">
        <v>146</v>
      </c>
      <c r="Q301" s="243">
        <v>1.37</v>
      </c>
      <c r="R301" s="243">
        <v>30</v>
      </c>
      <c r="S301" s="246">
        <f t="shared" si="112"/>
        <v>0</v>
      </c>
      <c r="T301" s="246">
        <f t="shared" si="112"/>
        <v>0</v>
      </c>
      <c r="U301" s="246">
        <f t="shared" si="112"/>
        <v>0.11786892857142858</v>
      </c>
      <c r="V301" s="246">
        <f t="shared" si="112"/>
        <v>0.47147571428571433</v>
      </c>
      <c r="W301" s="246">
        <f t="shared" si="112"/>
        <v>0.11786892857142858</v>
      </c>
      <c r="X301" s="246">
        <f t="shared" si="112"/>
        <v>0</v>
      </c>
      <c r="Y301" s="246">
        <f t="shared" si="112"/>
        <v>0.23573785714285717</v>
      </c>
      <c r="Z301" s="246">
        <f t="shared" si="112"/>
        <v>1.6501650000000003</v>
      </c>
      <c r="AA301" s="246">
        <f t="shared" si="112"/>
        <v>0</v>
      </c>
      <c r="AB301" s="246">
        <f t="shared" si="112"/>
        <v>0</v>
      </c>
      <c r="AC301" s="246">
        <f t="shared" si="112"/>
        <v>0.14144271428571431</v>
      </c>
      <c r="AD301" s="246">
        <f t="shared" si="112"/>
        <v>0</v>
      </c>
      <c r="AE301" s="246">
        <f t="shared" si="112"/>
        <v>2.3573785714285718</v>
      </c>
      <c r="AF301" s="246">
        <v>0</v>
      </c>
      <c r="AG301" s="246">
        <f t="shared" si="111"/>
        <v>0.23573785714285717</v>
      </c>
      <c r="AH301" s="243"/>
      <c r="AI301" s="102">
        <v>0.11</v>
      </c>
      <c r="AJ301" s="100">
        <v>0</v>
      </c>
      <c r="AL301" s="100">
        <v>0</v>
      </c>
      <c r="AM301" s="237">
        <v>0.3</v>
      </c>
      <c r="AN301" s="241">
        <v>0.35</v>
      </c>
      <c r="AO301" s="241">
        <v>0.13</v>
      </c>
      <c r="AP301" s="247">
        <f>(AN301*365)*(AO301*0.67*0.01*1)</f>
        <v>0.11127025</v>
      </c>
      <c r="AQ301" s="247">
        <f>(AN301*365)*(AO301*0.67*0.001*1)</f>
        <v>1.1127025E-2</v>
      </c>
      <c r="AR301" s="248"/>
      <c r="AS301" s="247">
        <f>(AN301*365)*(AO301*0.67*0.02*1)</f>
        <v>0.2225405</v>
      </c>
      <c r="AT301" s="247">
        <f>(AN301*365)*(AO301*0.67*0.01*1)</f>
        <v>0.11127025</v>
      </c>
      <c r="AU301" s="247">
        <f>(AN301*365)*(AO301*0.67*0.25*1)</f>
        <v>2.7817562499999999</v>
      </c>
      <c r="AV301" s="247">
        <f>(AN301*365)*(AO301*0.67*0.73*1)</f>
        <v>8.1227282499999998</v>
      </c>
      <c r="AW301" s="247">
        <f>(AN301*365)*(AO301*0.67*0.03*1)</f>
        <v>0.33381074999999999</v>
      </c>
      <c r="AX301" s="248"/>
      <c r="AY301" s="247">
        <f>(AN301*365)*(AO301*0.67*0.25*1)</f>
        <v>2.7817562499999999</v>
      </c>
      <c r="AZ301" s="247">
        <f t="shared" si="98"/>
        <v>11.127025</v>
      </c>
      <c r="BA301" s="247">
        <f t="shared" si="99"/>
        <v>1.1127024999999999</v>
      </c>
      <c r="BB301" s="247">
        <f t="shared" si="100"/>
        <v>5.5635125000000001E-2</v>
      </c>
      <c r="BC301" s="247">
        <f>(AN301*365)*(AO301*0.67*0.005*1)</f>
        <v>5.5635125000000001E-2</v>
      </c>
      <c r="BD301" s="247">
        <v>0</v>
      </c>
      <c r="BE301" s="247">
        <v>0</v>
      </c>
      <c r="BF301" s="168"/>
      <c r="BG301" s="168"/>
      <c r="BH301" s="168"/>
      <c r="BI301" s="203" t="s">
        <v>146</v>
      </c>
      <c r="BJ301" s="190" t="s">
        <v>168</v>
      </c>
      <c r="BK301" s="196">
        <f t="shared" si="101"/>
        <v>0.11</v>
      </c>
      <c r="BL301" s="190" t="s">
        <v>413</v>
      </c>
      <c r="BM301" s="189">
        <v>0.2</v>
      </c>
      <c r="BN301" s="189">
        <v>0.5</v>
      </c>
      <c r="BO301" s="188" t="s">
        <v>258</v>
      </c>
      <c r="BP301" s="196">
        <f t="shared" si="102"/>
        <v>1.2445714285714284</v>
      </c>
      <c r="BQ301" s="190" t="s">
        <v>415</v>
      </c>
      <c r="BR301" s="189">
        <v>0.2</v>
      </c>
      <c r="BS301" s="189">
        <v>0.5</v>
      </c>
      <c r="BT301" s="188" t="s">
        <v>258</v>
      </c>
      <c r="BU301" s="180"/>
      <c r="BV301" s="196">
        <v>2.75</v>
      </c>
      <c r="BW301" s="190" t="s">
        <v>414</v>
      </c>
      <c r="BX301" s="180"/>
      <c r="BY301" s="196">
        <v>370.88228571428567</v>
      </c>
      <c r="BZ301" s="190" t="s">
        <v>414</v>
      </c>
      <c r="CA301" s="178"/>
      <c r="CB301" s="180"/>
      <c r="CC301" s="178"/>
      <c r="CD301" s="178"/>
      <c r="CE301" s="180"/>
      <c r="CF301" s="180"/>
      <c r="CG301" s="180"/>
      <c r="CH301" s="180"/>
      <c r="CI301" s="178"/>
      <c r="CJ301" s="178"/>
      <c r="CK301" s="180"/>
      <c r="CL301" s="180"/>
      <c r="CM301" s="180"/>
      <c r="CN301" s="116"/>
      <c r="CO301" s="218">
        <f t="shared" ref="CO301:CO364" si="113">BM301</f>
        <v>0.2</v>
      </c>
      <c r="CP301" s="100">
        <f t="shared" ref="CP301:CP364" si="114">(CO301+CQ301)/2</f>
        <v>0.35</v>
      </c>
      <c r="CQ301" s="218">
        <f t="shared" ref="CQ301:CQ364" si="115">BN301</f>
        <v>0.5</v>
      </c>
      <c r="CR301" s="101">
        <v>0.2</v>
      </c>
      <c r="CS301" s="101">
        <v>0.5</v>
      </c>
      <c r="DA301" s="23" t="s">
        <v>146</v>
      </c>
      <c r="DB301" s="23">
        <v>0.11</v>
      </c>
      <c r="DC301" s="142">
        <f t="shared" si="103"/>
        <v>2.31</v>
      </c>
      <c r="DD301" s="142">
        <f t="shared" si="104"/>
        <v>2.75</v>
      </c>
      <c r="DE301" s="23">
        <v>40</v>
      </c>
      <c r="DF301" s="23">
        <v>0.99</v>
      </c>
      <c r="DG301" s="142">
        <f t="shared" si="105"/>
        <v>39.6</v>
      </c>
      <c r="DH301" s="23">
        <v>0.02</v>
      </c>
      <c r="DI301" s="149">
        <f t="shared" si="106"/>
        <v>1.2445714285714284</v>
      </c>
      <c r="DJ301" s="149">
        <f t="shared" si="107"/>
        <v>385.81714285714281</v>
      </c>
      <c r="DK301" s="149">
        <f t="shared" si="108"/>
        <v>370.88228571428567</v>
      </c>
      <c r="DL301" s="150">
        <f t="shared" si="109"/>
        <v>388.12714285714281</v>
      </c>
      <c r="DM301" s="150">
        <f t="shared" si="109"/>
        <v>373.63228571428567</v>
      </c>
      <c r="DN301" s="116" t="s">
        <v>168</v>
      </c>
      <c r="DO301" s="101" t="s">
        <v>392</v>
      </c>
    </row>
    <row r="302" spans="15:119" s="101" customFormat="1" ht="33.75" hidden="1" customHeight="1" thickBot="1" x14ac:dyDescent="0.4">
      <c r="O302" s="227" t="s">
        <v>147</v>
      </c>
      <c r="Q302" s="243">
        <v>1.37</v>
      </c>
      <c r="R302" s="243">
        <v>30</v>
      </c>
      <c r="S302" s="246">
        <f t="shared" si="112"/>
        <v>0</v>
      </c>
      <c r="T302" s="246">
        <f t="shared" si="112"/>
        <v>0</v>
      </c>
      <c r="U302" s="246">
        <f t="shared" si="112"/>
        <v>0.11786892857142858</v>
      </c>
      <c r="V302" s="246">
        <f t="shared" si="112"/>
        <v>0.47147571428571433</v>
      </c>
      <c r="W302" s="246">
        <f t="shared" si="112"/>
        <v>0.11786892857142858</v>
      </c>
      <c r="X302" s="246">
        <f t="shared" si="112"/>
        <v>0</v>
      </c>
      <c r="Y302" s="246">
        <f t="shared" si="112"/>
        <v>0.23573785714285717</v>
      </c>
      <c r="Z302" s="246">
        <f t="shared" si="112"/>
        <v>1.6501650000000003</v>
      </c>
      <c r="AA302" s="246">
        <f t="shared" si="112"/>
        <v>0</v>
      </c>
      <c r="AB302" s="246">
        <f t="shared" si="112"/>
        <v>0</v>
      </c>
      <c r="AC302" s="246">
        <f t="shared" si="112"/>
        <v>0.14144271428571431</v>
      </c>
      <c r="AD302" s="246">
        <f t="shared" si="112"/>
        <v>0</v>
      </c>
      <c r="AE302" s="246">
        <f t="shared" si="112"/>
        <v>2.3573785714285718</v>
      </c>
      <c r="AF302" s="246">
        <v>0</v>
      </c>
      <c r="AG302" s="246">
        <f t="shared" si="111"/>
        <v>0.23573785714285717</v>
      </c>
      <c r="AH302" s="243"/>
      <c r="AI302" s="102">
        <v>0.17</v>
      </c>
      <c r="AJ302" s="100">
        <v>0</v>
      </c>
      <c r="AL302" s="100">
        <v>0</v>
      </c>
      <c r="AM302" s="237">
        <v>0.3</v>
      </c>
      <c r="AN302" s="241">
        <v>0.35</v>
      </c>
      <c r="AO302" s="241">
        <v>0.13</v>
      </c>
      <c r="AP302" s="247">
        <f>(AN302*365)*(AO302*0.67*0.015*1)</f>
        <v>0.16690537499999999</v>
      </c>
      <c r="AQ302" s="247">
        <f>(AN302*365)*(AO302*0.67*0.005*1)</f>
        <v>5.5635125000000001E-2</v>
      </c>
      <c r="AR302" s="248"/>
      <c r="AS302" s="247">
        <f>(AN302*365)*(AO302*0.67*0.04*1)</f>
        <v>0.445081</v>
      </c>
      <c r="AT302" s="247">
        <f>(AN302*365)*(AO302*0.67*0.015*1)</f>
        <v>0.16690537499999999</v>
      </c>
      <c r="AU302" s="247">
        <f>(AN302*365)*(AO302*0.67*0.65*1)</f>
        <v>7.2325662499999996</v>
      </c>
      <c r="AV302" s="247">
        <f>(AN302*365)*(AO302*0.67*0.79*1)</f>
        <v>8.7903497500000007</v>
      </c>
      <c r="AW302" s="247">
        <f>(AN302*365)*(AO302*0.67*0.03*1)</f>
        <v>0.33381074999999999</v>
      </c>
      <c r="AX302" s="248"/>
      <c r="AY302" s="247">
        <f>(AN302*365)*(AO302*0.67*0.65*1)</f>
        <v>7.2325662499999996</v>
      </c>
      <c r="AZ302" s="247">
        <f t="shared" si="98"/>
        <v>11.127025</v>
      </c>
      <c r="BA302" s="247">
        <f t="shared" si="99"/>
        <v>1.1127024999999999</v>
      </c>
      <c r="BB302" s="247">
        <f t="shared" si="100"/>
        <v>5.5635125000000001E-2</v>
      </c>
      <c r="BC302" s="247">
        <f>(AN302*365)*(AO302*0.67*0.01*1)</f>
        <v>0.11127025</v>
      </c>
      <c r="BD302" s="247">
        <v>0</v>
      </c>
      <c r="BE302" s="247">
        <v>0</v>
      </c>
      <c r="BF302" s="168"/>
      <c r="BG302" s="168"/>
      <c r="BH302" s="168"/>
      <c r="BI302" s="203" t="s">
        <v>147</v>
      </c>
      <c r="BJ302" s="190" t="s">
        <v>168</v>
      </c>
      <c r="BK302" s="196">
        <f t="shared" si="101"/>
        <v>0.17</v>
      </c>
      <c r="BL302" s="190" t="s">
        <v>413</v>
      </c>
      <c r="BM302" s="189">
        <v>0.2</v>
      </c>
      <c r="BN302" s="189">
        <v>0.5</v>
      </c>
      <c r="BO302" s="188" t="s">
        <v>258</v>
      </c>
      <c r="BP302" s="196">
        <f t="shared" si="102"/>
        <v>1.2445714285714284</v>
      </c>
      <c r="BQ302" s="190" t="s">
        <v>415</v>
      </c>
      <c r="BR302" s="189">
        <v>0.2</v>
      </c>
      <c r="BS302" s="189">
        <v>0.5</v>
      </c>
      <c r="BT302" s="188" t="s">
        <v>258</v>
      </c>
      <c r="BU302" s="180"/>
      <c r="BV302" s="196">
        <v>4.25</v>
      </c>
      <c r="BW302" s="190" t="s">
        <v>414</v>
      </c>
      <c r="BX302" s="180"/>
      <c r="BY302" s="196">
        <v>370.88228571428567</v>
      </c>
      <c r="BZ302" s="190" t="s">
        <v>414</v>
      </c>
      <c r="CA302" s="178"/>
      <c r="CB302" s="180"/>
      <c r="CC302" s="178"/>
      <c r="CD302" s="178"/>
      <c r="CE302" s="180"/>
      <c r="CF302" s="180"/>
      <c r="CG302" s="180"/>
      <c r="CH302" s="180"/>
      <c r="CI302" s="178"/>
      <c r="CJ302" s="178"/>
      <c r="CK302" s="180"/>
      <c r="CL302" s="180"/>
      <c r="CM302" s="180"/>
      <c r="CN302" s="116"/>
      <c r="CO302" s="218">
        <f t="shared" si="113"/>
        <v>0.2</v>
      </c>
      <c r="CP302" s="100">
        <f t="shared" si="114"/>
        <v>0.35</v>
      </c>
      <c r="CQ302" s="218">
        <f t="shared" si="115"/>
        <v>0.5</v>
      </c>
      <c r="CR302" s="101">
        <v>0.2</v>
      </c>
      <c r="CS302" s="101">
        <v>0.5</v>
      </c>
      <c r="DA302" s="23" t="s">
        <v>147</v>
      </c>
      <c r="DB302" s="23">
        <v>0.17</v>
      </c>
      <c r="DC302" s="142">
        <f t="shared" si="103"/>
        <v>3.5700000000000003</v>
      </c>
      <c r="DD302" s="142">
        <f t="shared" si="104"/>
        <v>4.25</v>
      </c>
      <c r="DE302" s="23">
        <v>40</v>
      </c>
      <c r="DF302" s="23">
        <v>0.99</v>
      </c>
      <c r="DG302" s="142">
        <f t="shared" si="105"/>
        <v>39.6</v>
      </c>
      <c r="DH302" s="23">
        <v>0.02</v>
      </c>
      <c r="DI302" s="149">
        <f t="shared" si="106"/>
        <v>1.2445714285714284</v>
      </c>
      <c r="DJ302" s="149">
        <f t="shared" si="107"/>
        <v>385.81714285714281</v>
      </c>
      <c r="DK302" s="149">
        <f t="shared" si="108"/>
        <v>370.88228571428567</v>
      </c>
      <c r="DL302" s="150">
        <f t="shared" si="109"/>
        <v>389.38714285714281</v>
      </c>
      <c r="DM302" s="150">
        <f t="shared" si="109"/>
        <v>375.13228571428567</v>
      </c>
      <c r="DN302" s="116" t="s">
        <v>168</v>
      </c>
      <c r="DO302" s="101" t="s">
        <v>392</v>
      </c>
    </row>
    <row r="303" spans="15:119" s="101" customFormat="1" ht="22.5" hidden="1" customHeight="1" thickBot="1" x14ac:dyDescent="0.4">
      <c r="O303" s="227" t="s">
        <v>148</v>
      </c>
      <c r="Q303" s="243">
        <v>1.37</v>
      </c>
      <c r="R303" s="243">
        <v>30</v>
      </c>
      <c r="S303" s="246">
        <f t="shared" si="112"/>
        <v>0</v>
      </c>
      <c r="T303" s="246">
        <f t="shared" si="112"/>
        <v>0</v>
      </c>
      <c r="U303" s="246">
        <f t="shared" si="112"/>
        <v>0.11786892857142858</v>
      </c>
      <c r="V303" s="246">
        <f t="shared" si="112"/>
        <v>0.47147571428571433</v>
      </c>
      <c r="W303" s="246">
        <f t="shared" si="112"/>
        <v>0.11786892857142858</v>
      </c>
      <c r="X303" s="246">
        <f t="shared" si="112"/>
        <v>0</v>
      </c>
      <c r="Y303" s="246">
        <f t="shared" si="112"/>
        <v>0.23573785714285717</v>
      </c>
      <c r="Z303" s="246">
        <f t="shared" si="112"/>
        <v>1.6501650000000003</v>
      </c>
      <c r="AA303" s="246">
        <f t="shared" si="112"/>
        <v>0</v>
      </c>
      <c r="AB303" s="246">
        <f t="shared" si="112"/>
        <v>0</v>
      </c>
      <c r="AC303" s="246">
        <f t="shared" si="112"/>
        <v>0.14144271428571431</v>
      </c>
      <c r="AD303" s="246">
        <f t="shared" si="112"/>
        <v>0</v>
      </c>
      <c r="AE303" s="246">
        <f t="shared" si="112"/>
        <v>2.3573785714285718</v>
      </c>
      <c r="AF303" s="246">
        <v>0</v>
      </c>
      <c r="AG303" s="246">
        <f t="shared" si="111"/>
        <v>0.23573785714285717</v>
      </c>
      <c r="AH303" s="243"/>
      <c r="AI303" s="102">
        <v>0.22</v>
      </c>
      <c r="AJ303" s="100">
        <v>0</v>
      </c>
      <c r="AL303" s="100">
        <v>0</v>
      </c>
      <c r="AM303" s="237">
        <v>0.3</v>
      </c>
      <c r="AN303" s="241">
        <v>0.35</v>
      </c>
      <c r="AO303" s="241">
        <v>0.13</v>
      </c>
      <c r="AP303" s="247">
        <f>(AN303*365)*(AO303*0.67*0.02*1)</f>
        <v>0.2225405</v>
      </c>
      <c r="AQ303" s="247">
        <f>(AN303*365)*(AO303*0.67*0.01*1)</f>
        <v>0.11127025</v>
      </c>
      <c r="AR303" s="248"/>
      <c r="AS303" s="247">
        <f>(AN303*365)*(AO303*0.67*0.05*1)</f>
        <v>0.55635124999999996</v>
      </c>
      <c r="AT303" s="247">
        <f>(AN303*365)*(AO303*0.67*0.02*1)</f>
        <v>0.2225405</v>
      </c>
      <c r="AU303" s="247">
        <f>(AN303*365)*(AO303*0.67*0.8*1)</f>
        <v>8.9016199999999994</v>
      </c>
      <c r="AV303" s="247">
        <f>(AN303*365)*(AO303*0.67*0.8*1)</f>
        <v>8.9016199999999994</v>
      </c>
      <c r="AW303" s="247">
        <f>(AN303*365)*(AO303*0.67*0.3*1)</f>
        <v>3.3381075</v>
      </c>
      <c r="AX303" s="248"/>
      <c r="AY303" s="247">
        <f>(AN303*365)*(AO303*0.67*0.8*1)</f>
        <v>8.9016199999999994</v>
      </c>
      <c r="AZ303" s="247">
        <f t="shared" si="98"/>
        <v>11.127025</v>
      </c>
      <c r="BA303" s="247">
        <f t="shared" si="99"/>
        <v>1.1127024999999999</v>
      </c>
      <c r="BB303" s="247">
        <f t="shared" si="100"/>
        <v>5.5635125000000001E-2</v>
      </c>
      <c r="BC303" s="247">
        <f>(AN303*365)*(AO303*0.67*0.015*1)</f>
        <v>0.16690537499999999</v>
      </c>
      <c r="BD303" s="247">
        <v>0</v>
      </c>
      <c r="BE303" s="247">
        <v>0</v>
      </c>
      <c r="BF303" s="168"/>
      <c r="BG303" s="168"/>
      <c r="BH303" s="168"/>
      <c r="BI303" s="203" t="s">
        <v>148</v>
      </c>
      <c r="BJ303" s="190" t="s">
        <v>168</v>
      </c>
      <c r="BK303" s="196">
        <f t="shared" si="101"/>
        <v>0.22</v>
      </c>
      <c r="BL303" s="190" t="s">
        <v>413</v>
      </c>
      <c r="BM303" s="189">
        <v>0.2</v>
      </c>
      <c r="BN303" s="189">
        <v>0.5</v>
      </c>
      <c r="BO303" s="188" t="s">
        <v>258</v>
      </c>
      <c r="BP303" s="196">
        <f t="shared" si="102"/>
        <v>1.2445714285714284</v>
      </c>
      <c r="BQ303" s="190" t="s">
        <v>415</v>
      </c>
      <c r="BR303" s="189">
        <v>0.2</v>
      </c>
      <c r="BS303" s="189">
        <v>0.5</v>
      </c>
      <c r="BT303" s="188" t="s">
        <v>258</v>
      </c>
      <c r="BU303" s="204"/>
      <c r="BV303" s="196">
        <v>5.5</v>
      </c>
      <c r="BW303" s="190" t="s">
        <v>414</v>
      </c>
      <c r="BX303" s="204"/>
      <c r="BY303" s="196">
        <v>370.88228571428567</v>
      </c>
      <c r="BZ303" s="190" t="s">
        <v>414</v>
      </c>
      <c r="CA303" s="205"/>
      <c r="CB303" s="180"/>
      <c r="CC303" s="178"/>
      <c r="CD303" s="178"/>
      <c r="CE303" s="180"/>
      <c r="CF303" s="180"/>
      <c r="CG303" s="180"/>
      <c r="CH303" s="180"/>
      <c r="CI303" s="178"/>
      <c r="CJ303" s="178"/>
      <c r="CK303" s="180"/>
      <c r="CL303" s="180"/>
      <c r="CM303" s="180"/>
      <c r="CN303" s="116"/>
      <c r="CO303" s="218">
        <f t="shared" si="113"/>
        <v>0.2</v>
      </c>
      <c r="CP303" s="100">
        <f t="shared" si="114"/>
        <v>0.35</v>
      </c>
      <c r="CQ303" s="218">
        <f t="shared" si="115"/>
        <v>0.5</v>
      </c>
      <c r="CR303" s="101">
        <v>0.2</v>
      </c>
      <c r="CS303" s="101">
        <v>0.5</v>
      </c>
      <c r="DA303" s="23" t="s">
        <v>148</v>
      </c>
      <c r="DB303" s="23">
        <v>0.22</v>
      </c>
      <c r="DC303" s="142">
        <f t="shared" si="103"/>
        <v>4.62</v>
      </c>
      <c r="DD303" s="142">
        <f t="shared" si="104"/>
        <v>5.5</v>
      </c>
      <c r="DE303" s="23">
        <v>40</v>
      </c>
      <c r="DF303" s="23">
        <v>0.99</v>
      </c>
      <c r="DG303" s="142">
        <f t="shared" si="105"/>
        <v>39.6</v>
      </c>
      <c r="DH303" s="23">
        <v>0.02</v>
      </c>
      <c r="DI303" s="149">
        <f t="shared" si="106"/>
        <v>1.2445714285714284</v>
      </c>
      <c r="DJ303" s="149">
        <f t="shared" si="107"/>
        <v>385.81714285714281</v>
      </c>
      <c r="DK303" s="149">
        <f t="shared" si="108"/>
        <v>370.88228571428567</v>
      </c>
      <c r="DL303" s="150">
        <f t="shared" si="109"/>
        <v>390.43714285714282</v>
      </c>
      <c r="DM303" s="150">
        <f t="shared" si="109"/>
        <v>376.38228571428567</v>
      </c>
      <c r="DN303" s="116" t="s">
        <v>168</v>
      </c>
      <c r="DO303" s="101" t="s">
        <v>392</v>
      </c>
    </row>
    <row r="304" spans="15:119" s="101" customFormat="1" ht="24.75" hidden="1" customHeight="1" thickBot="1" x14ac:dyDescent="0.4">
      <c r="O304" s="227" t="s">
        <v>149</v>
      </c>
      <c r="Q304" s="243">
        <v>1.37</v>
      </c>
      <c r="R304" s="243">
        <v>30</v>
      </c>
      <c r="S304" s="246">
        <f t="shared" si="112"/>
        <v>0</v>
      </c>
      <c r="T304" s="246">
        <f t="shared" si="112"/>
        <v>0</v>
      </c>
      <c r="U304" s="246">
        <f t="shared" si="112"/>
        <v>0.11786892857142858</v>
      </c>
      <c r="V304" s="246">
        <f t="shared" si="112"/>
        <v>0.47147571428571433</v>
      </c>
      <c r="W304" s="246">
        <f t="shared" si="112"/>
        <v>0.11786892857142858</v>
      </c>
      <c r="X304" s="246">
        <f t="shared" si="112"/>
        <v>0</v>
      </c>
      <c r="Y304" s="246">
        <f t="shared" si="112"/>
        <v>0.23573785714285717</v>
      </c>
      <c r="Z304" s="246">
        <f t="shared" si="112"/>
        <v>1.6501650000000003</v>
      </c>
      <c r="AA304" s="246">
        <f t="shared" si="112"/>
        <v>0</v>
      </c>
      <c r="AB304" s="246">
        <f t="shared" si="112"/>
        <v>0</v>
      </c>
      <c r="AC304" s="246">
        <f t="shared" si="112"/>
        <v>0.14144271428571431</v>
      </c>
      <c r="AD304" s="246">
        <f t="shared" si="112"/>
        <v>0</v>
      </c>
      <c r="AE304" s="246">
        <f t="shared" si="112"/>
        <v>2.3573785714285718</v>
      </c>
      <c r="AF304" s="246">
        <v>0</v>
      </c>
      <c r="AG304" s="246">
        <f t="shared" si="112"/>
        <v>0.23573785714285717</v>
      </c>
      <c r="AH304" s="243"/>
      <c r="AI304" s="102">
        <v>1.0900000000000001</v>
      </c>
      <c r="AJ304" s="100">
        <v>0</v>
      </c>
      <c r="AL304" s="100">
        <v>0</v>
      </c>
      <c r="AM304" s="237">
        <v>0.3</v>
      </c>
      <c r="AN304" s="241">
        <v>1.72</v>
      </c>
      <c r="AO304" s="241">
        <v>0.26</v>
      </c>
      <c r="AP304" s="247">
        <f>(AN304*365)*(AO304*0.67*0.01*1)</f>
        <v>1.0936276</v>
      </c>
      <c r="AQ304" s="247">
        <f>(AN304*365)*(AO304*0.67*0.001*1)</f>
        <v>0.10936276000000002</v>
      </c>
      <c r="AR304" s="248"/>
      <c r="AS304" s="247">
        <f>(AN304*365)*(AO304*0.67*0.02*1)</f>
        <v>2.1872552000000001</v>
      </c>
      <c r="AT304" s="247">
        <f>(AN304*365)*(AO304*0.67*0.01*1)</f>
        <v>1.0936276</v>
      </c>
      <c r="AU304" s="247">
        <f>(AN304*365)*(AO304*0.67*0.25*1)</f>
        <v>27.340690000000002</v>
      </c>
      <c r="AV304" s="247">
        <f>(AN304*365)*(AO304*0.67*0.73*1)</f>
        <v>79.83481479999999</v>
      </c>
      <c r="AW304" s="247">
        <f>(AN304*365)*(AO304*0.67*0.03*1)</f>
        <v>3.2808828000000001</v>
      </c>
      <c r="AX304" s="248"/>
      <c r="AY304" s="247">
        <f>(AN304*365)*(AO304*0.67*0.25*1)</f>
        <v>27.340690000000002</v>
      </c>
      <c r="AZ304" s="247">
        <f t="shared" si="98"/>
        <v>109.36276000000001</v>
      </c>
      <c r="BA304" s="247">
        <f t="shared" si="99"/>
        <v>10.936275999999999</v>
      </c>
      <c r="BB304" s="247">
        <f t="shared" si="100"/>
        <v>0.54681380000000002</v>
      </c>
      <c r="BC304" s="247">
        <f>(AN304*365)*(AO304*0.67*0.005*1)</f>
        <v>0.54681380000000002</v>
      </c>
      <c r="BD304" s="247">
        <v>0</v>
      </c>
      <c r="BE304" s="247">
        <v>0</v>
      </c>
      <c r="BF304" s="168"/>
      <c r="BG304" s="168"/>
      <c r="BH304" s="168"/>
      <c r="BI304" s="203" t="s">
        <v>149</v>
      </c>
      <c r="BJ304" s="190" t="s">
        <v>168</v>
      </c>
      <c r="BK304" s="196">
        <f t="shared" si="101"/>
        <v>1.0900000000000001</v>
      </c>
      <c r="BL304" s="190" t="s">
        <v>413</v>
      </c>
      <c r="BM304" s="189">
        <v>0.2</v>
      </c>
      <c r="BN304" s="189">
        <v>0.5</v>
      </c>
      <c r="BO304" s="188" t="s">
        <v>258</v>
      </c>
      <c r="BP304" s="196">
        <f t="shared" si="102"/>
        <v>1.2445714285714284</v>
      </c>
      <c r="BQ304" s="190" t="s">
        <v>415</v>
      </c>
      <c r="BR304" s="189">
        <v>0.2</v>
      </c>
      <c r="BS304" s="189">
        <v>0.5</v>
      </c>
      <c r="BT304" s="188" t="s">
        <v>258</v>
      </c>
      <c r="BU304" s="204"/>
      <c r="BV304" s="196">
        <v>27.250000000000004</v>
      </c>
      <c r="BW304" s="190" t="s">
        <v>414</v>
      </c>
      <c r="BX304" s="204"/>
      <c r="BY304" s="196">
        <v>370.88228571428567</v>
      </c>
      <c r="BZ304" s="190" t="s">
        <v>414</v>
      </c>
      <c r="CA304" s="205"/>
      <c r="CB304" s="180"/>
      <c r="CC304" s="178"/>
      <c r="CD304" s="178"/>
      <c r="CE304" s="180"/>
      <c r="CF304" s="180"/>
      <c r="CG304" s="180"/>
      <c r="CH304" s="180"/>
      <c r="CI304" s="178"/>
      <c r="CJ304" s="178"/>
      <c r="CK304" s="180"/>
      <c r="CL304" s="180"/>
      <c r="CM304" s="180"/>
      <c r="CN304" s="116"/>
      <c r="CO304" s="218">
        <f t="shared" si="113"/>
        <v>0.2</v>
      </c>
      <c r="CP304" s="100">
        <f t="shared" si="114"/>
        <v>0.35</v>
      </c>
      <c r="CQ304" s="218">
        <f t="shared" si="115"/>
        <v>0.5</v>
      </c>
      <c r="CR304" s="101">
        <v>0.2</v>
      </c>
      <c r="CS304" s="101">
        <v>0.5</v>
      </c>
      <c r="DA304" s="23" t="s">
        <v>149</v>
      </c>
      <c r="DB304" s="23">
        <v>1.0900000000000001</v>
      </c>
      <c r="DC304" s="142">
        <f t="shared" si="103"/>
        <v>22.89</v>
      </c>
      <c r="DD304" s="142">
        <f t="shared" si="104"/>
        <v>27.250000000000004</v>
      </c>
      <c r="DE304" s="23">
        <v>40</v>
      </c>
      <c r="DF304" s="23">
        <v>0.99</v>
      </c>
      <c r="DG304" s="142">
        <f t="shared" si="105"/>
        <v>39.6</v>
      </c>
      <c r="DH304" s="23">
        <v>0.02</v>
      </c>
      <c r="DI304" s="149">
        <f t="shared" si="106"/>
        <v>1.2445714285714284</v>
      </c>
      <c r="DJ304" s="149">
        <f t="shared" si="107"/>
        <v>385.81714285714281</v>
      </c>
      <c r="DK304" s="149">
        <f t="shared" si="108"/>
        <v>370.88228571428567</v>
      </c>
      <c r="DL304" s="150">
        <f t="shared" si="109"/>
        <v>408.7071428571428</v>
      </c>
      <c r="DM304" s="150">
        <f t="shared" si="109"/>
        <v>398.13228571428567</v>
      </c>
      <c r="DN304" s="116" t="s">
        <v>168</v>
      </c>
      <c r="DO304" s="101" t="s">
        <v>392</v>
      </c>
    </row>
    <row r="305" spans="15:119" s="101" customFormat="1" ht="33.75" hidden="1" customHeight="1" thickBot="1" x14ac:dyDescent="0.4">
      <c r="O305" s="227" t="s">
        <v>150</v>
      </c>
      <c r="Q305" s="243">
        <v>1.37</v>
      </c>
      <c r="R305" s="243">
        <v>30</v>
      </c>
      <c r="S305" s="246">
        <f t="shared" si="112"/>
        <v>0</v>
      </c>
      <c r="T305" s="246">
        <f t="shared" si="112"/>
        <v>0</v>
      </c>
      <c r="U305" s="246">
        <f t="shared" si="112"/>
        <v>0.11786892857142858</v>
      </c>
      <c r="V305" s="246">
        <f t="shared" si="112"/>
        <v>0.47147571428571433</v>
      </c>
      <c r="W305" s="246">
        <f t="shared" si="112"/>
        <v>0.11786892857142858</v>
      </c>
      <c r="X305" s="246">
        <f t="shared" si="112"/>
        <v>0</v>
      </c>
      <c r="Y305" s="246">
        <f t="shared" si="112"/>
        <v>0.23573785714285717</v>
      </c>
      <c r="Z305" s="246">
        <f t="shared" si="112"/>
        <v>1.6501650000000003</v>
      </c>
      <c r="AA305" s="246">
        <f t="shared" si="112"/>
        <v>0</v>
      </c>
      <c r="AB305" s="246">
        <f t="shared" si="112"/>
        <v>0</v>
      </c>
      <c r="AC305" s="246">
        <f t="shared" si="112"/>
        <v>0.14144271428571431</v>
      </c>
      <c r="AD305" s="246">
        <f t="shared" si="112"/>
        <v>0</v>
      </c>
      <c r="AE305" s="246">
        <f t="shared" si="112"/>
        <v>2.3573785714285718</v>
      </c>
      <c r="AF305" s="246">
        <v>0</v>
      </c>
      <c r="AG305" s="246">
        <f t="shared" si="112"/>
        <v>0.23573785714285717</v>
      </c>
      <c r="AH305" s="243"/>
      <c r="AI305" s="102">
        <v>1.64</v>
      </c>
      <c r="AJ305" s="100">
        <v>0</v>
      </c>
      <c r="AL305" s="100">
        <v>0</v>
      </c>
      <c r="AM305" s="237">
        <v>0.3</v>
      </c>
      <c r="AN305" s="241">
        <v>1.72</v>
      </c>
      <c r="AO305" s="241">
        <v>0.26</v>
      </c>
      <c r="AP305" s="247">
        <f>(AN305*365)*(AO305*0.67*0.015*1)</f>
        <v>1.6404414</v>
      </c>
      <c r="AQ305" s="247">
        <f>(AN305*365)*(AO305*0.67*0.005*1)</f>
        <v>0.54681380000000002</v>
      </c>
      <c r="AR305" s="248"/>
      <c r="AS305" s="247">
        <f>(AN305*365)*(AO305*0.67*0.04*1)</f>
        <v>4.3745104000000001</v>
      </c>
      <c r="AT305" s="247">
        <f>(AN305*365)*(AO305*0.67*0.015*1)</f>
        <v>1.6404414</v>
      </c>
      <c r="AU305" s="247">
        <f>(AN305*365)*(AO305*0.67*0.65*1)</f>
        <v>71.085794000000007</v>
      </c>
      <c r="AV305" s="247">
        <f>(AN305*365)*(AO305*0.67*0.79*1)</f>
        <v>86.396580400000005</v>
      </c>
      <c r="AW305" s="247">
        <f>(AN305*365)*(AO305*0.67*0.03*1)</f>
        <v>3.2808828000000001</v>
      </c>
      <c r="AX305" s="248"/>
      <c r="AY305" s="247">
        <f>(AN305*365)*(AO305*0.67*0.65*1)</f>
        <v>71.085794000000007</v>
      </c>
      <c r="AZ305" s="247">
        <f t="shared" si="98"/>
        <v>109.36276000000001</v>
      </c>
      <c r="BA305" s="247">
        <f t="shared" si="99"/>
        <v>10.936275999999999</v>
      </c>
      <c r="BB305" s="247">
        <f t="shared" si="100"/>
        <v>0.54681380000000002</v>
      </c>
      <c r="BC305" s="247">
        <f>(AN305*365)*(AO305*0.67*0.01*1)</f>
        <v>1.0936276</v>
      </c>
      <c r="BD305" s="247">
        <v>0</v>
      </c>
      <c r="BE305" s="247">
        <v>0</v>
      </c>
      <c r="BF305" s="168"/>
      <c r="BG305" s="168"/>
      <c r="BH305" s="168"/>
      <c r="BI305" s="203" t="s">
        <v>150</v>
      </c>
      <c r="BJ305" s="190" t="s">
        <v>168</v>
      </c>
      <c r="BK305" s="196">
        <f t="shared" si="101"/>
        <v>1.64</v>
      </c>
      <c r="BL305" s="190" t="s">
        <v>413</v>
      </c>
      <c r="BM305" s="189">
        <v>0.2</v>
      </c>
      <c r="BN305" s="189">
        <v>0.5</v>
      </c>
      <c r="BO305" s="188" t="s">
        <v>258</v>
      </c>
      <c r="BP305" s="196">
        <f t="shared" si="102"/>
        <v>1.2445714285714284</v>
      </c>
      <c r="BQ305" s="190" t="s">
        <v>415</v>
      </c>
      <c r="BR305" s="189">
        <v>0.2</v>
      </c>
      <c r="BS305" s="189">
        <v>0.5</v>
      </c>
      <c r="BT305" s="188" t="s">
        <v>258</v>
      </c>
      <c r="BU305" s="204"/>
      <c r="BV305" s="196">
        <v>41</v>
      </c>
      <c r="BW305" s="190" t="s">
        <v>414</v>
      </c>
      <c r="BX305" s="204"/>
      <c r="BY305" s="196">
        <v>370.88228571428567</v>
      </c>
      <c r="BZ305" s="190" t="s">
        <v>414</v>
      </c>
      <c r="CA305" s="205"/>
      <c r="CB305" s="180"/>
      <c r="CC305" s="178"/>
      <c r="CD305" s="178"/>
      <c r="CE305" s="180"/>
      <c r="CF305" s="180"/>
      <c r="CG305" s="180"/>
      <c r="CH305" s="180"/>
      <c r="CI305" s="178"/>
      <c r="CJ305" s="178"/>
      <c r="CK305" s="180"/>
      <c r="CL305" s="180"/>
      <c r="CM305" s="180"/>
      <c r="CN305" s="116"/>
      <c r="CO305" s="218">
        <f t="shared" si="113"/>
        <v>0.2</v>
      </c>
      <c r="CP305" s="100">
        <f t="shared" si="114"/>
        <v>0.35</v>
      </c>
      <c r="CQ305" s="218">
        <f t="shared" si="115"/>
        <v>0.5</v>
      </c>
      <c r="CR305" s="101">
        <v>0.2</v>
      </c>
      <c r="CS305" s="101">
        <v>0.5</v>
      </c>
      <c r="DA305" s="23" t="s">
        <v>150</v>
      </c>
      <c r="DB305" s="23">
        <v>1.64</v>
      </c>
      <c r="DC305" s="142">
        <f t="shared" si="103"/>
        <v>34.44</v>
      </c>
      <c r="DD305" s="142">
        <f t="shared" si="104"/>
        <v>41</v>
      </c>
      <c r="DE305" s="23">
        <v>40</v>
      </c>
      <c r="DF305" s="23">
        <v>0.99</v>
      </c>
      <c r="DG305" s="142">
        <f t="shared" si="105"/>
        <v>39.6</v>
      </c>
      <c r="DH305" s="23">
        <v>0.02</v>
      </c>
      <c r="DI305" s="149">
        <f t="shared" si="106"/>
        <v>1.2445714285714284</v>
      </c>
      <c r="DJ305" s="149">
        <f t="shared" si="107"/>
        <v>385.81714285714281</v>
      </c>
      <c r="DK305" s="149">
        <f t="shared" si="108"/>
        <v>370.88228571428567</v>
      </c>
      <c r="DL305" s="150">
        <f t="shared" si="109"/>
        <v>420.25714285714281</v>
      </c>
      <c r="DM305" s="150">
        <f t="shared" si="109"/>
        <v>411.88228571428567</v>
      </c>
      <c r="DN305" s="116" t="s">
        <v>168</v>
      </c>
      <c r="DO305" s="101" t="s">
        <v>392</v>
      </c>
    </row>
    <row r="306" spans="15:119" s="101" customFormat="1" ht="33.75" hidden="1" customHeight="1" thickBot="1" x14ac:dyDescent="0.4">
      <c r="O306" s="227" t="s">
        <v>151</v>
      </c>
      <c r="Q306" s="243">
        <v>1.37</v>
      </c>
      <c r="R306" s="243">
        <v>30</v>
      </c>
      <c r="S306" s="246">
        <f t="shared" si="112"/>
        <v>0</v>
      </c>
      <c r="T306" s="246">
        <f t="shared" si="112"/>
        <v>0</v>
      </c>
      <c r="U306" s="246">
        <f t="shared" si="112"/>
        <v>0.11786892857142858</v>
      </c>
      <c r="V306" s="246">
        <f t="shared" si="112"/>
        <v>0.47147571428571433</v>
      </c>
      <c r="W306" s="246">
        <f t="shared" si="112"/>
        <v>0.11786892857142858</v>
      </c>
      <c r="X306" s="246">
        <f t="shared" si="112"/>
        <v>0</v>
      </c>
      <c r="Y306" s="246">
        <f t="shared" si="112"/>
        <v>0.23573785714285717</v>
      </c>
      <c r="Z306" s="246">
        <f t="shared" si="112"/>
        <v>1.6501650000000003</v>
      </c>
      <c r="AA306" s="246">
        <f t="shared" si="112"/>
        <v>0</v>
      </c>
      <c r="AB306" s="246">
        <f t="shared" si="112"/>
        <v>0</v>
      </c>
      <c r="AC306" s="246">
        <f t="shared" si="112"/>
        <v>0.14144271428571431</v>
      </c>
      <c r="AD306" s="246">
        <f t="shared" si="112"/>
        <v>0</v>
      </c>
      <c r="AE306" s="246">
        <f t="shared" si="112"/>
        <v>2.3573785714285718</v>
      </c>
      <c r="AF306" s="246">
        <v>0</v>
      </c>
      <c r="AG306" s="246">
        <f t="shared" si="112"/>
        <v>0.23573785714285717</v>
      </c>
      <c r="AH306" s="243"/>
      <c r="AI306" s="102">
        <v>2.19</v>
      </c>
      <c r="AJ306" s="100">
        <v>0</v>
      </c>
      <c r="AL306" s="100">
        <v>0</v>
      </c>
      <c r="AM306" s="237">
        <v>0.3</v>
      </c>
      <c r="AN306" s="241">
        <v>1.72</v>
      </c>
      <c r="AO306" s="241">
        <v>0.26</v>
      </c>
      <c r="AP306" s="247">
        <f>(AN306*365)*(AO306*0.67*0.02*1)</f>
        <v>2.1872552000000001</v>
      </c>
      <c r="AQ306" s="247">
        <f>(AN306*365)*(AO306*0.67*0.01*1)</f>
        <v>1.0936276</v>
      </c>
      <c r="AR306" s="248"/>
      <c r="AS306" s="247">
        <f>(AN306*365)*(AO306*0.67*0.05*1)</f>
        <v>5.4681379999999997</v>
      </c>
      <c r="AT306" s="247">
        <f>(AN306*365)*(AO306*0.67*0.02*1)</f>
        <v>2.1872552000000001</v>
      </c>
      <c r="AU306" s="247">
        <f>(AN306*365)*(AO306*0.67*0.8*1)</f>
        <v>87.490207999999996</v>
      </c>
      <c r="AV306" s="247">
        <f>(AN306*365)*(AO306*0.67*0.8*1)</f>
        <v>87.490207999999996</v>
      </c>
      <c r="AW306" s="247">
        <f>(AN306*365)*(AO306*0.67*0.3*1)</f>
        <v>32.808828000000005</v>
      </c>
      <c r="AX306" s="248"/>
      <c r="AY306" s="247">
        <f>(AN306*365)*(AO306*0.67*0.8*1)</f>
        <v>87.490207999999996</v>
      </c>
      <c r="AZ306" s="247">
        <f t="shared" si="98"/>
        <v>109.36276000000001</v>
      </c>
      <c r="BA306" s="247">
        <f t="shared" si="99"/>
        <v>10.936275999999999</v>
      </c>
      <c r="BB306" s="247">
        <f t="shared" si="100"/>
        <v>0.54681380000000002</v>
      </c>
      <c r="BC306" s="247">
        <f>(AN306*365)*(AO306*0.67*0.015*1)</f>
        <v>1.6404414</v>
      </c>
      <c r="BD306" s="247">
        <v>0</v>
      </c>
      <c r="BE306" s="247">
        <v>0</v>
      </c>
      <c r="BF306" s="168"/>
      <c r="BG306" s="168"/>
      <c r="BH306" s="168"/>
      <c r="BI306" s="203" t="s">
        <v>151</v>
      </c>
      <c r="BJ306" s="190" t="s">
        <v>168</v>
      </c>
      <c r="BK306" s="196">
        <f t="shared" si="101"/>
        <v>2.1800000000000002</v>
      </c>
      <c r="BL306" s="190" t="s">
        <v>413</v>
      </c>
      <c r="BM306" s="189">
        <v>0.2</v>
      </c>
      <c r="BN306" s="189">
        <v>0.5</v>
      </c>
      <c r="BO306" s="188" t="s">
        <v>258</v>
      </c>
      <c r="BP306" s="196">
        <f t="shared" si="102"/>
        <v>1.2445714285714284</v>
      </c>
      <c r="BQ306" s="190" t="s">
        <v>415</v>
      </c>
      <c r="BR306" s="189">
        <v>0.2</v>
      </c>
      <c r="BS306" s="189">
        <v>0.5</v>
      </c>
      <c r="BT306" s="188" t="s">
        <v>258</v>
      </c>
      <c r="BU306" s="206"/>
      <c r="BV306" s="196">
        <v>54.500000000000007</v>
      </c>
      <c r="BW306" s="190" t="s">
        <v>414</v>
      </c>
      <c r="BX306" s="206"/>
      <c r="BY306" s="196">
        <v>370.88228571428567</v>
      </c>
      <c r="BZ306" s="190" t="s">
        <v>414</v>
      </c>
      <c r="CA306" s="207"/>
      <c r="CB306" s="180"/>
      <c r="CC306" s="178"/>
      <c r="CD306" s="178"/>
      <c r="CE306" s="180"/>
      <c r="CF306" s="180"/>
      <c r="CG306" s="180"/>
      <c r="CH306" s="180"/>
      <c r="CI306" s="178"/>
      <c r="CJ306" s="178"/>
      <c r="CK306" s="180"/>
      <c r="CL306" s="180"/>
      <c r="CM306" s="180"/>
      <c r="CN306" s="116"/>
      <c r="CO306" s="218">
        <f t="shared" si="113"/>
        <v>0.2</v>
      </c>
      <c r="CP306" s="100">
        <f t="shared" si="114"/>
        <v>0.35</v>
      </c>
      <c r="CQ306" s="218">
        <f t="shared" si="115"/>
        <v>0.5</v>
      </c>
      <c r="CR306" s="101">
        <v>0.2</v>
      </c>
      <c r="CS306" s="101">
        <v>0.5</v>
      </c>
      <c r="DA306" s="23" t="s">
        <v>151</v>
      </c>
      <c r="DB306" s="23">
        <v>2.1800000000000002</v>
      </c>
      <c r="DC306" s="142">
        <f t="shared" si="103"/>
        <v>45.78</v>
      </c>
      <c r="DD306" s="142">
        <f t="shared" si="104"/>
        <v>54.500000000000007</v>
      </c>
      <c r="DE306" s="23">
        <v>40</v>
      </c>
      <c r="DF306" s="23">
        <v>0.99</v>
      </c>
      <c r="DG306" s="142">
        <f t="shared" si="105"/>
        <v>39.6</v>
      </c>
      <c r="DH306" s="23">
        <v>0.02</v>
      </c>
      <c r="DI306" s="149">
        <f t="shared" si="106"/>
        <v>1.2445714285714284</v>
      </c>
      <c r="DJ306" s="149">
        <f t="shared" si="107"/>
        <v>385.81714285714281</v>
      </c>
      <c r="DK306" s="149">
        <f t="shared" si="108"/>
        <v>370.88228571428567</v>
      </c>
      <c r="DL306" s="150">
        <f t="shared" si="109"/>
        <v>431.59714285714279</v>
      </c>
      <c r="DM306" s="150">
        <f t="shared" si="109"/>
        <v>425.38228571428567</v>
      </c>
      <c r="DN306" s="116" t="s">
        <v>168</v>
      </c>
      <c r="DO306" s="101" t="s">
        <v>392</v>
      </c>
    </row>
    <row r="307" spans="15:119" s="101" customFormat="1" ht="33.75" hidden="1" customHeight="1" thickBot="1" x14ac:dyDescent="0.4">
      <c r="O307" s="227" t="s">
        <v>152</v>
      </c>
      <c r="Q307" s="243">
        <v>1.37</v>
      </c>
      <c r="R307" s="243">
        <v>30</v>
      </c>
      <c r="S307" s="246">
        <f t="shared" si="112"/>
        <v>0</v>
      </c>
      <c r="T307" s="246">
        <f t="shared" si="112"/>
        <v>0</v>
      </c>
      <c r="U307" s="246">
        <f t="shared" si="112"/>
        <v>0.11786892857142858</v>
      </c>
      <c r="V307" s="246">
        <f t="shared" si="112"/>
        <v>0.47147571428571433</v>
      </c>
      <c r="W307" s="246">
        <f t="shared" si="112"/>
        <v>0.11786892857142858</v>
      </c>
      <c r="X307" s="246">
        <f t="shared" si="112"/>
        <v>0</v>
      </c>
      <c r="Y307" s="246">
        <f t="shared" si="112"/>
        <v>0.23573785714285717</v>
      </c>
      <c r="Z307" s="246">
        <f t="shared" si="112"/>
        <v>1.6501650000000003</v>
      </c>
      <c r="AA307" s="246">
        <f t="shared" si="112"/>
        <v>0</v>
      </c>
      <c r="AB307" s="246">
        <f t="shared" si="112"/>
        <v>0</v>
      </c>
      <c r="AC307" s="246">
        <f t="shared" si="112"/>
        <v>0.14144271428571431</v>
      </c>
      <c r="AD307" s="246">
        <f t="shared" si="112"/>
        <v>0</v>
      </c>
      <c r="AE307" s="246">
        <f t="shared" si="112"/>
        <v>2.3573785714285718</v>
      </c>
      <c r="AF307" s="246">
        <v>0</v>
      </c>
      <c r="AG307" s="246">
        <f t="shared" si="112"/>
        <v>0.23573785714285717</v>
      </c>
      <c r="AH307" s="243"/>
      <c r="AI307" s="102">
        <v>0.6</v>
      </c>
      <c r="AJ307" s="100">
        <v>0</v>
      </c>
      <c r="AL307" s="100">
        <v>0</v>
      </c>
      <c r="AM307" s="237">
        <v>0.3</v>
      </c>
      <c r="AN307" s="241">
        <v>0.94</v>
      </c>
      <c r="AO307" s="241">
        <v>0.26</v>
      </c>
      <c r="AP307" s="247">
        <f>(AN307*365)*(AO307*0.67*0.01*1)</f>
        <v>0.59768019999999999</v>
      </c>
      <c r="AQ307" s="247">
        <f>(AN307*365)*(AO307*0.67*0.001*1)</f>
        <v>5.9768020000000005E-2</v>
      </c>
      <c r="AR307" s="248"/>
      <c r="AS307" s="247">
        <f>(AN307*365)*(AO307*0.67*0.02*1)</f>
        <v>1.1953604</v>
      </c>
      <c r="AT307" s="247">
        <f>(AN307*365)*(AO307*0.67*0.01*1)</f>
        <v>0.59768019999999999</v>
      </c>
      <c r="AU307" s="247">
        <f>(AN307*365)*(AO307*0.67*0.25*1)</f>
        <v>14.942005</v>
      </c>
      <c r="AV307" s="247">
        <f>(AN307*365)*(AO307*0.67*0.73*1)</f>
        <v>43.630654599999993</v>
      </c>
      <c r="AW307" s="247">
        <f>(AN307*365)*(AO307*0.67*0.03*1)</f>
        <v>1.7930406000000001</v>
      </c>
      <c r="AX307" s="248"/>
      <c r="AY307" s="247">
        <f>(AN307*365)*(AO307*0.67*0.25*1)</f>
        <v>14.942005</v>
      </c>
      <c r="AZ307" s="247">
        <f t="shared" si="98"/>
        <v>59.76802</v>
      </c>
      <c r="BA307" s="247">
        <f t="shared" si="99"/>
        <v>5.9768020000000002</v>
      </c>
      <c r="BB307" s="247">
        <f t="shared" si="100"/>
        <v>0.2988401</v>
      </c>
      <c r="BC307" s="247">
        <f>(AN307*365)*(AO307*0.67*0.005*1)</f>
        <v>0.2988401</v>
      </c>
      <c r="BD307" s="247">
        <v>0</v>
      </c>
      <c r="BE307" s="247">
        <v>0</v>
      </c>
      <c r="BF307" s="168"/>
      <c r="BG307" s="168"/>
      <c r="BH307" s="168"/>
      <c r="BI307" s="203" t="s">
        <v>152</v>
      </c>
      <c r="BJ307" s="190" t="s">
        <v>168</v>
      </c>
      <c r="BK307" s="196">
        <f t="shared" si="101"/>
        <v>0.6</v>
      </c>
      <c r="BL307" s="190" t="s">
        <v>413</v>
      </c>
      <c r="BM307" s="189">
        <v>0.2</v>
      </c>
      <c r="BN307" s="189">
        <v>0.5</v>
      </c>
      <c r="BO307" s="188" t="s">
        <v>258</v>
      </c>
      <c r="BP307" s="196">
        <f t="shared" si="102"/>
        <v>1.2445714285714284</v>
      </c>
      <c r="BQ307" s="190" t="s">
        <v>415</v>
      </c>
      <c r="BR307" s="189">
        <v>0.2</v>
      </c>
      <c r="BS307" s="189">
        <v>0.5</v>
      </c>
      <c r="BT307" s="188" t="s">
        <v>258</v>
      </c>
      <c r="BU307" s="206"/>
      <c r="BV307" s="196">
        <v>15</v>
      </c>
      <c r="BW307" s="190" t="s">
        <v>414</v>
      </c>
      <c r="BX307" s="206"/>
      <c r="BY307" s="196">
        <v>370.88228571428567</v>
      </c>
      <c r="BZ307" s="190" t="s">
        <v>414</v>
      </c>
      <c r="CA307" s="207"/>
      <c r="CB307" s="180"/>
      <c r="CC307" s="178"/>
      <c r="CD307" s="178"/>
      <c r="CE307" s="180"/>
      <c r="CF307" s="180"/>
      <c r="CG307" s="180"/>
      <c r="CH307" s="180"/>
      <c r="CI307" s="178"/>
      <c r="CJ307" s="178"/>
      <c r="CK307" s="180"/>
      <c r="CL307" s="180"/>
      <c r="CM307" s="180"/>
      <c r="CN307" s="116"/>
      <c r="CO307" s="218">
        <f t="shared" si="113"/>
        <v>0.2</v>
      </c>
      <c r="CP307" s="100">
        <f t="shared" si="114"/>
        <v>0.35</v>
      </c>
      <c r="CQ307" s="218">
        <f t="shared" si="115"/>
        <v>0.5</v>
      </c>
      <c r="CR307" s="101">
        <v>0.2</v>
      </c>
      <c r="CS307" s="101">
        <v>0.5</v>
      </c>
      <c r="DA307" s="23" t="s">
        <v>152</v>
      </c>
      <c r="DB307" s="23">
        <v>0.6</v>
      </c>
      <c r="DC307" s="142">
        <f t="shared" si="103"/>
        <v>12.6</v>
      </c>
      <c r="DD307" s="142">
        <f t="shared" si="104"/>
        <v>15</v>
      </c>
      <c r="DE307" s="23">
        <v>40</v>
      </c>
      <c r="DF307" s="23">
        <v>0.99</v>
      </c>
      <c r="DG307" s="142">
        <f t="shared" si="105"/>
        <v>39.6</v>
      </c>
      <c r="DH307" s="23">
        <v>0.02</v>
      </c>
      <c r="DI307" s="149">
        <f t="shared" si="106"/>
        <v>1.2445714285714284</v>
      </c>
      <c r="DJ307" s="149">
        <f t="shared" si="107"/>
        <v>385.81714285714281</v>
      </c>
      <c r="DK307" s="149">
        <f t="shared" si="108"/>
        <v>370.88228571428567</v>
      </c>
      <c r="DL307" s="150">
        <f t="shared" si="109"/>
        <v>398.41714285714284</v>
      </c>
      <c r="DM307" s="150">
        <f t="shared" si="109"/>
        <v>385.88228571428567</v>
      </c>
      <c r="DN307" s="116" t="s">
        <v>168</v>
      </c>
      <c r="DO307" s="101" t="s">
        <v>392</v>
      </c>
    </row>
    <row r="308" spans="15:119" s="101" customFormat="1" ht="33.75" hidden="1" customHeight="1" thickBot="1" x14ac:dyDescent="0.4">
      <c r="O308" s="227" t="s">
        <v>153</v>
      </c>
      <c r="Q308" s="243">
        <v>1.37</v>
      </c>
      <c r="R308" s="243">
        <v>30</v>
      </c>
      <c r="S308" s="246">
        <f t="shared" si="112"/>
        <v>0</v>
      </c>
      <c r="T308" s="246">
        <f t="shared" si="112"/>
        <v>0</v>
      </c>
      <c r="U308" s="246">
        <f t="shared" si="112"/>
        <v>0.11786892857142858</v>
      </c>
      <c r="V308" s="246">
        <f t="shared" si="112"/>
        <v>0.47147571428571433</v>
      </c>
      <c r="W308" s="246">
        <f t="shared" si="112"/>
        <v>0.11786892857142858</v>
      </c>
      <c r="X308" s="246">
        <f t="shared" si="112"/>
        <v>0</v>
      </c>
      <c r="Y308" s="246">
        <f t="shared" si="112"/>
        <v>0.23573785714285717</v>
      </c>
      <c r="Z308" s="246">
        <f t="shared" si="112"/>
        <v>1.6501650000000003</v>
      </c>
      <c r="AA308" s="246">
        <f t="shared" si="112"/>
        <v>0</v>
      </c>
      <c r="AB308" s="246">
        <f t="shared" si="112"/>
        <v>0</v>
      </c>
      <c r="AC308" s="246">
        <f t="shared" si="112"/>
        <v>0.14144271428571431</v>
      </c>
      <c r="AD308" s="246">
        <f t="shared" si="112"/>
        <v>0</v>
      </c>
      <c r="AE308" s="246">
        <f t="shared" si="112"/>
        <v>2.3573785714285718</v>
      </c>
      <c r="AF308" s="246">
        <v>0</v>
      </c>
      <c r="AG308" s="246">
        <f t="shared" si="112"/>
        <v>0.23573785714285717</v>
      </c>
      <c r="AH308" s="243"/>
      <c r="AI308" s="102">
        <v>0.9</v>
      </c>
      <c r="AJ308" s="100">
        <v>0</v>
      </c>
      <c r="AL308" s="100">
        <v>0</v>
      </c>
      <c r="AM308" s="237">
        <v>0.3</v>
      </c>
      <c r="AN308" s="241">
        <v>0.94</v>
      </c>
      <c r="AO308" s="241">
        <v>0.26</v>
      </c>
      <c r="AP308" s="247">
        <f>(AN308*365)*(AO308*0.67*0.015*1)</f>
        <v>0.89652030000000005</v>
      </c>
      <c r="AQ308" s="247">
        <f>(AN308*365)*(AO308*0.67*0.005*1)</f>
        <v>0.2988401</v>
      </c>
      <c r="AR308" s="248"/>
      <c r="AS308" s="247">
        <f>(AN308*365)*(AO308*0.67*0.04*1)</f>
        <v>2.3907208</v>
      </c>
      <c r="AT308" s="247">
        <f>(AN308*365)*(AO308*0.67*0.015*1)</f>
        <v>0.89652030000000005</v>
      </c>
      <c r="AU308" s="247">
        <f>(AN308*365)*(AO308*0.67*0.65*1)</f>
        <v>38.849212999999999</v>
      </c>
      <c r="AV308" s="247">
        <f>(AN308*365)*(AO308*0.67*0.79*1)</f>
        <v>47.216735800000002</v>
      </c>
      <c r="AW308" s="247">
        <f>(AN308*365)*(AO308*0.67*0.03*1)</f>
        <v>1.7930406000000001</v>
      </c>
      <c r="AX308" s="248"/>
      <c r="AY308" s="247">
        <f>(AN308*365)*(AO308*0.67*0.65*1)</f>
        <v>38.849212999999999</v>
      </c>
      <c r="AZ308" s="247">
        <f t="shared" si="98"/>
        <v>59.76802</v>
      </c>
      <c r="BA308" s="247">
        <f t="shared" si="99"/>
        <v>5.9768020000000002</v>
      </c>
      <c r="BB308" s="247">
        <f t="shared" si="100"/>
        <v>0.2988401</v>
      </c>
      <c r="BC308" s="247">
        <f>(AN308*365)*(AO308*0.67*0.01*1)</f>
        <v>0.59768019999999999</v>
      </c>
      <c r="BD308" s="247">
        <v>0</v>
      </c>
      <c r="BE308" s="247">
        <v>0</v>
      </c>
      <c r="BF308" s="168"/>
      <c r="BG308" s="168"/>
      <c r="BH308" s="168"/>
      <c r="BI308" s="203" t="s">
        <v>153</v>
      </c>
      <c r="BJ308" s="190" t="s">
        <v>168</v>
      </c>
      <c r="BK308" s="196">
        <f t="shared" si="101"/>
        <v>0.9</v>
      </c>
      <c r="BL308" s="190" t="s">
        <v>413</v>
      </c>
      <c r="BM308" s="189">
        <v>0.2</v>
      </c>
      <c r="BN308" s="189">
        <v>0.5</v>
      </c>
      <c r="BO308" s="188" t="s">
        <v>258</v>
      </c>
      <c r="BP308" s="196">
        <f t="shared" si="102"/>
        <v>1.2445714285714284</v>
      </c>
      <c r="BQ308" s="190" t="s">
        <v>415</v>
      </c>
      <c r="BR308" s="189">
        <v>0.2</v>
      </c>
      <c r="BS308" s="189">
        <v>0.5</v>
      </c>
      <c r="BT308" s="188" t="s">
        <v>258</v>
      </c>
      <c r="BU308" s="206"/>
      <c r="BV308" s="196">
        <v>22.5</v>
      </c>
      <c r="BW308" s="190" t="s">
        <v>414</v>
      </c>
      <c r="BX308" s="206"/>
      <c r="BY308" s="196">
        <v>370.88228571428567</v>
      </c>
      <c r="BZ308" s="190" t="s">
        <v>414</v>
      </c>
      <c r="CA308" s="207"/>
      <c r="CB308" s="180"/>
      <c r="CC308" s="178"/>
      <c r="CD308" s="178"/>
      <c r="CE308" s="180"/>
      <c r="CF308" s="180"/>
      <c r="CG308" s="180"/>
      <c r="CH308" s="180"/>
      <c r="CI308" s="178"/>
      <c r="CJ308" s="178"/>
      <c r="CK308" s="180"/>
      <c r="CL308" s="180"/>
      <c r="CM308" s="180"/>
      <c r="CN308" s="116"/>
      <c r="CO308" s="218">
        <f t="shared" si="113"/>
        <v>0.2</v>
      </c>
      <c r="CP308" s="100">
        <f t="shared" si="114"/>
        <v>0.35</v>
      </c>
      <c r="CQ308" s="218">
        <f t="shared" si="115"/>
        <v>0.5</v>
      </c>
      <c r="CR308" s="101">
        <v>0.2</v>
      </c>
      <c r="CS308" s="101">
        <v>0.5</v>
      </c>
      <c r="DA308" s="23" t="s">
        <v>153</v>
      </c>
      <c r="DB308" s="23">
        <v>0.9</v>
      </c>
      <c r="DC308" s="142">
        <f t="shared" si="103"/>
        <v>18.900000000000002</v>
      </c>
      <c r="DD308" s="142">
        <f t="shared" si="104"/>
        <v>22.5</v>
      </c>
      <c r="DE308" s="23">
        <v>40</v>
      </c>
      <c r="DF308" s="23">
        <v>0.99</v>
      </c>
      <c r="DG308" s="142">
        <f t="shared" si="105"/>
        <v>39.6</v>
      </c>
      <c r="DH308" s="23">
        <v>0.02</v>
      </c>
      <c r="DI308" s="149">
        <f t="shared" si="106"/>
        <v>1.2445714285714284</v>
      </c>
      <c r="DJ308" s="149">
        <f t="shared" si="107"/>
        <v>385.81714285714281</v>
      </c>
      <c r="DK308" s="149">
        <f t="shared" si="108"/>
        <v>370.88228571428567</v>
      </c>
      <c r="DL308" s="150">
        <f t="shared" si="109"/>
        <v>404.71714285714279</v>
      </c>
      <c r="DM308" s="150">
        <f t="shared" si="109"/>
        <v>393.38228571428567</v>
      </c>
      <c r="DN308" s="116" t="s">
        <v>168</v>
      </c>
      <c r="DO308" s="101" t="s">
        <v>392</v>
      </c>
    </row>
    <row r="309" spans="15:119" s="101" customFormat="1" ht="33.75" hidden="1" customHeight="1" thickBot="1" x14ac:dyDescent="0.4">
      <c r="O309" s="227" t="s">
        <v>154</v>
      </c>
      <c r="Q309" s="243">
        <v>1.37</v>
      </c>
      <c r="R309" s="243">
        <v>30</v>
      </c>
      <c r="S309" s="246">
        <f t="shared" si="112"/>
        <v>0</v>
      </c>
      <c r="T309" s="246">
        <f t="shared" si="112"/>
        <v>0</v>
      </c>
      <c r="U309" s="246">
        <f t="shared" si="112"/>
        <v>0.11786892857142858</v>
      </c>
      <c r="V309" s="246">
        <f t="shared" si="112"/>
        <v>0.47147571428571433</v>
      </c>
      <c r="W309" s="246">
        <f t="shared" si="112"/>
        <v>0.11786892857142858</v>
      </c>
      <c r="X309" s="246">
        <f t="shared" si="112"/>
        <v>0</v>
      </c>
      <c r="Y309" s="246">
        <f t="shared" si="112"/>
        <v>0.23573785714285717</v>
      </c>
      <c r="Z309" s="246">
        <f t="shared" si="112"/>
        <v>1.6501650000000003</v>
      </c>
      <c r="AA309" s="246">
        <f t="shared" si="112"/>
        <v>0</v>
      </c>
      <c r="AB309" s="246">
        <f t="shared" si="112"/>
        <v>0</v>
      </c>
      <c r="AC309" s="246">
        <f t="shared" si="112"/>
        <v>0.14144271428571431</v>
      </c>
      <c r="AD309" s="246">
        <f t="shared" si="112"/>
        <v>0</v>
      </c>
      <c r="AE309" s="246">
        <f t="shared" si="112"/>
        <v>2.3573785714285718</v>
      </c>
      <c r="AF309" s="246">
        <v>0</v>
      </c>
      <c r="AG309" s="246">
        <f t="shared" si="112"/>
        <v>0.23573785714285717</v>
      </c>
      <c r="AH309" s="243"/>
      <c r="AI309" s="102">
        <v>1.2</v>
      </c>
      <c r="AJ309" s="100">
        <v>0</v>
      </c>
      <c r="AL309" s="100">
        <v>0</v>
      </c>
      <c r="AM309" s="237">
        <v>0.3</v>
      </c>
      <c r="AN309" s="241">
        <v>0.94</v>
      </c>
      <c r="AO309" s="241">
        <v>0.26</v>
      </c>
      <c r="AP309" s="247">
        <f>(AN309*365)*(AO309*0.67*0.02*1)</f>
        <v>1.1953604</v>
      </c>
      <c r="AQ309" s="247">
        <f>(AN309*365)*(AO309*0.67*0.01*1)</f>
        <v>0.59768019999999999</v>
      </c>
      <c r="AR309" s="248"/>
      <c r="AS309" s="247">
        <f>(AN309*365)*(AO309*0.67*0.05*1)</f>
        <v>2.9884010000000001</v>
      </c>
      <c r="AT309" s="247">
        <f>(AN309*365)*(AO309*0.67*0.02*1)</f>
        <v>1.1953604</v>
      </c>
      <c r="AU309" s="247">
        <f>(AN309*365)*(AO309*0.67*0.8*1)</f>
        <v>47.814416000000001</v>
      </c>
      <c r="AV309" s="247">
        <f>(AN309*365)*(AO309*0.67*0.8*1)</f>
        <v>47.814416000000001</v>
      </c>
      <c r="AW309" s="247">
        <f>(AN309*365)*(AO309*0.67*0.3*1)</f>
        <v>17.930406000000001</v>
      </c>
      <c r="AX309" s="248"/>
      <c r="AY309" s="247">
        <f>(AN309*365)*(AO309*0.67*0.8*1)</f>
        <v>47.814416000000001</v>
      </c>
      <c r="AZ309" s="247">
        <f t="shared" si="98"/>
        <v>59.76802</v>
      </c>
      <c r="BA309" s="247">
        <f t="shared" si="99"/>
        <v>5.9768020000000002</v>
      </c>
      <c r="BB309" s="247">
        <f t="shared" si="100"/>
        <v>0.2988401</v>
      </c>
      <c r="BC309" s="247">
        <f>(AN309*365)*(AO309*0.67*0.015*1)</f>
        <v>0.89652030000000005</v>
      </c>
      <c r="BD309" s="247">
        <v>0</v>
      </c>
      <c r="BE309" s="247">
        <v>0</v>
      </c>
      <c r="BF309" s="168"/>
      <c r="BG309" s="168"/>
      <c r="BH309" s="168"/>
      <c r="BI309" s="203" t="s">
        <v>154</v>
      </c>
      <c r="BJ309" s="190" t="s">
        <v>168</v>
      </c>
      <c r="BK309" s="196">
        <f t="shared" si="101"/>
        <v>1.19</v>
      </c>
      <c r="BL309" s="190" t="s">
        <v>413</v>
      </c>
      <c r="BM309" s="189">
        <v>0.2</v>
      </c>
      <c r="BN309" s="189">
        <v>0.5</v>
      </c>
      <c r="BO309" s="188" t="s">
        <v>258</v>
      </c>
      <c r="BP309" s="196">
        <f t="shared" si="102"/>
        <v>1.2445714285714284</v>
      </c>
      <c r="BQ309" s="190" t="s">
        <v>415</v>
      </c>
      <c r="BR309" s="189">
        <v>0.2</v>
      </c>
      <c r="BS309" s="189">
        <v>0.5</v>
      </c>
      <c r="BT309" s="188" t="s">
        <v>258</v>
      </c>
      <c r="BU309" s="206"/>
      <c r="BV309" s="196">
        <v>29.75</v>
      </c>
      <c r="BW309" s="190" t="s">
        <v>414</v>
      </c>
      <c r="BX309" s="206"/>
      <c r="BY309" s="196">
        <v>370.88228571428567</v>
      </c>
      <c r="BZ309" s="190" t="s">
        <v>414</v>
      </c>
      <c r="CA309" s="207"/>
      <c r="CB309" s="180"/>
      <c r="CC309" s="178"/>
      <c r="CD309" s="178"/>
      <c r="CE309" s="180"/>
      <c r="CF309" s="180"/>
      <c r="CG309" s="180"/>
      <c r="CH309" s="180"/>
      <c r="CI309" s="178"/>
      <c r="CJ309" s="178"/>
      <c r="CK309" s="180"/>
      <c r="CL309" s="180"/>
      <c r="CM309" s="180"/>
      <c r="CN309" s="116"/>
      <c r="CO309" s="218">
        <f t="shared" si="113"/>
        <v>0.2</v>
      </c>
      <c r="CP309" s="100">
        <f t="shared" si="114"/>
        <v>0.35</v>
      </c>
      <c r="CQ309" s="218">
        <f t="shared" si="115"/>
        <v>0.5</v>
      </c>
      <c r="CR309" s="101">
        <v>0.2</v>
      </c>
      <c r="CS309" s="101">
        <v>0.5</v>
      </c>
      <c r="DA309" s="23" t="s">
        <v>154</v>
      </c>
      <c r="DB309" s="23">
        <v>1.19</v>
      </c>
      <c r="DC309" s="142">
        <f t="shared" si="103"/>
        <v>24.99</v>
      </c>
      <c r="DD309" s="142">
        <f t="shared" si="104"/>
        <v>29.75</v>
      </c>
      <c r="DE309" s="23">
        <v>40</v>
      </c>
      <c r="DF309" s="23">
        <v>0.99</v>
      </c>
      <c r="DG309" s="142">
        <f t="shared" si="105"/>
        <v>39.6</v>
      </c>
      <c r="DH309" s="23">
        <v>0.02</v>
      </c>
      <c r="DI309" s="149">
        <f t="shared" si="106"/>
        <v>1.2445714285714284</v>
      </c>
      <c r="DJ309" s="149">
        <f t="shared" si="107"/>
        <v>385.81714285714281</v>
      </c>
      <c r="DK309" s="149">
        <f t="shared" si="108"/>
        <v>370.88228571428567</v>
      </c>
      <c r="DL309" s="150">
        <f t="shared" si="109"/>
        <v>410.80714285714282</v>
      </c>
      <c r="DM309" s="150">
        <f t="shared" si="109"/>
        <v>400.63228571428567</v>
      </c>
      <c r="DN309" s="116" t="s">
        <v>168</v>
      </c>
      <c r="DO309" s="101" t="s">
        <v>392</v>
      </c>
    </row>
    <row r="310" spans="15:119" s="101" customFormat="1" ht="15" hidden="1" customHeight="1" x14ac:dyDescent="0.25">
      <c r="O310" s="227" t="s">
        <v>548</v>
      </c>
      <c r="Q310" s="243">
        <v>1.37</v>
      </c>
      <c r="R310" s="243">
        <v>30</v>
      </c>
      <c r="S310" s="246">
        <f t="shared" si="112"/>
        <v>0</v>
      </c>
      <c r="T310" s="246">
        <f t="shared" si="112"/>
        <v>0</v>
      </c>
      <c r="U310" s="246">
        <f t="shared" si="112"/>
        <v>0.11786892857142858</v>
      </c>
      <c r="V310" s="246">
        <f t="shared" si="112"/>
        <v>0.47147571428571433</v>
      </c>
      <c r="W310" s="246">
        <f t="shared" si="112"/>
        <v>0.11786892857142858</v>
      </c>
      <c r="X310" s="246">
        <f t="shared" si="112"/>
        <v>0</v>
      </c>
      <c r="Y310" s="246">
        <f t="shared" si="112"/>
        <v>0.23573785714285717</v>
      </c>
      <c r="Z310" s="246">
        <f t="shared" si="112"/>
        <v>1.6501650000000003</v>
      </c>
      <c r="AA310" s="246">
        <f t="shared" si="112"/>
        <v>0</v>
      </c>
      <c r="AB310" s="246">
        <f t="shared" si="112"/>
        <v>0</v>
      </c>
      <c r="AC310" s="246">
        <f t="shared" si="112"/>
        <v>0.14144271428571431</v>
      </c>
      <c r="AD310" s="246">
        <f t="shared" si="112"/>
        <v>0</v>
      </c>
      <c r="AE310" s="246">
        <f t="shared" si="112"/>
        <v>2.3573785714285718</v>
      </c>
      <c r="AF310" s="246">
        <v>0</v>
      </c>
      <c r="AG310" s="246">
        <f t="shared" si="112"/>
        <v>0.23573785714285717</v>
      </c>
      <c r="AH310" s="243"/>
      <c r="AI310" s="102">
        <v>0.08</v>
      </c>
      <c r="AJ310" s="100"/>
      <c r="AK310" s="100"/>
      <c r="AL310" s="100"/>
      <c r="AM310" s="100"/>
      <c r="AN310" s="241">
        <v>0.1</v>
      </c>
      <c r="AO310" s="241">
        <v>0.32</v>
      </c>
      <c r="AP310" s="247">
        <f>(AN310*365)*(AO310*0.67*0.01*1)</f>
        <v>7.8256000000000006E-2</v>
      </c>
      <c r="AQ310" s="247">
        <f>(AN310*365)*(AO310*0.67*0.001*1)</f>
        <v>7.8256000000000003E-3</v>
      </c>
      <c r="AR310" s="248"/>
      <c r="AS310" s="247">
        <f>(AN310*365)*(AO310*0.67*0.02*1)</f>
        <v>0.15651200000000001</v>
      </c>
      <c r="AT310" s="247">
        <f>(AN310*365)*(AO310*0.67*0.01*1)</f>
        <v>7.8256000000000006E-2</v>
      </c>
      <c r="AU310" s="247">
        <f>(AN310*365)*(AO310*0.67*0.25*1)</f>
        <v>1.9564000000000001</v>
      </c>
      <c r="AV310" s="247">
        <f>(AN310*365)*(AO310*0.67*0.73*1)</f>
        <v>5.7126880000000009</v>
      </c>
      <c r="AW310" s="247">
        <f>(AN310*365)*(AO310*0.67*0.03*1)</f>
        <v>0.234768</v>
      </c>
      <c r="AX310" s="248"/>
      <c r="AY310" s="247">
        <f>(AN310*365)*(AO310*0.67*0.25*1)</f>
        <v>1.9564000000000001</v>
      </c>
      <c r="AZ310" s="247">
        <f t="shared" si="98"/>
        <v>7.8256000000000006</v>
      </c>
      <c r="BA310" s="247">
        <f t="shared" si="99"/>
        <v>0.78256000000000003</v>
      </c>
      <c r="BB310" s="247">
        <f t="shared" si="100"/>
        <v>3.9128000000000003E-2</v>
      </c>
      <c r="BC310" s="247">
        <f>(AN310*365)*(AO310*0.67*0.005*1)</f>
        <v>3.9128000000000003E-2</v>
      </c>
      <c r="BD310" s="247">
        <v>0</v>
      </c>
      <c r="BE310" s="247">
        <v>0</v>
      </c>
      <c r="BF310" s="168"/>
      <c r="BG310" s="168"/>
      <c r="BH310" s="168"/>
      <c r="BI310" s="102"/>
      <c r="BJ310" s="178"/>
      <c r="BK310" s="178"/>
      <c r="BL310" s="178"/>
      <c r="BM310" s="169"/>
      <c r="BN310" s="169"/>
      <c r="BO310" s="169"/>
      <c r="BP310" s="206"/>
      <c r="BQ310" s="206"/>
      <c r="BR310" s="206"/>
      <c r="BS310" s="206"/>
      <c r="BT310" s="206"/>
      <c r="BU310" s="206"/>
      <c r="BV310" s="207"/>
      <c r="BW310" s="206"/>
      <c r="BX310" s="206"/>
      <c r="BY310" s="207"/>
      <c r="BZ310" s="207"/>
      <c r="CA310" s="207"/>
      <c r="CB310" s="180"/>
      <c r="CC310" s="178"/>
      <c r="CD310" s="178"/>
      <c r="CE310" s="180"/>
      <c r="CF310" s="180"/>
      <c r="CG310" s="180"/>
      <c r="CH310" s="180"/>
      <c r="CI310" s="178"/>
      <c r="CJ310" s="178"/>
      <c r="CK310" s="180"/>
      <c r="CL310" s="180"/>
      <c r="CM310" s="180"/>
      <c r="CN310" s="116"/>
      <c r="CO310" s="218">
        <f t="shared" si="113"/>
        <v>0</v>
      </c>
      <c r="CP310" s="100">
        <f t="shared" si="114"/>
        <v>0</v>
      </c>
      <c r="CQ310" s="218">
        <f t="shared" si="115"/>
        <v>0</v>
      </c>
      <c r="DC310" s="116"/>
      <c r="DD310" s="141"/>
      <c r="DE310" s="116"/>
      <c r="DF310" s="116"/>
      <c r="DG310" s="116"/>
      <c r="DH310" s="116"/>
      <c r="DI310" s="116"/>
    </row>
    <row r="311" spans="15:119" s="101" customFormat="1" ht="15" hidden="1" customHeight="1" x14ac:dyDescent="0.25">
      <c r="O311" s="227" t="s">
        <v>549</v>
      </c>
      <c r="Q311" s="243">
        <v>1.37</v>
      </c>
      <c r="R311" s="243">
        <v>30</v>
      </c>
      <c r="S311" s="246">
        <f t="shared" si="112"/>
        <v>0</v>
      </c>
      <c r="T311" s="246">
        <f t="shared" si="112"/>
        <v>0</v>
      </c>
      <c r="U311" s="246">
        <f t="shared" si="112"/>
        <v>0.11786892857142858</v>
      </c>
      <c r="V311" s="246">
        <f t="shared" si="112"/>
        <v>0.47147571428571433</v>
      </c>
      <c r="W311" s="246">
        <f t="shared" si="112"/>
        <v>0.11786892857142858</v>
      </c>
      <c r="X311" s="246">
        <f t="shared" si="112"/>
        <v>0</v>
      </c>
      <c r="Y311" s="246">
        <f t="shared" si="112"/>
        <v>0.23573785714285717</v>
      </c>
      <c r="Z311" s="246">
        <f t="shared" si="112"/>
        <v>1.6501650000000003</v>
      </c>
      <c r="AA311" s="246">
        <f t="shared" si="112"/>
        <v>0</v>
      </c>
      <c r="AB311" s="246">
        <f t="shared" si="112"/>
        <v>0</v>
      </c>
      <c r="AC311" s="246">
        <f t="shared" si="112"/>
        <v>0.14144271428571431</v>
      </c>
      <c r="AD311" s="246">
        <f t="shared" si="112"/>
        <v>0</v>
      </c>
      <c r="AE311" s="246">
        <f t="shared" si="112"/>
        <v>2.3573785714285718</v>
      </c>
      <c r="AF311" s="246">
        <v>0</v>
      </c>
      <c r="AG311" s="246">
        <f t="shared" si="112"/>
        <v>0.23573785714285717</v>
      </c>
      <c r="AH311" s="243"/>
      <c r="AN311" s="241">
        <v>0.1</v>
      </c>
      <c r="AO311" s="241">
        <v>0.32</v>
      </c>
      <c r="AP311" s="247">
        <f>(AN311*365)*(AO311*0.67*0.015*1)</f>
        <v>0.117384</v>
      </c>
      <c r="AQ311" s="247">
        <f>(AN311*365)*(AO311*0.67*0.005*1)</f>
        <v>3.9128000000000003E-2</v>
      </c>
      <c r="AR311" s="248"/>
      <c r="AS311" s="247">
        <f>(AN311*365)*(AO311*0.67*0.04*1)</f>
        <v>0.31302400000000002</v>
      </c>
      <c r="AT311" s="247">
        <f>(AN311*365)*(AO311*0.67*0.015*1)</f>
        <v>0.117384</v>
      </c>
      <c r="AU311" s="247">
        <f>(AN311*365)*(AO311*0.67*0.65*1)</f>
        <v>5.0866400000000001</v>
      </c>
      <c r="AV311" s="247">
        <f>(AN311*365)*(AO311*0.67*0.79*1)</f>
        <v>6.1822240000000006</v>
      </c>
      <c r="AW311" s="247">
        <f>(AN311*365)*(AO311*0.67*0.03*1)</f>
        <v>0.234768</v>
      </c>
      <c r="AX311" s="248"/>
      <c r="AY311" s="247">
        <f>(AN311*365)*(AO311*0.67*0.65*1)</f>
        <v>5.0866400000000001</v>
      </c>
      <c r="AZ311" s="247">
        <f t="shared" si="98"/>
        <v>7.8256000000000006</v>
      </c>
      <c r="BA311" s="247">
        <f t="shared" si="99"/>
        <v>0.78256000000000003</v>
      </c>
      <c r="BB311" s="247">
        <f t="shared" si="100"/>
        <v>3.9128000000000003E-2</v>
      </c>
      <c r="BC311" s="247">
        <f>(AN311*365)*(AO311*0.67*0.01*1)</f>
        <v>7.8256000000000006E-2</v>
      </c>
      <c r="BD311" s="247">
        <v>0</v>
      </c>
      <c r="BE311" s="247">
        <v>0</v>
      </c>
      <c r="BF311" s="168"/>
      <c r="BG311" s="168"/>
      <c r="BH311" s="168"/>
      <c r="BI311" s="102"/>
      <c r="BJ311" s="178"/>
      <c r="BK311" s="178"/>
      <c r="BL311" s="178"/>
      <c r="BM311" s="169"/>
      <c r="BN311" s="169"/>
      <c r="BO311" s="169"/>
      <c r="BP311" s="206"/>
      <c r="BQ311" s="206"/>
      <c r="BR311" s="206"/>
      <c r="BS311" s="206"/>
      <c r="BT311" s="206"/>
      <c r="BU311" s="206"/>
      <c r="BV311" s="207"/>
      <c r="BW311" s="206"/>
      <c r="BX311" s="206"/>
      <c r="BY311" s="207"/>
      <c r="BZ311" s="207"/>
      <c r="CA311" s="207"/>
      <c r="CB311" s="180"/>
      <c r="CC311" s="178"/>
      <c r="CD311" s="178"/>
      <c r="CE311" s="180"/>
      <c r="CF311" s="180"/>
      <c r="CG311" s="180"/>
      <c r="CH311" s="180"/>
      <c r="CI311" s="178"/>
      <c r="CJ311" s="178"/>
      <c r="CK311" s="180"/>
      <c r="CL311" s="180"/>
      <c r="CM311" s="180"/>
      <c r="CN311" s="116"/>
      <c r="CO311" s="218">
        <f t="shared" si="113"/>
        <v>0</v>
      </c>
      <c r="CP311" s="100">
        <f t="shared" si="114"/>
        <v>0</v>
      </c>
      <c r="CQ311" s="218">
        <f t="shared" si="115"/>
        <v>0</v>
      </c>
      <c r="DC311" s="116" t="s">
        <v>67</v>
      </c>
      <c r="DE311" s="116" t="s">
        <v>103</v>
      </c>
      <c r="DF311" s="116" t="s">
        <v>104</v>
      </c>
      <c r="DG311" s="116"/>
      <c r="DH311" s="116"/>
      <c r="DI311" s="116"/>
      <c r="DJ311" s="116" t="s">
        <v>105</v>
      </c>
      <c r="DK311" s="116" t="s">
        <v>106</v>
      </c>
      <c r="DL311" s="116" t="s">
        <v>107</v>
      </c>
      <c r="DM311" s="116"/>
      <c r="DN311" s="116" t="s">
        <v>108</v>
      </c>
    </row>
    <row r="312" spans="15:119" s="101" customFormat="1" ht="18" hidden="1" customHeight="1" thickBot="1" x14ac:dyDescent="0.3">
      <c r="O312" s="227" t="s">
        <v>550</v>
      </c>
      <c r="Q312" s="243">
        <v>1.37</v>
      </c>
      <c r="R312" s="243">
        <v>30</v>
      </c>
      <c r="S312" s="246">
        <f t="shared" si="112"/>
        <v>0</v>
      </c>
      <c r="T312" s="246">
        <f t="shared" si="112"/>
        <v>0</v>
      </c>
      <c r="U312" s="246">
        <f t="shared" si="112"/>
        <v>0.11786892857142858</v>
      </c>
      <c r="V312" s="246">
        <f t="shared" si="112"/>
        <v>0.47147571428571433</v>
      </c>
      <c r="W312" s="246">
        <f t="shared" si="112"/>
        <v>0.11786892857142858</v>
      </c>
      <c r="X312" s="246">
        <f t="shared" si="112"/>
        <v>0</v>
      </c>
      <c r="Y312" s="246">
        <f t="shared" si="112"/>
        <v>0.23573785714285717</v>
      </c>
      <c r="Z312" s="246">
        <f t="shared" si="112"/>
        <v>1.6501650000000003</v>
      </c>
      <c r="AA312" s="246">
        <f t="shared" si="112"/>
        <v>0</v>
      </c>
      <c r="AB312" s="246">
        <f t="shared" si="112"/>
        <v>0</v>
      </c>
      <c r="AC312" s="246">
        <f t="shared" si="112"/>
        <v>0.14144271428571431</v>
      </c>
      <c r="AD312" s="246">
        <f t="shared" si="112"/>
        <v>0</v>
      </c>
      <c r="AE312" s="246">
        <f t="shared" si="112"/>
        <v>2.3573785714285718</v>
      </c>
      <c r="AF312" s="246">
        <v>0</v>
      </c>
      <c r="AG312" s="246">
        <f t="shared" si="112"/>
        <v>0.23573785714285717</v>
      </c>
      <c r="AH312" s="243"/>
      <c r="AN312" s="241">
        <v>0.1</v>
      </c>
      <c r="AO312" s="241">
        <v>0.32</v>
      </c>
      <c r="AP312" s="247">
        <f>(AN312*365)*(AO312*0.67*0.02*1)</f>
        <v>0.15651200000000001</v>
      </c>
      <c r="AQ312" s="247">
        <f>(AN312*365)*(AO312*0.67*0.01*1)</f>
        <v>7.8256000000000006E-2</v>
      </c>
      <c r="AR312" s="248"/>
      <c r="AS312" s="247">
        <f>(AN312*365)*(AO312*0.67*0.05*1)</f>
        <v>0.39128000000000002</v>
      </c>
      <c r="AT312" s="247">
        <f>(AN312*365)*(AO312*0.67*0.02*1)</f>
        <v>0.15651200000000001</v>
      </c>
      <c r="AU312" s="247">
        <f>(AN312*365)*(AO312*0.67*0.8*1)</f>
        <v>6.2604800000000003</v>
      </c>
      <c r="AV312" s="247">
        <f>(AN312*365)*(AO312*0.67*0.8*1)</f>
        <v>6.2604800000000003</v>
      </c>
      <c r="AW312" s="247">
        <f>(AN312*365)*(AO312*0.67*0.3*1)</f>
        <v>2.34768</v>
      </c>
      <c r="AX312" s="248"/>
      <c r="AY312" s="247">
        <f>(AN312*365)*(AO312*0.67*0.8*1)</f>
        <v>6.2604800000000003</v>
      </c>
      <c r="AZ312" s="247">
        <f t="shared" si="98"/>
        <v>7.8256000000000006</v>
      </c>
      <c r="BA312" s="247">
        <f t="shared" si="99"/>
        <v>0.78256000000000003</v>
      </c>
      <c r="BB312" s="247">
        <f t="shared" si="100"/>
        <v>3.9128000000000003E-2</v>
      </c>
      <c r="BC312" s="247">
        <f>(AN312*365)*(AO312*0.67*0.015*1)</f>
        <v>0.117384</v>
      </c>
      <c r="BD312" s="247">
        <v>0</v>
      </c>
      <c r="BE312" s="247">
        <v>0</v>
      </c>
      <c r="BF312" s="168"/>
      <c r="BG312" s="168"/>
      <c r="BH312" s="168"/>
      <c r="BI312" s="102"/>
      <c r="BJ312" s="178"/>
      <c r="BK312" s="178"/>
      <c r="BL312" s="178"/>
      <c r="BM312" s="169"/>
      <c r="BN312" s="169"/>
      <c r="BO312" s="169"/>
      <c r="BP312" s="206"/>
      <c r="BQ312" s="206"/>
      <c r="BR312" s="206"/>
      <c r="BS312" s="206"/>
      <c r="BT312" s="206"/>
      <c r="BU312" s="206"/>
      <c r="BV312" s="207"/>
      <c r="BW312" s="206"/>
      <c r="BX312" s="206"/>
      <c r="BY312" s="207"/>
      <c r="BZ312" s="207"/>
      <c r="CA312" s="207"/>
      <c r="CB312" s="180"/>
      <c r="CC312" s="178"/>
      <c r="CD312" s="178"/>
      <c r="CE312" s="180"/>
      <c r="CF312" s="180"/>
      <c r="CG312" s="180"/>
      <c r="CH312" s="180"/>
      <c r="CI312" s="178"/>
      <c r="CJ312" s="178"/>
      <c r="CK312" s="180"/>
      <c r="CL312" s="180"/>
      <c r="CM312" s="180"/>
      <c r="CN312" s="116"/>
      <c r="CO312" s="218">
        <f t="shared" si="113"/>
        <v>0</v>
      </c>
      <c r="CP312" s="100">
        <f t="shared" si="114"/>
        <v>0</v>
      </c>
      <c r="CQ312" s="218">
        <f t="shared" si="115"/>
        <v>0</v>
      </c>
      <c r="DA312" s="101" t="s">
        <v>62</v>
      </c>
      <c r="DB312" s="101" t="s">
        <v>49</v>
      </c>
      <c r="DC312" s="101">
        <f>+DN312</f>
        <v>6.1897500000000008E-2</v>
      </c>
      <c r="DE312" s="116">
        <v>1</v>
      </c>
      <c r="DF312" s="116">
        <v>0.9</v>
      </c>
      <c r="DG312" s="116"/>
      <c r="DH312" s="116"/>
      <c r="DI312" s="116"/>
      <c r="DJ312" s="116">
        <v>0.5</v>
      </c>
      <c r="DK312" s="116">
        <v>5.0000000000000001E-3</v>
      </c>
      <c r="DL312" s="116">
        <f>+DE312*DF312*DJ312*DK312*21</f>
        <v>4.7250000000000007E-2</v>
      </c>
      <c r="DM312" s="116"/>
      <c r="DN312" s="101">
        <f>+DL312+DM323</f>
        <v>6.1897500000000008E-2</v>
      </c>
      <c r="DO312" s="116" t="s">
        <v>376</v>
      </c>
    </row>
    <row r="313" spans="15:119" s="101" customFormat="1" ht="15" hidden="1" customHeight="1" x14ac:dyDescent="0.25">
      <c r="O313" s="227" t="s">
        <v>551</v>
      </c>
      <c r="Q313" s="243"/>
      <c r="R313" s="243"/>
      <c r="S313" s="242"/>
      <c r="T313" s="242"/>
      <c r="U313" s="242"/>
      <c r="V313" s="242"/>
      <c r="W313" s="242"/>
      <c r="X313" s="242"/>
      <c r="Y313" s="242"/>
      <c r="Z313" s="242"/>
      <c r="AA313" s="242"/>
      <c r="AB313" s="242"/>
      <c r="AC313" s="242"/>
      <c r="AD313" s="242"/>
      <c r="AE313" s="242"/>
      <c r="AF313" s="242"/>
      <c r="AG313" s="242"/>
      <c r="AH313" s="243"/>
      <c r="AI313" s="102">
        <v>5.67</v>
      </c>
      <c r="AN313" s="241">
        <v>1.1599999999999999</v>
      </c>
      <c r="AO313" s="241">
        <v>0.25</v>
      </c>
      <c r="AP313" s="247">
        <f>(AN313*365)*(AO313*0.67*0.01*1)</f>
        <v>0.70919500000000002</v>
      </c>
      <c r="AQ313" s="247">
        <f>(AN313*365)*(AO313*0.67*0.001*1)</f>
        <v>7.0919499999999996E-2</v>
      </c>
      <c r="AR313" s="248"/>
      <c r="AS313" s="247">
        <f>(AN313*365)*(AO313*0.67*0.02*1)</f>
        <v>1.41839</v>
      </c>
      <c r="AT313" s="247">
        <f>(AN313*365)*(AO313*0.67*0.01*1)</f>
        <v>0.70919500000000002</v>
      </c>
      <c r="AU313" s="247">
        <f>(AN313*365)*(AO313*0.67*0.25*1)</f>
        <v>17.729875</v>
      </c>
      <c r="AV313" s="247">
        <f>(AN313*365)*(AO313*0.67*0.73*1)</f>
        <v>51.771235000000004</v>
      </c>
      <c r="AW313" s="247">
        <f>(AN313*365)*(AO313*0.67*0.03*1)</f>
        <v>2.1275849999999998</v>
      </c>
      <c r="AX313" s="248"/>
      <c r="AY313" s="247">
        <f>(AN313*365)*(AO313*0.67*0.25*1)</f>
        <v>17.729875</v>
      </c>
      <c r="AZ313" s="247">
        <f t="shared" si="98"/>
        <v>70.919499999999999</v>
      </c>
      <c r="BA313" s="247">
        <f t="shared" si="99"/>
        <v>7.0919499999999998</v>
      </c>
      <c r="BB313" s="247">
        <f t="shared" si="100"/>
        <v>0.35459750000000001</v>
      </c>
      <c r="BC313" s="247">
        <f>(AN313*365)*(AO313*0.67*0.005*1)</f>
        <v>0.35459750000000001</v>
      </c>
      <c r="BD313" s="247">
        <v>0</v>
      </c>
      <c r="BE313" s="247">
        <v>0</v>
      </c>
      <c r="BF313" s="168"/>
      <c r="BG313" s="168"/>
      <c r="BH313" s="168"/>
      <c r="BI313" s="1606" t="s">
        <v>58</v>
      </c>
      <c r="BJ313" s="251"/>
      <c r="BK313" s="1606" t="s">
        <v>279</v>
      </c>
      <c r="BL313" s="251"/>
      <c r="BM313" s="1606" t="s">
        <v>233</v>
      </c>
      <c r="BN313" s="1606" t="s">
        <v>233</v>
      </c>
      <c r="BO313" s="1606" t="s">
        <v>240</v>
      </c>
      <c r="BP313" s="1606" t="s">
        <v>282</v>
      </c>
      <c r="BQ313" s="251"/>
      <c r="BR313" s="1606" t="s">
        <v>233</v>
      </c>
      <c r="BS313" s="1606" t="s">
        <v>233</v>
      </c>
      <c r="BT313" s="1606" t="s">
        <v>240</v>
      </c>
      <c r="BU313" s="102"/>
      <c r="BV313" s="207"/>
      <c r="BW313" s="206"/>
      <c r="BX313" s="206"/>
      <c r="BY313" s="207"/>
      <c r="BZ313" s="207"/>
      <c r="CA313" s="207"/>
      <c r="CB313" s="180"/>
      <c r="CC313" s="178"/>
      <c r="CD313" s="178"/>
      <c r="CE313" s="180"/>
      <c r="CF313" s="180"/>
      <c r="CG313" s="180"/>
      <c r="CH313" s="180"/>
      <c r="CI313" s="178"/>
      <c r="CJ313" s="178"/>
      <c r="CK313" s="180"/>
      <c r="CL313" s="180"/>
      <c r="CM313" s="180"/>
      <c r="CN313" s="116"/>
      <c r="CO313" s="218" t="str">
        <f t="shared" si="113"/>
        <v>Incertidumbre (+/- %)</v>
      </c>
      <c r="CP313" s="100" t="e">
        <f t="shared" si="114"/>
        <v>#VALUE!</v>
      </c>
      <c r="CQ313" s="218" t="str">
        <f t="shared" si="115"/>
        <v>Incertidumbre (+/- %)</v>
      </c>
      <c r="DF313" s="116"/>
      <c r="DG313" s="116"/>
      <c r="DH313" s="116"/>
      <c r="DI313" s="116"/>
    </row>
    <row r="314" spans="15:119" s="101" customFormat="1" ht="15.75" hidden="1" customHeight="1" thickBot="1" x14ac:dyDescent="0.3">
      <c r="O314" s="227" t="s">
        <v>552</v>
      </c>
      <c r="Q314" s="243"/>
      <c r="R314" s="243"/>
      <c r="S314" s="242"/>
      <c r="T314" s="242"/>
      <c r="U314" s="242"/>
      <c r="V314" s="242"/>
      <c r="W314" s="242"/>
      <c r="X314" s="242"/>
      <c r="Y314" s="242"/>
      <c r="Z314" s="242"/>
      <c r="AA314" s="242"/>
      <c r="AB314" s="242"/>
      <c r="AC314" s="242"/>
      <c r="AD314" s="242"/>
      <c r="AE314" s="242"/>
      <c r="AF314" s="242"/>
      <c r="AG314" s="242"/>
      <c r="AH314" s="243"/>
      <c r="AN314" s="241">
        <v>1.1599999999999999</v>
      </c>
      <c r="AO314" s="241">
        <v>0.25</v>
      </c>
      <c r="AP314" s="247">
        <f>(AN314*365)*(AO314*0.67*0.015*1)</f>
        <v>1.0637924999999999</v>
      </c>
      <c r="AQ314" s="247">
        <f>(AN314*365)*(AO314*0.67*0.005*1)</f>
        <v>0.35459750000000001</v>
      </c>
      <c r="AR314" s="248"/>
      <c r="AS314" s="247">
        <f>(AN314*365)*(AO314*0.67*0.04*1)</f>
        <v>2.8367800000000001</v>
      </c>
      <c r="AT314" s="247">
        <f>(AN314*365)*(AO314*0.67*0.015*1)</f>
        <v>1.0637924999999999</v>
      </c>
      <c r="AU314" s="247">
        <f>(AN314*365)*(AO314*0.67*0.65*1)</f>
        <v>46.097675000000002</v>
      </c>
      <c r="AV314" s="247">
        <f>(AN314*365)*(AO314*0.67*0.79*1)</f>
        <v>56.026405000000011</v>
      </c>
      <c r="AW314" s="247">
        <f>(AN314*365)*(AO314*0.67*0.03*1)</f>
        <v>2.1275849999999998</v>
      </c>
      <c r="AX314" s="248"/>
      <c r="AY314" s="247">
        <f>(AN314*365)*(AO314*0.67*0.65*1)</f>
        <v>46.097675000000002</v>
      </c>
      <c r="AZ314" s="247">
        <f t="shared" si="98"/>
        <v>70.919499999999999</v>
      </c>
      <c r="BA314" s="247">
        <f t="shared" si="99"/>
        <v>7.0919499999999998</v>
      </c>
      <c r="BB314" s="247">
        <f t="shared" si="100"/>
        <v>0.35459750000000001</v>
      </c>
      <c r="BC314" s="247">
        <f>(AN314*365)*(AO314*0.67*0.01*1)</f>
        <v>0.70919500000000002</v>
      </c>
      <c r="BD314" s="247">
        <v>0</v>
      </c>
      <c r="BE314" s="247">
        <v>0</v>
      </c>
      <c r="BF314" s="168"/>
      <c r="BG314" s="168"/>
      <c r="BH314" s="168"/>
      <c r="BI314" s="1607"/>
      <c r="BJ314" s="252" t="s">
        <v>253</v>
      </c>
      <c r="BK314" s="1607"/>
      <c r="BL314" s="252" t="s">
        <v>251</v>
      </c>
      <c r="BM314" s="1607"/>
      <c r="BN314" s="1607"/>
      <c r="BO314" s="1607"/>
      <c r="BP314" s="1607"/>
      <c r="BQ314" s="252" t="s">
        <v>251</v>
      </c>
      <c r="BR314" s="1607"/>
      <c r="BS314" s="1607"/>
      <c r="BT314" s="1607"/>
      <c r="BU314" s="102"/>
      <c r="BV314" s="207"/>
      <c r="BW314" s="206"/>
      <c r="BX314" s="206"/>
      <c r="BY314" s="207"/>
      <c r="BZ314" s="207"/>
      <c r="CA314" s="207"/>
      <c r="CB314" s="180"/>
      <c r="CC314" s="178"/>
      <c r="CD314" s="178"/>
      <c r="CE314" s="180"/>
      <c r="CF314" s="180"/>
      <c r="CG314" s="180"/>
      <c r="CH314" s="180"/>
      <c r="CI314" s="178"/>
      <c r="CJ314" s="178"/>
      <c r="CK314" s="180"/>
      <c r="CL314" s="180"/>
      <c r="CM314" s="180"/>
      <c r="CN314" s="116"/>
      <c r="CO314" s="218">
        <f t="shared" si="113"/>
        <v>0</v>
      </c>
      <c r="CP314" s="100">
        <f t="shared" si="114"/>
        <v>0</v>
      </c>
      <c r="CQ314" s="218">
        <f t="shared" si="115"/>
        <v>0</v>
      </c>
      <c r="DF314" s="116"/>
      <c r="DG314" s="116"/>
      <c r="DH314" s="116"/>
      <c r="DI314" s="116"/>
      <c r="DL314" s="116">
        <f>+DE312*DF312*DJ312*DK312*25</f>
        <v>5.6250000000000008E-2</v>
      </c>
      <c r="DN314" s="101">
        <f>+DL314+DM325</f>
        <v>7.0330500000000004E-2</v>
      </c>
    </row>
    <row r="315" spans="15:119" s="101" customFormat="1" ht="18.75" hidden="1" customHeight="1" thickBot="1" x14ac:dyDescent="0.3">
      <c r="O315" s="227" t="s">
        <v>553</v>
      </c>
      <c r="Q315" s="243"/>
      <c r="R315" s="243"/>
      <c r="S315" s="242"/>
      <c r="T315" s="242"/>
      <c r="U315" s="242"/>
      <c r="V315" s="242"/>
      <c r="W315" s="242"/>
      <c r="X315" s="242"/>
      <c r="Y315" s="242"/>
      <c r="Z315" s="242"/>
      <c r="AA315" s="242"/>
      <c r="AB315" s="242"/>
      <c r="AC315" s="242"/>
      <c r="AD315" s="242"/>
      <c r="AE315" s="242"/>
      <c r="AF315" s="242"/>
      <c r="AG315" s="242"/>
      <c r="AH315" s="243"/>
      <c r="AN315" s="241">
        <v>1.1599999999999999</v>
      </c>
      <c r="AO315" s="241">
        <v>0.25</v>
      </c>
      <c r="AP315" s="247">
        <f>(AN315*365)*(AO315*0.67*0.02*1)</f>
        <v>1.41839</v>
      </c>
      <c r="AQ315" s="247">
        <f>(AN315*365)*(AO315*0.67*0.01*1)</f>
        <v>0.70919500000000002</v>
      </c>
      <c r="AR315" s="248"/>
      <c r="AS315" s="247">
        <f>(AN315*365)*(AO315*0.67*0.05*1)</f>
        <v>3.5459749999999999</v>
      </c>
      <c r="AT315" s="247">
        <f>(AN315*365)*(AO315*0.67*0.02*1)</f>
        <v>1.41839</v>
      </c>
      <c r="AU315" s="247">
        <f>(AN315*365)*(AO315*0.67*0.8*1)</f>
        <v>56.735599999999998</v>
      </c>
      <c r="AV315" s="247">
        <f>(AN315*365)*(AO315*0.67*0.8*1)</f>
        <v>56.735599999999998</v>
      </c>
      <c r="AW315" s="247">
        <f>(AN315*365)*(AO315*0.67*0.3*1)</f>
        <v>21.275849999999998</v>
      </c>
      <c r="AX315" s="248"/>
      <c r="AY315" s="247">
        <f>(AN315*365)*(AO315*0.67*0.8*1)</f>
        <v>56.735599999999998</v>
      </c>
      <c r="AZ315" s="247">
        <f t="shared" si="98"/>
        <v>70.919499999999999</v>
      </c>
      <c r="BA315" s="247">
        <f t="shared" si="99"/>
        <v>7.0919499999999998</v>
      </c>
      <c r="BB315" s="247">
        <f t="shared" si="100"/>
        <v>0.35459750000000001</v>
      </c>
      <c r="BC315" s="247">
        <f>(AN315*365)*(AO315*0.67*0.015*1)</f>
        <v>1.0637924999999999</v>
      </c>
      <c r="BD315" s="247">
        <v>0</v>
      </c>
      <c r="BE315" s="247">
        <v>0</v>
      </c>
      <c r="BF315" s="168"/>
      <c r="BG315" s="168"/>
      <c r="BH315" s="168"/>
      <c r="BI315" s="203" t="s">
        <v>470</v>
      </c>
      <c r="BJ315" s="190" t="s">
        <v>471</v>
      </c>
      <c r="BK315" s="196">
        <f>10/1000</f>
        <v>0.01</v>
      </c>
      <c r="BL315" s="190" t="s">
        <v>416</v>
      </c>
      <c r="BM315" s="189">
        <f>0.08/10</f>
        <v>8.0000000000000002E-3</v>
      </c>
      <c r="BN315" s="189">
        <f>20/10</f>
        <v>2</v>
      </c>
      <c r="BO315" s="188" t="s">
        <v>258</v>
      </c>
      <c r="BP315" s="196">
        <f>0.6/1000</f>
        <v>5.9999999999999995E-4</v>
      </c>
      <c r="BQ315" s="190" t="s">
        <v>417</v>
      </c>
      <c r="BR315" s="189">
        <f>0.2/0.6</f>
        <v>0.33333333333333337</v>
      </c>
      <c r="BS315" s="189">
        <f>1.2/0.6</f>
        <v>2</v>
      </c>
      <c r="BT315" s="188" t="s">
        <v>258</v>
      </c>
      <c r="BU315" s="102"/>
      <c r="BV315" s="207"/>
      <c r="BW315" s="206"/>
      <c r="BX315" s="206"/>
      <c r="BY315" s="207"/>
      <c r="BZ315" s="207"/>
      <c r="CA315" s="207"/>
      <c r="CB315" s="180"/>
      <c r="CC315" s="178"/>
      <c r="CD315" s="178"/>
      <c r="CE315" s="180"/>
      <c r="CF315" s="180"/>
      <c r="CG315" s="180"/>
      <c r="CH315" s="180"/>
      <c r="CI315" s="178"/>
      <c r="CJ315" s="178"/>
      <c r="CK315" s="180"/>
      <c r="CL315" s="180"/>
      <c r="CM315" s="180"/>
      <c r="CN315" s="116"/>
      <c r="CO315" s="218">
        <f t="shared" si="113"/>
        <v>8.0000000000000002E-3</v>
      </c>
      <c r="CP315" s="100">
        <f t="shared" si="114"/>
        <v>1.004</v>
      </c>
      <c r="CQ315" s="218">
        <f t="shared" si="115"/>
        <v>2</v>
      </c>
      <c r="CR315" s="101">
        <v>0.9</v>
      </c>
      <c r="CS315" s="101">
        <v>1</v>
      </c>
      <c r="DF315" s="116"/>
      <c r="DG315" s="116"/>
      <c r="DH315" s="116"/>
      <c r="DI315" s="116"/>
      <c r="DL315" s="116"/>
    </row>
    <row r="316" spans="15:119" s="101" customFormat="1" ht="18.75" hidden="1" customHeight="1" thickBot="1" x14ac:dyDescent="0.3">
      <c r="BD316" s="101">
        <v>0</v>
      </c>
      <c r="BF316" s="168"/>
      <c r="BG316" s="168"/>
      <c r="BH316" s="168"/>
      <c r="BI316" s="203" t="s">
        <v>472</v>
      </c>
      <c r="BJ316" s="190" t="s">
        <v>475</v>
      </c>
      <c r="BK316" s="196">
        <f>4/1000</f>
        <v>4.0000000000000001E-3</v>
      </c>
      <c r="BL316" s="190" t="s">
        <v>416</v>
      </c>
      <c r="BM316" s="189">
        <f>0.03/4</f>
        <v>7.4999999999999997E-3</v>
      </c>
      <c r="BN316" s="189">
        <f>8/4</f>
        <v>2</v>
      </c>
      <c r="BO316" s="188" t="s">
        <v>258</v>
      </c>
      <c r="BP316" s="196">
        <f>0.3/1000</f>
        <v>2.9999999999999997E-4</v>
      </c>
      <c r="BQ316" s="190" t="s">
        <v>417</v>
      </c>
      <c r="BR316" s="189">
        <f>0.06/0.3</f>
        <v>0.2</v>
      </c>
      <c r="BS316" s="189">
        <f>0.6/0.3</f>
        <v>2</v>
      </c>
      <c r="BT316" s="188" t="s">
        <v>258</v>
      </c>
      <c r="BU316" s="102"/>
      <c r="BV316" s="207"/>
      <c r="BW316" s="206"/>
      <c r="BX316" s="206"/>
      <c r="BY316" s="207"/>
      <c r="BZ316" s="207"/>
      <c r="CA316" s="207"/>
      <c r="CB316" s="180"/>
      <c r="CC316" s="178"/>
      <c r="CD316" s="178"/>
      <c r="CE316" s="180"/>
      <c r="CF316" s="180"/>
      <c r="CG316" s="180"/>
      <c r="CH316" s="180"/>
      <c r="CI316" s="178"/>
      <c r="CJ316" s="178"/>
      <c r="CK316" s="180"/>
      <c r="CL316" s="180"/>
      <c r="CM316" s="180"/>
      <c r="CN316" s="116"/>
      <c r="CO316" s="218">
        <f t="shared" si="113"/>
        <v>7.4999999999999997E-3</v>
      </c>
      <c r="CP316" s="100">
        <f t="shared" si="114"/>
        <v>1.0037499999999999</v>
      </c>
      <c r="CQ316" s="218">
        <f t="shared" si="115"/>
        <v>2</v>
      </c>
      <c r="CR316" s="101">
        <v>0.9</v>
      </c>
      <c r="CS316" s="101">
        <v>1</v>
      </c>
      <c r="DF316" s="116"/>
      <c r="DG316" s="116"/>
      <c r="DH316" s="116"/>
      <c r="DI316" s="116"/>
      <c r="DL316" s="116"/>
    </row>
    <row r="317" spans="15:119" s="101" customFormat="1" ht="18.75" hidden="1" customHeight="1" thickBot="1" x14ac:dyDescent="0.3">
      <c r="BF317" s="168"/>
      <c r="BG317" s="168"/>
      <c r="BH317" s="168"/>
      <c r="BI317" s="203" t="s">
        <v>473</v>
      </c>
      <c r="BJ317" s="190" t="s">
        <v>471</v>
      </c>
      <c r="BK317" s="196">
        <f>2/1000</f>
        <v>2E-3</v>
      </c>
      <c r="BL317" s="190" t="s">
        <v>416</v>
      </c>
      <c r="BM317" s="189">
        <f>0/2</f>
        <v>0</v>
      </c>
      <c r="BN317" s="189">
        <f>20/2</f>
        <v>10</v>
      </c>
      <c r="BO317" s="188" t="s">
        <v>258</v>
      </c>
      <c r="BP317" s="196">
        <v>0</v>
      </c>
      <c r="BQ317" s="190" t="s">
        <v>417</v>
      </c>
      <c r="BR317" s="189">
        <v>0</v>
      </c>
      <c r="BS317" s="189">
        <v>0</v>
      </c>
      <c r="BT317" s="188" t="s">
        <v>258</v>
      </c>
      <c r="BU317" s="102"/>
      <c r="BV317" s="207"/>
      <c r="BW317" s="206"/>
      <c r="BX317" s="206"/>
      <c r="BY317" s="207"/>
      <c r="BZ317" s="207"/>
      <c r="CA317" s="207"/>
      <c r="CB317" s="180"/>
      <c r="CC317" s="178"/>
      <c r="CD317" s="178"/>
      <c r="CE317" s="180"/>
      <c r="CF317" s="180"/>
      <c r="CG317" s="180"/>
      <c r="CH317" s="180"/>
      <c r="CI317" s="178"/>
      <c r="CJ317" s="178"/>
      <c r="CK317" s="180"/>
      <c r="CL317" s="180"/>
      <c r="CM317" s="180"/>
      <c r="CN317" s="116"/>
      <c r="CO317" s="218">
        <f t="shared" si="113"/>
        <v>0</v>
      </c>
      <c r="CP317" s="100">
        <f t="shared" si="114"/>
        <v>5</v>
      </c>
      <c r="CQ317" s="218">
        <f t="shared" si="115"/>
        <v>10</v>
      </c>
      <c r="CR317" s="101">
        <v>0.9</v>
      </c>
      <c r="CS317" s="101">
        <v>1</v>
      </c>
      <c r="DF317" s="116"/>
      <c r="DG317" s="116"/>
      <c r="DH317" s="116"/>
      <c r="DI317" s="116"/>
      <c r="DL317" s="116"/>
    </row>
    <row r="318" spans="15:119" s="101" customFormat="1" ht="18.75" hidden="1" customHeight="1" thickBot="1" x14ac:dyDescent="0.3">
      <c r="BB318" s="100" t="s">
        <v>509</v>
      </c>
      <c r="BC318" s="100" t="s">
        <v>510</v>
      </c>
      <c r="BD318" s="100" t="s">
        <v>512</v>
      </c>
      <c r="BE318" s="100"/>
      <c r="BF318" s="168"/>
      <c r="BG318" s="168"/>
      <c r="BH318" s="168"/>
      <c r="BI318" s="203" t="s">
        <v>474</v>
      </c>
      <c r="BJ318" s="190" t="s">
        <v>475</v>
      </c>
      <c r="BK318" s="196">
        <f>1/1000</f>
        <v>1E-3</v>
      </c>
      <c r="BL318" s="190" t="s">
        <v>416</v>
      </c>
      <c r="BM318" s="189">
        <f>0/2</f>
        <v>0</v>
      </c>
      <c r="BN318" s="189">
        <f>8/1</f>
        <v>8</v>
      </c>
      <c r="BO318" s="188" t="s">
        <v>258</v>
      </c>
      <c r="BP318" s="196">
        <v>0</v>
      </c>
      <c r="BQ318" s="190" t="s">
        <v>417</v>
      </c>
      <c r="BR318" s="189">
        <v>0</v>
      </c>
      <c r="BS318" s="189">
        <v>0</v>
      </c>
      <c r="BT318" s="188" t="s">
        <v>258</v>
      </c>
      <c r="BU318" s="102"/>
      <c r="BV318" s="207"/>
      <c r="BW318" s="206"/>
      <c r="BX318" s="206"/>
      <c r="BY318" s="207"/>
      <c r="BZ318" s="207"/>
      <c r="CA318" s="207"/>
      <c r="CB318" s="180"/>
      <c r="CC318" s="178"/>
      <c r="CD318" s="178"/>
      <c r="CE318" s="180"/>
      <c r="CF318" s="180"/>
      <c r="CG318" s="180"/>
      <c r="CH318" s="180"/>
      <c r="CI318" s="178"/>
      <c r="CJ318" s="178"/>
      <c r="CK318" s="180"/>
      <c r="CL318" s="180"/>
      <c r="CM318" s="180"/>
      <c r="CN318" s="116"/>
      <c r="CO318" s="218">
        <f t="shared" si="113"/>
        <v>0</v>
      </c>
      <c r="CP318" s="100">
        <f t="shared" si="114"/>
        <v>4</v>
      </c>
      <c r="CQ318" s="218">
        <f t="shared" si="115"/>
        <v>8</v>
      </c>
      <c r="CR318" s="101">
        <v>0.9</v>
      </c>
      <c r="CS318" s="101">
        <v>1</v>
      </c>
      <c r="DF318" s="116"/>
      <c r="DG318" s="116"/>
      <c r="DH318" s="116"/>
      <c r="DI318" s="116"/>
      <c r="DL318" s="116"/>
    </row>
    <row r="319" spans="15:119" s="101" customFormat="1" ht="26.25" hidden="1" customHeight="1" thickBot="1" x14ac:dyDescent="0.3">
      <c r="BB319" s="100">
        <v>50.4</v>
      </c>
      <c r="BC319" s="100">
        <v>22</v>
      </c>
      <c r="BD319" s="100">
        <f>BC319/((BB319*1000*1000)/(1000*1000))</f>
        <v>0.43650793650793651</v>
      </c>
      <c r="BE319" s="100"/>
      <c r="BF319" s="168"/>
      <c r="BG319" s="168"/>
      <c r="BH319" s="168"/>
      <c r="BI319" s="203" t="s">
        <v>507</v>
      </c>
      <c r="BJ319" s="190" t="s">
        <v>505</v>
      </c>
      <c r="BK319" s="196">
        <f>BD319*BF319</f>
        <v>0</v>
      </c>
      <c r="BL319" s="190" t="s">
        <v>506</v>
      </c>
      <c r="BM319" s="189">
        <f>0%/5%</f>
        <v>0</v>
      </c>
      <c r="BN319" s="189">
        <f>10%/5%</f>
        <v>2</v>
      </c>
      <c r="BO319" s="188" t="s">
        <v>258</v>
      </c>
      <c r="BP319" s="196">
        <v>0</v>
      </c>
      <c r="BQ319" s="190" t="s">
        <v>508</v>
      </c>
      <c r="BR319" s="189">
        <v>0</v>
      </c>
      <c r="BS319" s="189">
        <v>0</v>
      </c>
      <c r="BT319" s="188" t="s">
        <v>258</v>
      </c>
      <c r="BU319" s="102"/>
      <c r="BV319" s="207"/>
      <c r="BW319" s="206"/>
      <c r="BX319" s="206"/>
      <c r="BY319" s="207"/>
      <c r="BZ319" s="207"/>
      <c r="CA319" s="207"/>
      <c r="CB319" s="180"/>
      <c r="CC319" s="178"/>
      <c r="CD319" s="178"/>
      <c r="CE319" s="180"/>
      <c r="CF319" s="180"/>
      <c r="CG319" s="180"/>
      <c r="CH319" s="180"/>
      <c r="CI319" s="178"/>
      <c r="CJ319" s="178"/>
      <c r="CK319" s="180"/>
      <c r="CL319" s="180"/>
      <c r="CM319" s="180"/>
      <c r="CN319" s="116"/>
      <c r="CO319" s="218">
        <f t="shared" si="113"/>
        <v>0</v>
      </c>
      <c r="CP319" s="100">
        <f t="shared" si="114"/>
        <v>1</v>
      </c>
      <c r="CQ319" s="218">
        <f t="shared" si="115"/>
        <v>2</v>
      </c>
      <c r="DF319" s="116"/>
      <c r="DG319" s="116"/>
      <c r="DH319" s="116"/>
      <c r="DI319" s="116"/>
      <c r="DL319" s="116"/>
    </row>
    <row r="320" spans="15:119" s="101" customFormat="1" ht="18.75" hidden="1" customHeight="1" thickBot="1" x14ac:dyDescent="0.3">
      <c r="BF320" s="168"/>
      <c r="BG320" s="168"/>
      <c r="BH320" s="168"/>
      <c r="BI320" s="203" t="s">
        <v>316</v>
      </c>
      <c r="BJ320" s="190" t="s">
        <v>49</v>
      </c>
      <c r="BK320" s="196">
        <f>2.7/1000</f>
        <v>2.7000000000000001E-3</v>
      </c>
      <c r="BL320" s="190" t="s">
        <v>416</v>
      </c>
      <c r="BM320" s="189">
        <f>0.9/2.7</f>
        <v>0.33333333333333331</v>
      </c>
      <c r="BN320" s="189">
        <f>0.9/2.7</f>
        <v>0.33333333333333331</v>
      </c>
      <c r="BO320" s="188" t="s">
        <v>258</v>
      </c>
      <c r="BP320" s="196">
        <f>0.07/1000</f>
        <v>7.0000000000000007E-5</v>
      </c>
      <c r="BQ320" s="190" t="s">
        <v>417</v>
      </c>
      <c r="BR320" s="189">
        <f>0.1/0.07</f>
        <v>1.4285714285714286</v>
      </c>
      <c r="BS320" s="189">
        <f>0.1/0.07</f>
        <v>1.4285714285714286</v>
      </c>
      <c r="BT320" s="188" t="s">
        <v>258</v>
      </c>
      <c r="BU320" s="102"/>
      <c r="BV320" s="196">
        <v>1515</v>
      </c>
      <c r="BW320" s="190" t="s">
        <v>461</v>
      </c>
      <c r="BX320" s="189">
        <f>177/1515</f>
        <v>0.11683168316831684</v>
      </c>
      <c r="BY320" s="189">
        <f>177/1515</f>
        <v>0.11683168316831684</v>
      </c>
      <c r="BZ320" s="188" t="s">
        <v>258</v>
      </c>
      <c r="CA320" s="207"/>
      <c r="CB320" s="180"/>
      <c r="CC320" s="178"/>
      <c r="CD320" s="178"/>
      <c r="CE320" s="180"/>
      <c r="CF320" s="180"/>
      <c r="CG320" s="180"/>
      <c r="CH320" s="180"/>
      <c r="CI320" s="178"/>
      <c r="CJ320" s="178"/>
      <c r="CK320" s="180"/>
      <c r="CL320" s="180"/>
      <c r="CM320" s="180"/>
      <c r="CN320" s="116"/>
      <c r="CO320" s="218">
        <f t="shared" si="113"/>
        <v>0.33333333333333331</v>
      </c>
      <c r="CP320" s="100">
        <f t="shared" si="114"/>
        <v>0.33333333333333331</v>
      </c>
      <c r="CQ320" s="218">
        <f t="shared" si="115"/>
        <v>0.33333333333333331</v>
      </c>
      <c r="DF320" s="116"/>
      <c r="DG320" s="116"/>
      <c r="DH320" s="116"/>
      <c r="DI320" s="116"/>
      <c r="DL320" s="116"/>
    </row>
    <row r="321" spans="58:117" s="101" customFormat="1" ht="18.75" hidden="1" customHeight="1" thickBot="1" x14ac:dyDescent="0.3">
      <c r="BF321" s="168"/>
      <c r="BG321" s="168"/>
      <c r="BH321" s="168"/>
      <c r="BI321" s="203" t="s">
        <v>460</v>
      </c>
      <c r="BJ321" s="190" t="s">
        <v>49</v>
      </c>
      <c r="BK321" s="196">
        <f>2.3/1000</f>
        <v>2.3E-3</v>
      </c>
      <c r="BL321" s="190" t="s">
        <v>416</v>
      </c>
      <c r="BM321" s="189">
        <f>0.9/2.3</f>
        <v>0.39130434782608697</v>
      </c>
      <c r="BN321" s="189">
        <f>0.9/2.3</f>
        <v>0.39130434782608697</v>
      </c>
      <c r="BO321" s="188" t="s">
        <v>258</v>
      </c>
      <c r="BP321" s="196">
        <f>0.21/1000</f>
        <v>2.0999999999999998E-4</v>
      </c>
      <c r="BQ321" s="190" t="s">
        <v>417</v>
      </c>
      <c r="BR321" s="189">
        <f>0.1/0.21</f>
        <v>0.47619047619047622</v>
      </c>
      <c r="BS321" s="189">
        <f>0.1/0.21</f>
        <v>0.47619047619047622</v>
      </c>
      <c r="BT321" s="188" t="s">
        <v>258</v>
      </c>
      <c r="BU321" s="102"/>
      <c r="BV321" s="196">
        <v>1613</v>
      </c>
      <c r="BW321" s="190" t="s">
        <v>461</v>
      </c>
      <c r="BX321" s="189">
        <f>95/1613</f>
        <v>5.8896466212027279E-2</v>
      </c>
      <c r="BY321" s="189">
        <f>95/1613</f>
        <v>5.8896466212027279E-2</v>
      </c>
      <c r="BZ321" s="188" t="s">
        <v>258</v>
      </c>
      <c r="CA321" s="207"/>
      <c r="CB321" s="180"/>
      <c r="CC321" s="178"/>
      <c r="CD321" s="178"/>
      <c r="CE321" s="180"/>
      <c r="CF321" s="180"/>
      <c r="CG321" s="180"/>
      <c r="CH321" s="180"/>
      <c r="CI321" s="178"/>
      <c r="CJ321" s="178"/>
      <c r="CK321" s="180"/>
      <c r="CL321" s="180"/>
      <c r="CM321" s="180"/>
      <c r="CN321" s="116"/>
      <c r="CO321" s="218">
        <f t="shared" si="113"/>
        <v>0.39130434782608697</v>
      </c>
      <c r="CP321" s="100">
        <f t="shared" si="114"/>
        <v>0.39130434782608697</v>
      </c>
      <c r="CQ321" s="218">
        <f t="shared" si="115"/>
        <v>0.39130434782608697</v>
      </c>
      <c r="DF321" s="116"/>
      <c r="DG321" s="116"/>
      <c r="DH321" s="116"/>
      <c r="DI321" s="116"/>
      <c r="DL321" s="116"/>
    </row>
    <row r="322" spans="58:117" s="101" customFormat="1" ht="15" hidden="1" customHeight="1" x14ac:dyDescent="0.25">
      <c r="BF322" s="168"/>
      <c r="BG322" s="168"/>
      <c r="BH322" s="168"/>
      <c r="BI322" s="102"/>
      <c r="BJ322" s="178"/>
      <c r="BK322" s="178"/>
      <c r="BL322" s="178"/>
      <c r="BM322" s="169"/>
      <c r="BN322" s="169"/>
      <c r="BO322" s="169"/>
      <c r="BP322" s="206"/>
      <c r="BQ322" s="178"/>
      <c r="BR322" s="206"/>
      <c r="BS322" s="206"/>
      <c r="BT322" s="206"/>
      <c r="BU322" s="206"/>
      <c r="BV322" s="207"/>
      <c r="BW322" s="206"/>
      <c r="BX322" s="206"/>
      <c r="BY322" s="207"/>
      <c r="BZ322" s="207"/>
      <c r="CA322" s="207"/>
      <c r="CB322" s="180"/>
      <c r="CC322" s="178"/>
      <c r="CD322" s="178"/>
      <c r="CE322" s="180"/>
      <c r="CF322" s="180"/>
      <c r="CG322" s="180"/>
      <c r="CH322" s="180"/>
      <c r="CI322" s="178"/>
      <c r="CJ322" s="178"/>
      <c r="CK322" s="180"/>
      <c r="CL322" s="180"/>
      <c r="CM322" s="180"/>
      <c r="CN322" s="116"/>
      <c r="CO322" s="218">
        <f t="shared" si="113"/>
        <v>0</v>
      </c>
      <c r="CP322" s="100">
        <f t="shared" si="114"/>
        <v>0</v>
      </c>
      <c r="CQ322" s="218">
        <f t="shared" si="115"/>
        <v>0</v>
      </c>
      <c r="DF322" s="116"/>
      <c r="DG322" s="116"/>
      <c r="DH322" s="116"/>
      <c r="DI322" s="116"/>
      <c r="DK322" s="101" t="s">
        <v>109</v>
      </c>
      <c r="DL322" s="101" t="s">
        <v>110</v>
      </c>
      <c r="DM322" s="101" t="s">
        <v>107</v>
      </c>
    </row>
    <row r="323" spans="58:117" s="101" customFormat="1" ht="15" hidden="1" customHeight="1" thickBot="1" x14ac:dyDescent="0.3">
      <c r="BF323" s="168"/>
      <c r="BG323" s="168"/>
      <c r="BH323" s="168"/>
      <c r="BI323" s="102"/>
      <c r="BJ323" s="178"/>
      <c r="BK323" s="178"/>
      <c r="BL323" s="178"/>
      <c r="BM323" s="169"/>
      <c r="BN323" s="169"/>
      <c r="BO323" s="169"/>
      <c r="BP323" s="206"/>
      <c r="BQ323" s="206"/>
      <c r="BR323" s="206"/>
      <c r="BS323" s="206"/>
      <c r="BT323" s="206"/>
      <c r="BU323" s="206"/>
      <c r="BV323" s="207"/>
      <c r="BW323" s="206"/>
      <c r="BX323" s="206"/>
      <c r="BY323" s="207"/>
      <c r="BZ323" s="207"/>
      <c r="CA323" s="207"/>
      <c r="CB323" s="180"/>
      <c r="CC323" s="178"/>
      <c r="CD323" s="178"/>
      <c r="CE323" s="180"/>
      <c r="CF323" s="180"/>
      <c r="CG323" s="180"/>
      <c r="CH323" s="180"/>
      <c r="CI323" s="178"/>
      <c r="CJ323" s="178"/>
      <c r="CK323" s="180"/>
      <c r="CL323" s="180"/>
      <c r="CM323" s="180"/>
      <c r="CN323" s="116"/>
      <c r="CO323" s="218">
        <f t="shared" si="113"/>
        <v>0</v>
      </c>
      <c r="CP323" s="100">
        <f t="shared" si="114"/>
        <v>0</v>
      </c>
      <c r="CQ323" s="218">
        <f t="shared" si="115"/>
        <v>0</v>
      </c>
      <c r="DF323" s="116"/>
      <c r="DG323" s="116"/>
      <c r="DH323" s="116"/>
      <c r="DI323" s="116"/>
      <c r="DK323" s="101">
        <v>1.4999999999999999E-2</v>
      </c>
      <c r="DL323" s="101">
        <v>7.0000000000000001E-3</v>
      </c>
      <c r="DM323" s="101">
        <f>+DE312*DF312*DJ312*DK323*DL323*310</f>
        <v>1.4647500000000001E-2</v>
      </c>
    </row>
    <row r="324" spans="58:117" s="101" customFormat="1" ht="15" hidden="1" customHeight="1" x14ac:dyDescent="0.25">
      <c r="BF324" s="168"/>
      <c r="BG324" s="168"/>
      <c r="BH324" s="168"/>
      <c r="BI324" s="1606" t="s">
        <v>261</v>
      </c>
      <c r="BJ324" s="251"/>
      <c r="BK324" s="1606" t="s">
        <v>282</v>
      </c>
      <c r="BL324" s="251"/>
      <c r="BM324" s="1606" t="s">
        <v>233</v>
      </c>
      <c r="BN324" s="1606" t="s">
        <v>233</v>
      </c>
      <c r="BO324" s="1606" t="s">
        <v>240</v>
      </c>
      <c r="BP324" s="206"/>
      <c r="BQ324" s="206"/>
      <c r="BR324" s="206"/>
      <c r="BS324" s="206"/>
      <c r="BT324" s="206"/>
      <c r="BU324" s="206"/>
      <c r="BV324" s="207"/>
      <c r="BW324" s="206"/>
      <c r="BX324" s="206"/>
      <c r="BY324" s="207"/>
      <c r="BZ324" s="207"/>
      <c r="CA324" s="207"/>
      <c r="CB324" s="180"/>
      <c r="CC324" s="178"/>
      <c r="CD324" s="178"/>
      <c r="CE324" s="180"/>
      <c r="CF324" s="180"/>
      <c r="CG324" s="180"/>
      <c r="CH324" s="180"/>
      <c r="CI324" s="178"/>
      <c r="CJ324" s="178"/>
      <c r="CK324" s="180"/>
      <c r="CL324" s="180"/>
      <c r="CM324" s="180"/>
      <c r="CN324" s="116"/>
      <c r="CO324" s="218" t="str">
        <f t="shared" si="113"/>
        <v>Incertidumbre (+/- %)</v>
      </c>
      <c r="CP324" s="100" t="e">
        <f t="shared" si="114"/>
        <v>#VALUE!</v>
      </c>
      <c r="CQ324" s="218" t="str">
        <f t="shared" si="115"/>
        <v>Incertidumbre (+/- %)</v>
      </c>
      <c r="DF324" s="116"/>
      <c r="DG324" s="116"/>
      <c r="DH324" s="116"/>
      <c r="DI324" s="116"/>
    </row>
    <row r="325" spans="58:117" s="101" customFormat="1" ht="15.75" hidden="1" customHeight="1" thickBot="1" x14ac:dyDescent="0.3">
      <c r="BF325" s="168"/>
      <c r="BG325" s="168"/>
      <c r="BH325" s="168"/>
      <c r="BI325" s="1607"/>
      <c r="BJ325" s="252" t="s">
        <v>253</v>
      </c>
      <c r="BK325" s="1607"/>
      <c r="BL325" s="252" t="s">
        <v>251</v>
      </c>
      <c r="BM325" s="1607"/>
      <c r="BN325" s="1607"/>
      <c r="BO325" s="1607"/>
      <c r="BP325" s="206"/>
      <c r="BQ325" s="206"/>
      <c r="BR325" s="206"/>
      <c r="BS325" s="206"/>
      <c r="BT325" s="206"/>
      <c r="BU325" s="206"/>
      <c r="BV325" s="207"/>
      <c r="BW325" s="206"/>
      <c r="BX325" s="206"/>
      <c r="BY325" s="207"/>
      <c r="BZ325" s="207"/>
      <c r="CA325" s="207"/>
      <c r="CB325" s="180"/>
      <c r="CC325" s="178"/>
      <c r="CD325" s="178"/>
      <c r="CE325" s="180"/>
      <c r="CF325" s="180"/>
      <c r="CG325" s="180"/>
      <c r="CH325" s="180"/>
      <c r="CI325" s="178"/>
      <c r="CJ325" s="178"/>
      <c r="CK325" s="180"/>
      <c r="CL325" s="180"/>
      <c r="CM325" s="180"/>
      <c r="CN325" s="116"/>
      <c r="CO325" s="218">
        <f t="shared" si="113"/>
        <v>0</v>
      </c>
      <c r="CP325" s="100">
        <f t="shared" si="114"/>
        <v>0</v>
      </c>
      <c r="CQ325" s="218">
        <f t="shared" si="115"/>
        <v>0</v>
      </c>
      <c r="DF325" s="116"/>
      <c r="DG325" s="116"/>
      <c r="DH325" s="116"/>
      <c r="DI325" s="116"/>
      <c r="DM325" s="101">
        <f>+DE312*DF312*DJ312*DK323*DL323*298</f>
        <v>1.4080500000000001E-2</v>
      </c>
    </row>
    <row r="326" spans="58:117" s="101" customFormat="1" ht="18.75" hidden="1" customHeight="1" thickBot="1" x14ac:dyDescent="0.3">
      <c r="BF326" s="168"/>
      <c r="BG326" s="168"/>
      <c r="BH326" s="168"/>
      <c r="BI326" s="203" t="s">
        <v>450</v>
      </c>
      <c r="BJ326" s="190" t="s">
        <v>419</v>
      </c>
      <c r="BK326" s="196">
        <v>3.6666999999999998E-2</v>
      </c>
      <c r="BL326" s="190" t="s">
        <v>453</v>
      </c>
      <c r="BM326" s="189">
        <v>0.1</v>
      </c>
      <c r="BN326" s="189">
        <v>3</v>
      </c>
      <c r="BO326" s="188" t="s">
        <v>258</v>
      </c>
      <c r="BP326" s="206"/>
      <c r="BQ326" s="206"/>
      <c r="BR326" s="206"/>
      <c r="BS326" s="206"/>
      <c r="BT326" s="206"/>
      <c r="BU326" s="206"/>
      <c r="BV326" s="207"/>
      <c r="BW326" s="206"/>
      <c r="BX326" s="206"/>
      <c r="BY326" s="207"/>
      <c r="BZ326" s="207"/>
      <c r="CA326" s="207"/>
      <c r="CB326" s="180"/>
      <c r="CC326" s="178"/>
      <c r="CD326" s="178"/>
      <c r="CE326" s="180"/>
      <c r="CF326" s="180"/>
      <c r="CG326" s="180"/>
      <c r="CH326" s="180"/>
      <c r="CI326" s="178"/>
      <c r="CJ326" s="178"/>
      <c r="CK326" s="180"/>
      <c r="CL326" s="180"/>
      <c r="CM326" s="180"/>
      <c r="CN326" s="116"/>
      <c r="CO326" s="218">
        <f t="shared" si="113"/>
        <v>0.1</v>
      </c>
      <c r="CP326" s="100">
        <f t="shared" si="114"/>
        <v>1.55</v>
      </c>
      <c r="CQ326" s="218">
        <f t="shared" si="115"/>
        <v>3</v>
      </c>
      <c r="DF326" s="116"/>
      <c r="DG326" s="116"/>
      <c r="DH326" s="116"/>
      <c r="DI326" s="116"/>
    </row>
    <row r="327" spans="58:117" s="101" customFormat="1" ht="18.75" hidden="1" customHeight="1" thickBot="1" x14ac:dyDescent="0.3">
      <c r="BF327" s="168"/>
      <c r="BG327" s="168"/>
      <c r="BH327" s="168"/>
      <c r="BI327" s="203" t="s">
        <v>451</v>
      </c>
      <c r="BJ327" s="190" t="s">
        <v>419</v>
      </c>
      <c r="BK327" s="196">
        <v>7.3332999999999995E-2</v>
      </c>
      <c r="BL327" s="190" t="s">
        <v>453</v>
      </c>
      <c r="BM327" s="189">
        <v>0.35</v>
      </c>
      <c r="BN327" s="189">
        <v>3</v>
      </c>
      <c r="BO327" s="188" t="s">
        <v>258</v>
      </c>
      <c r="BP327" s="206"/>
      <c r="BQ327" s="206"/>
      <c r="BR327" s="206"/>
      <c r="BS327" s="206"/>
      <c r="BT327" s="206"/>
      <c r="BU327" s="206"/>
      <c r="BV327" s="207"/>
      <c r="BW327" s="206"/>
      <c r="BX327" s="206"/>
      <c r="BY327" s="207"/>
      <c r="BZ327" s="207"/>
      <c r="CA327" s="207"/>
      <c r="CB327" s="180"/>
      <c r="CC327" s="178"/>
      <c r="CD327" s="178"/>
      <c r="CE327" s="180"/>
      <c r="CF327" s="180"/>
      <c r="CG327" s="180"/>
      <c r="CH327" s="180"/>
      <c r="CI327" s="178"/>
      <c r="CJ327" s="178"/>
      <c r="CK327" s="180"/>
      <c r="CL327" s="180"/>
      <c r="CM327" s="180"/>
      <c r="CN327" s="116"/>
      <c r="CO327" s="218">
        <f t="shared" si="113"/>
        <v>0.35</v>
      </c>
      <c r="CP327" s="100">
        <f t="shared" si="114"/>
        <v>1.675</v>
      </c>
      <c r="CQ327" s="218">
        <f t="shared" si="115"/>
        <v>3</v>
      </c>
      <c r="DF327" s="116"/>
      <c r="DG327" s="116"/>
      <c r="DH327" s="116"/>
      <c r="DI327" s="116"/>
    </row>
    <row r="328" spans="58:117" s="101" customFormat="1" ht="18.75" hidden="1" customHeight="1" thickBot="1" x14ac:dyDescent="0.3">
      <c r="BF328" s="168"/>
      <c r="BG328" s="168"/>
      <c r="BH328" s="168"/>
      <c r="BI328" s="203" t="s">
        <v>452</v>
      </c>
      <c r="BJ328" s="190" t="s">
        <v>419</v>
      </c>
      <c r="BK328" s="196">
        <v>3.6666999999999998E-2</v>
      </c>
      <c r="BL328" s="190" t="s">
        <v>453</v>
      </c>
      <c r="BM328" s="189">
        <v>0.33329999999999999</v>
      </c>
      <c r="BN328" s="189">
        <v>3</v>
      </c>
      <c r="BO328" s="188" t="s">
        <v>258</v>
      </c>
      <c r="BP328" s="206"/>
      <c r="BQ328" s="206"/>
      <c r="BR328" s="206"/>
      <c r="BS328" s="206"/>
      <c r="BT328" s="206"/>
      <c r="BU328" s="206"/>
      <c r="BV328" s="207"/>
      <c r="BW328" s="206"/>
      <c r="BX328" s="206"/>
      <c r="BY328" s="207"/>
      <c r="BZ328" s="207"/>
      <c r="CA328" s="207"/>
      <c r="CB328" s="180"/>
      <c r="CC328" s="178"/>
      <c r="CD328" s="178"/>
      <c r="CE328" s="180"/>
      <c r="CF328" s="180"/>
      <c r="CG328" s="180"/>
      <c r="CH328" s="180"/>
      <c r="CI328" s="178"/>
      <c r="CJ328" s="178"/>
      <c r="CK328" s="180"/>
      <c r="CL328" s="180"/>
      <c r="CM328" s="180"/>
      <c r="CN328" s="116"/>
      <c r="CO328" s="218">
        <f t="shared" si="113"/>
        <v>0.33329999999999999</v>
      </c>
      <c r="CP328" s="100">
        <f t="shared" si="114"/>
        <v>1.66665</v>
      </c>
      <c r="CQ328" s="218">
        <f t="shared" si="115"/>
        <v>3</v>
      </c>
      <c r="DF328" s="116"/>
      <c r="DG328" s="116"/>
      <c r="DH328" s="116"/>
      <c r="DI328" s="116"/>
    </row>
    <row r="329" spans="58:117" s="101" customFormat="1" ht="18.75" hidden="1" customHeight="1" thickBot="1" x14ac:dyDescent="0.3">
      <c r="BF329" s="168"/>
      <c r="BG329" s="168"/>
      <c r="BH329" s="168"/>
      <c r="BI329" s="203" t="s">
        <v>449</v>
      </c>
      <c r="BJ329" s="190" t="s">
        <v>419</v>
      </c>
      <c r="BK329" s="196">
        <v>1.0999999999999999E-2</v>
      </c>
      <c r="BL329" s="190" t="s">
        <v>453</v>
      </c>
      <c r="BM329" s="189">
        <v>0.01</v>
      </c>
      <c r="BN329" s="189">
        <v>2</v>
      </c>
      <c r="BO329" s="188" t="s">
        <v>258</v>
      </c>
      <c r="BP329" s="206"/>
      <c r="BQ329" s="196">
        <v>3.3525000000000005</v>
      </c>
      <c r="BR329" s="190" t="s">
        <v>420</v>
      </c>
      <c r="BS329" s="206"/>
      <c r="BT329" s="206"/>
      <c r="BU329" s="206"/>
      <c r="BV329" s="207"/>
      <c r="BW329" s="206"/>
      <c r="BX329" s="206"/>
      <c r="BY329" s="207"/>
      <c r="BZ329" s="207"/>
      <c r="CA329" s="207"/>
      <c r="CB329" s="180"/>
      <c r="CC329" s="178"/>
      <c r="CD329" s="178"/>
      <c r="CE329" s="180"/>
      <c r="CF329" s="180"/>
      <c r="CG329" s="180"/>
      <c r="CH329" s="180"/>
      <c r="CI329" s="178"/>
      <c r="CJ329" s="178"/>
      <c r="CK329" s="180"/>
      <c r="CL329" s="180"/>
      <c r="CM329" s="180"/>
      <c r="CN329" s="116"/>
      <c r="CO329" s="218">
        <f t="shared" si="113"/>
        <v>0.01</v>
      </c>
      <c r="CP329" s="100">
        <f t="shared" si="114"/>
        <v>1.0049999999999999</v>
      </c>
      <c r="CQ329" s="218">
        <f t="shared" si="115"/>
        <v>2</v>
      </c>
      <c r="DF329" s="116"/>
      <c r="DG329" s="116"/>
      <c r="DH329" s="116"/>
      <c r="DI329" s="116"/>
    </row>
    <row r="330" spans="58:117" s="101" customFormat="1" ht="18.75" hidden="1" customHeight="1" thickBot="1" x14ac:dyDescent="0.3">
      <c r="BF330" s="168"/>
      <c r="BG330" s="168"/>
      <c r="BH330" s="168"/>
      <c r="BI330" s="203" t="s">
        <v>456</v>
      </c>
      <c r="BJ330" s="190" t="s">
        <v>455</v>
      </c>
      <c r="BK330" s="196">
        <f>0.12*(44/12)</f>
        <v>0.43999999999999995</v>
      </c>
      <c r="BL330" s="190" t="s">
        <v>454</v>
      </c>
      <c r="BM330" s="189">
        <v>0.01</v>
      </c>
      <c r="BN330" s="189">
        <v>0.5</v>
      </c>
      <c r="BO330" s="188" t="s">
        <v>258</v>
      </c>
      <c r="BP330" s="206"/>
      <c r="BQ330" s="206"/>
      <c r="BR330" s="206"/>
      <c r="BS330" s="206"/>
      <c r="BT330" s="206"/>
      <c r="BU330" s="206"/>
      <c r="BV330" s="207"/>
      <c r="BW330" s="206"/>
      <c r="BX330" s="206"/>
      <c r="BY330" s="207"/>
      <c r="BZ330" s="207"/>
      <c r="CA330" s="207"/>
      <c r="CB330" s="180"/>
      <c r="CC330" s="178"/>
      <c r="CD330" s="178"/>
      <c r="CE330" s="180"/>
      <c r="CF330" s="180"/>
      <c r="CG330" s="180"/>
      <c r="CH330" s="180"/>
      <c r="CI330" s="178"/>
      <c r="CJ330" s="178"/>
      <c r="CK330" s="180"/>
      <c r="CL330" s="180"/>
      <c r="CM330" s="180"/>
      <c r="CN330" s="116"/>
      <c r="CO330" s="218">
        <f t="shared" si="113"/>
        <v>0.01</v>
      </c>
      <c r="CP330" s="100">
        <f t="shared" si="114"/>
        <v>0.255</v>
      </c>
      <c r="CQ330" s="218">
        <f t="shared" si="115"/>
        <v>0.5</v>
      </c>
      <c r="DF330" s="116"/>
      <c r="DG330" s="116"/>
      <c r="DH330" s="116"/>
      <c r="DI330" s="116"/>
    </row>
    <row r="331" spans="58:117" s="101" customFormat="1" ht="18.75" hidden="1" customHeight="1" thickBot="1" x14ac:dyDescent="0.3">
      <c r="BF331" s="168"/>
      <c r="BG331" s="168"/>
      <c r="BH331" s="168"/>
      <c r="BI331" s="203" t="s">
        <v>457</v>
      </c>
      <c r="BJ331" s="190" t="s">
        <v>455</v>
      </c>
      <c r="BK331" s="196">
        <f>0.13*(44/12)</f>
        <v>0.47666666666666668</v>
      </c>
      <c r="BL331" s="190" t="s">
        <v>454</v>
      </c>
      <c r="BM331" s="189">
        <v>0.01</v>
      </c>
      <c r="BN331" s="189">
        <v>0.5</v>
      </c>
      <c r="BO331" s="188" t="s">
        <v>258</v>
      </c>
      <c r="BP331" s="206"/>
      <c r="BQ331" s="206"/>
      <c r="BR331" s="206"/>
      <c r="BS331" s="206"/>
      <c r="BT331" s="206"/>
      <c r="BU331" s="206"/>
      <c r="BV331" s="207"/>
      <c r="BW331" s="206"/>
      <c r="BX331" s="206"/>
      <c r="BY331" s="207"/>
      <c r="BZ331" s="207"/>
      <c r="CA331" s="207"/>
      <c r="CB331" s="180"/>
      <c r="CC331" s="178"/>
      <c r="CD331" s="178"/>
      <c r="CE331" s="180"/>
      <c r="CF331" s="180"/>
      <c r="CG331" s="180"/>
      <c r="CH331" s="180"/>
      <c r="CI331" s="178"/>
      <c r="CJ331" s="178"/>
      <c r="CK331" s="180"/>
      <c r="CL331" s="180"/>
      <c r="CM331" s="180"/>
      <c r="CN331" s="116"/>
      <c r="CO331" s="218">
        <f t="shared" si="113"/>
        <v>0.01</v>
      </c>
      <c r="CP331" s="100">
        <f t="shared" si="114"/>
        <v>0.255</v>
      </c>
      <c r="CQ331" s="218">
        <f t="shared" si="115"/>
        <v>0.5</v>
      </c>
      <c r="DF331" s="116"/>
      <c r="DG331" s="116"/>
      <c r="DH331" s="116"/>
      <c r="DI331" s="116"/>
    </row>
    <row r="332" spans="58:117" s="101" customFormat="1" ht="18.75" hidden="1" customHeight="1" thickBot="1" x14ac:dyDescent="0.3">
      <c r="BF332" s="168"/>
      <c r="BG332" s="168"/>
      <c r="BH332" s="168"/>
      <c r="BI332" s="203" t="s">
        <v>493</v>
      </c>
      <c r="BJ332" s="190" t="s">
        <v>458</v>
      </c>
      <c r="BK332" s="196">
        <f>0.2*(44/12)</f>
        <v>0.73333333333333339</v>
      </c>
      <c r="BL332" s="190" t="s">
        <v>459</v>
      </c>
      <c r="BM332" s="189">
        <v>0.01</v>
      </c>
      <c r="BN332" s="189">
        <v>0.5</v>
      </c>
      <c r="BO332" s="188" t="s">
        <v>258</v>
      </c>
      <c r="BP332" s="206"/>
      <c r="BQ332" s="196"/>
      <c r="BR332" s="190"/>
      <c r="BS332" s="206"/>
      <c r="BT332" s="206"/>
      <c r="BU332" s="206"/>
      <c r="BV332" s="207"/>
      <c r="BW332" s="206"/>
      <c r="BX332" s="206"/>
      <c r="BY332" s="207"/>
      <c r="BZ332" s="207"/>
      <c r="CA332" s="207"/>
      <c r="CB332" s="180"/>
      <c r="CC332" s="178"/>
      <c r="CD332" s="178"/>
      <c r="CE332" s="180"/>
      <c r="CF332" s="180"/>
      <c r="CG332" s="180"/>
      <c r="CH332" s="180"/>
      <c r="CI332" s="178"/>
      <c r="CJ332" s="178"/>
      <c r="CK332" s="180"/>
      <c r="CL332" s="180"/>
      <c r="CM332" s="180"/>
      <c r="CN332" s="116"/>
      <c r="CO332" s="218">
        <f t="shared" si="113"/>
        <v>0.01</v>
      </c>
      <c r="CP332" s="100">
        <f t="shared" si="114"/>
        <v>0.255</v>
      </c>
      <c r="CQ332" s="218">
        <f t="shared" si="115"/>
        <v>0.5</v>
      </c>
      <c r="CR332" s="101">
        <v>0.5</v>
      </c>
      <c r="CS332" s="101">
        <v>1</v>
      </c>
      <c r="DF332" s="116"/>
      <c r="DG332" s="116"/>
      <c r="DH332" s="116"/>
      <c r="DI332" s="116"/>
    </row>
    <row r="333" spans="58:117" s="101" customFormat="1" ht="15" hidden="1" customHeight="1" x14ac:dyDescent="0.25">
      <c r="BF333" s="168"/>
      <c r="BG333" s="168"/>
      <c r="BH333" s="168"/>
      <c r="BI333" s="102"/>
      <c r="BJ333" s="178"/>
      <c r="BK333" s="178"/>
      <c r="BL333" s="178"/>
      <c r="BM333" s="169"/>
      <c r="BN333" s="169"/>
      <c r="BO333" s="169"/>
      <c r="BP333" s="206"/>
      <c r="BQ333" s="206"/>
      <c r="BR333" s="206"/>
      <c r="BS333" s="206"/>
      <c r="BT333" s="206"/>
      <c r="BU333" s="206"/>
      <c r="BV333" s="207"/>
      <c r="BW333" s="206"/>
      <c r="BX333" s="206"/>
      <c r="BY333" s="207"/>
      <c r="BZ333" s="207"/>
      <c r="CA333" s="207"/>
      <c r="CB333" s="180"/>
      <c r="CC333" s="178"/>
      <c r="CD333" s="178"/>
      <c r="CE333" s="180"/>
      <c r="CF333" s="180"/>
      <c r="CG333" s="180"/>
      <c r="CH333" s="180"/>
      <c r="CI333" s="178"/>
      <c r="CJ333" s="178"/>
      <c r="CK333" s="180"/>
      <c r="CL333" s="180"/>
      <c r="CM333" s="180"/>
      <c r="CN333" s="116"/>
      <c r="CO333" s="218">
        <f t="shared" si="113"/>
        <v>0</v>
      </c>
      <c r="CP333" s="100">
        <f t="shared" si="114"/>
        <v>0</v>
      </c>
      <c r="CQ333" s="218">
        <f t="shared" si="115"/>
        <v>0</v>
      </c>
      <c r="DB333" s="101" t="s">
        <v>111</v>
      </c>
      <c r="DC333" s="101" t="s">
        <v>112</v>
      </c>
      <c r="DE333" s="101" t="s">
        <v>103</v>
      </c>
      <c r="DF333" s="116" t="s">
        <v>113</v>
      </c>
      <c r="DG333" s="116"/>
      <c r="DH333" s="116"/>
      <c r="DI333" s="116"/>
      <c r="DK333" s="101" t="s">
        <v>114</v>
      </c>
      <c r="DL333" s="124" t="s">
        <v>115</v>
      </c>
      <c r="DM333" s="115" t="s">
        <v>107</v>
      </c>
    </row>
    <row r="334" spans="58:117" s="101" customFormat="1" ht="15" hidden="1" customHeight="1" x14ac:dyDescent="0.25">
      <c r="BF334" s="168"/>
      <c r="BG334" s="168"/>
      <c r="BH334" s="168"/>
      <c r="BI334" s="102"/>
      <c r="BJ334" s="178"/>
      <c r="BK334" s="178"/>
      <c r="BL334" s="178"/>
      <c r="BM334" s="169"/>
      <c r="BN334" s="169"/>
      <c r="BO334" s="169"/>
      <c r="BP334" s="206"/>
      <c r="BQ334" s="206"/>
      <c r="BR334" s="206"/>
      <c r="BS334" s="206"/>
      <c r="BT334" s="206"/>
      <c r="BU334" s="206"/>
      <c r="BV334" s="207"/>
      <c r="BW334" s="206"/>
      <c r="BX334" s="206"/>
      <c r="BY334" s="207"/>
      <c r="BZ334" s="207"/>
      <c r="CA334" s="207"/>
      <c r="CB334" s="180"/>
      <c r="CC334" s="178"/>
      <c r="CD334" s="178"/>
      <c r="CE334" s="180"/>
      <c r="CF334" s="180"/>
      <c r="CG334" s="180"/>
      <c r="CH334" s="180"/>
      <c r="CI334" s="178"/>
      <c r="CJ334" s="178"/>
      <c r="CK334" s="180"/>
      <c r="CL334" s="180"/>
      <c r="CM334" s="180"/>
      <c r="CN334" s="116"/>
      <c r="CO334" s="218">
        <f t="shared" si="113"/>
        <v>0</v>
      </c>
      <c r="CP334" s="100">
        <f t="shared" si="114"/>
        <v>0</v>
      </c>
      <c r="CQ334" s="218">
        <f t="shared" si="115"/>
        <v>0</v>
      </c>
      <c r="DA334" s="101" t="s">
        <v>9</v>
      </c>
      <c r="DC334" s="101">
        <f>+DM334</f>
        <v>3.4875000000000003</v>
      </c>
      <c r="DE334" s="101">
        <v>1</v>
      </c>
      <c r="DF334" s="116">
        <v>0.9</v>
      </c>
      <c r="DG334" s="116"/>
      <c r="DH334" s="116"/>
      <c r="DI334" s="116"/>
      <c r="DK334" s="101">
        <v>1.2500000000000001E-2</v>
      </c>
      <c r="DL334" s="101">
        <v>310</v>
      </c>
      <c r="DM334" s="101">
        <f>+DF334*DK334*DL334</f>
        <v>3.4875000000000003</v>
      </c>
    </row>
    <row r="335" spans="58:117" s="101" customFormat="1" ht="15" hidden="1" customHeight="1" x14ac:dyDescent="0.25">
      <c r="BF335" s="168"/>
      <c r="BG335" s="168"/>
      <c r="BH335" s="168"/>
      <c r="BI335" s="102"/>
      <c r="BJ335" s="178"/>
      <c r="BK335" s="178"/>
      <c r="BL335" s="178"/>
      <c r="BM335" s="169"/>
      <c r="BN335" s="169"/>
      <c r="BO335" s="169"/>
      <c r="BP335" s="206"/>
      <c r="BQ335" s="206"/>
      <c r="BR335" s="206"/>
      <c r="BS335" s="206"/>
      <c r="BT335" s="206"/>
      <c r="BU335" s="206"/>
      <c r="BV335" s="207"/>
      <c r="BW335" s="206"/>
      <c r="BX335" s="206"/>
      <c r="BY335" s="207"/>
      <c r="BZ335" s="207"/>
      <c r="CA335" s="207"/>
      <c r="CB335" s="180"/>
      <c r="CC335" s="178"/>
      <c r="CD335" s="178"/>
      <c r="CE335" s="180"/>
      <c r="CF335" s="180"/>
      <c r="CG335" s="180"/>
      <c r="CH335" s="180"/>
      <c r="CI335" s="178"/>
      <c r="CJ335" s="178"/>
      <c r="CK335" s="180"/>
      <c r="CL335" s="180"/>
      <c r="CM335" s="180"/>
      <c r="CN335" s="116"/>
      <c r="CO335" s="218">
        <f t="shared" si="113"/>
        <v>0</v>
      </c>
      <c r="CP335" s="100">
        <f t="shared" si="114"/>
        <v>0</v>
      </c>
      <c r="CQ335" s="218">
        <f t="shared" si="115"/>
        <v>0</v>
      </c>
      <c r="DF335" s="116"/>
      <c r="DG335" s="116"/>
      <c r="DH335" s="116"/>
      <c r="DI335" s="116"/>
      <c r="DL335" s="101">
        <v>298</v>
      </c>
      <c r="DM335" s="101">
        <f>+DF334*DK334*DL335</f>
        <v>3.3525000000000005</v>
      </c>
    </row>
    <row r="336" spans="58:117" s="101" customFormat="1" ht="15" hidden="1" customHeight="1" thickBot="1" x14ac:dyDescent="0.3">
      <c r="BF336" s="168"/>
      <c r="BG336" s="168"/>
      <c r="BH336" s="168"/>
      <c r="BI336" s="102"/>
      <c r="BJ336" s="178"/>
      <c r="BK336" s="178"/>
      <c r="BL336" s="178"/>
      <c r="BM336" s="169"/>
      <c r="BN336" s="169"/>
      <c r="BO336" s="169"/>
      <c r="BP336" s="206"/>
      <c r="BQ336" s="206"/>
      <c r="BR336" s="206"/>
      <c r="BS336" s="206"/>
      <c r="BT336" s="206"/>
      <c r="BU336" s="206"/>
      <c r="BV336" s="207"/>
      <c r="BW336" s="206"/>
      <c r="BX336" s="206"/>
      <c r="BY336" s="207"/>
      <c r="BZ336" s="207"/>
      <c r="CA336" s="207"/>
      <c r="CB336" s="180"/>
      <c r="CC336" s="178"/>
      <c r="CD336" s="178"/>
      <c r="CE336" s="180"/>
      <c r="CF336" s="180"/>
      <c r="CG336" s="180"/>
      <c r="CH336" s="180"/>
      <c r="CI336" s="178"/>
      <c r="CJ336" s="178"/>
      <c r="CK336" s="180"/>
      <c r="CL336" s="180"/>
      <c r="CM336" s="180"/>
      <c r="CN336" s="116"/>
      <c r="CO336" s="218">
        <f t="shared" si="113"/>
        <v>0</v>
      </c>
      <c r="CP336" s="100">
        <f t="shared" si="114"/>
        <v>0</v>
      </c>
      <c r="CQ336" s="218">
        <f t="shared" si="115"/>
        <v>0</v>
      </c>
      <c r="DF336" s="116"/>
      <c r="DG336" s="116"/>
      <c r="DH336" s="116"/>
      <c r="DI336" s="116"/>
    </row>
    <row r="337" spans="58:119" s="101" customFormat="1" ht="15" hidden="1" customHeight="1" x14ac:dyDescent="0.25">
      <c r="BF337" s="168"/>
      <c r="BG337" s="168"/>
      <c r="BH337" s="168"/>
      <c r="BI337" s="1606" t="s">
        <v>299</v>
      </c>
      <c r="BJ337" s="251"/>
      <c r="BK337" s="1606" t="s">
        <v>282</v>
      </c>
      <c r="BL337" s="251"/>
      <c r="BM337" s="1606" t="s">
        <v>233</v>
      </c>
      <c r="BN337" s="1606" t="s">
        <v>233</v>
      </c>
      <c r="BO337" s="1606" t="s">
        <v>240</v>
      </c>
      <c r="BP337" s="206"/>
      <c r="BQ337" s="206"/>
      <c r="BR337" s="206"/>
      <c r="BS337" s="206"/>
      <c r="BT337" s="206"/>
      <c r="BU337" s="206"/>
      <c r="BV337" s="207"/>
      <c r="BW337" s="206"/>
      <c r="BX337" s="206"/>
      <c r="BY337" s="207"/>
      <c r="BZ337" s="207"/>
      <c r="CA337" s="207"/>
      <c r="CB337" s="180"/>
      <c r="CC337" s="178"/>
      <c r="CD337" s="178"/>
      <c r="CE337" s="180"/>
      <c r="CF337" s="180"/>
      <c r="CG337" s="180"/>
      <c r="CH337" s="180"/>
      <c r="CI337" s="178"/>
      <c r="CJ337" s="178"/>
      <c r="CK337" s="180"/>
      <c r="CL337" s="180"/>
      <c r="CM337" s="180"/>
      <c r="CN337" s="116"/>
      <c r="CO337" s="218" t="str">
        <f t="shared" si="113"/>
        <v>Incertidumbre (+/- %)</v>
      </c>
      <c r="CP337" s="100" t="e">
        <f t="shared" si="114"/>
        <v>#VALUE!</v>
      </c>
      <c r="CQ337" s="218" t="str">
        <f t="shared" si="115"/>
        <v>Incertidumbre (+/- %)</v>
      </c>
      <c r="DF337" s="116"/>
      <c r="DG337" s="116"/>
      <c r="DH337" s="116"/>
      <c r="DI337" s="116"/>
    </row>
    <row r="338" spans="58:119" s="101" customFormat="1" ht="15.75" hidden="1" customHeight="1" thickBot="1" x14ac:dyDescent="0.3">
      <c r="BF338" s="168"/>
      <c r="BG338" s="168"/>
      <c r="BH338" s="168"/>
      <c r="BI338" s="1607"/>
      <c r="BJ338" s="252" t="s">
        <v>253</v>
      </c>
      <c r="BK338" s="1607"/>
      <c r="BL338" s="252" t="s">
        <v>251</v>
      </c>
      <c r="BM338" s="1607"/>
      <c r="BN338" s="1607"/>
      <c r="BO338" s="1607"/>
      <c r="BP338" s="206"/>
      <c r="BQ338" s="206"/>
      <c r="BR338" s="206"/>
      <c r="BS338" s="206"/>
      <c r="BT338" s="206"/>
      <c r="BU338" s="206"/>
      <c r="BV338" s="207"/>
      <c r="BW338" s="206"/>
      <c r="BX338" s="206"/>
      <c r="BY338" s="207"/>
      <c r="BZ338" s="207"/>
      <c r="CA338" s="207"/>
      <c r="CB338" s="180"/>
      <c r="CC338" s="178"/>
      <c r="CD338" s="178"/>
      <c r="CE338" s="180"/>
      <c r="CF338" s="180"/>
      <c r="CG338" s="180"/>
      <c r="CH338" s="180"/>
      <c r="CI338" s="178"/>
      <c r="CJ338" s="178"/>
      <c r="CK338" s="180"/>
      <c r="CL338" s="180"/>
      <c r="CM338" s="180"/>
      <c r="CN338" s="116"/>
      <c r="CO338" s="218">
        <f t="shared" si="113"/>
        <v>0</v>
      </c>
      <c r="CP338" s="100">
        <f t="shared" si="114"/>
        <v>0</v>
      </c>
      <c r="CQ338" s="218">
        <f t="shared" si="115"/>
        <v>0</v>
      </c>
      <c r="DF338" s="116"/>
      <c r="DG338" s="116"/>
      <c r="DH338" s="116"/>
      <c r="DI338" s="116"/>
    </row>
    <row r="339" spans="58:119" s="101" customFormat="1" ht="18.75" hidden="1" customHeight="1" thickBot="1" x14ac:dyDescent="0.3">
      <c r="BF339" s="168"/>
      <c r="BG339" s="168"/>
      <c r="BH339" s="168"/>
      <c r="BI339" s="203" t="s">
        <v>443</v>
      </c>
      <c r="BJ339" s="190" t="s">
        <v>76</v>
      </c>
      <c r="BK339" s="196">
        <v>0.19900000000000001</v>
      </c>
      <c r="BL339" s="190" t="s">
        <v>421</v>
      </c>
      <c r="BM339" s="189">
        <v>0.05</v>
      </c>
      <c r="BN339" s="189">
        <v>0.1</v>
      </c>
      <c r="BO339" s="188" t="s">
        <v>262</v>
      </c>
      <c r="BP339" s="206"/>
      <c r="BQ339" s="206"/>
      <c r="BR339" s="206"/>
      <c r="BS339" s="206"/>
      <c r="BT339" s="206"/>
      <c r="BU339" s="206"/>
      <c r="BV339" s="207"/>
      <c r="BW339" s="206"/>
      <c r="BX339" s="206"/>
      <c r="BY339" s="207"/>
      <c r="BZ339" s="207"/>
      <c r="CA339" s="207"/>
      <c r="CB339" s="180"/>
      <c r="CC339" s="178"/>
      <c r="CD339" s="178"/>
      <c r="CE339" s="180"/>
      <c r="CF339" s="180"/>
      <c r="CG339" s="180"/>
      <c r="CH339" s="180"/>
      <c r="CI339" s="178"/>
      <c r="CJ339" s="178"/>
      <c r="CK339" s="180"/>
      <c r="CL339" s="180"/>
      <c r="CM339" s="180"/>
      <c r="CN339" s="116"/>
      <c r="CO339" s="218">
        <f t="shared" si="113"/>
        <v>0.05</v>
      </c>
      <c r="CP339" s="100">
        <f t="shared" si="114"/>
        <v>7.5000000000000011E-2</v>
      </c>
      <c r="CQ339" s="218">
        <f t="shared" si="115"/>
        <v>0.1</v>
      </c>
      <c r="CR339" s="101">
        <v>0.05</v>
      </c>
      <c r="CS339" s="101">
        <v>0.1</v>
      </c>
      <c r="CZ339" s="123"/>
      <c r="DA339" s="122"/>
      <c r="DB339" s="122"/>
      <c r="DC339" s="123"/>
      <c r="DD339" s="123"/>
      <c r="DE339" s="123"/>
      <c r="DF339" s="122"/>
      <c r="DG339" s="122"/>
      <c r="DH339" s="122"/>
      <c r="DI339" s="122"/>
      <c r="DJ339" s="122"/>
      <c r="DK339" s="123"/>
      <c r="DL339" s="23"/>
      <c r="DM339" s="150"/>
      <c r="DN339" s="150"/>
      <c r="DO339" s="116"/>
    </row>
    <row r="340" spans="58:119" s="101" customFormat="1" ht="18.75" hidden="1" customHeight="1" thickBot="1" x14ac:dyDescent="0.3">
      <c r="BF340" s="168"/>
      <c r="BG340" s="168"/>
      <c r="BH340" s="168"/>
      <c r="BI340" s="203" t="s">
        <v>191</v>
      </c>
      <c r="BJ340" s="190" t="s">
        <v>76</v>
      </c>
      <c r="BK340" s="196">
        <v>0.19</v>
      </c>
      <c r="BL340" s="190" t="s">
        <v>421</v>
      </c>
      <c r="BM340" s="189">
        <v>0.05</v>
      </c>
      <c r="BN340" s="189">
        <v>0.1</v>
      </c>
      <c r="BO340" s="188" t="s">
        <v>262</v>
      </c>
      <c r="BP340" s="206"/>
      <c r="BQ340" s="206"/>
      <c r="BR340" s="206"/>
      <c r="BS340" s="206"/>
      <c r="BT340" s="206"/>
      <c r="BU340" s="206"/>
      <c r="BV340" s="207"/>
      <c r="BW340" s="206"/>
      <c r="BX340" s="206"/>
      <c r="BY340" s="207"/>
      <c r="BZ340" s="207"/>
      <c r="CA340" s="207"/>
      <c r="CB340" s="180"/>
      <c r="CC340" s="178"/>
      <c r="CD340" s="178"/>
      <c r="CE340" s="180"/>
      <c r="CF340" s="180"/>
      <c r="CG340" s="180"/>
      <c r="CH340" s="180"/>
      <c r="CI340" s="178"/>
      <c r="CJ340" s="178"/>
      <c r="CK340" s="180"/>
      <c r="CL340" s="180"/>
      <c r="CM340" s="180"/>
      <c r="CN340" s="116"/>
      <c r="CO340" s="218">
        <f t="shared" si="113"/>
        <v>0.05</v>
      </c>
      <c r="CP340" s="100">
        <f t="shared" si="114"/>
        <v>7.5000000000000011E-2</v>
      </c>
      <c r="CQ340" s="218">
        <f t="shared" si="115"/>
        <v>0.1</v>
      </c>
      <c r="CR340" s="101">
        <v>0.05</v>
      </c>
      <c r="CS340" s="101">
        <v>0.1</v>
      </c>
      <c r="CZ340" s="123"/>
      <c r="DA340" s="122"/>
      <c r="DB340" s="122"/>
      <c r="DC340" s="123"/>
      <c r="DD340" s="123"/>
      <c r="DE340" s="123"/>
      <c r="DF340" s="122"/>
      <c r="DG340" s="122"/>
      <c r="DH340" s="122"/>
      <c r="DI340" s="122"/>
      <c r="DJ340" s="122"/>
      <c r="DK340" s="123"/>
      <c r="DL340" s="23"/>
      <c r="DM340" s="150"/>
      <c r="DN340" s="150"/>
      <c r="DO340" s="116"/>
    </row>
    <row r="341" spans="58:119" s="101" customFormat="1" ht="18.75" hidden="1" customHeight="1" thickBot="1" x14ac:dyDescent="0.3">
      <c r="BF341" s="168"/>
      <c r="BG341" s="168"/>
      <c r="BH341" s="168"/>
      <c r="BI341" s="203" t="s">
        <v>444</v>
      </c>
      <c r="BJ341" s="190" t="s">
        <v>76</v>
      </c>
      <c r="BK341" s="196">
        <v>0.2</v>
      </c>
      <c r="BL341" s="190" t="s">
        <v>421</v>
      </c>
      <c r="BM341" s="189">
        <v>0.05</v>
      </c>
      <c r="BN341" s="189">
        <v>0.1</v>
      </c>
      <c r="BO341" s="188" t="s">
        <v>262</v>
      </c>
      <c r="BP341" s="206"/>
      <c r="BQ341" s="206"/>
      <c r="BR341" s="206"/>
      <c r="BS341" s="206"/>
      <c r="BT341" s="206"/>
      <c r="BU341" s="206"/>
      <c r="BV341" s="207"/>
      <c r="BW341" s="206"/>
      <c r="BX341" s="206"/>
      <c r="BY341" s="207"/>
      <c r="BZ341" s="207"/>
      <c r="CA341" s="207"/>
      <c r="CB341" s="180"/>
      <c r="CC341" s="178"/>
      <c r="CD341" s="178"/>
      <c r="CE341" s="180"/>
      <c r="CF341" s="180"/>
      <c r="CG341" s="180"/>
      <c r="CH341" s="180"/>
      <c r="CI341" s="178"/>
      <c r="CJ341" s="178"/>
      <c r="CK341" s="180"/>
      <c r="CL341" s="180"/>
      <c r="CM341" s="180"/>
      <c r="CN341" s="116"/>
      <c r="CO341" s="218">
        <f t="shared" si="113"/>
        <v>0.05</v>
      </c>
      <c r="CP341" s="100">
        <f t="shared" si="114"/>
        <v>7.5000000000000011E-2</v>
      </c>
      <c r="CQ341" s="218">
        <f t="shared" si="115"/>
        <v>0.1</v>
      </c>
      <c r="CZ341" s="123"/>
      <c r="DA341" s="122"/>
      <c r="DB341" s="122"/>
      <c r="DC341" s="123"/>
      <c r="DD341" s="123"/>
      <c r="DE341" s="123"/>
      <c r="DF341" s="122"/>
      <c r="DG341" s="122"/>
      <c r="DH341" s="122"/>
      <c r="DI341" s="122"/>
      <c r="DJ341" s="122"/>
      <c r="DK341" s="123"/>
      <c r="DL341" s="23"/>
      <c r="DM341" s="150"/>
      <c r="DN341" s="150"/>
      <c r="DO341" s="116"/>
    </row>
    <row r="342" spans="58:119" s="101" customFormat="1" ht="18.75" hidden="1" customHeight="1" thickBot="1" x14ac:dyDescent="0.3">
      <c r="BF342" s="168"/>
      <c r="BG342" s="168"/>
      <c r="BH342" s="168"/>
      <c r="BI342" s="203" t="s">
        <v>445</v>
      </c>
      <c r="BJ342" s="190" t="s">
        <v>76</v>
      </c>
      <c r="BK342" s="196">
        <v>0.15</v>
      </c>
      <c r="BL342" s="190" t="s">
        <v>421</v>
      </c>
      <c r="BM342" s="189">
        <v>0.05</v>
      </c>
      <c r="BN342" s="189">
        <v>0.1</v>
      </c>
      <c r="BO342" s="188" t="s">
        <v>262</v>
      </c>
      <c r="BP342" s="206"/>
      <c r="BQ342" s="206"/>
      <c r="BR342" s="206"/>
      <c r="BS342" s="206"/>
      <c r="BT342" s="206"/>
      <c r="BU342" s="206"/>
      <c r="BV342" s="207"/>
      <c r="BW342" s="206"/>
      <c r="BX342" s="206"/>
      <c r="BY342" s="207"/>
      <c r="BZ342" s="207"/>
      <c r="CA342" s="207"/>
      <c r="CB342" s="180"/>
      <c r="CC342" s="178"/>
      <c r="CD342" s="178"/>
      <c r="CE342" s="180"/>
      <c r="CF342" s="180"/>
      <c r="CG342" s="180"/>
      <c r="CH342" s="180"/>
      <c r="CI342" s="178"/>
      <c r="CJ342" s="178"/>
      <c r="CK342" s="180"/>
      <c r="CL342" s="180"/>
      <c r="CM342" s="180"/>
      <c r="CN342" s="116"/>
      <c r="CO342" s="218">
        <f t="shared" si="113"/>
        <v>0.05</v>
      </c>
      <c r="CP342" s="100">
        <f t="shared" si="114"/>
        <v>7.5000000000000011E-2</v>
      </c>
      <c r="CQ342" s="218">
        <f t="shared" si="115"/>
        <v>0.1</v>
      </c>
      <c r="CZ342" s="123"/>
      <c r="DA342" s="122"/>
      <c r="DB342" s="122"/>
      <c r="DC342" s="123"/>
      <c r="DD342" s="123"/>
      <c r="DE342" s="123"/>
      <c r="DF342" s="122"/>
      <c r="DG342" s="122"/>
      <c r="DH342" s="122"/>
      <c r="DI342" s="122"/>
      <c r="DJ342" s="122"/>
      <c r="DK342" s="123"/>
      <c r="DL342" s="23"/>
      <c r="DM342" s="150"/>
      <c r="DN342" s="150"/>
      <c r="DO342" s="116"/>
    </row>
    <row r="343" spans="58:119" s="101" customFormat="1" ht="18.75" hidden="1" customHeight="1" thickBot="1" x14ac:dyDescent="0.3">
      <c r="BF343" s="168"/>
      <c r="BG343" s="168"/>
      <c r="BH343" s="168"/>
      <c r="BI343" s="203" t="s">
        <v>447</v>
      </c>
      <c r="BJ343" s="190" t="s">
        <v>76</v>
      </c>
      <c r="BK343" s="196">
        <v>0.22</v>
      </c>
      <c r="BL343" s="190" t="s">
        <v>421</v>
      </c>
      <c r="BM343" s="189">
        <v>0.05</v>
      </c>
      <c r="BN343" s="189">
        <v>0.1</v>
      </c>
      <c r="BO343" s="188" t="s">
        <v>262</v>
      </c>
      <c r="BP343" s="206"/>
      <c r="BQ343" s="206"/>
      <c r="BR343" s="206"/>
      <c r="BS343" s="206"/>
      <c r="BT343" s="206"/>
      <c r="BU343" s="206"/>
      <c r="BV343" s="207"/>
      <c r="BW343" s="206"/>
      <c r="BX343" s="206"/>
      <c r="BY343" s="207"/>
      <c r="BZ343" s="207"/>
      <c r="CA343" s="207"/>
      <c r="CB343" s="180"/>
      <c r="CC343" s="178"/>
      <c r="CD343" s="178"/>
      <c r="CE343" s="180"/>
      <c r="CF343" s="180"/>
      <c r="CG343" s="180"/>
      <c r="CH343" s="180"/>
      <c r="CI343" s="178"/>
      <c r="CJ343" s="178"/>
      <c r="CK343" s="180"/>
      <c r="CL343" s="180"/>
      <c r="CM343" s="180"/>
      <c r="CN343" s="116"/>
      <c r="CO343" s="218">
        <f t="shared" si="113"/>
        <v>0.05</v>
      </c>
      <c r="CP343" s="100">
        <f t="shared" si="114"/>
        <v>7.5000000000000011E-2</v>
      </c>
      <c r="CQ343" s="218">
        <f t="shared" si="115"/>
        <v>0.1</v>
      </c>
      <c r="CZ343" s="123"/>
      <c r="DA343" s="122"/>
      <c r="DB343" s="122"/>
      <c r="DC343" s="123"/>
      <c r="DD343" s="123"/>
      <c r="DE343" s="123"/>
      <c r="DF343" s="122"/>
      <c r="DG343" s="122"/>
      <c r="DH343" s="122"/>
      <c r="DI343" s="122"/>
      <c r="DJ343" s="122"/>
      <c r="DK343" s="123"/>
      <c r="DL343" s="23"/>
      <c r="DM343" s="150"/>
      <c r="DN343" s="150"/>
      <c r="DO343" s="116"/>
    </row>
    <row r="344" spans="58:119" s="101" customFormat="1" ht="18.75" hidden="1" customHeight="1" thickBot="1" x14ac:dyDescent="0.3">
      <c r="BF344" s="168"/>
      <c r="BG344" s="168"/>
      <c r="BH344" s="168"/>
      <c r="BI344" s="203" t="s">
        <v>446</v>
      </c>
      <c r="BJ344" s="190" t="s">
        <v>76</v>
      </c>
      <c r="BK344" s="196">
        <v>0.19</v>
      </c>
      <c r="BL344" s="190" t="s">
        <v>421</v>
      </c>
      <c r="BM344" s="189">
        <v>0.05</v>
      </c>
      <c r="BN344" s="189">
        <v>0.1</v>
      </c>
      <c r="BO344" s="188" t="s">
        <v>262</v>
      </c>
      <c r="BP344" s="206"/>
      <c r="BQ344" s="206"/>
      <c r="BR344" s="206"/>
      <c r="BS344" s="206"/>
      <c r="BT344" s="206"/>
      <c r="BU344" s="206"/>
      <c r="BV344" s="207"/>
      <c r="BW344" s="206"/>
      <c r="BX344" s="206"/>
      <c r="BY344" s="207"/>
      <c r="BZ344" s="207"/>
      <c r="CA344" s="207"/>
      <c r="CB344" s="180"/>
      <c r="CC344" s="178"/>
      <c r="CD344" s="178"/>
      <c r="CE344" s="180"/>
      <c r="CF344" s="180"/>
      <c r="CG344" s="180"/>
      <c r="CH344" s="180"/>
      <c r="CI344" s="178"/>
      <c r="CJ344" s="178"/>
      <c r="CK344" s="180"/>
      <c r="CL344" s="180"/>
      <c r="CM344" s="180"/>
      <c r="CN344" s="116"/>
      <c r="CO344" s="218">
        <f t="shared" si="113"/>
        <v>0.05</v>
      </c>
      <c r="CP344" s="100">
        <f t="shared" si="114"/>
        <v>7.5000000000000011E-2</v>
      </c>
      <c r="CQ344" s="218">
        <f t="shared" si="115"/>
        <v>0.1</v>
      </c>
      <c r="CZ344" s="123"/>
      <c r="DA344" s="122"/>
      <c r="DB344" s="122"/>
      <c r="DC344" s="123"/>
      <c r="DD344" s="123"/>
      <c r="DE344" s="123"/>
      <c r="DF344" s="122"/>
      <c r="DG344" s="122"/>
      <c r="DH344" s="122"/>
      <c r="DI344" s="122"/>
      <c r="DJ344" s="122"/>
      <c r="DK344" s="123"/>
      <c r="DL344" s="23"/>
      <c r="DM344" s="150"/>
      <c r="DN344" s="150"/>
      <c r="DO344" s="116"/>
    </row>
    <row r="345" spans="58:119" s="101" customFormat="1" ht="18.75" hidden="1" customHeight="1" thickBot="1" x14ac:dyDescent="0.3">
      <c r="BF345" s="168"/>
      <c r="BG345" s="168"/>
      <c r="BH345" s="168"/>
      <c r="BI345" s="203" t="s">
        <v>448</v>
      </c>
      <c r="BJ345" s="190" t="s">
        <v>76</v>
      </c>
      <c r="BK345" s="196">
        <v>0.19</v>
      </c>
      <c r="BL345" s="190" t="s">
        <v>421</v>
      </c>
      <c r="BM345" s="189">
        <v>0.05</v>
      </c>
      <c r="BN345" s="189">
        <v>0.1</v>
      </c>
      <c r="BO345" s="188" t="s">
        <v>262</v>
      </c>
      <c r="BP345" s="206"/>
      <c r="BQ345" s="206"/>
      <c r="BR345" s="206"/>
      <c r="BS345" s="206"/>
      <c r="BT345" s="206"/>
      <c r="BU345" s="206"/>
      <c r="BV345" s="207"/>
      <c r="BW345" s="206"/>
      <c r="BX345" s="206"/>
      <c r="BY345" s="207"/>
      <c r="BZ345" s="207"/>
      <c r="CA345" s="207"/>
      <c r="CB345" s="180"/>
      <c r="CC345" s="178"/>
      <c r="CD345" s="178"/>
      <c r="CE345" s="180"/>
      <c r="CF345" s="180"/>
      <c r="CG345" s="180"/>
      <c r="CH345" s="180"/>
      <c r="CI345" s="178"/>
      <c r="CJ345" s="178"/>
      <c r="CK345" s="180"/>
      <c r="CL345" s="180"/>
      <c r="CM345" s="180"/>
      <c r="CN345" s="116"/>
      <c r="CO345" s="218">
        <f t="shared" si="113"/>
        <v>0.05</v>
      </c>
      <c r="CP345" s="100">
        <f t="shared" si="114"/>
        <v>7.5000000000000011E-2</v>
      </c>
      <c r="CQ345" s="218">
        <f t="shared" si="115"/>
        <v>0.1</v>
      </c>
      <c r="CZ345" s="123"/>
      <c r="DA345" s="122"/>
      <c r="DB345" s="122"/>
      <c r="DC345" s="123"/>
      <c r="DD345" s="123"/>
      <c r="DE345" s="123"/>
      <c r="DF345" s="122"/>
      <c r="DG345" s="122"/>
      <c r="DH345" s="122"/>
      <c r="DI345" s="122"/>
      <c r="DJ345" s="122"/>
      <c r="DK345" s="123"/>
      <c r="DL345" s="23"/>
      <c r="DM345" s="150"/>
      <c r="DN345" s="150"/>
      <c r="DO345" s="116"/>
    </row>
    <row r="346" spans="58:119" s="101" customFormat="1" ht="18.75" hidden="1" customHeight="1" thickBot="1" x14ac:dyDescent="0.3">
      <c r="BF346" s="168"/>
      <c r="BG346" s="168"/>
      <c r="BH346" s="168"/>
      <c r="BI346" s="203" t="s">
        <v>190</v>
      </c>
      <c r="BJ346" s="190" t="s">
        <v>76</v>
      </c>
      <c r="BK346" s="196">
        <v>0.153</v>
      </c>
      <c r="BL346" s="190" t="s">
        <v>421</v>
      </c>
      <c r="BM346" s="189">
        <v>0.05</v>
      </c>
      <c r="BN346" s="189">
        <v>0.1</v>
      </c>
      <c r="BO346" s="188" t="s">
        <v>263</v>
      </c>
      <c r="BP346" s="206"/>
      <c r="BQ346" s="206"/>
      <c r="BR346" s="206"/>
      <c r="BS346" s="206"/>
      <c r="BT346" s="206"/>
      <c r="BU346" s="206"/>
      <c r="BV346" s="207"/>
      <c r="BW346" s="206"/>
      <c r="BX346" s="206"/>
      <c r="BY346" s="207"/>
      <c r="BZ346" s="207"/>
      <c r="CA346" s="207"/>
      <c r="CB346" s="180"/>
      <c r="CC346" s="178"/>
      <c r="CD346" s="178"/>
      <c r="CE346" s="180"/>
      <c r="CF346" s="180"/>
      <c r="CG346" s="180"/>
      <c r="CH346" s="180"/>
      <c r="CI346" s="178"/>
      <c r="CJ346" s="178"/>
      <c r="CK346" s="180"/>
      <c r="CL346" s="180"/>
      <c r="CM346" s="180"/>
      <c r="CN346" s="116"/>
      <c r="CO346" s="218">
        <f t="shared" si="113"/>
        <v>0.05</v>
      </c>
      <c r="CP346" s="100">
        <f t="shared" si="114"/>
        <v>7.5000000000000011E-2</v>
      </c>
      <c r="CQ346" s="218">
        <f t="shared" si="115"/>
        <v>0.1</v>
      </c>
      <c r="CZ346" s="123"/>
      <c r="DA346" s="122"/>
      <c r="DB346" s="122"/>
      <c r="DC346" s="123"/>
      <c r="DD346" s="123"/>
      <c r="DE346" s="123"/>
      <c r="DF346" s="122"/>
      <c r="DG346" s="122"/>
      <c r="DH346" s="122"/>
      <c r="DI346" s="122"/>
      <c r="DJ346" s="122"/>
      <c r="DK346" s="123"/>
      <c r="DL346" s="23"/>
      <c r="DM346" s="150"/>
      <c r="DN346" s="150"/>
      <c r="DO346" s="116"/>
    </row>
    <row r="347" spans="58:119" s="101" customFormat="1" ht="18.75" hidden="1" customHeight="1" thickBot="1" x14ac:dyDescent="0.3">
      <c r="BF347" s="168"/>
      <c r="BG347" s="168"/>
      <c r="BH347" s="168"/>
      <c r="BI347" s="203" t="s">
        <v>189</v>
      </c>
      <c r="BJ347" s="190" t="s">
        <v>76</v>
      </c>
      <c r="BK347" s="196">
        <v>0.13600000000000001</v>
      </c>
      <c r="BL347" s="190" t="s">
        <v>421</v>
      </c>
      <c r="BM347" s="189">
        <v>0.05</v>
      </c>
      <c r="BN347" s="189">
        <v>0.1</v>
      </c>
      <c r="BO347" s="188" t="s">
        <v>263</v>
      </c>
      <c r="BP347" s="206"/>
      <c r="BQ347" s="206"/>
      <c r="BR347" s="206"/>
      <c r="BS347" s="206"/>
      <c r="BT347" s="206"/>
      <c r="BU347" s="206"/>
      <c r="BV347" s="207"/>
      <c r="BW347" s="206"/>
      <c r="BX347" s="206"/>
      <c r="BY347" s="207"/>
      <c r="BZ347" s="207"/>
      <c r="CA347" s="207"/>
      <c r="CB347" s="180"/>
      <c r="CC347" s="178"/>
      <c r="CD347" s="178"/>
      <c r="CE347" s="180"/>
      <c r="CF347" s="180"/>
      <c r="CG347" s="180"/>
      <c r="CH347" s="180"/>
      <c r="CI347" s="178"/>
      <c r="CJ347" s="178"/>
      <c r="CK347" s="180"/>
      <c r="CL347" s="180"/>
      <c r="CM347" s="180"/>
      <c r="CN347" s="116"/>
      <c r="CO347" s="218">
        <f t="shared" si="113"/>
        <v>0.05</v>
      </c>
      <c r="CP347" s="100">
        <f t="shared" si="114"/>
        <v>7.5000000000000011E-2</v>
      </c>
      <c r="CQ347" s="218">
        <f t="shared" si="115"/>
        <v>0.1</v>
      </c>
      <c r="CR347" s="101">
        <v>0.05</v>
      </c>
      <c r="CS347" s="101">
        <v>0.1</v>
      </c>
      <c r="CZ347" s="123"/>
      <c r="DA347" s="122"/>
      <c r="DB347" s="122"/>
      <c r="DC347" s="123"/>
      <c r="DD347" s="123"/>
      <c r="DE347" s="123"/>
      <c r="DF347" s="122"/>
      <c r="DG347" s="122"/>
      <c r="DH347" s="122"/>
      <c r="DI347" s="122"/>
      <c r="DJ347" s="122"/>
      <c r="DK347" s="123"/>
      <c r="DL347" s="23"/>
      <c r="DM347" s="150"/>
      <c r="DN347" s="150"/>
      <c r="DO347" s="116"/>
    </row>
    <row r="348" spans="58:119" s="101" customFormat="1" ht="18.75" hidden="1" customHeight="1" thickBot="1" x14ac:dyDescent="0.3">
      <c r="BF348" s="168"/>
      <c r="BG348" s="168"/>
      <c r="BH348" s="168"/>
      <c r="BI348" s="203" t="s">
        <v>175</v>
      </c>
      <c r="BJ348" s="190" t="s">
        <v>76</v>
      </c>
      <c r="BK348" s="196">
        <v>0.29039999999999999</v>
      </c>
      <c r="BL348" s="190" t="s">
        <v>421</v>
      </c>
      <c r="BM348" s="189">
        <v>0.05</v>
      </c>
      <c r="BN348" s="189">
        <v>0.1</v>
      </c>
      <c r="BO348" s="188" t="s">
        <v>262</v>
      </c>
      <c r="BP348" s="206"/>
      <c r="BQ348" s="206"/>
      <c r="BR348" s="206"/>
      <c r="BS348" s="206"/>
      <c r="BT348" s="206"/>
      <c r="BU348" s="206"/>
      <c r="BV348" s="207"/>
      <c r="BW348" s="206"/>
      <c r="BX348" s="206"/>
      <c r="BY348" s="207"/>
      <c r="BZ348" s="207"/>
      <c r="CA348" s="207"/>
      <c r="CB348" s="180"/>
      <c r="CC348" s="178"/>
      <c r="CD348" s="178"/>
      <c r="CE348" s="180"/>
      <c r="CF348" s="180"/>
      <c r="CG348" s="180"/>
      <c r="CH348" s="180"/>
      <c r="CI348" s="178"/>
      <c r="CJ348" s="178"/>
      <c r="CK348" s="180"/>
      <c r="CL348" s="180"/>
      <c r="CM348" s="180"/>
      <c r="CN348" s="116"/>
      <c r="CO348" s="218">
        <f t="shared" si="113"/>
        <v>0.05</v>
      </c>
      <c r="CP348" s="100">
        <f t="shared" si="114"/>
        <v>7.5000000000000011E-2</v>
      </c>
      <c r="CQ348" s="218">
        <f t="shared" si="115"/>
        <v>0.1</v>
      </c>
      <c r="CR348" s="101">
        <v>0.05</v>
      </c>
      <c r="CS348" s="101">
        <v>0.1</v>
      </c>
      <c r="CZ348" s="123"/>
      <c r="DA348" s="122"/>
      <c r="DB348" s="122"/>
      <c r="DC348" s="123"/>
      <c r="DD348" s="123"/>
      <c r="DE348" s="123"/>
      <c r="DF348" s="122"/>
      <c r="DG348" s="122"/>
      <c r="DH348" s="122"/>
      <c r="DI348" s="122"/>
      <c r="DJ348" s="122"/>
      <c r="DK348" s="123"/>
      <c r="DL348" s="23"/>
      <c r="DM348" s="150"/>
      <c r="DN348" s="150"/>
      <c r="DO348" s="116"/>
    </row>
    <row r="349" spans="58:119" s="101" customFormat="1" ht="15" hidden="1" customHeight="1" x14ac:dyDescent="0.25">
      <c r="BF349" s="168"/>
      <c r="BG349" s="168"/>
      <c r="BH349" s="168"/>
      <c r="BI349" s="102"/>
      <c r="BJ349" s="178"/>
      <c r="BK349" s="178"/>
      <c r="BL349" s="178"/>
      <c r="BM349" s="169"/>
      <c r="BN349" s="169"/>
      <c r="BO349" s="169"/>
      <c r="BP349" s="206"/>
      <c r="BQ349" s="206"/>
      <c r="BR349" s="206"/>
      <c r="BS349" s="206"/>
      <c r="BT349" s="206"/>
      <c r="BU349" s="206"/>
      <c r="BV349" s="207"/>
      <c r="BW349" s="206"/>
      <c r="BX349" s="206"/>
      <c r="BY349" s="207"/>
      <c r="BZ349" s="207"/>
      <c r="CA349" s="207"/>
      <c r="CB349" s="180"/>
      <c r="CC349" s="178"/>
      <c r="CD349" s="178"/>
      <c r="CE349" s="180"/>
      <c r="CF349" s="180"/>
      <c r="CG349" s="180"/>
      <c r="CH349" s="180"/>
      <c r="CI349" s="178"/>
      <c r="CJ349" s="178"/>
      <c r="CK349" s="180"/>
      <c r="CL349" s="180"/>
      <c r="CM349" s="180"/>
      <c r="CN349" s="116"/>
      <c r="CO349" s="218">
        <f t="shared" si="113"/>
        <v>0</v>
      </c>
      <c r="CP349" s="100">
        <f t="shared" si="114"/>
        <v>0</v>
      </c>
      <c r="CQ349" s="218">
        <f t="shared" si="115"/>
        <v>0</v>
      </c>
      <c r="CZ349" s="123"/>
      <c r="DA349" s="122"/>
      <c r="DB349" s="122"/>
      <c r="DC349" s="123"/>
      <c r="DD349" s="123"/>
      <c r="DE349" s="123"/>
      <c r="DF349" s="122"/>
      <c r="DG349" s="122"/>
      <c r="DH349" s="122"/>
      <c r="DI349" s="122"/>
      <c r="DJ349" s="122"/>
      <c r="DK349" s="123"/>
      <c r="DL349" s="23"/>
      <c r="DM349" s="150"/>
      <c r="DN349" s="150"/>
      <c r="DO349" s="116"/>
    </row>
    <row r="350" spans="58:119" s="101" customFormat="1" ht="15" hidden="1" customHeight="1" x14ac:dyDescent="0.25">
      <c r="BF350" s="168"/>
      <c r="BG350" s="168"/>
      <c r="BH350" s="168"/>
      <c r="BI350" s="102"/>
      <c r="BJ350" s="178"/>
      <c r="BK350" s="178"/>
      <c r="BL350" s="178"/>
      <c r="BM350" s="169"/>
      <c r="BN350" s="169"/>
      <c r="BO350" s="169"/>
      <c r="BP350" s="206"/>
      <c r="BQ350" s="206"/>
      <c r="BR350" s="206"/>
      <c r="BS350" s="206"/>
      <c r="BT350" s="206"/>
      <c r="BU350" s="206"/>
      <c r="BV350" s="207"/>
      <c r="BW350" s="206"/>
      <c r="BX350" s="206"/>
      <c r="BY350" s="207"/>
      <c r="BZ350" s="207"/>
      <c r="CA350" s="207"/>
      <c r="CB350" s="180"/>
      <c r="CC350" s="178"/>
      <c r="CD350" s="178"/>
      <c r="CE350" s="180"/>
      <c r="CF350" s="180"/>
      <c r="CG350" s="180"/>
      <c r="CH350" s="180"/>
      <c r="CI350" s="178"/>
      <c r="CJ350" s="178"/>
      <c r="CK350" s="180"/>
      <c r="CL350" s="180"/>
      <c r="CM350" s="180"/>
      <c r="CN350" s="116"/>
      <c r="CO350" s="218">
        <f t="shared" si="113"/>
        <v>0</v>
      </c>
      <c r="CP350" s="100">
        <f t="shared" si="114"/>
        <v>0</v>
      </c>
      <c r="CQ350" s="218">
        <f t="shared" si="115"/>
        <v>0</v>
      </c>
      <c r="CZ350" s="123"/>
      <c r="DA350" s="122"/>
      <c r="DB350" s="122"/>
      <c r="DC350" s="123"/>
      <c r="DD350" s="123"/>
      <c r="DE350" s="123"/>
      <c r="DF350" s="122"/>
      <c r="DG350" s="122"/>
      <c r="DH350" s="122"/>
      <c r="DI350" s="122"/>
      <c r="DJ350" s="122"/>
      <c r="DK350" s="123"/>
      <c r="DL350" s="23"/>
      <c r="DM350" s="150"/>
      <c r="DN350" s="150"/>
      <c r="DO350" s="116"/>
    </row>
    <row r="351" spans="58:119" s="101" customFormat="1" ht="15" hidden="1" customHeight="1" thickBot="1" x14ac:dyDescent="0.3">
      <c r="BF351" s="168"/>
      <c r="BG351" s="168"/>
      <c r="BH351" s="168"/>
      <c r="BI351" s="102"/>
      <c r="BJ351" s="178"/>
      <c r="BK351" s="178"/>
      <c r="BL351" s="178"/>
      <c r="BM351" s="169"/>
      <c r="BN351" s="169"/>
      <c r="BO351" s="169"/>
      <c r="BP351" s="206"/>
      <c r="BQ351" s="206"/>
      <c r="BR351" s="206"/>
      <c r="BS351" s="206"/>
      <c r="BT351" s="206"/>
      <c r="BU351" s="206"/>
      <c r="BV351" s="207"/>
      <c r="BW351" s="206"/>
      <c r="BX351" s="206"/>
      <c r="BY351" s="207"/>
      <c r="BZ351" s="207"/>
      <c r="CA351" s="207"/>
      <c r="CB351" s="180"/>
      <c r="CC351" s="178"/>
      <c r="CD351" s="178"/>
      <c r="CE351" s="180"/>
      <c r="CF351" s="180"/>
      <c r="CG351" s="180"/>
      <c r="CH351" s="180"/>
      <c r="CI351" s="178"/>
      <c r="CJ351" s="178"/>
      <c r="CK351" s="180"/>
      <c r="CL351" s="180"/>
      <c r="CM351" s="180"/>
      <c r="CN351" s="116"/>
      <c r="CO351" s="218">
        <f t="shared" si="113"/>
        <v>0</v>
      </c>
      <c r="CP351" s="100">
        <f t="shared" si="114"/>
        <v>0</v>
      </c>
      <c r="CQ351" s="218">
        <f t="shared" si="115"/>
        <v>0</v>
      </c>
      <c r="CZ351" s="123"/>
      <c r="DA351" s="122"/>
      <c r="DB351" s="122"/>
      <c r="DC351" s="123"/>
      <c r="DD351" s="123"/>
      <c r="DE351" s="123"/>
      <c r="DF351" s="122"/>
      <c r="DG351" s="122"/>
      <c r="DH351" s="122"/>
      <c r="DI351" s="122"/>
      <c r="DJ351" s="122"/>
      <c r="DK351" s="123"/>
      <c r="DL351" s="23"/>
      <c r="DM351" s="150"/>
      <c r="DN351" s="150"/>
      <c r="DO351" s="116"/>
    </row>
    <row r="352" spans="58:119" s="101" customFormat="1" ht="15" hidden="1" customHeight="1" x14ac:dyDescent="0.25">
      <c r="BF352" s="168"/>
      <c r="BG352" s="168"/>
      <c r="BH352" s="168"/>
      <c r="BI352" s="1606" t="s">
        <v>300</v>
      </c>
      <c r="BJ352" s="251"/>
      <c r="BK352" s="1606" t="s">
        <v>302</v>
      </c>
      <c r="BL352" s="251"/>
      <c r="BM352" s="1606" t="s">
        <v>233</v>
      </c>
      <c r="BN352" s="1606" t="s">
        <v>233</v>
      </c>
      <c r="BO352" s="1606" t="s">
        <v>240</v>
      </c>
      <c r="BP352" s="206"/>
      <c r="BQ352" s="206"/>
      <c r="BR352" s="206"/>
      <c r="BS352" s="206"/>
      <c r="BT352" s="206"/>
      <c r="BU352" s="206"/>
      <c r="BV352" s="207"/>
      <c r="BW352" s="206"/>
      <c r="BX352" s="206"/>
      <c r="BY352" s="207"/>
      <c r="BZ352" s="207"/>
      <c r="CA352" s="207"/>
      <c r="CB352" s="180"/>
      <c r="CC352" s="178"/>
      <c r="CD352" s="178"/>
      <c r="CE352" s="180"/>
      <c r="CF352" s="180"/>
      <c r="CG352" s="180"/>
      <c r="CH352" s="180"/>
      <c r="CI352" s="178"/>
      <c r="CJ352" s="178"/>
      <c r="CK352" s="180"/>
      <c r="CL352" s="180"/>
      <c r="CM352" s="180"/>
      <c r="CN352" s="116"/>
      <c r="CO352" s="218" t="str">
        <f t="shared" si="113"/>
        <v>Incertidumbre (+/- %)</v>
      </c>
      <c r="CP352" s="100" t="e">
        <f t="shared" si="114"/>
        <v>#VALUE!</v>
      </c>
      <c r="CQ352" s="218" t="str">
        <f t="shared" si="115"/>
        <v>Incertidumbre (+/- %)</v>
      </c>
      <c r="CZ352" s="123"/>
      <c r="DA352" s="122"/>
      <c r="DB352" s="122"/>
      <c r="DC352" s="123"/>
      <c r="DD352" s="123"/>
      <c r="DE352" s="123"/>
      <c r="DF352" s="122"/>
      <c r="DG352" s="122"/>
      <c r="DH352" s="122"/>
      <c r="DI352" s="122"/>
      <c r="DJ352" s="122"/>
      <c r="DK352" s="123"/>
      <c r="DL352" s="23"/>
      <c r="DM352" s="150"/>
      <c r="DN352" s="150"/>
      <c r="DO352" s="116"/>
    </row>
    <row r="353" spans="58:119" s="101" customFormat="1" ht="15.75" hidden="1" customHeight="1" thickBot="1" x14ac:dyDescent="0.3">
      <c r="BF353" s="168"/>
      <c r="BG353" s="168"/>
      <c r="BH353" s="168"/>
      <c r="BI353" s="1607"/>
      <c r="BJ353" s="252" t="s">
        <v>253</v>
      </c>
      <c r="BK353" s="1607"/>
      <c r="BL353" s="252" t="s">
        <v>251</v>
      </c>
      <c r="BM353" s="1607"/>
      <c r="BN353" s="1607"/>
      <c r="BO353" s="1607"/>
      <c r="BP353" s="206"/>
      <c r="BQ353" s="206"/>
      <c r="BR353" s="206"/>
      <c r="BS353" s="206"/>
      <c r="BT353" s="206"/>
      <c r="BU353" s="206"/>
      <c r="BV353" s="207"/>
      <c r="BW353" s="206"/>
      <c r="BX353" s="206"/>
      <c r="BY353" s="207"/>
      <c r="BZ353" s="207"/>
      <c r="CA353" s="207"/>
      <c r="CB353" s="180"/>
      <c r="CC353" s="178"/>
      <c r="CD353" s="178"/>
      <c r="CE353" s="180"/>
      <c r="CF353" s="180"/>
      <c r="CG353" s="180"/>
      <c r="CH353" s="180"/>
      <c r="CI353" s="178"/>
      <c r="CJ353" s="178"/>
      <c r="CK353" s="180"/>
      <c r="CL353" s="180"/>
      <c r="CM353" s="180"/>
      <c r="CN353" s="116"/>
      <c r="CO353" s="218">
        <f t="shared" si="113"/>
        <v>0</v>
      </c>
      <c r="CP353" s="100">
        <f t="shared" si="114"/>
        <v>0</v>
      </c>
      <c r="CQ353" s="218">
        <f t="shared" si="115"/>
        <v>0</v>
      </c>
      <c r="CZ353" s="123"/>
      <c r="DA353" s="122"/>
      <c r="DB353" s="122"/>
      <c r="DC353" s="123"/>
      <c r="DD353" s="123"/>
      <c r="DE353" s="123"/>
      <c r="DF353" s="122"/>
      <c r="DG353" s="122"/>
      <c r="DH353" s="122"/>
      <c r="DI353" s="122"/>
      <c r="DJ353" s="122"/>
      <c r="DK353" s="123"/>
      <c r="DL353" s="23"/>
      <c r="DM353" s="150"/>
      <c r="DN353" s="150"/>
      <c r="DO353" s="116"/>
    </row>
    <row r="354" spans="58:119" s="101" customFormat="1" ht="18.75" hidden="1" customHeight="1" thickBot="1" x14ac:dyDescent="0.3">
      <c r="BF354" s="168"/>
      <c r="BG354" s="168"/>
      <c r="BH354" s="168"/>
      <c r="BI354" s="203" t="s">
        <v>74</v>
      </c>
      <c r="BJ354" s="190" t="s">
        <v>78</v>
      </c>
      <c r="BK354" s="196">
        <v>68.819999999999993</v>
      </c>
      <c r="BL354" s="190" t="s">
        <v>422</v>
      </c>
      <c r="BM354" s="189">
        <v>0.05</v>
      </c>
      <c r="BN354" s="189">
        <v>0.05</v>
      </c>
      <c r="BO354" s="188" t="s">
        <v>77</v>
      </c>
      <c r="BP354" s="206"/>
      <c r="BQ354" s="206"/>
      <c r="BR354" s="206"/>
      <c r="BS354" s="206"/>
      <c r="BT354" s="206"/>
      <c r="BU354" s="206"/>
      <c r="BV354" s="207"/>
      <c r="BW354" s="206"/>
      <c r="BX354" s="206"/>
      <c r="BY354" s="207"/>
      <c r="BZ354" s="207"/>
      <c r="CA354" s="207"/>
      <c r="CB354" s="180"/>
      <c r="CC354" s="178"/>
      <c r="CD354" s="178"/>
      <c r="CE354" s="180"/>
      <c r="CF354" s="180"/>
      <c r="CG354" s="180"/>
      <c r="CH354" s="180"/>
      <c r="CI354" s="178"/>
      <c r="CJ354" s="178"/>
      <c r="CK354" s="180"/>
      <c r="CL354" s="180"/>
      <c r="CM354" s="180"/>
      <c r="CN354" s="116"/>
      <c r="CO354" s="218">
        <f t="shared" si="113"/>
        <v>0.05</v>
      </c>
      <c r="CP354" s="100">
        <f t="shared" si="114"/>
        <v>0.05</v>
      </c>
      <c r="CQ354" s="218">
        <f t="shared" si="115"/>
        <v>0.05</v>
      </c>
      <c r="CR354" s="101">
        <v>0.05</v>
      </c>
      <c r="CS354" s="101">
        <v>0.05</v>
      </c>
      <c r="CZ354" s="123"/>
      <c r="DA354" s="122"/>
      <c r="DB354" s="122"/>
      <c r="DC354" s="123"/>
      <c r="DD354" s="123"/>
      <c r="DE354" s="123"/>
      <c r="DF354" s="122"/>
      <c r="DG354" s="122"/>
      <c r="DH354" s="122"/>
      <c r="DI354" s="122"/>
      <c r="DJ354" s="122"/>
      <c r="DK354" s="123"/>
      <c r="DL354" s="23"/>
      <c r="DM354" s="150"/>
      <c r="DN354" s="150"/>
      <c r="DO354" s="116"/>
    </row>
    <row r="355" spans="58:119" s="101" customFormat="1" ht="18.75" hidden="1" customHeight="1" thickBot="1" x14ac:dyDescent="0.3">
      <c r="BF355" s="168"/>
      <c r="BG355" s="168"/>
      <c r="BH355" s="168"/>
      <c r="BI355" s="203" t="s">
        <v>73</v>
      </c>
      <c r="BJ355" s="190" t="s">
        <v>78</v>
      </c>
      <c r="BK355" s="196">
        <v>83.37</v>
      </c>
      <c r="BL355" s="190" t="s">
        <v>422</v>
      </c>
      <c r="BM355" s="189">
        <v>0.05</v>
      </c>
      <c r="BN355" s="189">
        <v>0.05</v>
      </c>
      <c r="BO355" s="188" t="s">
        <v>77</v>
      </c>
      <c r="BP355" s="206"/>
      <c r="BQ355" s="206"/>
      <c r="BR355" s="206"/>
      <c r="BS355" s="206"/>
      <c r="BT355" s="206"/>
      <c r="BU355" s="206"/>
      <c r="BV355" s="207"/>
      <c r="BW355" s="206"/>
      <c r="BX355" s="206"/>
      <c r="BY355" s="207"/>
      <c r="BZ355" s="207"/>
      <c r="CA355" s="207"/>
      <c r="CB355" s="180"/>
      <c r="CC355" s="178"/>
      <c r="CD355" s="178"/>
      <c r="CE355" s="180"/>
      <c r="CF355" s="180"/>
      <c r="CG355" s="180"/>
      <c r="CH355" s="180"/>
      <c r="CI355" s="178"/>
      <c r="CJ355" s="178"/>
      <c r="CK355" s="180"/>
      <c r="CL355" s="180"/>
      <c r="CM355" s="180"/>
      <c r="CN355" s="116"/>
      <c r="CO355" s="218">
        <f t="shared" si="113"/>
        <v>0.05</v>
      </c>
      <c r="CP355" s="100">
        <f t="shared" si="114"/>
        <v>0.05</v>
      </c>
      <c r="CQ355" s="218">
        <f t="shared" si="115"/>
        <v>0.05</v>
      </c>
      <c r="CR355" s="101">
        <v>0.05</v>
      </c>
      <c r="CS355" s="101">
        <v>0.05</v>
      </c>
      <c r="CZ355" s="123"/>
      <c r="DA355" s="122"/>
      <c r="DB355" s="122"/>
      <c r="DC355" s="123"/>
      <c r="DD355" s="123"/>
      <c r="DE355" s="123"/>
      <c r="DF355" s="122"/>
      <c r="DG355" s="122"/>
      <c r="DH355" s="122"/>
      <c r="DI355" s="122"/>
      <c r="DJ355" s="122"/>
      <c r="DK355" s="123"/>
      <c r="DL355" s="23"/>
      <c r="DM355" s="150"/>
      <c r="DN355" s="150"/>
      <c r="DO355" s="116"/>
    </row>
    <row r="356" spans="58:119" s="101" customFormat="1" ht="18.75" hidden="1" customHeight="1" thickBot="1" x14ac:dyDescent="0.3">
      <c r="BF356" s="168"/>
      <c r="BG356" s="168"/>
      <c r="BH356" s="168"/>
      <c r="BI356" s="203" t="s">
        <v>79</v>
      </c>
      <c r="BJ356" s="190" t="s">
        <v>78</v>
      </c>
      <c r="BK356" s="196">
        <v>159.43</v>
      </c>
      <c r="BL356" s="190" t="s">
        <v>422</v>
      </c>
      <c r="BM356" s="189">
        <v>0.05</v>
      </c>
      <c r="BN356" s="189">
        <v>0.05</v>
      </c>
      <c r="BO356" s="188" t="s">
        <v>77</v>
      </c>
      <c r="BP356" s="206"/>
      <c r="BQ356" s="206"/>
      <c r="BR356" s="206"/>
      <c r="BS356" s="206"/>
      <c r="BT356" s="206"/>
      <c r="BU356" s="206"/>
      <c r="BV356" s="207"/>
      <c r="BW356" s="206"/>
      <c r="BX356" s="206"/>
      <c r="BY356" s="207"/>
      <c r="BZ356" s="207"/>
      <c r="CA356" s="207"/>
      <c r="CB356" s="180"/>
      <c r="CC356" s="178"/>
      <c r="CD356" s="178"/>
      <c r="CE356" s="180"/>
      <c r="CF356" s="180"/>
      <c r="CG356" s="180"/>
      <c r="CH356" s="180"/>
      <c r="CI356" s="178"/>
      <c r="CJ356" s="178"/>
      <c r="CK356" s="180"/>
      <c r="CL356" s="180"/>
      <c r="CM356" s="180"/>
      <c r="CN356" s="116"/>
      <c r="CO356" s="218">
        <f t="shared" si="113"/>
        <v>0.05</v>
      </c>
      <c r="CP356" s="100">
        <f t="shared" si="114"/>
        <v>0.05</v>
      </c>
      <c r="CQ356" s="218">
        <f t="shared" si="115"/>
        <v>0.05</v>
      </c>
      <c r="CR356" s="101">
        <v>0.05</v>
      </c>
      <c r="CS356" s="101">
        <v>0.05</v>
      </c>
      <c r="CZ356" s="123"/>
      <c r="DA356" s="122"/>
      <c r="DB356" s="122"/>
      <c r="DC356" s="123"/>
      <c r="DD356" s="123"/>
      <c r="DE356" s="123"/>
      <c r="DF356" s="122"/>
      <c r="DG356" s="122"/>
      <c r="DH356" s="122"/>
      <c r="DI356" s="122"/>
      <c r="DJ356" s="122"/>
      <c r="DK356" s="123"/>
      <c r="DL356" s="23"/>
      <c r="DM356" s="150"/>
      <c r="DN356" s="150"/>
      <c r="DO356" s="116"/>
    </row>
    <row r="357" spans="58:119" s="101" customFormat="1" ht="18.75" hidden="1" customHeight="1" thickBot="1" x14ac:dyDescent="0.3">
      <c r="BF357" s="168"/>
      <c r="BG357" s="168"/>
      <c r="BH357" s="168"/>
      <c r="BI357" s="203" t="s">
        <v>70</v>
      </c>
      <c r="BJ357" s="190" t="s">
        <v>78</v>
      </c>
      <c r="BK357" s="196">
        <v>102.71</v>
      </c>
      <c r="BL357" s="190" t="s">
        <v>422</v>
      </c>
      <c r="BM357" s="189">
        <v>0.05</v>
      </c>
      <c r="BN357" s="189">
        <v>0.05</v>
      </c>
      <c r="BO357" s="188" t="s">
        <v>77</v>
      </c>
      <c r="BP357" s="206"/>
      <c r="BQ357" s="206"/>
      <c r="BR357" s="206"/>
      <c r="BS357" s="206"/>
      <c r="BT357" s="206"/>
      <c r="BU357" s="206"/>
      <c r="BV357" s="207"/>
      <c r="BW357" s="206"/>
      <c r="BX357" s="206"/>
      <c r="BY357" s="207"/>
      <c r="BZ357" s="207"/>
      <c r="CA357" s="207"/>
      <c r="CB357" s="180"/>
      <c r="CC357" s="178"/>
      <c r="CD357" s="178"/>
      <c r="CE357" s="180"/>
      <c r="CF357" s="180"/>
      <c r="CG357" s="180"/>
      <c r="CH357" s="180"/>
      <c r="CI357" s="178"/>
      <c r="CJ357" s="178"/>
      <c r="CK357" s="180"/>
      <c r="CL357" s="180"/>
      <c r="CM357" s="180"/>
      <c r="CN357" s="116"/>
      <c r="CO357" s="218">
        <f t="shared" si="113"/>
        <v>0.05</v>
      </c>
      <c r="CP357" s="100">
        <f t="shared" si="114"/>
        <v>0.05</v>
      </c>
      <c r="CQ357" s="218">
        <f t="shared" si="115"/>
        <v>0.05</v>
      </c>
      <c r="CR357" s="101">
        <v>0.05</v>
      </c>
      <c r="CS357" s="101">
        <v>0.05</v>
      </c>
      <c r="CZ357" s="123"/>
      <c r="DA357" s="122"/>
      <c r="DB357" s="122"/>
      <c r="DC357" s="123"/>
      <c r="DD357" s="123"/>
      <c r="DE357" s="123"/>
      <c r="DF357" s="122"/>
      <c r="DG357" s="122"/>
      <c r="DH357" s="122"/>
      <c r="DI357" s="122"/>
      <c r="DJ357" s="122"/>
      <c r="DK357" s="123"/>
      <c r="DL357" s="23"/>
      <c r="DM357" s="150"/>
      <c r="DN357" s="150"/>
      <c r="DO357" s="116"/>
    </row>
    <row r="358" spans="58:119" s="101" customFormat="1" ht="18.75" hidden="1" customHeight="1" thickBot="1" x14ac:dyDescent="0.3">
      <c r="BF358" s="168"/>
      <c r="BG358" s="168"/>
      <c r="BH358" s="168"/>
      <c r="BI358" s="203" t="s">
        <v>80</v>
      </c>
      <c r="BJ358" s="190" t="s">
        <v>78</v>
      </c>
      <c r="BK358" s="196">
        <v>81.25</v>
      </c>
      <c r="BL358" s="190" t="s">
        <v>422</v>
      </c>
      <c r="BM358" s="189">
        <v>0.05</v>
      </c>
      <c r="BN358" s="189">
        <v>0.05</v>
      </c>
      <c r="BO358" s="188" t="s">
        <v>77</v>
      </c>
      <c r="BP358" s="206"/>
      <c r="BQ358" s="206"/>
      <c r="BR358" s="206"/>
      <c r="BS358" s="206"/>
      <c r="BT358" s="206"/>
      <c r="BU358" s="206"/>
      <c r="BV358" s="207"/>
      <c r="BW358" s="206"/>
      <c r="BX358" s="206"/>
      <c r="BY358" s="207"/>
      <c r="BZ358" s="207"/>
      <c r="CA358" s="207"/>
      <c r="CB358" s="180"/>
      <c r="CC358" s="178"/>
      <c r="CD358" s="178"/>
      <c r="CE358" s="180"/>
      <c r="CF358" s="180"/>
      <c r="CG358" s="180"/>
      <c r="CH358" s="180"/>
      <c r="CI358" s="178"/>
      <c r="CJ358" s="178"/>
      <c r="CK358" s="180"/>
      <c r="CL358" s="180"/>
      <c r="CM358" s="180"/>
      <c r="CN358" s="116"/>
      <c r="CO358" s="218">
        <f t="shared" si="113"/>
        <v>0.05</v>
      </c>
      <c r="CP358" s="100">
        <f t="shared" si="114"/>
        <v>0.05</v>
      </c>
      <c r="CQ358" s="218">
        <f t="shared" si="115"/>
        <v>0.05</v>
      </c>
      <c r="CR358" s="101">
        <v>0.05</v>
      </c>
      <c r="CS358" s="101">
        <v>0.05</v>
      </c>
      <c r="CZ358" s="123"/>
      <c r="DA358" s="122"/>
      <c r="DB358" s="122"/>
      <c r="DC358" s="123"/>
      <c r="DD358" s="123"/>
      <c r="DE358" s="123"/>
      <c r="DF358" s="122"/>
      <c r="DG358" s="122"/>
      <c r="DH358" s="122"/>
      <c r="DI358" s="122"/>
      <c r="DJ358" s="122"/>
      <c r="DK358" s="123"/>
      <c r="DL358" s="23"/>
      <c r="DM358" s="150"/>
      <c r="DN358" s="150"/>
      <c r="DO358" s="116"/>
    </row>
    <row r="359" spans="58:119" s="101" customFormat="1" ht="18.75" hidden="1" customHeight="1" thickBot="1" x14ac:dyDescent="0.3">
      <c r="BF359" s="168"/>
      <c r="BG359" s="168"/>
      <c r="BH359" s="168"/>
      <c r="BI359" s="203" t="s">
        <v>71</v>
      </c>
      <c r="BJ359" s="190" t="s">
        <v>78</v>
      </c>
      <c r="BK359" s="196">
        <v>97.7</v>
      </c>
      <c r="BL359" s="190" t="s">
        <v>422</v>
      </c>
      <c r="BM359" s="189">
        <v>0.05</v>
      </c>
      <c r="BN359" s="189">
        <v>0.05</v>
      </c>
      <c r="BO359" s="188" t="s">
        <v>77</v>
      </c>
      <c r="BP359" s="206"/>
      <c r="BQ359" s="206"/>
      <c r="BR359" s="206"/>
      <c r="BS359" s="206"/>
      <c r="BT359" s="206"/>
      <c r="BU359" s="206"/>
      <c r="BV359" s="207"/>
      <c r="BW359" s="206"/>
      <c r="BX359" s="206"/>
      <c r="BY359" s="207"/>
      <c r="BZ359" s="207"/>
      <c r="CA359" s="207"/>
      <c r="CB359" s="180"/>
      <c r="CC359" s="178"/>
      <c r="CD359" s="178"/>
      <c r="CE359" s="180"/>
      <c r="CF359" s="180"/>
      <c r="CG359" s="180"/>
      <c r="CH359" s="180"/>
      <c r="CI359" s="178"/>
      <c r="CJ359" s="178"/>
      <c r="CK359" s="180"/>
      <c r="CL359" s="180"/>
      <c r="CM359" s="180"/>
      <c r="CN359" s="116"/>
      <c r="CO359" s="218">
        <f t="shared" si="113"/>
        <v>0.05</v>
      </c>
      <c r="CP359" s="100">
        <f t="shared" si="114"/>
        <v>0.05</v>
      </c>
      <c r="CQ359" s="218">
        <f t="shared" si="115"/>
        <v>0.05</v>
      </c>
      <c r="CR359" s="101">
        <v>0.05</v>
      </c>
      <c r="CS359" s="101">
        <v>0.05</v>
      </c>
      <c r="CZ359" s="123"/>
      <c r="DA359" s="122"/>
      <c r="DB359" s="122"/>
      <c r="DC359" s="123"/>
      <c r="DD359" s="123"/>
      <c r="DE359" s="123"/>
      <c r="DF359" s="122"/>
      <c r="DG359" s="122"/>
      <c r="DH359" s="122"/>
      <c r="DI359" s="122"/>
      <c r="DJ359" s="122"/>
      <c r="DK359" s="123"/>
      <c r="DL359" s="23"/>
      <c r="DM359" s="150"/>
      <c r="DN359" s="150"/>
      <c r="DO359" s="116"/>
    </row>
    <row r="360" spans="58:119" s="101" customFormat="1" ht="18.75" hidden="1" customHeight="1" thickBot="1" x14ac:dyDescent="0.3">
      <c r="BF360" s="168"/>
      <c r="BG360" s="168"/>
      <c r="BH360" s="168"/>
      <c r="BI360" s="203" t="s">
        <v>72</v>
      </c>
      <c r="BJ360" s="190" t="s">
        <v>78</v>
      </c>
      <c r="BK360" s="196">
        <v>159.58000000000001</v>
      </c>
      <c r="BL360" s="190" t="s">
        <v>422</v>
      </c>
      <c r="BM360" s="189">
        <v>0.05</v>
      </c>
      <c r="BN360" s="189">
        <v>0.05</v>
      </c>
      <c r="BO360" s="188" t="s">
        <v>77</v>
      </c>
      <c r="BP360" s="206"/>
      <c r="BQ360" s="206"/>
      <c r="BR360" s="206"/>
      <c r="BS360" s="206"/>
      <c r="BT360" s="206"/>
      <c r="BU360" s="206"/>
      <c r="BV360" s="207"/>
      <c r="BW360" s="206"/>
      <c r="BX360" s="206"/>
      <c r="BY360" s="207"/>
      <c r="BZ360" s="207"/>
      <c r="CA360" s="207"/>
      <c r="CB360" s="180"/>
      <c r="CC360" s="178"/>
      <c r="CD360" s="178"/>
      <c r="CE360" s="180"/>
      <c r="CF360" s="180"/>
      <c r="CG360" s="180"/>
      <c r="CH360" s="180"/>
      <c r="CI360" s="178"/>
      <c r="CJ360" s="178"/>
      <c r="CK360" s="180"/>
      <c r="CL360" s="180"/>
      <c r="CM360" s="180"/>
      <c r="CN360" s="116"/>
      <c r="CO360" s="218">
        <f t="shared" si="113"/>
        <v>0.05</v>
      </c>
      <c r="CP360" s="100">
        <f t="shared" si="114"/>
        <v>0.05</v>
      </c>
      <c r="CQ360" s="218">
        <f t="shared" si="115"/>
        <v>0.05</v>
      </c>
      <c r="CR360" s="101">
        <v>0.05</v>
      </c>
      <c r="CS360" s="101">
        <v>0.05</v>
      </c>
      <c r="CZ360" s="123"/>
      <c r="DA360" s="122"/>
      <c r="DB360" s="122"/>
      <c r="DC360" s="123"/>
      <c r="DD360" s="123"/>
      <c r="DE360" s="123"/>
      <c r="DF360" s="122"/>
      <c r="DG360" s="122"/>
      <c r="DH360" s="122"/>
      <c r="DI360" s="122"/>
      <c r="DJ360" s="122"/>
      <c r="DK360" s="123"/>
      <c r="DL360" s="23"/>
      <c r="DM360" s="150"/>
      <c r="DN360" s="150"/>
      <c r="DO360" s="116"/>
    </row>
    <row r="361" spans="58:119" s="101" customFormat="1" ht="18.75" hidden="1" customHeight="1" thickBot="1" x14ac:dyDescent="0.3">
      <c r="BF361" s="168"/>
      <c r="BG361" s="168"/>
      <c r="BH361" s="168"/>
      <c r="BI361" s="203" t="s">
        <v>81</v>
      </c>
      <c r="BJ361" s="190" t="s">
        <v>78</v>
      </c>
      <c r="BK361" s="196">
        <v>116.5</v>
      </c>
      <c r="BL361" s="190" t="s">
        <v>422</v>
      </c>
      <c r="BM361" s="189">
        <v>0.05</v>
      </c>
      <c r="BN361" s="189">
        <v>0.05</v>
      </c>
      <c r="BO361" s="188" t="s">
        <v>77</v>
      </c>
      <c r="BP361" s="206"/>
      <c r="BQ361" s="206"/>
      <c r="BR361" s="206"/>
      <c r="BS361" s="206"/>
      <c r="BT361" s="206"/>
      <c r="BU361" s="206"/>
      <c r="BV361" s="207"/>
      <c r="BW361" s="206"/>
      <c r="BX361" s="206"/>
      <c r="BY361" s="207"/>
      <c r="BZ361" s="207"/>
      <c r="CA361" s="207"/>
      <c r="CB361" s="180"/>
      <c r="CC361" s="178"/>
      <c r="CD361" s="178"/>
      <c r="CE361" s="180"/>
      <c r="CF361" s="180"/>
      <c r="CG361" s="180"/>
      <c r="CH361" s="180"/>
      <c r="CI361" s="178"/>
      <c r="CJ361" s="178"/>
      <c r="CK361" s="180"/>
      <c r="CL361" s="180"/>
      <c r="CM361" s="180"/>
      <c r="CN361" s="116"/>
      <c r="CO361" s="218">
        <f t="shared" si="113"/>
        <v>0.05</v>
      </c>
      <c r="CP361" s="100">
        <f t="shared" si="114"/>
        <v>0.05</v>
      </c>
      <c r="CQ361" s="218">
        <f t="shared" si="115"/>
        <v>0.05</v>
      </c>
      <c r="CR361" s="101">
        <v>0.05</v>
      </c>
      <c r="CS361" s="101">
        <v>0.05</v>
      </c>
      <c r="CZ361" s="123"/>
      <c r="DA361" s="122"/>
      <c r="DB361" s="122"/>
      <c r="DC361" s="123"/>
      <c r="DD361" s="123"/>
      <c r="DE361" s="123"/>
      <c r="DF361" s="122"/>
      <c r="DG361" s="122"/>
      <c r="DH361" s="122"/>
      <c r="DI361" s="122"/>
      <c r="DJ361" s="122"/>
      <c r="DK361" s="123"/>
      <c r="DL361" s="23"/>
      <c r="DM361" s="150"/>
      <c r="DN361" s="150"/>
      <c r="DO361" s="116"/>
    </row>
    <row r="362" spans="58:119" s="101" customFormat="1" ht="18.75" hidden="1" customHeight="1" thickBot="1" x14ac:dyDescent="0.3">
      <c r="BF362" s="168"/>
      <c r="BG362" s="168"/>
      <c r="BH362" s="168"/>
      <c r="BI362" s="203" t="s">
        <v>82</v>
      </c>
      <c r="BJ362" s="190" t="s">
        <v>78</v>
      </c>
      <c r="BK362" s="196">
        <v>88.52</v>
      </c>
      <c r="BL362" s="190" t="s">
        <v>422</v>
      </c>
      <c r="BM362" s="189">
        <v>0.05</v>
      </c>
      <c r="BN362" s="189">
        <v>0.05</v>
      </c>
      <c r="BO362" s="188" t="s">
        <v>77</v>
      </c>
      <c r="BP362" s="206"/>
      <c r="BQ362" s="206"/>
      <c r="BR362" s="206"/>
      <c r="BS362" s="206"/>
      <c r="BT362" s="206"/>
      <c r="BU362" s="206"/>
      <c r="BV362" s="207"/>
      <c r="BW362" s="206"/>
      <c r="BX362" s="206"/>
      <c r="BY362" s="207"/>
      <c r="BZ362" s="207"/>
      <c r="CA362" s="207"/>
      <c r="CB362" s="180"/>
      <c r="CC362" s="178"/>
      <c r="CD362" s="178"/>
      <c r="CE362" s="180"/>
      <c r="CF362" s="180"/>
      <c r="CG362" s="180"/>
      <c r="CH362" s="180"/>
      <c r="CI362" s="178"/>
      <c r="CJ362" s="178"/>
      <c r="CK362" s="180"/>
      <c r="CL362" s="180"/>
      <c r="CM362" s="180"/>
      <c r="CN362" s="116"/>
      <c r="CO362" s="218">
        <f t="shared" si="113"/>
        <v>0.05</v>
      </c>
      <c r="CP362" s="100">
        <f t="shared" si="114"/>
        <v>0.05</v>
      </c>
      <c r="CQ362" s="218">
        <f t="shared" si="115"/>
        <v>0.05</v>
      </c>
      <c r="CR362" s="101">
        <v>0.05</v>
      </c>
      <c r="CS362" s="101">
        <v>0.05</v>
      </c>
      <c r="CZ362" s="123"/>
      <c r="DA362" s="122"/>
      <c r="DB362" s="122"/>
      <c r="DC362" s="123"/>
      <c r="DD362" s="123"/>
      <c r="DE362" s="123"/>
      <c r="DF362" s="122"/>
      <c r="DG362" s="122"/>
      <c r="DH362" s="122"/>
      <c r="DI362" s="122"/>
      <c r="DJ362" s="122"/>
      <c r="DK362" s="123"/>
      <c r="DL362" s="23"/>
      <c r="DM362" s="150"/>
      <c r="DN362" s="150"/>
      <c r="DO362" s="116"/>
    </row>
    <row r="363" spans="58:119" s="101" customFormat="1" ht="18.75" hidden="1" customHeight="1" thickBot="1" x14ac:dyDescent="0.3">
      <c r="BF363" s="168"/>
      <c r="BG363" s="168"/>
      <c r="BH363" s="168"/>
      <c r="BI363" s="203" t="s">
        <v>83</v>
      </c>
      <c r="BJ363" s="190" t="s">
        <v>78</v>
      </c>
      <c r="BK363" s="196">
        <v>43.4</v>
      </c>
      <c r="BL363" s="190" t="s">
        <v>422</v>
      </c>
      <c r="BM363" s="189">
        <v>0.05</v>
      </c>
      <c r="BN363" s="189">
        <v>0.05</v>
      </c>
      <c r="BO363" s="188" t="s">
        <v>77</v>
      </c>
      <c r="BP363" s="206"/>
      <c r="BQ363" s="206"/>
      <c r="BR363" s="206"/>
      <c r="BS363" s="206"/>
      <c r="BT363" s="206"/>
      <c r="BU363" s="206"/>
      <c r="BV363" s="207"/>
      <c r="BW363" s="206"/>
      <c r="BX363" s="206"/>
      <c r="BY363" s="207"/>
      <c r="BZ363" s="207"/>
      <c r="CA363" s="207"/>
      <c r="CB363" s="180"/>
      <c r="CC363" s="178"/>
      <c r="CD363" s="178"/>
      <c r="CE363" s="180"/>
      <c r="CF363" s="180"/>
      <c r="CG363" s="180"/>
      <c r="CH363" s="180"/>
      <c r="CI363" s="178"/>
      <c r="CJ363" s="178"/>
      <c r="CK363" s="180"/>
      <c r="CL363" s="180"/>
      <c r="CM363" s="180"/>
      <c r="CN363" s="116"/>
      <c r="CO363" s="218">
        <f t="shared" si="113"/>
        <v>0.05</v>
      </c>
      <c r="CP363" s="100">
        <f t="shared" si="114"/>
        <v>0.05</v>
      </c>
      <c r="CQ363" s="218">
        <f t="shared" si="115"/>
        <v>0.05</v>
      </c>
      <c r="CR363" s="101">
        <v>0.05</v>
      </c>
      <c r="CS363" s="101">
        <v>0.05</v>
      </c>
      <c r="CZ363" s="123"/>
      <c r="DA363" s="122"/>
      <c r="DB363" s="122"/>
      <c r="DC363" s="123"/>
      <c r="DD363" s="123"/>
      <c r="DE363" s="123"/>
      <c r="DF363" s="122"/>
      <c r="DG363" s="122"/>
      <c r="DH363" s="122"/>
      <c r="DI363" s="122"/>
      <c r="DJ363" s="122"/>
      <c r="DK363" s="123"/>
      <c r="DL363" s="23"/>
      <c r="DM363" s="150"/>
      <c r="DN363" s="150"/>
      <c r="DO363" s="116"/>
    </row>
    <row r="364" spans="58:119" s="101" customFormat="1" ht="18.75" hidden="1" customHeight="1" thickBot="1" x14ac:dyDescent="0.3">
      <c r="BF364" s="168"/>
      <c r="BG364" s="168"/>
      <c r="BH364" s="168"/>
      <c r="BI364" s="203" t="s">
        <v>84</v>
      </c>
      <c r="BJ364" s="190" t="s">
        <v>78</v>
      </c>
      <c r="BK364" s="196">
        <v>229.26</v>
      </c>
      <c r="BL364" s="190" t="s">
        <v>422</v>
      </c>
      <c r="BM364" s="189">
        <v>0.05</v>
      </c>
      <c r="BN364" s="189">
        <v>0.05</v>
      </c>
      <c r="BO364" s="188" t="s">
        <v>77</v>
      </c>
      <c r="BP364" s="206"/>
      <c r="BQ364" s="206"/>
      <c r="BR364" s="206"/>
      <c r="BS364" s="206"/>
      <c r="BT364" s="206"/>
      <c r="BU364" s="206"/>
      <c r="BV364" s="207"/>
      <c r="BW364" s="206"/>
      <c r="BX364" s="206"/>
      <c r="BY364" s="207"/>
      <c r="BZ364" s="207"/>
      <c r="CA364" s="207"/>
      <c r="CB364" s="180"/>
      <c r="CC364" s="178"/>
      <c r="CD364" s="178"/>
      <c r="CE364" s="180"/>
      <c r="CF364" s="180"/>
      <c r="CG364" s="180"/>
      <c r="CH364" s="180"/>
      <c r="CI364" s="178"/>
      <c r="CJ364" s="178"/>
      <c r="CK364" s="180"/>
      <c r="CL364" s="180"/>
      <c r="CM364" s="180"/>
      <c r="CN364" s="116"/>
      <c r="CO364" s="218">
        <f t="shared" si="113"/>
        <v>0.05</v>
      </c>
      <c r="CP364" s="100">
        <f t="shared" si="114"/>
        <v>0.05</v>
      </c>
      <c r="CQ364" s="218">
        <f t="shared" si="115"/>
        <v>0.05</v>
      </c>
      <c r="CR364" s="101">
        <v>0.05</v>
      </c>
      <c r="CS364" s="101">
        <v>0.05</v>
      </c>
      <c r="CZ364" s="123"/>
      <c r="DA364" s="122"/>
      <c r="DB364" s="122"/>
      <c r="DC364" s="123"/>
      <c r="DD364" s="123"/>
      <c r="DE364" s="123"/>
      <c r="DF364" s="122"/>
      <c r="DG364" s="122"/>
      <c r="DH364" s="122"/>
      <c r="DI364" s="122"/>
      <c r="DJ364" s="122"/>
      <c r="DK364" s="123"/>
      <c r="DL364" s="23"/>
      <c r="DM364" s="150"/>
      <c r="DN364" s="150"/>
      <c r="DO364" s="116"/>
    </row>
    <row r="365" spans="58:119" s="101" customFormat="1" ht="18.75" hidden="1" customHeight="1" thickBot="1" x14ac:dyDescent="0.3">
      <c r="BF365" s="168"/>
      <c r="BG365" s="168"/>
      <c r="BH365" s="168"/>
      <c r="BI365" s="203" t="s">
        <v>85</v>
      </c>
      <c r="BJ365" s="190" t="s">
        <v>78</v>
      </c>
      <c r="BK365" s="196">
        <v>55.15</v>
      </c>
      <c r="BL365" s="190" t="s">
        <v>422</v>
      </c>
      <c r="BM365" s="189">
        <v>0.05</v>
      </c>
      <c r="BN365" s="189">
        <v>0.05</v>
      </c>
      <c r="BO365" s="188" t="s">
        <v>77</v>
      </c>
      <c r="BP365" s="206"/>
      <c r="BQ365" s="206"/>
      <c r="BR365" s="206"/>
      <c r="BS365" s="206"/>
      <c r="BT365" s="206"/>
      <c r="BU365" s="206"/>
      <c r="BV365" s="207"/>
      <c r="BW365" s="206"/>
      <c r="BX365" s="206"/>
      <c r="BY365" s="207"/>
      <c r="BZ365" s="207"/>
      <c r="CA365" s="207"/>
      <c r="CB365" s="180"/>
      <c r="CC365" s="178"/>
      <c r="CD365" s="178"/>
      <c r="CE365" s="180"/>
      <c r="CF365" s="180"/>
      <c r="CG365" s="180"/>
      <c r="CH365" s="180"/>
      <c r="CI365" s="178"/>
      <c r="CJ365" s="178"/>
      <c r="CK365" s="180"/>
      <c r="CL365" s="180"/>
      <c r="CM365" s="180"/>
      <c r="CN365" s="116"/>
      <c r="CO365" s="218">
        <f t="shared" ref="CO365:CO425" si="116">BM365</f>
        <v>0.05</v>
      </c>
      <c r="CP365" s="100">
        <f t="shared" ref="CP365:CP425" si="117">(CO365+CQ365)/2</f>
        <v>0.05</v>
      </c>
      <c r="CQ365" s="218">
        <f t="shared" ref="CQ365:CQ425" si="118">BN365</f>
        <v>0.05</v>
      </c>
      <c r="CR365" s="101">
        <v>0.05</v>
      </c>
      <c r="CS365" s="101">
        <v>0.05</v>
      </c>
      <c r="CZ365" s="123"/>
      <c r="DA365" s="122"/>
      <c r="DB365" s="122"/>
      <c r="DC365" s="123"/>
      <c r="DD365" s="123"/>
      <c r="DE365" s="123"/>
      <c r="DF365" s="122"/>
      <c r="DG365" s="122"/>
      <c r="DH365" s="122"/>
      <c r="DI365" s="122"/>
      <c r="DJ365" s="122"/>
      <c r="DK365" s="123"/>
      <c r="DL365" s="23"/>
      <c r="DM365" s="150"/>
      <c r="DN365" s="150"/>
      <c r="DO365" s="116"/>
    </row>
    <row r="366" spans="58:119" s="101" customFormat="1" ht="18.75" hidden="1" customHeight="1" thickBot="1" x14ac:dyDescent="0.3">
      <c r="BF366" s="168"/>
      <c r="BG366" s="168"/>
      <c r="BH366" s="168"/>
      <c r="BI366" s="203" t="s">
        <v>86</v>
      </c>
      <c r="BJ366" s="190" t="s">
        <v>78</v>
      </c>
      <c r="BK366" s="196">
        <v>84.94</v>
      </c>
      <c r="BL366" s="190" t="s">
        <v>422</v>
      </c>
      <c r="BM366" s="189">
        <v>0.05</v>
      </c>
      <c r="BN366" s="189">
        <v>0.05</v>
      </c>
      <c r="BO366" s="188" t="s">
        <v>77</v>
      </c>
      <c r="BP366" s="206"/>
      <c r="BQ366" s="206"/>
      <c r="BR366" s="206"/>
      <c r="BS366" s="206"/>
      <c r="BT366" s="206"/>
      <c r="BU366" s="206"/>
      <c r="BV366" s="207"/>
      <c r="BW366" s="206"/>
      <c r="BX366" s="206"/>
      <c r="BY366" s="207"/>
      <c r="BZ366" s="207"/>
      <c r="CA366" s="207"/>
      <c r="CB366" s="180"/>
      <c r="CC366" s="178"/>
      <c r="CD366" s="178"/>
      <c r="CE366" s="180"/>
      <c r="CF366" s="180"/>
      <c r="CG366" s="180"/>
      <c r="CH366" s="180"/>
      <c r="CI366" s="178"/>
      <c r="CJ366" s="178"/>
      <c r="CK366" s="180"/>
      <c r="CL366" s="180"/>
      <c r="CM366" s="180"/>
      <c r="CN366" s="116"/>
      <c r="CO366" s="218">
        <f t="shared" si="116"/>
        <v>0.05</v>
      </c>
      <c r="CP366" s="100">
        <f t="shared" si="117"/>
        <v>0.05</v>
      </c>
      <c r="CQ366" s="218">
        <f t="shared" si="118"/>
        <v>0.05</v>
      </c>
      <c r="CR366" s="101">
        <v>0.05</v>
      </c>
      <c r="CS366" s="101">
        <v>0.05</v>
      </c>
      <c r="CZ366" s="123"/>
      <c r="DA366" s="122"/>
      <c r="DB366" s="122"/>
      <c r="DC366" s="123"/>
      <c r="DD366" s="123"/>
      <c r="DE366" s="123"/>
      <c r="DF366" s="122"/>
      <c r="DG366" s="122"/>
      <c r="DH366" s="122"/>
      <c r="DI366" s="122"/>
      <c r="DJ366" s="122"/>
      <c r="DK366" s="123"/>
      <c r="DL366" s="23"/>
      <c r="DM366" s="150"/>
      <c r="DN366" s="150"/>
      <c r="DO366" s="116"/>
    </row>
    <row r="367" spans="58:119" s="101" customFormat="1" ht="18.75" hidden="1" customHeight="1" thickBot="1" x14ac:dyDescent="0.3">
      <c r="BF367" s="168"/>
      <c r="BG367" s="168"/>
      <c r="BH367" s="168"/>
      <c r="BI367" s="203" t="s">
        <v>87</v>
      </c>
      <c r="BJ367" s="190" t="s">
        <v>78</v>
      </c>
      <c r="BK367" s="196">
        <v>169.75</v>
      </c>
      <c r="BL367" s="190" t="s">
        <v>422</v>
      </c>
      <c r="BM367" s="189">
        <v>0.05</v>
      </c>
      <c r="BN367" s="189">
        <v>0.05</v>
      </c>
      <c r="BO367" s="188" t="s">
        <v>77</v>
      </c>
      <c r="BP367" s="206"/>
      <c r="BQ367" s="206"/>
      <c r="BR367" s="206"/>
      <c r="BS367" s="206"/>
      <c r="BT367" s="206"/>
      <c r="BU367" s="206"/>
      <c r="BV367" s="207"/>
      <c r="BW367" s="206"/>
      <c r="BX367" s="206"/>
      <c r="BY367" s="207"/>
      <c r="BZ367" s="207"/>
      <c r="CA367" s="207"/>
      <c r="CB367" s="180"/>
      <c r="CC367" s="178"/>
      <c r="CD367" s="178"/>
      <c r="CE367" s="180"/>
      <c r="CF367" s="180"/>
      <c r="CG367" s="180"/>
      <c r="CH367" s="180"/>
      <c r="CI367" s="178"/>
      <c r="CJ367" s="178"/>
      <c r="CK367" s="180"/>
      <c r="CL367" s="180"/>
      <c r="CM367" s="180"/>
      <c r="CN367" s="116"/>
      <c r="CO367" s="218">
        <f t="shared" si="116"/>
        <v>0.05</v>
      </c>
      <c r="CP367" s="100">
        <f t="shared" si="117"/>
        <v>0.05</v>
      </c>
      <c r="CQ367" s="218">
        <f t="shared" si="118"/>
        <v>0.05</v>
      </c>
      <c r="CR367" s="101">
        <v>0.05</v>
      </c>
      <c r="CS367" s="101">
        <v>0.05</v>
      </c>
      <c r="CZ367" s="123"/>
      <c r="DA367" s="122"/>
      <c r="DB367" s="122"/>
      <c r="DC367" s="123"/>
      <c r="DD367" s="123"/>
      <c r="DE367" s="123"/>
      <c r="DF367" s="122"/>
      <c r="DG367" s="122"/>
      <c r="DH367" s="122"/>
      <c r="DI367" s="122"/>
      <c r="DJ367" s="122"/>
      <c r="DK367" s="123"/>
      <c r="DL367" s="23"/>
      <c r="DM367" s="150"/>
      <c r="DN367" s="150"/>
      <c r="DO367" s="116"/>
    </row>
    <row r="368" spans="58:119" s="101" customFormat="1" ht="18.75" hidden="1" customHeight="1" thickBot="1" x14ac:dyDescent="0.3">
      <c r="BF368" s="168"/>
      <c r="BG368" s="168"/>
      <c r="BH368" s="168"/>
      <c r="BI368" s="203" t="s">
        <v>340</v>
      </c>
      <c r="BJ368" s="190" t="s">
        <v>78</v>
      </c>
      <c r="BK368" s="196">
        <v>137.47</v>
      </c>
      <c r="BL368" s="190" t="s">
        <v>422</v>
      </c>
      <c r="BM368" s="189">
        <v>0.05</v>
      </c>
      <c r="BN368" s="189">
        <v>0.05</v>
      </c>
      <c r="BO368" s="188" t="s">
        <v>77</v>
      </c>
      <c r="BP368" s="206"/>
      <c r="BQ368" s="206"/>
      <c r="BR368" s="206"/>
      <c r="BS368" s="206"/>
      <c r="BT368" s="206"/>
      <c r="BU368" s="206"/>
      <c r="BV368" s="207"/>
      <c r="BW368" s="206"/>
      <c r="BX368" s="206"/>
      <c r="BY368" s="207"/>
      <c r="BZ368" s="207"/>
      <c r="CA368" s="207"/>
      <c r="CB368" s="180"/>
      <c r="CC368" s="178"/>
      <c r="CD368" s="178"/>
      <c r="CE368" s="180"/>
      <c r="CF368" s="180"/>
      <c r="CG368" s="180"/>
      <c r="CH368" s="180"/>
      <c r="CI368" s="178"/>
      <c r="CJ368" s="178"/>
      <c r="CK368" s="180"/>
      <c r="CL368" s="180"/>
      <c r="CM368" s="180"/>
      <c r="CN368" s="116"/>
      <c r="CO368" s="218">
        <f t="shared" si="116"/>
        <v>0.05</v>
      </c>
      <c r="CP368" s="100">
        <f t="shared" si="117"/>
        <v>0.05</v>
      </c>
      <c r="CQ368" s="218">
        <f t="shared" si="118"/>
        <v>0.05</v>
      </c>
      <c r="CR368" s="101">
        <v>0.05</v>
      </c>
      <c r="CS368" s="101">
        <v>0.05</v>
      </c>
      <c r="CZ368" s="123"/>
      <c r="DA368" s="122"/>
      <c r="DB368" s="122"/>
      <c r="DC368" s="123"/>
      <c r="DD368" s="123"/>
      <c r="DE368" s="123"/>
      <c r="DF368" s="122"/>
      <c r="DG368" s="122"/>
      <c r="DH368" s="122"/>
      <c r="DI368" s="122"/>
      <c r="DJ368" s="122"/>
      <c r="DK368" s="123"/>
      <c r="DL368" s="23"/>
      <c r="DM368" s="150"/>
      <c r="DN368" s="150"/>
      <c r="DO368" s="116"/>
    </row>
    <row r="369" spans="58:119" s="101" customFormat="1" ht="18.75" hidden="1" customHeight="1" thickBot="1" x14ac:dyDescent="0.3">
      <c r="BF369" s="168"/>
      <c r="BG369" s="168"/>
      <c r="BH369" s="168"/>
      <c r="BI369" s="203" t="s">
        <v>88</v>
      </c>
      <c r="BJ369" s="190" t="s">
        <v>78</v>
      </c>
      <c r="BK369" s="196">
        <v>75.37</v>
      </c>
      <c r="BL369" s="190" t="s">
        <v>422</v>
      </c>
      <c r="BM369" s="189">
        <v>0.05</v>
      </c>
      <c r="BN369" s="189">
        <v>0.05</v>
      </c>
      <c r="BO369" s="188" t="s">
        <v>77</v>
      </c>
      <c r="BP369" s="206"/>
      <c r="BQ369" s="206"/>
      <c r="BR369" s="206"/>
      <c r="BS369" s="206"/>
      <c r="BT369" s="206"/>
      <c r="BU369" s="206"/>
      <c r="BV369" s="207"/>
      <c r="BW369" s="206"/>
      <c r="BX369" s="206"/>
      <c r="BY369" s="207"/>
      <c r="BZ369" s="207"/>
      <c r="CA369" s="207"/>
      <c r="CB369" s="180"/>
      <c r="CC369" s="178"/>
      <c r="CD369" s="178"/>
      <c r="CE369" s="180"/>
      <c r="CF369" s="180"/>
      <c r="CG369" s="180"/>
      <c r="CH369" s="180"/>
      <c r="CI369" s="178"/>
      <c r="CJ369" s="178"/>
      <c r="CK369" s="180"/>
      <c r="CL369" s="180"/>
      <c r="CM369" s="180"/>
      <c r="CN369" s="116"/>
      <c r="CO369" s="218">
        <f t="shared" si="116"/>
        <v>0.05</v>
      </c>
      <c r="CP369" s="100">
        <f t="shared" si="117"/>
        <v>0.05</v>
      </c>
      <c r="CQ369" s="218">
        <f t="shared" si="118"/>
        <v>0.05</v>
      </c>
      <c r="CR369" s="101">
        <v>0.05</v>
      </c>
      <c r="CS369" s="101">
        <v>0.05</v>
      </c>
      <c r="CZ369" s="123"/>
      <c r="DA369" s="122"/>
      <c r="DB369" s="122"/>
      <c r="DC369" s="123"/>
      <c r="DD369" s="123"/>
      <c r="DE369" s="123"/>
      <c r="DF369" s="122"/>
      <c r="DG369" s="122"/>
      <c r="DH369" s="122"/>
      <c r="DI369" s="122"/>
      <c r="DJ369" s="122"/>
      <c r="DK369" s="123"/>
      <c r="DL369" s="23"/>
      <c r="DM369" s="150"/>
      <c r="DN369" s="150"/>
      <c r="DO369" s="116"/>
    </row>
    <row r="370" spans="58:119" s="101" customFormat="1" ht="18.75" hidden="1" customHeight="1" thickBot="1" x14ac:dyDescent="0.3">
      <c r="BF370" s="168"/>
      <c r="BG370" s="168"/>
      <c r="BH370" s="168"/>
      <c r="BI370" s="203" t="s">
        <v>89</v>
      </c>
      <c r="BJ370" s="190" t="s">
        <v>78</v>
      </c>
      <c r="BK370" s="196">
        <v>130.97999999999999</v>
      </c>
      <c r="BL370" s="190" t="s">
        <v>422</v>
      </c>
      <c r="BM370" s="189">
        <v>0.05</v>
      </c>
      <c r="BN370" s="189">
        <v>0.05</v>
      </c>
      <c r="BO370" s="188" t="s">
        <v>77</v>
      </c>
      <c r="BP370" s="206"/>
      <c r="BQ370" s="206"/>
      <c r="BR370" s="206"/>
      <c r="BS370" s="206"/>
      <c r="BT370" s="206"/>
      <c r="BU370" s="206"/>
      <c r="BV370" s="207"/>
      <c r="BW370" s="206"/>
      <c r="BX370" s="206"/>
      <c r="BY370" s="207"/>
      <c r="BZ370" s="207"/>
      <c r="CA370" s="207"/>
      <c r="CB370" s="180"/>
      <c r="CC370" s="178"/>
      <c r="CD370" s="178"/>
      <c r="CE370" s="180"/>
      <c r="CF370" s="180"/>
      <c r="CG370" s="180"/>
      <c r="CH370" s="180"/>
      <c r="CI370" s="178"/>
      <c r="CJ370" s="178"/>
      <c r="CK370" s="180"/>
      <c r="CL370" s="180"/>
      <c r="CM370" s="180"/>
      <c r="CN370" s="116"/>
      <c r="CO370" s="218">
        <f t="shared" si="116"/>
        <v>0.05</v>
      </c>
      <c r="CP370" s="100">
        <f t="shared" si="117"/>
        <v>0.05</v>
      </c>
      <c r="CQ370" s="218">
        <f t="shared" si="118"/>
        <v>0.05</v>
      </c>
      <c r="CR370" s="101">
        <v>0.05</v>
      </c>
      <c r="CS370" s="101">
        <v>0.05</v>
      </c>
      <c r="CZ370" s="123"/>
      <c r="DA370" s="122"/>
      <c r="DB370" s="122"/>
      <c r="DC370" s="123"/>
      <c r="DD370" s="123"/>
      <c r="DE370" s="123"/>
      <c r="DF370" s="122"/>
      <c r="DG370" s="122"/>
      <c r="DH370" s="122"/>
      <c r="DI370" s="122"/>
      <c r="DJ370" s="122"/>
      <c r="DK370" s="123"/>
      <c r="DL370" s="23"/>
      <c r="DM370" s="150"/>
      <c r="DN370" s="150"/>
      <c r="DO370" s="116"/>
    </row>
    <row r="371" spans="58:119" s="101" customFormat="1" ht="18.75" hidden="1" customHeight="1" thickBot="1" x14ac:dyDescent="0.3">
      <c r="BF371" s="168"/>
      <c r="BG371" s="168"/>
      <c r="BH371" s="168"/>
      <c r="BI371" s="203" t="s">
        <v>90</v>
      </c>
      <c r="BJ371" s="190" t="s">
        <v>78</v>
      </c>
      <c r="BK371" s="196">
        <v>79.5</v>
      </c>
      <c r="BL371" s="190" t="s">
        <v>422</v>
      </c>
      <c r="BM371" s="189">
        <v>0.05</v>
      </c>
      <c r="BN371" s="189">
        <v>0.05</v>
      </c>
      <c r="BO371" s="188" t="s">
        <v>77</v>
      </c>
      <c r="BP371" s="206"/>
      <c r="BQ371" s="206"/>
      <c r="BR371" s="206"/>
      <c r="BS371" s="206"/>
      <c r="BT371" s="206"/>
      <c r="BU371" s="206"/>
      <c r="BV371" s="207"/>
      <c r="BW371" s="206"/>
      <c r="BX371" s="206"/>
      <c r="BY371" s="207"/>
      <c r="BZ371" s="207"/>
      <c r="CA371" s="207"/>
      <c r="CB371" s="180"/>
      <c r="CC371" s="178"/>
      <c r="CD371" s="178"/>
      <c r="CE371" s="180"/>
      <c r="CF371" s="180"/>
      <c r="CG371" s="180"/>
      <c r="CH371" s="180"/>
      <c r="CI371" s="178"/>
      <c r="CJ371" s="178"/>
      <c r="CK371" s="180"/>
      <c r="CL371" s="180"/>
      <c r="CM371" s="180"/>
      <c r="CN371" s="116"/>
      <c r="CO371" s="218">
        <f t="shared" si="116"/>
        <v>0.05</v>
      </c>
      <c r="CP371" s="100">
        <f t="shared" si="117"/>
        <v>0.05</v>
      </c>
      <c r="CQ371" s="218">
        <f t="shared" si="118"/>
        <v>0.05</v>
      </c>
      <c r="CR371" s="101">
        <v>0.05</v>
      </c>
      <c r="CS371" s="101">
        <v>0.05</v>
      </c>
      <c r="CZ371" s="123"/>
      <c r="DA371" s="122"/>
      <c r="DB371" s="122"/>
      <c r="DC371" s="123"/>
      <c r="DD371" s="123"/>
      <c r="DE371" s="123"/>
      <c r="DF371" s="122"/>
      <c r="DG371" s="122"/>
      <c r="DH371" s="122"/>
      <c r="DI371" s="122"/>
      <c r="DJ371" s="122"/>
      <c r="DK371" s="123"/>
      <c r="DL371" s="23"/>
      <c r="DM371" s="150"/>
      <c r="DN371" s="150"/>
      <c r="DO371" s="116"/>
    </row>
    <row r="372" spans="58:119" s="101" customFormat="1" ht="18.75" hidden="1" customHeight="1" thickBot="1" x14ac:dyDescent="0.3">
      <c r="BF372" s="168"/>
      <c r="BG372" s="168"/>
      <c r="BH372" s="168"/>
      <c r="BI372" s="203" t="s">
        <v>91</v>
      </c>
      <c r="BJ372" s="190" t="s">
        <v>78</v>
      </c>
      <c r="BK372" s="196">
        <v>73.42</v>
      </c>
      <c r="BL372" s="190" t="s">
        <v>422</v>
      </c>
      <c r="BM372" s="189">
        <v>0.05</v>
      </c>
      <c r="BN372" s="189">
        <v>0.05</v>
      </c>
      <c r="BO372" s="188" t="s">
        <v>77</v>
      </c>
      <c r="BP372" s="206"/>
      <c r="BQ372" s="206"/>
      <c r="BR372" s="206"/>
      <c r="BS372" s="206"/>
      <c r="BT372" s="206"/>
      <c r="BU372" s="206"/>
      <c r="BV372" s="207"/>
      <c r="BW372" s="206"/>
      <c r="BX372" s="206"/>
      <c r="BY372" s="207"/>
      <c r="BZ372" s="207"/>
      <c r="CA372" s="207"/>
      <c r="CB372" s="180"/>
      <c r="CC372" s="178"/>
      <c r="CD372" s="178"/>
      <c r="CE372" s="180"/>
      <c r="CF372" s="180"/>
      <c r="CG372" s="180"/>
      <c r="CH372" s="180"/>
      <c r="CI372" s="178"/>
      <c r="CJ372" s="178"/>
      <c r="CK372" s="180"/>
      <c r="CL372" s="180"/>
      <c r="CM372" s="180"/>
      <c r="CN372" s="116"/>
      <c r="CO372" s="218">
        <f t="shared" si="116"/>
        <v>0.05</v>
      </c>
      <c r="CP372" s="100">
        <f t="shared" si="117"/>
        <v>0.05</v>
      </c>
      <c r="CQ372" s="218">
        <f t="shared" si="118"/>
        <v>0.05</v>
      </c>
      <c r="CR372" s="101">
        <v>0.05</v>
      </c>
      <c r="CS372" s="101">
        <v>0.05</v>
      </c>
      <c r="CZ372" s="123"/>
      <c r="DA372" s="122"/>
      <c r="DB372" s="122"/>
      <c r="DC372" s="123"/>
      <c r="DD372" s="123"/>
      <c r="DE372" s="123"/>
      <c r="DF372" s="122"/>
      <c r="DG372" s="122"/>
      <c r="DH372" s="122"/>
      <c r="DI372" s="122"/>
      <c r="DJ372" s="122"/>
      <c r="DK372" s="123"/>
      <c r="DL372" s="23"/>
      <c r="DM372" s="150"/>
      <c r="DN372" s="150"/>
      <c r="DO372" s="116"/>
    </row>
    <row r="373" spans="58:119" s="101" customFormat="1" ht="18.75" hidden="1" customHeight="1" thickBot="1" x14ac:dyDescent="0.3">
      <c r="BF373" s="168"/>
      <c r="BG373" s="168"/>
      <c r="BH373" s="168"/>
      <c r="BI373" s="203" t="s">
        <v>332</v>
      </c>
      <c r="BJ373" s="190" t="s">
        <v>78</v>
      </c>
      <c r="BK373" s="196">
        <v>131.06</v>
      </c>
      <c r="BL373" s="190" t="s">
        <v>422</v>
      </c>
      <c r="BM373" s="189">
        <v>0.05</v>
      </c>
      <c r="BN373" s="189">
        <v>0.05</v>
      </c>
      <c r="BO373" s="188" t="s">
        <v>77</v>
      </c>
      <c r="BP373" s="206"/>
      <c r="BQ373" s="206"/>
      <c r="BR373" s="206"/>
      <c r="BS373" s="206"/>
      <c r="BT373" s="206"/>
      <c r="BU373" s="206"/>
      <c r="BV373" s="207"/>
      <c r="BW373" s="206"/>
      <c r="BX373" s="206"/>
      <c r="BY373" s="207"/>
      <c r="BZ373" s="207"/>
      <c r="CA373" s="207"/>
      <c r="CB373" s="180"/>
      <c r="CC373" s="178"/>
      <c r="CD373" s="178"/>
      <c r="CE373" s="180"/>
      <c r="CF373" s="180"/>
      <c r="CG373" s="180"/>
      <c r="CH373" s="180"/>
      <c r="CI373" s="178"/>
      <c r="CJ373" s="178"/>
      <c r="CK373" s="180"/>
      <c r="CL373" s="180"/>
      <c r="CM373" s="180"/>
      <c r="CN373" s="116"/>
      <c r="CO373" s="218">
        <f t="shared" si="116"/>
        <v>0.05</v>
      </c>
      <c r="CP373" s="100">
        <f t="shared" si="117"/>
        <v>0.05</v>
      </c>
      <c r="CQ373" s="218">
        <f t="shared" si="118"/>
        <v>0.05</v>
      </c>
      <c r="CR373" s="101">
        <v>0.05</v>
      </c>
      <c r="CS373" s="101">
        <v>0.05</v>
      </c>
      <c r="CZ373" s="123"/>
      <c r="DA373" s="122"/>
      <c r="DB373" s="122"/>
      <c r="DC373" s="123"/>
      <c r="DD373" s="123"/>
      <c r="DE373" s="123"/>
      <c r="DF373" s="122"/>
      <c r="DG373" s="122"/>
      <c r="DH373" s="122"/>
      <c r="DI373" s="122"/>
      <c r="DJ373" s="122"/>
      <c r="DK373" s="123"/>
      <c r="DL373" s="23"/>
      <c r="DM373" s="150"/>
      <c r="DN373" s="150"/>
      <c r="DO373" s="116"/>
    </row>
    <row r="374" spans="58:119" s="101" customFormat="1" ht="18.75" hidden="1" customHeight="1" thickBot="1" x14ac:dyDescent="0.3">
      <c r="BF374" s="168"/>
      <c r="BG374" s="168"/>
      <c r="BH374" s="168"/>
      <c r="BI374" s="203" t="s">
        <v>92</v>
      </c>
      <c r="BJ374" s="190" t="s">
        <v>78</v>
      </c>
      <c r="BK374" s="196">
        <v>196.94</v>
      </c>
      <c r="BL374" s="190" t="s">
        <v>422</v>
      </c>
      <c r="BM374" s="189">
        <v>0.05</v>
      </c>
      <c r="BN374" s="189">
        <v>0.05</v>
      </c>
      <c r="BO374" s="188" t="s">
        <v>77</v>
      </c>
      <c r="BP374" s="206"/>
      <c r="BQ374" s="206"/>
      <c r="BR374" s="206"/>
      <c r="BS374" s="206"/>
      <c r="BT374" s="206"/>
      <c r="BU374" s="206"/>
      <c r="BV374" s="207"/>
      <c r="BW374" s="206"/>
      <c r="BX374" s="206"/>
      <c r="BY374" s="207"/>
      <c r="BZ374" s="207"/>
      <c r="CA374" s="207"/>
      <c r="CB374" s="180"/>
      <c r="CC374" s="178"/>
      <c r="CD374" s="178"/>
      <c r="CE374" s="180"/>
      <c r="CF374" s="180"/>
      <c r="CG374" s="180"/>
      <c r="CH374" s="180"/>
      <c r="CI374" s="178"/>
      <c r="CJ374" s="178"/>
      <c r="CK374" s="180"/>
      <c r="CL374" s="180"/>
      <c r="CM374" s="180"/>
      <c r="CN374" s="116"/>
      <c r="CO374" s="218">
        <f t="shared" si="116"/>
        <v>0.05</v>
      </c>
      <c r="CP374" s="100">
        <f t="shared" si="117"/>
        <v>0.05</v>
      </c>
      <c r="CQ374" s="218">
        <f t="shared" si="118"/>
        <v>0.05</v>
      </c>
      <c r="CR374" s="101">
        <v>0.05</v>
      </c>
      <c r="CS374" s="101">
        <v>0.05</v>
      </c>
      <c r="CZ374" s="123"/>
      <c r="DA374" s="122"/>
      <c r="DB374" s="122"/>
      <c r="DC374" s="123"/>
      <c r="DD374" s="123"/>
      <c r="DE374" s="123"/>
      <c r="DF374" s="122"/>
      <c r="DG374" s="122"/>
      <c r="DH374" s="122"/>
      <c r="DI374" s="122"/>
      <c r="DJ374" s="122"/>
      <c r="DK374" s="123"/>
      <c r="DL374" s="23"/>
      <c r="DM374" s="150"/>
      <c r="DN374" s="150"/>
      <c r="DO374" s="116"/>
    </row>
    <row r="375" spans="58:119" s="101" customFormat="1" ht="18.75" hidden="1" customHeight="1" thickBot="1" x14ac:dyDescent="0.3">
      <c r="BF375" s="168"/>
      <c r="BG375" s="168"/>
      <c r="BH375" s="168"/>
      <c r="BI375" s="203" t="s">
        <v>331</v>
      </c>
      <c r="BJ375" s="190" t="s">
        <v>78</v>
      </c>
      <c r="BK375" s="196">
        <v>188.24</v>
      </c>
      <c r="BL375" s="190" t="s">
        <v>422</v>
      </c>
      <c r="BM375" s="189">
        <v>0.05</v>
      </c>
      <c r="BN375" s="189">
        <v>0.05</v>
      </c>
      <c r="BO375" s="188" t="s">
        <v>77</v>
      </c>
      <c r="BP375" s="206"/>
      <c r="BQ375" s="206"/>
      <c r="BR375" s="206"/>
      <c r="BS375" s="206"/>
      <c r="BT375" s="206"/>
      <c r="BU375" s="206"/>
      <c r="BV375" s="207"/>
      <c r="BW375" s="206"/>
      <c r="BX375" s="206"/>
      <c r="BY375" s="207"/>
      <c r="BZ375" s="207"/>
      <c r="CA375" s="207"/>
      <c r="CB375" s="180"/>
      <c r="CC375" s="178"/>
      <c r="CD375" s="178"/>
      <c r="CE375" s="180"/>
      <c r="CF375" s="180"/>
      <c r="CG375" s="180"/>
      <c r="CH375" s="180"/>
      <c r="CI375" s="178"/>
      <c r="CJ375" s="178"/>
      <c r="CK375" s="180"/>
      <c r="CL375" s="180"/>
      <c r="CM375" s="180"/>
      <c r="CN375" s="116"/>
      <c r="CO375" s="218">
        <f t="shared" si="116"/>
        <v>0.05</v>
      </c>
      <c r="CP375" s="100">
        <f t="shared" si="117"/>
        <v>0.05</v>
      </c>
      <c r="CQ375" s="218">
        <f t="shared" si="118"/>
        <v>0.05</v>
      </c>
      <c r="CR375" s="101">
        <v>0.05</v>
      </c>
      <c r="CS375" s="101">
        <v>0.05</v>
      </c>
      <c r="CZ375" s="123"/>
      <c r="DA375" s="122"/>
      <c r="DB375" s="122"/>
      <c r="DC375" s="123"/>
      <c r="DD375" s="123"/>
      <c r="DE375" s="123"/>
      <c r="DF375" s="122"/>
      <c r="DG375" s="122"/>
      <c r="DH375" s="122"/>
      <c r="DI375" s="122"/>
      <c r="DJ375" s="122"/>
      <c r="DK375" s="123"/>
      <c r="DL375" s="23"/>
      <c r="DM375" s="150"/>
      <c r="DN375" s="150"/>
      <c r="DO375" s="116"/>
    </row>
    <row r="376" spans="58:119" s="101" customFormat="1" ht="18.75" hidden="1" customHeight="1" thickBot="1" x14ac:dyDescent="0.3">
      <c r="BF376" s="168"/>
      <c r="BG376" s="168"/>
      <c r="BH376" s="168"/>
      <c r="BI376" s="203" t="s">
        <v>305</v>
      </c>
      <c r="BJ376" s="190" t="s">
        <v>78</v>
      </c>
      <c r="BK376" s="196">
        <v>166.07</v>
      </c>
      <c r="BL376" s="190" t="s">
        <v>422</v>
      </c>
      <c r="BM376" s="189">
        <v>0.05</v>
      </c>
      <c r="BN376" s="189">
        <v>0.05</v>
      </c>
      <c r="BO376" s="188" t="s">
        <v>77</v>
      </c>
      <c r="BP376" s="206"/>
      <c r="BQ376" s="206"/>
      <c r="BR376" s="206"/>
      <c r="BS376" s="206"/>
      <c r="BT376" s="206"/>
      <c r="BU376" s="206"/>
      <c r="BV376" s="207"/>
      <c r="BW376" s="206"/>
      <c r="BX376" s="206"/>
      <c r="BY376" s="207"/>
      <c r="BZ376" s="207"/>
      <c r="CA376" s="207"/>
      <c r="CB376" s="180"/>
      <c r="CC376" s="178"/>
      <c r="CD376" s="178"/>
      <c r="CE376" s="180"/>
      <c r="CF376" s="180"/>
      <c r="CG376" s="180"/>
      <c r="CH376" s="180"/>
      <c r="CI376" s="178"/>
      <c r="CJ376" s="178"/>
      <c r="CK376" s="180"/>
      <c r="CL376" s="180"/>
      <c r="CM376" s="180"/>
      <c r="CN376" s="116"/>
      <c r="CO376" s="218">
        <f t="shared" si="116"/>
        <v>0.05</v>
      </c>
      <c r="CP376" s="100">
        <f t="shared" si="117"/>
        <v>0.05</v>
      </c>
      <c r="CQ376" s="218">
        <f t="shared" si="118"/>
        <v>0.05</v>
      </c>
      <c r="CR376" s="101">
        <v>0.05</v>
      </c>
      <c r="CS376" s="101">
        <v>0.05</v>
      </c>
      <c r="CZ376" s="123"/>
      <c r="DA376" s="122"/>
      <c r="DB376" s="122"/>
      <c r="DC376" s="123"/>
      <c r="DD376" s="123"/>
      <c r="DE376" s="123"/>
      <c r="DF376" s="122"/>
      <c r="DG376" s="122"/>
      <c r="DH376" s="122"/>
      <c r="DI376" s="122"/>
      <c r="DJ376" s="122"/>
      <c r="DK376" s="123"/>
      <c r="DL376" s="23"/>
      <c r="DM376" s="150"/>
      <c r="DN376" s="150"/>
      <c r="DO376" s="116"/>
    </row>
    <row r="377" spans="58:119" s="101" customFormat="1" ht="18.75" hidden="1" customHeight="1" thickBot="1" x14ac:dyDescent="0.3">
      <c r="BF377" s="168"/>
      <c r="BG377" s="168"/>
      <c r="BH377" s="168"/>
      <c r="BI377" s="203" t="s">
        <v>93</v>
      </c>
      <c r="BJ377" s="190" t="s">
        <v>78</v>
      </c>
      <c r="BK377" s="196">
        <v>176.09</v>
      </c>
      <c r="BL377" s="190" t="s">
        <v>422</v>
      </c>
      <c r="BM377" s="189">
        <v>0.05</v>
      </c>
      <c r="BN377" s="189">
        <v>0.05</v>
      </c>
      <c r="BO377" s="188" t="s">
        <v>77</v>
      </c>
      <c r="BP377" s="206"/>
      <c r="BQ377" s="206"/>
      <c r="BR377" s="206"/>
      <c r="BS377" s="206"/>
      <c r="BT377" s="206"/>
      <c r="BU377" s="206"/>
      <c r="BV377" s="207"/>
      <c r="BW377" s="206"/>
      <c r="BX377" s="206"/>
      <c r="BY377" s="207"/>
      <c r="BZ377" s="207"/>
      <c r="CA377" s="207"/>
      <c r="CB377" s="180"/>
      <c r="CC377" s="178"/>
      <c r="CD377" s="178"/>
      <c r="CE377" s="180"/>
      <c r="CF377" s="180"/>
      <c r="CG377" s="180"/>
      <c r="CH377" s="180"/>
      <c r="CI377" s="178"/>
      <c r="CJ377" s="178"/>
      <c r="CK377" s="180"/>
      <c r="CL377" s="180"/>
      <c r="CM377" s="180"/>
      <c r="CN377" s="116"/>
      <c r="CO377" s="218">
        <f t="shared" si="116"/>
        <v>0.05</v>
      </c>
      <c r="CP377" s="100">
        <f t="shared" si="117"/>
        <v>0.05</v>
      </c>
      <c r="CQ377" s="218">
        <f t="shared" si="118"/>
        <v>0.05</v>
      </c>
      <c r="CR377" s="101">
        <v>0.05</v>
      </c>
      <c r="CS377" s="101">
        <v>0.05</v>
      </c>
      <c r="CZ377" s="123"/>
      <c r="DA377" s="122"/>
      <c r="DB377" s="122"/>
      <c r="DC377" s="123"/>
      <c r="DD377" s="123"/>
      <c r="DE377" s="123"/>
      <c r="DF377" s="122"/>
      <c r="DG377" s="122"/>
      <c r="DH377" s="122"/>
      <c r="DI377" s="122"/>
      <c r="DJ377" s="122"/>
      <c r="DK377" s="123"/>
      <c r="DL377" s="23"/>
      <c r="DM377" s="150"/>
      <c r="DN377" s="150"/>
      <c r="DO377" s="116"/>
    </row>
    <row r="378" spans="58:119" s="101" customFormat="1" ht="18.75" hidden="1" customHeight="1" thickBot="1" x14ac:dyDescent="0.3">
      <c r="BF378" s="168"/>
      <c r="BG378" s="168"/>
      <c r="BH378" s="168"/>
      <c r="BI378" s="203" t="s">
        <v>94</v>
      </c>
      <c r="BJ378" s="190" t="s">
        <v>78</v>
      </c>
      <c r="BK378" s="196">
        <v>162.44</v>
      </c>
      <c r="BL378" s="190" t="s">
        <v>422</v>
      </c>
      <c r="BM378" s="189">
        <v>0.05</v>
      </c>
      <c r="BN378" s="189">
        <v>0.05</v>
      </c>
      <c r="BO378" s="188" t="s">
        <v>77</v>
      </c>
      <c r="BP378" s="206"/>
      <c r="BQ378" s="206"/>
      <c r="BR378" s="206"/>
      <c r="BS378" s="206"/>
      <c r="BT378" s="206"/>
      <c r="BU378" s="206"/>
      <c r="BV378" s="207"/>
      <c r="BW378" s="206"/>
      <c r="BX378" s="206"/>
      <c r="BY378" s="207"/>
      <c r="BZ378" s="207"/>
      <c r="CA378" s="207"/>
      <c r="CB378" s="180"/>
      <c r="CC378" s="178"/>
      <c r="CD378" s="178"/>
      <c r="CE378" s="180"/>
      <c r="CF378" s="180"/>
      <c r="CG378" s="180"/>
      <c r="CH378" s="180"/>
      <c r="CI378" s="178"/>
      <c r="CJ378" s="178"/>
      <c r="CK378" s="180"/>
      <c r="CL378" s="180"/>
      <c r="CM378" s="180"/>
      <c r="CN378" s="116"/>
      <c r="CO378" s="218">
        <f t="shared" si="116"/>
        <v>0.05</v>
      </c>
      <c r="CP378" s="100">
        <f t="shared" si="117"/>
        <v>0.05</v>
      </c>
      <c r="CQ378" s="218">
        <f t="shared" si="118"/>
        <v>0.05</v>
      </c>
      <c r="CR378" s="101">
        <v>0.05</v>
      </c>
      <c r="CS378" s="101">
        <v>0.05</v>
      </c>
      <c r="CZ378" s="123"/>
      <c r="DA378" s="122"/>
      <c r="DB378" s="122"/>
      <c r="DC378" s="123"/>
      <c r="DD378" s="123"/>
      <c r="DE378" s="123"/>
      <c r="DF378" s="122"/>
      <c r="DG378" s="122"/>
      <c r="DH378" s="122"/>
      <c r="DI378" s="122"/>
      <c r="DJ378" s="122"/>
      <c r="DK378" s="123"/>
      <c r="DL378" s="23"/>
      <c r="DM378" s="150"/>
      <c r="DN378" s="150"/>
      <c r="DO378" s="116"/>
    </row>
    <row r="379" spans="58:119" s="101" customFormat="1" ht="18.75" hidden="1" customHeight="1" thickBot="1" x14ac:dyDescent="0.3">
      <c r="BF379" s="168"/>
      <c r="BG379" s="168"/>
      <c r="BH379" s="168"/>
      <c r="BI379" s="203" t="s">
        <v>95</v>
      </c>
      <c r="BJ379" s="190" t="s">
        <v>78</v>
      </c>
      <c r="BK379" s="196">
        <v>39.6</v>
      </c>
      <c r="BL379" s="190" t="s">
        <v>422</v>
      </c>
      <c r="BM379" s="189">
        <v>0.05</v>
      </c>
      <c r="BN379" s="189">
        <v>0.05</v>
      </c>
      <c r="BO379" s="188" t="s">
        <v>77</v>
      </c>
      <c r="BP379" s="206"/>
      <c r="BQ379" s="206"/>
      <c r="BR379" s="206"/>
      <c r="BS379" s="206"/>
      <c r="BT379" s="206"/>
      <c r="BU379" s="206"/>
      <c r="BV379" s="207"/>
      <c r="BW379" s="206"/>
      <c r="BX379" s="206"/>
      <c r="BY379" s="207"/>
      <c r="BZ379" s="207"/>
      <c r="CA379" s="207"/>
      <c r="CB379" s="180"/>
      <c r="CC379" s="178"/>
      <c r="CD379" s="178"/>
      <c r="CE379" s="180"/>
      <c r="CF379" s="180"/>
      <c r="CG379" s="180"/>
      <c r="CH379" s="180"/>
      <c r="CI379" s="178"/>
      <c r="CJ379" s="178"/>
      <c r="CK379" s="180"/>
      <c r="CL379" s="180"/>
      <c r="CM379" s="180"/>
      <c r="CN379" s="116"/>
      <c r="CO379" s="218">
        <f t="shared" si="116"/>
        <v>0.05</v>
      </c>
      <c r="CP379" s="100">
        <f t="shared" si="117"/>
        <v>0.05</v>
      </c>
      <c r="CQ379" s="218">
        <f t="shared" si="118"/>
        <v>0.05</v>
      </c>
      <c r="CR379" s="101">
        <v>0.05</v>
      </c>
      <c r="CS379" s="101">
        <v>0.05</v>
      </c>
      <c r="CZ379" s="123"/>
      <c r="DA379" s="122"/>
      <c r="DB379" s="122"/>
      <c r="DC379" s="123"/>
      <c r="DD379" s="123"/>
      <c r="DE379" s="123"/>
      <c r="DF379" s="122"/>
      <c r="DG379" s="122"/>
      <c r="DH379" s="122"/>
      <c r="DI379" s="122"/>
      <c r="DJ379" s="122"/>
      <c r="DK379" s="123"/>
      <c r="DL379" s="23"/>
      <c r="DM379" s="150"/>
      <c r="DN379" s="150"/>
      <c r="DO379" s="116"/>
    </row>
    <row r="380" spans="58:119" s="101" customFormat="1" ht="18.75" hidden="1" customHeight="1" thickBot="1" x14ac:dyDescent="0.3">
      <c r="BF380" s="168"/>
      <c r="BG380" s="168"/>
      <c r="BH380" s="168"/>
      <c r="BI380" s="203" t="s">
        <v>96</v>
      </c>
      <c r="BJ380" s="190" t="s">
        <v>78</v>
      </c>
      <c r="BK380" s="196">
        <v>83.35</v>
      </c>
      <c r="BL380" s="190" t="s">
        <v>422</v>
      </c>
      <c r="BM380" s="189">
        <v>0.05</v>
      </c>
      <c r="BN380" s="189">
        <v>0.05</v>
      </c>
      <c r="BO380" s="188" t="s">
        <v>77</v>
      </c>
      <c r="BP380" s="206"/>
      <c r="BQ380" s="206"/>
      <c r="BR380" s="206"/>
      <c r="BS380" s="206"/>
      <c r="BT380" s="206"/>
      <c r="BU380" s="206"/>
      <c r="BV380" s="207"/>
      <c r="BW380" s="206"/>
      <c r="BX380" s="206"/>
      <c r="BY380" s="207"/>
      <c r="BZ380" s="207"/>
      <c r="CA380" s="207"/>
      <c r="CB380" s="180"/>
      <c r="CC380" s="178"/>
      <c r="CD380" s="178"/>
      <c r="CE380" s="180"/>
      <c r="CF380" s="180"/>
      <c r="CG380" s="180"/>
      <c r="CH380" s="180"/>
      <c r="CI380" s="178"/>
      <c r="CJ380" s="178"/>
      <c r="CK380" s="180"/>
      <c r="CL380" s="180"/>
      <c r="CM380" s="180"/>
      <c r="CN380" s="116"/>
      <c r="CO380" s="218">
        <f t="shared" si="116"/>
        <v>0.05</v>
      </c>
      <c r="CP380" s="100">
        <f t="shared" si="117"/>
        <v>0.05</v>
      </c>
      <c r="CQ380" s="218">
        <f t="shared" si="118"/>
        <v>0.05</v>
      </c>
      <c r="CR380" s="101">
        <v>0.05</v>
      </c>
      <c r="CS380" s="101">
        <v>0.05</v>
      </c>
      <c r="CZ380" s="123"/>
      <c r="DA380" s="122"/>
      <c r="DB380" s="122"/>
      <c r="DC380" s="123"/>
      <c r="DD380" s="123"/>
      <c r="DE380" s="123"/>
      <c r="DF380" s="122"/>
      <c r="DG380" s="122"/>
      <c r="DH380" s="122"/>
      <c r="DI380" s="122"/>
      <c r="DJ380" s="122"/>
      <c r="DK380" s="123"/>
      <c r="DL380" s="23"/>
      <c r="DM380" s="150"/>
      <c r="DN380" s="150"/>
      <c r="DO380" s="116"/>
    </row>
    <row r="381" spans="58:119" s="101" customFormat="1" ht="15.75" hidden="1" customHeight="1" thickBot="1" x14ac:dyDescent="0.3">
      <c r="BF381" s="168"/>
      <c r="BG381" s="168"/>
      <c r="BH381" s="168"/>
      <c r="BI381" s="203" t="s">
        <v>350</v>
      </c>
      <c r="BJ381" s="203" t="s">
        <v>632</v>
      </c>
      <c r="BK381" s="196">
        <v>1.05</v>
      </c>
      <c r="BL381" s="203" t="s">
        <v>633</v>
      </c>
      <c r="BM381" s="208">
        <v>0.05</v>
      </c>
      <c r="BN381" s="208">
        <v>0.05</v>
      </c>
      <c r="BO381" s="203" t="s">
        <v>351</v>
      </c>
      <c r="BP381" s="206"/>
      <c r="BQ381" s="206"/>
      <c r="BR381" s="206"/>
      <c r="BS381" s="206"/>
      <c r="BT381" s="206"/>
      <c r="BU381" s="206"/>
      <c r="BV381" s="207"/>
      <c r="BW381" s="206"/>
      <c r="BX381" s="206"/>
      <c r="BY381" s="207"/>
      <c r="BZ381" s="207"/>
      <c r="CA381" s="207"/>
      <c r="CB381" s="180"/>
      <c r="CC381" s="178"/>
      <c r="CD381" s="178"/>
      <c r="CE381" s="180"/>
      <c r="CF381" s="180"/>
      <c r="CG381" s="180"/>
      <c r="CH381" s="180"/>
      <c r="CI381" s="178"/>
      <c r="CJ381" s="178"/>
      <c r="CK381" s="180"/>
      <c r="CL381" s="180"/>
      <c r="CM381" s="180"/>
      <c r="CN381" s="116"/>
      <c r="CO381" s="218">
        <f t="shared" si="116"/>
        <v>0.05</v>
      </c>
      <c r="CP381" s="100">
        <f t="shared" si="117"/>
        <v>0.05</v>
      </c>
      <c r="CQ381" s="218">
        <f t="shared" si="118"/>
        <v>0.05</v>
      </c>
      <c r="CR381" s="101">
        <v>0.05</v>
      </c>
      <c r="CS381" s="101">
        <v>0.05</v>
      </c>
      <c r="CZ381" s="123"/>
      <c r="DA381" s="122"/>
      <c r="DB381" s="122"/>
      <c r="DC381" s="123"/>
      <c r="DD381" s="123"/>
      <c r="DE381" s="123"/>
      <c r="DF381" s="122"/>
      <c r="DG381" s="122"/>
      <c r="DH381" s="122"/>
      <c r="DI381" s="122"/>
      <c r="DJ381" s="122"/>
      <c r="DK381" s="123"/>
      <c r="DL381" s="23"/>
      <c r="DM381" s="150"/>
      <c r="DN381" s="150"/>
      <c r="DO381" s="116"/>
    </row>
    <row r="382" spans="58:119" s="101" customFormat="1" ht="26.25" hidden="1" customHeight="1" thickBot="1" x14ac:dyDescent="0.3">
      <c r="BF382" s="168"/>
      <c r="BG382" s="168"/>
      <c r="BH382" s="168"/>
      <c r="BI382" s="203" t="s">
        <v>352</v>
      </c>
      <c r="BJ382" s="203" t="s">
        <v>632</v>
      </c>
      <c r="BK382" s="196">
        <v>1.44E-2</v>
      </c>
      <c r="BL382" s="203" t="s">
        <v>633</v>
      </c>
      <c r="BM382" s="208">
        <v>0.05</v>
      </c>
      <c r="BN382" s="208">
        <v>0.05</v>
      </c>
      <c r="BO382" s="203" t="s">
        <v>353</v>
      </c>
      <c r="BP382" s="206"/>
      <c r="BQ382" s="206"/>
      <c r="BR382" s="206"/>
      <c r="BS382" s="206"/>
      <c r="BT382" s="206"/>
      <c r="BU382" s="206"/>
      <c r="BV382" s="207"/>
      <c r="BW382" s="206"/>
      <c r="BX382" s="206"/>
      <c r="BY382" s="207"/>
      <c r="BZ382" s="207"/>
      <c r="CA382" s="207"/>
      <c r="CB382" s="180"/>
      <c r="CC382" s="178"/>
      <c r="CD382" s="178"/>
      <c r="CE382" s="180"/>
      <c r="CF382" s="180"/>
      <c r="CG382" s="180"/>
      <c r="CH382" s="180"/>
      <c r="CI382" s="178"/>
      <c r="CJ382" s="178"/>
      <c r="CK382" s="180"/>
      <c r="CL382" s="180"/>
      <c r="CM382" s="180"/>
      <c r="CN382" s="116"/>
      <c r="CO382" s="218">
        <f t="shared" si="116"/>
        <v>0.05</v>
      </c>
      <c r="CP382" s="100">
        <f t="shared" si="117"/>
        <v>0.05</v>
      </c>
      <c r="CQ382" s="218">
        <f t="shared" si="118"/>
        <v>0.05</v>
      </c>
      <c r="CR382" s="101">
        <v>0.05</v>
      </c>
      <c r="CS382" s="101">
        <v>0.05</v>
      </c>
      <c r="CZ382" s="123"/>
      <c r="DA382" s="122"/>
      <c r="DB382" s="122"/>
      <c r="DC382" s="123"/>
      <c r="DD382" s="123"/>
      <c r="DE382" s="123"/>
      <c r="DF382" s="122"/>
      <c r="DG382" s="122"/>
      <c r="DH382" s="122"/>
      <c r="DI382" s="122"/>
      <c r="DJ382" s="122"/>
      <c r="DK382" s="123"/>
      <c r="DL382" s="23"/>
      <c r="DM382" s="150"/>
      <c r="DN382" s="150"/>
      <c r="DO382" s="116"/>
    </row>
    <row r="383" spans="58:119" s="101" customFormat="1" ht="15.75" hidden="1" customHeight="1" thickBot="1" x14ac:dyDescent="0.3">
      <c r="BF383" s="168"/>
      <c r="BG383" s="168"/>
      <c r="BH383" s="168"/>
      <c r="BI383" s="203" t="s">
        <v>354</v>
      </c>
      <c r="BJ383" s="203" t="s">
        <v>632</v>
      </c>
      <c r="BK383" s="196">
        <v>7.8200000000000006E-2</v>
      </c>
      <c r="BL383" s="203" t="s">
        <v>633</v>
      </c>
      <c r="BM383" s="208">
        <v>0.05</v>
      </c>
      <c r="BN383" s="208">
        <v>0.05</v>
      </c>
      <c r="BO383" s="203" t="s">
        <v>355</v>
      </c>
      <c r="BP383" s="206"/>
      <c r="BQ383" s="206"/>
      <c r="BR383" s="206"/>
      <c r="BS383" s="206"/>
      <c r="BT383" s="206"/>
      <c r="BU383" s="206"/>
      <c r="BV383" s="207"/>
      <c r="BW383" s="206"/>
      <c r="BX383" s="206"/>
      <c r="BY383" s="207"/>
      <c r="BZ383" s="207"/>
      <c r="CA383" s="207"/>
      <c r="CB383" s="180"/>
      <c r="CC383" s="178"/>
      <c r="CD383" s="178"/>
      <c r="CE383" s="180"/>
      <c r="CF383" s="180"/>
      <c r="CG383" s="180"/>
      <c r="CH383" s="180"/>
      <c r="CI383" s="178"/>
      <c r="CJ383" s="178"/>
      <c r="CK383" s="180"/>
      <c r="CL383" s="180"/>
      <c r="CM383" s="180"/>
      <c r="CN383" s="116"/>
      <c r="CO383" s="218">
        <f t="shared" si="116"/>
        <v>0.05</v>
      </c>
      <c r="CP383" s="100">
        <f t="shared" si="117"/>
        <v>0.05</v>
      </c>
      <c r="CQ383" s="218">
        <f t="shared" si="118"/>
        <v>0.05</v>
      </c>
      <c r="CR383" s="101">
        <v>0.05</v>
      </c>
      <c r="CS383" s="101">
        <v>0.05</v>
      </c>
      <c r="CZ383" s="123"/>
      <c r="DA383" s="122"/>
      <c r="DB383" s="122"/>
      <c r="DC383" s="123"/>
      <c r="DD383" s="123"/>
      <c r="DE383" s="123"/>
      <c r="DF383" s="122"/>
      <c r="DG383" s="122"/>
      <c r="DH383" s="122"/>
      <c r="DI383" s="122"/>
      <c r="DJ383" s="122"/>
      <c r="DK383" s="123"/>
      <c r="DL383" s="23"/>
      <c r="DM383" s="150"/>
      <c r="DN383" s="150"/>
      <c r="DO383" s="116"/>
    </row>
    <row r="384" spans="58:119" s="101" customFormat="1" ht="15" hidden="1" customHeight="1" x14ac:dyDescent="0.25">
      <c r="BF384" s="168"/>
      <c r="BG384" s="168"/>
      <c r="BH384" s="168"/>
      <c r="BI384" s="102"/>
      <c r="BJ384" s="178"/>
      <c r="BK384" s="178"/>
      <c r="BL384" s="178"/>
      <c r="BM384" s="169"/>
      <c r="BN384" s="169"/>
      <c r="BO384" s="169"/>
      <c r="BP384" s="206"/>
      <c r="BQ384" s="206"/>
      <c r="BR384" s="206"/>
      <c r="BS384" s="206"/>
      <c r="BT384" s="206"/>
      <c r="BU384" s="206"/>
      <c r="BV384" s="207"/>
      <c r="BW384" s="206"/>
      <c r="BX384" s="206"/>
      <c r="BY384" s="207"/>
      <c r="BZ384" s="207"/>
      <c r="CA384" s="207"/>
      <c r="CB384" s="180"/>
      <c r="CC384" s="178"/>
      <c r="CD384" s="178"/>
      <c r="CE384" s="180"/>
      <c r="CF384" s="180"/>
      <c r="CG384" s="180"/>
      <c r="CH384" s="180"/>
      <c r="CI384" s="178"/>
      <c r="CJ384" s="178"/>
      <c r="CK384" s="180"/>
      <c r="CL384" s="180"/>
      <c r="CM384" s="180"/>
      <c r="CN384" s="116"/>
      <c r="CO384" s="218">
        <f t="shared" si="116"/>
        <v>0</v>
      </c>
      <c r="CP384" s="100">
        <f t="shared" si="117"/>
        <v>0</v>
      </c>
      <c r="CQ384" s="218">
        <f t="shared" si="118"/>
        <v>0</v>
      </c>
      <c r="CZ384" s="123"/>
      <c r="DA384" s="122"/>
      <c r="DB384" s="122"/>
      <c r="DC384" s="123"/>
      <c r="DD384" s="123"/>
      <c r="DE384" s="123"/>
      <c r="DF384" s="122"/>
      <c r="DG384" s="122"/>
      <c r="DH384" s="122"/>
      <c r="DI384" s="122"/>
      <c r="DJ384" s="122"/>
      <c r="DK384" s="123"/>
      <c r="DL384" s="23"/>
      <c r="DM384" s="150"/>
      <c r="DN384" s="150"/>
      <c r="DO384" s="116"/>
    </row>
    <row r="385" spans="58:119" s="101" customFormat="1" ht="15" hidden="1" customHeight="1" x14ac:dyDescent="0.25">
      <c r="BF385" s="168"/>
      <c r="BG385" s="168"/>
      <c r="BH385" s="168"/>
      <c r="BI385" s="102"/>
      <c r="BJ385" s="178"/>
      <c r="BK385" s="178"/>
      <c r="BL385" s="178"/>
      <c r="BM385" s="169"/>
      <c r="BN385" s="169"/>
      <c r="BO385" s="169"/>
      <c r="BP385" s="206"/>
      <c r="BQ385" s="206"/>
      <c r="BR385" s="206"/>
      <c r="BS385" s="206"/>
      <c r="BT385" s="206"/>
      <c r="BU385" s="206"/>
      <c r="BV385" s="207"/>
      <c r="BW385" s="206"/>
      <c r="BX385" s="206"/>
      <c r="BY385" s="207"/>
      <c r="BZ385" s="207"/>
      <c r="CA385" s="207"/>
      <c r="CB385" s="180"/>
      <c r="CC385" s="178"/>
      <c r="CD385" s="178"/>
      <c r="CE385" s="180"/>
      <c r="CF385" s="180"/>
      <c r="CG385" s="180"/>
      <c r="CH385" s="180"/>
      <c r="CI385" s="178"/>
      <c r="CJ385" s="178"/>
      <c r="CK385" s="180"/>
      <c r="CL385" s="180"/>
      <c r="CM385" s="180"/>
      <c r="CN385" s="116"/>
      <c r="CO385" s="218">
        <f t="shared" si="116"/>
        <v>0</v>
      </c>
      <c r="CP385" s="100">
        <f t="shared" si="117"/>
        <v>0</v>
      </c>
      <c r="CQ385" s="218">
        <f t="shared" si="118"/>
        <v>0</v>
      </c>
      <c r="CZ385" s="123"/>
      <c r="DA385" s="122"/>
      <c r="DB385" s="122"/>
      <c r="DC385" s="123"/>
      <c r="DD385" s="123"/>
      <c r="DE385" s="123"/>
      <c r="DF385" s="122"/>
      <c r="DG385" s="122"/>
      <c r="DH385" s="122"/>
      <c r="DI385" s="122"/>
      <c r="DJ385" s="122"/>
      <c r="DK385" s="123"/>
      <c r="DL385" s="23"/>
      <c r="DM385" s="150"/>
      <c r="DN385" s="150"/>
      <c r="DO385" s="116"/>
    </row>
    <row r="386" spans="58:119" s="101" customFormat="1" ht="15" hidden="1" customHeight="1" thickBot="1" x14ac:dyDescent="0.3">
      <c r="BF386" s="168"/>
      <c r="BG386" s="168"/>
      <c r="BH386" s="168"/>
      <c r="BI386" s="102"/>
      <c r="BJ386" s="178"/>
      <c r="BK386" s="178"/>
      <c r="BL386" s="178"/>
      <c r="BM386" s="169"/>
      <c r="BN386" s="169"/>
      <c r="BO386" s="169"/>
      <c r="BP386" s="206"/>
      <c r="BQ386" s="206"/>
      <c r="BR386" s="206"/>
      <c r="BS386" s="206"/>
      <c r="BT386" s="206"/>
      <c r="BU386" s="206"/>
      <c r="BV386" s="207"/>
      <c r="BW386" s="206"/>
      <c r="BX386" s="206"/>
      <c r="BY386" s="207"/>
      <c r="BZ386" s="207"/>
      <c r="CA386" s="207"/>
      <c r="CB386" s="180"/>
      <c r="CC386" s="178"/>
      <c r="CD386" s="178"/>
      <c r="CE386" s="180"/>
      <c r="CF386" s="180"/>
      <c r="CG386" s="180"/>
      <c r="CH386" s="180"/>
      <c r="CI386" s="178"/>
      <c r="CJ386" s="178"/>
      <c r="CK386" s="180"/>
      <c r="CL386" s="180"/>
      <c r="CM386" s="180"/>
      <c r="CN386" s="116"/>
      <c r="CO386" s="218">
        <f t="shared" si="116"/>
        <v>0</v>
      </c>
      <c r="CP386" s="100">
        <f t="shared" si="117"/>
        <v>0</v>
      </c>
      <c r="CQ386" s="218">
        <f t="shared" si="118"/>
        <v>0</v>
      </c>
      <c r="CZ386" s="123"/>
      <c r="DA386" s="122"/>
      <c r="DB386" s="122"/>
      <c r="DC386" s="123"/>
      <c r="DD386" s="123"/>
      <c r="DE386" s="123"/>
      <c r="DF386" s="122"/>
      <c r="DG386" s="122"/>
      <c r="DH386" s="122"/>
      <c r="DI386" s="122"/>
      <c r="DJ386" s="122"/>
      <c r="DK386" s="123"/>
      <c r="DL386" s="23"/>
      <c r="DM386" s="150"/>
      <c r="DN386" s="150"/>
      <c r="DO386" s="116"/>
    </row>
    <row r="387" spans="58:119" s="101" customFormat="1" ht="15" hidden="1" customHeight="1" x14ac:dyDescent="0.25">
      <c r="BF387" s="168"/>
      <c r="BG387" s="168"/>
      <c r="BH387" s="168"/>
      <c r="BI387" s="1606" t="s">
        <v>301</v>
      </c>
      <c r="BJ387" s="251"/>
      <c r="BK387" s="1606" t="s">
        <v>302</v>
      </c>
      <c r="BL387" s="251"/>
      <c r="BM387" s="1606" t="s">
        <v>233</v>
      </c>
      <c r="BN387" s="1606" t="s">
        <v>233</v>
      </c>
      <c r="BO387" s="1606" t="s">
        <v>240</v>
      </c>
      <c r="BP387" s="206"/>
      <c r="BQ387" s="206"/>
      <c r="BR387" s="206"/>
      <c r="BS387" s="206"/>
      <c r="BT387" s="206"/>
      <c r="BU387" s="206"/>
      <c r="BV387" s="207"/>
      <c r="BW387" s="206"/>
      <c r="BX387" s="206"/>
      <c r="BY387" s="207"/>
      <c r="BZ387" s="207"/>
      <c r="CA387" s="207"/>
      <c r="CB387" s="180"/>
      <c r="CC387" s="178"/>
      <c r="CD387" s="178"/>
      <c r="CE387" s="180"/>
      <c r="CF387" s="180"/>
      <c r="CG387" s="180"/>
      <c r="CH387" s="180"/>
      <c r="CI387" s="178"/>
      <c r="CJ387" s="178"/>
      <c r="CK387" s="180"/>
      <c r="CL387" s="180"/>
      <c r="CM387" s="180"/>
      <c r="CN387" s="116"/>
      <c r="CO387" s="218" t="str">
        <f t="shared" si="116"/>
        <v>Incertidumbre (+/- %)</v>
      </c>
      <c r="CP387" s="100" t="e">
        <f t="shared" si="117"/>
        <v>#VALUE!</v>
      </c>
      <c r="CQ387" s="218" t="str">
        <f t="shared" si="118"/>
        <v>Incertidumbre (+/- %)</v>
      </c>
      <c r="CZ387" s="123"/>
      <c r="DA387" s="122"/>
      <c r="DB387" s="122"/>
      <c r="DC387" s="123"/>
      <c r="DD387" s="123"/>
      <c r="DE387" s="123"/>
      <c r="DF387" s="122"/>
      <c r="DG387" s="122"/>
      <c r="DH387" s="122"/>
      <c r="DI387" s="122"/>
      <c r="DJ387" s="122"/>
      <c r="DK387" s="123"/>
      <c r="DL387" s="23"/>
      <c r="DM387" s="150"/>
      <c r="DN387" s="150"/>
      <c r="DO387" s="116"/>
    </row>
    <row r="388" spans="58:119" s="101" customFormat="1" ht="15.75" hidden="1" customHeight="1" thickBot="1" x14ac:dyDescent="0.3">
      <c r="BF388" s="168"/>
      <c r="BG388" s="168"/>
      <c r="BH388" s="168"/>
      <c r="BI388" s="1607"/>
      <c r="BJ388" s="252" t="s">
        <v>253</v>
      </c>
      <c r="BK388" s="1607"/>
      <c r="BL388" s="252" t="s">
        <v>251</v>
      </c>
      <c r="BM388" s="1607"/>
      <c r="BN388" s="1607"/>
      <c r="BO388" s="1607"/>
      <c r="BP388" s="206"/>
      <c r="BQ388" s="206"/>
      <c r="BR388" s="206"/>
      <c r="BS388" s="206"/>
      <c r="BT388" s="206"/>
      <c r="BU388" s="206"/>
      <c r="BV388" s="207"/>
      <c r="BW388" s="206"/>
      <c r="BX388" s="206"/>
      <c r="BY388" s="207"/>
      <c r="BZ388" s="207"/>
      <c r="CA388" s="207"/>
      <c r="CB388" s="180"/>
      <c r="CC388" s="178"/>
      <c r="CD388" s="178"/>
      <c r="CE388" s="180"/>
      <c r="CF388" s="180"/>
      <c r="CG388" s="180"/>
      <c r="CH388" s="180"/>
      <c r="CI388" s="178"/>
      <c r="CJ388" s="178"/>
      <c r="CK388" s="180"/>
      <c r="CL388" s="180"/>
      <c r="CM388" s="180"/>
      <c r="CN388" s="116"/>
      <c r="CO388" s="218">
        <f t="shared" si="116"/>
        <v>0</v>
      </c>
      <c r="CP388" s="100">
        <f t="shared" si="117"/>
        <v>0</v>
      </c>
      <c r="CQ388" s="218">
        <f t="shared" si="118"/>
        <v>0</v>
      </c>
      <c r="CZ388" s="123"/>
      <c r="DA388" s="122"/>
      <c r="DB388" s="122"/>
      <c r="DC388" s="123"/>
      <c r="DD388" s="123"/>
      <c r="DE388" s="123"/>
      <c r="DF388" s="122"/>
      <c r="DG388" s="122"/>
      <c r="DH388" s="122"/>
      <c r="DI388" s="122"/>
      <c r="DJ388" s="122"/>
      <c r="DK388" s="123"/>
      <c r="DL388" s="23"/>
      <c r="DM388" s="150"/>
      <c r="DN388" s="150"/>
      <c r="DO388" s="116"/>
    </row>
    <row r="389" spans="58:119" s="101" customFormat="1" ht="18.75" hidden="1" customHeight="1" thickBot="1" x14ac:dyDescent="0.3">
      <c r="BF389" s="168"/>
      <c r="BG389" s="168"/>
      <c r="BH389" s="168"/>
      <c r="BI389" s="203" t="s">
        <v>68</v>
      </c>
      <c r="BJ389" s="190" t="s">
        <v>49</v>
      </c>
      <c r="BK389" s="196">
        <v>1.05</v>
      </c>
      <c r="BL389" s="190" t="s">
        <v>418</v>
      </c>
      <c r="BM389" s="189">
        <v>0.01</v>
      </c>
      <c r="BN389" s="189">
        <v>0.5</v>
      </c>
      <c r="BO389" s="209" t="s">
        <v>341</v>
      </c>
      <c r="BP389" s="206"/>
      <c r="BQ389" s="206"/>
      <c r="BR389" s="206"/>
      <c r="BS389" s="206"/>
      <c r="BT389" s="206"/>
      <c r="BU389" s="206"/>
      <c r="BV389" s="207"/>
      <c r="BW389" s="206"/>
      <c r="BX389" s="206"/>
      <c r="BY389" s="207"/>
      <c r="BZ389" s="207"/>
      <c r="CA389" s="207"/>
      <c r="CB389" s="180"/>
      <c r="CC389" s="178"/>
      <c r="CD389" s="178"/>
      <c r="CE389" s="180"/>
      <c r="CF389" s="180"/>
      <c r="CG389" s="180"/>
      <c r="CH389" s="180"/>
      <c r="CI389" s="178"/>
      <c r="CJ389" s="178"/>
      <c r="CK389" s="180"/>
      <c r="CL389" s="180"/>
      <c r="CM389" s="180"/>
      <c r="CN389" s="116"/>
      <c r="CO389" s="218">
        <f t="shared" si="116"/>
        <v>0.01</v>
      </c>
      <c r="CP389" s="100">
        <f t="shared" si="117"/>
        <v>0.255</v>
      </c>
      <c r="CQ389" s="218">
        <f t="shared" si="118"/>
        <v>0.5</v>
      </c>
      <c r="CR389" s="101">
        <v>0.01</v>
      </c>
      <c r="CS389" s="101">
        <v>0.5</v>
      </c>
      <c r="CZ389" s="123"/>
      <c r="DA389" s="122"/>
      <c r="DB389" s="122"/>
      <c r="DC389" s="123"/>
      <c r="DD389" s="123"/>
      <c r="DE389" s="123"/>
      <c r="DF389" s="122"/>
      <c r="DG389" s="122"/>
      <c r="DH389" s="122"/>
      <c r="DI389" s="122"/>
      <c r="DJ389" s="122"/>
      <c r="DK389" s="123"/>
      <c r="DL389" s="23"/>
      <c r="DM389" s="150"/>
      <c r="DN389" s="150"/>
      <c r="DO389" s="116"/>
    </row>
    <row r="390" spans="58:119" s="101" customFormat="1" ht="18.75" hidden="1" customHeight="1" thickBot="1" x14ac:dyDescent="0.3">
      <c r="BF390" s="168"/>
      <c r="BG390" s="168"/>
      <c r="BH390" s="168"/>
      <c r="BI390" s="203" t="s">
        <v>69</v>
      </c>
      <c r="BJ390" s="190" t="s">
        <v>49</v>
      </c>
      <c r="BK390" s="196">
        <v>0.81</v>
      </c>
      <c r="BL390" s="190" t="s">
        <v>418</v>
      </c>
      <c r="BM390" s="189">
        <v>0.01</v>
      </c>
      <c r="BN390" s="189">
        <v>0.5</v>
      </c>
      <c r="BO390" s="210" t="s">
        <v>320</v>
      </c>
      <c r="BP390" s="206"/>
      <c r="BQ390" s="206"/>
      <c r="BR390" s="206"/>
      <c r="BS390" s="206"/>
      <c r="BT390" s="206"/>
      <c r="BU390" s="206"/>
      <c r="BV390" s="207"/>
      <c r="BW390" s="206"/>
      <c r="BX390" s="206"/>
      <c r="BY390" s="207"/>
      <c r="BZ390" s="207"/>
      <c r="CA390" s="207"/>
      <c r="CB390" s="180"/>
      <c r="CC390" s="178"/>
      <c r="CD390" s="178"/>
      <c r="CE390" s="180"/>
      <c r="CF390" s="180"/>
      <c r="CG390" s="180"/>
      <c r="CH390" s="180"/>
      <c r="CI390" s="178"/>
      <c r="CJ390" s="178"/>
      <c r="CK390" s="180"/>
      <c r="CL390" s="180"/>
      <c r="CM390" s="180"/>
      <c r="CN390" s="116"/>
      <c r="CO390" s="218">
        <f t="shared" si="116"/>
        <v>0.01</v>
      </c>
      <c r="CP390" s="100">
        <f t="shared" si="117"/>
        <v>0.255</v>
      </c>
      <c r="CQ390" s="218">
        <f t="shared" si="118"/>
        <v>0.5</v>
      </c>
      <c r="CR390" s="101">
        <v>0.01</v>
      </c>
      <c r="CS390" s="101">
        <v>0.5</v>
      </c>
      <c r="CZ390" s="123"/>
      <c r="DA390" s="122"/>
      <c r="DB390" s="122"/>
      <c r="DC390" s="123"/>
      <c r="DD390" s="123"/>
      <c r="DE390" s="123"/>
      <c r="DF390" s="122"/>
      <c r="DG390" s="122"/>
      <c r="DH390" s="122"/>
      <c r="DI390" s="122"/>
      <c r="DJ390" s="122"/>
      <c r="DK390" s="123"/>
      <c r="DL390" s="23"/>
      <c r="DM390" s="150"/>
      <c r="DN390" s="150"/>
      <c r="DO390" s="116"/>
    </row>
    <row r="391" spans="58:119" s="101" customFormat="1" ht="18.75" hidden="1" customHeight="1" thickBot="1" x14ac:dyDescent="0.3">
      <c r="BF391" s="168"/>
      <c r="BG391" s="168"/>
      <c r="BH391" s="168"/>
      <c r="BI391" s="203" t="s">
        <v>317</v>
      </c>
      <c r="BJ391" s="190" t="s">
        <v>49</v>
      </c>
      <c r="BK391" s="196">
        <v>0.83</v>
      </c>
      <c r="BL391" s="190" t="s">
        <v>418</v>
      </c>
      <c r="BM391" s="189">
        <v>0.01</v>
      </c>
      <c r="BN391" s="189">
        <v>0.5</v>
      </c>
      <c r="BO391" s="209" t="s">
        <v>342</v>
      </c>
      <c r="BP391" s="206"/>
      <c r="BQ391" s="206"/>
      <c r="BR391" s="206"/>
      <c r="BS391" s="206"/>
      <c r="BT391" s="206"/>
      <c r="BU391" s="206"/>
      <c r="BV391" s="207"/>
      <c r="BW391" s="206"/>
      <c r="BX391" s="206"/>
      <c r="BY391" s="207"/>
      <c r="BZ391" s="207"/>
      <c r="CA391" s="207"/>
      <c r="CB391" s="180"/>
      <c r="CC391" s="178"/>
      <c r="CD391" s="178"/>
      <c r="CE391" s="180"/>
      <c r="CF391" s="180"/>
      <c r="CG391" s="180"/>
      <c r="CH391" s="180"/>
      <c r="CI391" s="178"/>
      <c r="CJ391" s="178"/>
      <c r="CK391" s="180"/>
      <c r="CL391" s="180"/>
      <c r="CM391" s="180"/>
      <c r="CN391" s="116"/>
      <c r="CO391" s="218">
        <f t="shared" si="116"/>
        <v>0.01</v>
      </c>
      <c r="CP391" s="100">
        <f t="shared" si="117"/>
        <v>0.255</v>
      </c>
      <c r="CQ391" s="218">
        <f t="shared" si="118"/>
        <v>0.5</v>
      </c>
      <c r="CR391" s="101">
        <v>0.01</v>
      </c>
      <c r="CS391" s="101">
        <v>0.5</v>
      </c>
      <c r="CZ391" s="123"/>
      <c r="DA391" s="122"/>
      <c r="DB391" s="122"/>
      <c r="DC391" s="123"/>
      <c r="DD391" s="123"/>
      <c r="DE391" s="123"/>
      <c r="DF391" s="122"/>
      <c r="DG391" s="122"/>
      <c r="DH391" s="122"/>
      <c r="DI391" s="122"/>
      <c r="DJ391" s="122"/>
      <c r="DK391" s="123"/>
      <c r="DL391" s="23"/>
      <c r="DM391" s="150"/>
      <c r="DN391" s="150"/>
      <c r="DO391" s="116"/>
    </row>
    <row r="392" spans="58:119" s="101" customFormat="1" ht="18.75" hidden="1" customHeight="1" thickBot="1" x14ac:dyDescent="0.3">
      <c r="BF392" s="168"/>
      <c r="BG392" s="168"/>
      <c r="BH392" s="168"/>
      <c r="BI392" s="203" t="s">
        <v>318</v>
      </c>
      <c r="BJ392" s="190" t="s">
        <v>49</v>
      </c>
      <c r="BK392" s="196">
        <v>1.39</v>
      </c>
      <c r="BL392" s="190" t="s">
        <v>418</v>
      </c>
      <c r="BM392" s="189">
        <v>0.01</v>
      </c>
      <c r="BN392" s="189">
        <v>0.5</v>
      </c>
      <c r="BO392" s="209" t="s">
        <v>342</v>
      </c>
      <c r="BP392" s="206"/>
      <c r="BQ392" s="206"/>
      <c r="BR392" s="206"/>
      <c r="BS392" s="206"/>
      <c r="BT392" s="206"/>
      <c r="BU392" s="206"/>
      <c r="BV392" s="207"/>
      <c r="BW392" s="206"/>
      <c r="BX392" s="206"/>
      <c r="BY392" s="207"/>
      <c r="BZ392" s="207"/>
      <c r="CA392" s="207"/>
      <c r="CB392" s="180"/>
      <c r="CC392" s="178"/>
      <c r="CD392" s="178"/>
      <c r="CE392" s="180"/>
      <c r="CF392" s="180"/>
      <c r="CG392" s="180"/>
      <c r="CH392" s="180"/>
      <c r="CI392" s="178"/>
      <c r="CJ392" s="178"/>
      <c r="CK392" s="180"/>
      <c r="CL392" s="180"/>
      <c r="CM392" s="180"/>
      <c r="CN392" s="116"/>
      <c r="CO392" s="218">
        <f t="shared" si="116"/>
        <v>0.01</v>
      </c>
      <c r="CP392" s="100">
        <f t="shared" si="117"/>
        <v>0.255</v>
      </c>
      <c r="CQ392" s="218">
        <f t="shared" si="118"/>
        <v>0.5</v>
      </c>
      <c r="CR392" s="101">
        <v>0.01</v>
      </c>
      <c r="CS392" s="101">
        <v>0.5</v>
      </c>
      <c r="CZ392" s="123"/>
      <c r="DA392" s="122"/>
      <c r="DB392" s="122"/>
      <c r="DC392" s="123"/>
      <c r="DD392" s="123"/>
      <c r="DE392" s="123"/>
      <c r="DF392" s="122"/>
      <c r="DG392" s="122"/>
      <c r="DH392" s="122"/>
      <c r="DI392" s="122"/>
      <c r="DJ392" s="122"/>
      <c r="DK392" s="123"/>
      <c r="DL392" s="23"/>
      <c r="DM392" s="150"/>
      <c r="DN392" s="150"/>
      <c r="DO392" s="116"/>
    </row>
    <row r="393" spans="58:119" s="101" customFormat="1" ht="18.75" hidden="1" customHeight="1" thickBot="1" x14ac:dyDescent="0.3">
      <c r="BF393" s="168"/>
      <c r="BG393" s="168"/>
      <c r="BH393" s="168"/>
      <c r="BI393" s="203" t="s">
        <v>326</v>
      </c>
      <c r="BJ393" s="190" t="s">
        <v>49</v>
      </c>
      <c r="BK393" s="196">
        <v>2.87</v>
      </c>
      <c r="BL393" s="190" t="s">
        <v>418</v>
      </c>
      <c r="BM393" s="189">
        <v>0.01</v>
      </c>
      <c r="BN393" s="189">
        <v>0.5</v>
      </c>
      <c r="BO393" s="210" t="s">
        <v>319</v>
      </c>
      <c r="BP393" s="206"/>
      <c r="BQ393" s="206"/>
      <c r="BR393" s="206"/>
      <c r="BS393" s="206"/>
      <c r="BT393" s="206"/>
      <c r="BU393" s="206"/>
      <c r="BV393" s="207"/>
      <c r="BW393" s="206"/>
      <c r="BX393" s="206"/>
      <c r="BY393" s="207"/>
      <c r="BZ393" s="207"/>
      <c r="CA393" s="207"/>
      <c r="CB393" s="180"/>
      <c r="CC393" s="178"/>
      <c r="CD393" s="178"/>
      <c r="CE393" s="180"/>
      <c r="CF393" s="180"/>
      <c r="CG393" s="180"/>
      <c r="CH393" s="180"/>
      <c r="CI393" s="178"/>
      <c r="CJ393" s="178"/>
      <c r="CK393" s="180"/>
      <c r="CL393" s="180"/>
      <c r="CM393" s="180"/>
      <c r="CN393" s="116"/>
      <c r="CO393" s="218">
        <f t="shared" si="116"/>
        <v>0.01</v>
      </c>
      <c r="CP393" s="100">
        <f t="shared" si="117"/>
        <v>0.255</v>
      </c>
      <c r="CQ393" s="218">
        <f t="shared" si="118"/>
        <v>0.5</v>
      </c>
      <c r="CR393" s="101">
        <v>0.01</v>
      </c>
      <c r="CS393" s="101">
        <v>0.5</v>
      </c>
      <c r="CZ393" s="123"/>
      <c r="DA393" s="122"/>
      <c r="DB393" s="122"/>
      <c r="DC393" s="123"/>
      <c r="DD393" s="123"/>
      <c r="DE393" s="123"/>
      <c r="DF393" s="122"/>
      <c r="DG393" s="122"/>
      <c r="DH393" s="122"/>
      <c r="DI393" s="122"/>
      <c r="DJ393" s="122"/>
      <c r="DK393" s="123"/>
      <c r="DL393" s="23"/>
      <c r="DM393" s="150"/>
      <c r="DN393" s="150"/>
      <c r="DO393" s="116"/>
    </row>
    <row r="394" spans="58:119" s="101" customFormat="1" ht="18.75" hidden="1" customHeight="1" thickBot="1" x14ac:dyDescent="0.3">
      <c r="BF394" s="168"/>
      <c r="BG394" s="168"/>
      <c r="BH394" s="168"/>
      <c r="BI394" s="203" t="s">
        <v>327</v>
      </c>
      <c r="BJ394" s="190" t="s">
        <v>49</v>
      </c>
      <c r="BK394" s="196">
        <v>2.08</v>
      </c>
      <c r="BL394" s="190" t="s">
        <v>418</v>
      </c>
      <c r="BM394" s="189">
        <v>0.01</v>
      </c>
      <c r="BN394" s="189">
        <v>0.5</v>
      </c>
      <c r="BO394" s="210" t="s">
        <v>322</v>
      </c>
      <c r="BP394" s="206"/>
      <c r="BQ394" s="206"/>
      <c r="BR394" s="206"/>
      <c r="BS394" s="206"/>
      <c r="BT394" s="206"/>
      <c r="BU394" s="206"/>
      <c r="BV394" s="207"/>
      <c r="BW394" s="206"/>
      <c r="BX394" s="206"/>
      <c r="BY394" s="207"/>
      <c r="BZ394" s="207"/>
      <c r="CA394" s="207"/>
      <c r="CB394" s="180"/>
      <c r="CC394" s="178"/>
      <c r="CD394" s="178"/>
      <c r="CE394" s="180"/>
      <c r="CF394" s="180"/>
      <c r="CG394" s="180"/>
      <c r="CH394" s="180"/>
      <c r="CI394" s="178"/>
      <c r="CJ394" s="178"/>
      <c r="CK394" s="180"/>
      <c r="CL394" s="180"/>
      <c r="CM394" s="180"/>
      <c r="CN394" s="116"/>
      <c r="CO394" s="218">
        <f t="shared" si="116"/>
        <v>0.01</v>
      </c>
      <c r="CP394" s="100">
        <f t="shared" si="117"/>
        <v>0.255</v>
      </c>
      <c r="CQ394" s="218">
        <f t="shared" si="118"/>
        <v>0.5</v>
      </c>
      <c r="CR394" s="101">
        <v>0.01</v>
      </c>
      <c r="CS394" s="101">
        <v>0.5</v>
      </c>
      <c r="CZ394" s="123"/>
      <c r="DA394" s="122"/>
      <c r="DB394" s="122"/>
      <c r="DC394" s="123"/>
      <c r="DD394" s="123"/>
      <c r="DE394" s="123"/>
      <c r="DF394" s="122"/>
      <c r="DG394" s="122"/>
      <c r="DH394" s="122"/>
      <c r="DI394" s="122"/>
      <c r="DJ394" s="122"/>
      <c r="DK394" s="123"/>
      <c r="DL394" s="23"/>
      <c r="DM394" s="150"/>
      <c r="DN394" s="150"/>
      <c r="DO394" s="116"/>
    </row>
    <row r="395" spans="58:119" s="101" customFormat="1" ht="18.75" hidden="1" customHeight="1" thickBot="1" x14ac:dyDescent="0.3">
      <c r="BF395" s="168"/>
      <c r="BG395" s="168"/>
      <c r="BH395" s="168"/>
      <c r="BI395" s="203" t="s">
        <v>328</v>
      </c>
      <c r="BJ395" s="190" t="s">
        <v>49</v>
      </c>
      <c r="BK395" s="196">
        <v>2.89</v>
      </c>
      <c r="BL395" s="190" t="s">
        <v>418</v>
      </c>
      <c r="BM395" s="189">
        <v>0.01</v>
      </c>
      <c r="BN395" s="189">
        <v>0.5</v>
      </c>
      <c r="BO395" s="210" t="s">
        <v>321</v>
      </c>
      <c r="BP395" s="206"/>
      <c r="BQ395" s="206"/>
      <c r="BR395" s="206"/>
      <c r="BS395" s="206"/>
      <c r="BT395" s="206"/>
      <c r="BU395" s="206"/>
      <c r="BV395" s="207"/>
      <c r="BW395" s="206"/>
      <c r="BX395" s="206"/>
      <c r="BY395" s="207"/>
      <c r="BZ395" s="207"/>
      <c r="CA395" s="207"/>
      <c r="CB395" s="180"/>
      <c r="CC395" s="178"/>
      <c r="CD395" s="178"/>
      <c r="CE395" s="180"/>
      <c r="CF395" s="180"/>
      <c r="CG395" s="180"/>
      <c r="CH395" s="180"/>
      <c r="CI395" s="178"/>
      <c r="CJ395" s="178"/>
      <c r="CK395" s="180"/>
      <c r="CL395" s="180"/>
      <c r="CM395" s="180"/>
      <c r="CN395" s="116"/>
      <c r="CO395" s="218">
        <f t="shared" si="116"/>
        <v>0.01</v>
      </c>
      <c r="CP395" s="100">
        <f t="shared" si="117"/>
        <v>0.255</v>
      </c>
      <c r="CQ395" s="218">
        <f t="shared" si="118"/>
        <v>0.5</v>
      </c>
      <c r="CR395" s="101">
        <v>0.01</v>
      </c>
      <c r="CS395" s="101">
        <v>0.5</v>
      </c>
      <c r="CZ395" s="123"/>
      <c r="DA395" s="122"/>
      <c r="DB395" s="122"/>
      <c r="DC395" s="123"/>
      <c r="DD395" s="123"/>
      <c r="DE395" s="123"/>
      <c r="DF395" s="122"/>
      <c r="DG395" s="122"/>
      <c r="DH395" s="122"/>
      <c r="DI395" s="122"/>
      <c r="DJ395" s="122"/>
      <c r="DK395" s="123"/>
      <c r="DL395" s="23"/>
      <c r="DM395" s="150"/>
      <c r="DN395" s="150"/>
      <c r="DO395" s="116"/>
    </row>
    <row r="396" spans="58:119" s="101" customFormat="1" ht="18.75" hidden="1" customHeight="1" thickBot="1" x14ac:dyDescent="0.3">
      <c r="BF396" s="168"/>
      <c r="BG396" s="168"/>
      <c r="BH396" s="168"/>
      <c r="BI396" s="203" t="s">
        <v>323</v>
      </c>
      <c r="BJ396" s="190" t="s">
        <v>49</v>
      </c>
      <c r="BK396" s="196">
        <v>11.1</v>
      </c>
      <c r="BL396" s="190" t="s">
        <v>418</v>
      </c>
      <c r="BM396" s="189">
        <v>0.01</v>
      </c>
      <c r="BN396" s="189">
        <v>0.5</v>
      </c>
      <c r="BO396" s="210" t="s">
        <v>325</v>
      </c>
      <c r="BP396" s="206"/>
      <c r="BQ396" s="206"/>
      <c r="BR396" s="206"/>
      <c r="BS396" s="206"/>
      <c r="BT396" s="206"/>
      <c r="BU396" s="206"/>
      <c r="BV396" s="207"/>
      <c r="BW396" s="206"/>
      <c r="BX396" s="206"/>
      <c r="BY396" s="207"/>
      <c r="BZ396" s="207"/>
      <c r="CA396" s="207"/>
      <c r="CB396" s="180"/>
      <c r="CC396" s="178"/>
      <c r="CD396" s="178"/>
      <c r="CE396" s="180"/>
      <c r="CF396" s="180"/>
      <c r="CG396" s="180"/>
      <c r="CH396" s="180"/>
      <c r="CI396" s="178"/>
      <c r="CJ396" s="178"/>
      <c r="CK396" s="180"/>
      <c r="CL396" s="180"/>
      <c r="CM396" s="180"/>
      <c r="CN396" s="116"/>
      <c r="CO396" s="218">
        <f t="shared" si="116"/>
        <v>0.01</v>
      </c>
      <c r="CP396" s="100">
        <f t="shared" si="117"/>
        <v>0.255</v>
      </c>
      <c r="CQ396" s="218">
        <f t="shared" si="118"/>
        <v>0.5</v>
      </c>
      <c r="CR396" s="101">
        <v>0.01</v>
      </c>
      <c r="CS396" s="101">
        <v>0.5</v>
      </c>
      <c r="CZ396" s="123"/>
      <c r="DA396" s="122"/>
      <c r="DB396" s="122"/>
      <c r="DC396" s="123"/>
      <c r="DD396" s="123"/>
      <c r="DE396" s="123"/>
      <c r="DF396" s="122"/>
      <c r="DG396" s="122"/>
      <c r="DH396" s="122"/>
      <c r="DI396" s="122"/>
      <c r="DJ396" s="122"/>
      <c r="DK396" s="123"/>
      <c r="DL396" s="23"/>
      <c r="DM396" s="150"/>
      <c r="DN396" s="150"/>
      <c r="DO396" s="116"/>
    </row>
    <row r="397" spans="58:119" s="101" customFormat="1" ht="18.75" hidden="1" customHeight="1" thickBot="1" x14ac:dyDescent="0.3">
      <c r="BF397" s="168"/>
      <c r="BG397" s="168"/>
      <c r="BH397" s="168"/>
      <c r="BI397" s="203" t="s">
        <v>324</v>
      </c>
      <c r="BJ397" s="190" t="s">
        <v>49</v>
      </c>
      <c r="BK397" s="196">
        <v>2.33</v>
      </c>
      <c r="BL397" s="190" t="s">
        <v>418</v>
      </c>
      <c r="BM397" s="189">
        <v>0.01</v>
      </c>
      <c r="BN397" s="189">
        <v>0.5</v>
      </c>
      <c r="BO397" s="210" t="s">
        <v>329</v>
      </c>
      <c r="BP397" s="206"/>
      <c r="BQ397" s="206"/>
      <c r="BR397" s="206"/>
      <c r="BS397" s="206"/>
      <c r="BT397" s="206"/>
      <c r="BU397" s="206"/>
      <c r="BV397" s="207"/>
      <c r="BW397" s="206"/>
      <c r="BX397" s="206"/>
      <c r="BY397" s="207"/>
      <c r="BZ397" s="207"/>
      <c r="CA397" s="207"/>
      <c r="CB397" s="180"/>
      <c r="CC397" s="178"/>
      <c r="CD397" s="178"/>
      <c r="CE397" s="180"/>
      <c r="CF397" s="180"/>
      <c r="CG397" s="180"/>
      <c r="CH397" s="180"/>
      <c r="CI397" s="178"/>
      <c r="CJ397" s="178"/>
      <c r="CK397" s="180"/>
      <c r="CL397" s="180"/>
      <c r="CM397" s="180"/>
      <c r="CN397" s="116"/>
      <c r="CO397" s="218">
        <f t="shared" si="116"/>
        <v>0.01</v>
      </c>
      <c r="CP397" s="100">
        <f t="shared" si="117"/>
        <v>0.255</v>
      </c>
      <c r="CQ397" s="218">
        <f t="shared" si="118"/>
        <v>0.5</v>
      </c>
      <c r="CR397" s="101">
        <v>0.01</v>
      </c>
      <c r="CS397" s="101">
        <v>0.5</v>
      </c>
      <c r="CZ397" s="123"/>
      <c r="DA397" s="122"/>
      <c r="DB397" s="122"/>
      <c r="DC397" s="123"/>
      <c r="DD397" s="123"/>
      <c r="DE397" s="123"/>
      <c r="DF397" s="122"/>
      <c r="DG397" s="122"/>
      <c r="DH397" s="122"/>
      <c r="DI397" s="122"/>
      <c r="DJ397" s="122"/>
      <c r="DK397" s="123"/>
      <c r="DL397" s="23"/>
      <c r="DM397" s="150"/>
      <c r="DN397" s="150"/>
      <c r="DO397" s="116"/>
    </row>
    <row r="398" spans="58:119" s="101" customFormat="1" ht="18.75" hidden="1" customHeight="1" thickBot="1" x14ac:dyDescent="0.3">
      <c r="BF398" s="168"/>
      <c r="BG398" s="168"/>
      <c r="BH398" s="168"/>
      <c r="BI398" s="203"/>
      <c r="BJ398" s="190"/>
      <c r="BK398" s="196"/>
      <c r="BL398" s="190"/>
      <c r="BM398" s="189"/>
      <c r="BN398" s="189"/>
      <c r="BO398" s="210"/>
      <c r="BP398" s="206"/>
      <c r="BQ398" s="206"/>
      <c r="BR398" s="206"/>
      <c r="BS398" s="206"/>
      <c r="BT398" s="206"/>
      <c r="BU398" s="206"/>
      <c r="BV398" s="207"/>
      <c r="BW398" s="206"/>
      <c r="BX398" s="206"/>
      <c r="BY398" s="207"/>
      <c r="BZ398" s="207"/>
      <c r="CA398" s="207"/>
      <c r="CB398" s="180"/>
      <c r="CC398" s="178"/>
      <c r="CD398" s="178"/>
      <c r="CE398" s="180"/>
      <c r="CF398" s="180"/>
      <c r="CG398" s="180"/>
      <c r="CH398" s="180"/>
      <c r="CI398" s="178"/>
      <c r="CJ398" s="178"/>
      <c r="CK398" s="180"/>
      <c r="CL398" s="180"/>
      <c r="CM398" s="180"/>
      <c r="CN398" s="116"/>
      <c r="CO398" s="218">
        <f t="shared" si="116"/>
        <v>0</v>
      </c>
      <c r="CP398" s="100">
        <f t="shared" si="117"/>
        <v>0</v>
      </c>
      <c r="CQ398" s="218">
        <f t="shared" si="118"/>
        <v>0</v>
      </c>
      <c r="CR398" s="101">
        <v>0.01</v>
      </c>
      <c r="CS398" s="101">
        <v>0.5</v>
      </c>
      <c r="CZ398" s="123"/>
      <c r="DA398" s="122"/>
      <c r="DB398" s="122"/>
      <c r="DC398" s="123"/>
      <c r="DD398" s="123"/>
      <c r="DE398" s="123"/>
      <c r="DF398" s="122"/>
      <c r="DG398" s="122"/>
      <c r="DH398" s="122"/>
      <c r="DI398" s="122"/>
      <c r="DJ398" s="122"/>
      <c r="DK398" s="123"/>
      <c r="DL398" s="23"/>
      <c r="DM398" s="150"/>
      <c r="DN398" s="150"/>
      <c r="DO398" s="116"/>
    </row>
    <row r="399" spans="58:119" s="101" customFormat="1" ht="15" hidden="1" customHeight="1" x14ac:dyDescent="0.25">
      <c r="BF399" s="168"/>
      <c r="BG399" s="168"/>
      <c r="BH399" s="168"/>
      <c r="BI399" s="102"/>
      <c r="BJ399" s="178"/>
      <c r="BK399" s="178"/>
      <c r="BL399" s="178"/>
      <c r="BM399" s="169"/>
      <c r="BN399" s="169"/>
      <c r="BO399" s="169"/>
      <c r="BP399" s="206"/>
      <c r="BQ399" s="206"/>
      <c r="BR399" s="206"/>
      <c r="BS399" s="206"/>
      <c r="BT399" s="206"/>
      <c r="BU399" s="206"/>
      <c r="BV399" s="207"/>
      <c r="BW399" s="206"/>
      <c r="BX399" s="206"/>
      <c r="BY399" s="207"/>
      <c r="BZ399" s="207"/>
      <c r="CA399" s="207"/>
      <c r="CB399" s="180"/>
      <c r="CC399" s="178"/>
      <c r="CD399" s="178"/>
      <c r="CE399" s="180"/>
      <c r="CF399" s="180"/>
      <c r="CG399" s="180"/>
      <c r="CH399" s="180"/>
      <c r="CI399" s="178"/>
      <c r="CJ399" s="178"/>
      <c r="CK399" s="180"/>
      <c r="CL399" s="180"/>
      <c r="CM399" s="180"/>
      <c r="CN399" s="116"/>
      <c r="CO399" s="218">
        <f t="shared" si="116"/>
        <v>0</v>
      </c>
      <c r="CP399" s="100">
        <f t="shared" si="117"/>
        <v>0</v>
      </c>
      <c r="CQ399" s="218">
        <f t="shared" si="118"/>
        <v>0</v>
      </c>
      <c r="CZ399" s="123"/>
      <c r="DA399" s="122"/>
      <c r="DB399" s="122"/>
      <c r="DC399" s="123"/>
      <c r="DD399" s="123"/>
      <c r="DE399" s="123"/>
      <c r="DF399" s="122"/>
      <c r="DG399" s="122"/>
      <c r="DH399" s="122"/>
      <c r="DI399" s="122"/>
      <c r="DJ399" s="122"/>
      <c r="DK399" s="123"/>
      <c r="DL399" s="23"/>
      <c r="DM399" s="150"/>
      <c r="DN399" s="150"/>
      <c r="DO399" s="116"/>
    </row>
    <row r="400" spans="58:119" s="101" customFormat="1" ht="15" hidden="1" customHeight="1" x14ac:dyDescent="0.25">
      <c r="BF400" s="168"/>
      <c r="BG400" s="168"/>
      <c r="BH400" s="168"/>
      <c r="BI400" s="102"/>
      <c r="BJ400" s="178"/>
      <c r="BK400" s="178"/>
      <c r="BL400" s="178"/>
      <c r="BM400" s="169"/>
      <c r="BN400" s="169"/>
      <c r="BO400" s="169"/>
      <c r="BP400" s="206"/>
      <c r="BQ400" s="206"/>
      <c r="BR400" s="206"/>
      <c r="BS400" s="206"/>
      <c r="BT400" s="206"/>
      <c r="BU400" s="206"/>
      <c r="BV400" s="207"/>
      <c r="BW400" s="206"/>
      <c r="BX400" s="206"/>
      <c r="BY400" s="207"/>
      <c r="BZ400" s="207"/>
      <c r="CA400" s="207"/>
      <c r="CB400" s="180"/>
      <c r="CC400" s="178"/>
      <c r="CD400" s="178"/>
      <c r="CE400" s="180"/>
      <c r="CF400" s="180"/>
      <c r="CG400" s="180"/>
      <c r="CH400" s="180"/>
      <c r="CI400" s="178"/>
      <c r="CJ400" s="178"/>
      <c r="CK400" s="180"/>
      <c r="CL400" s="180"/>
      <c r="CM400" s="180"/>
      <c r="CN400" s="116"/>
      <c r="CO400" s="218">
        <f t="shared" si="116"/>
        <v>0</v>
      </c>
      <c r="CP400" s="100">
        <f t="shared" si="117"/>
        <v>0</v>
      </c>
      <c r="CQ400" s="218">
        <f t="shared" si="118"/>
        <v>0</v>
      </c>
      <c r="CZ400" s="123"/>
      <c r="DA400" s="122"/>
      <c r="DB400" s="122"/>
      <c r="DC400" s="123"/>
      <c r="DD400" s="123"/>
      <c r="DE400" s="123"/>
      <c r="DF400" s="122"/>
      <c r="DG400" s="122"/>
      <c r="DH400" s="122"/>
      <c r="DI400" s="122"/>
      <c r="DJ400" s="122"/>
      <c r="DK400" s="123"/>
      <c r="DL400" s="23"/>
      <c r="DM400" s="150"/>
      <c r="DN400" s="150"/>
      <c r="DO400" s="116"/>
    </row>
    <row r="401" spans="58:120" s="101" customFormat="1" ht="15" hidden="1" customHeight="1" x14ac:dyDescent="0.25">
      <c r="BF401" s="168"/>
      <c r="BG401" s="168"/>
      <c r="BH401" s="168"/>
      <c r="BI401" s="102"/>
      <c r="BJ401" s="178"/>
      <c r="BK401" s="178"/>
      <c r="BL401" s="178"/>
      <c r="BM401" s="169"/>
      <c r="BN401" s="169"/>
      <c r="BO401" s="169"/>
      <c r="BP401" s="206"/>
      <c r="BQ401" s="206"/>
      <c r="BR401" s="206"/>
      <c r="BS401" s="206"/>
      <c r="BT401" s="206"/>
      <c r="BU401" s="206"/>
      <c r="BV401" s="207"/>
      <c r="BW401" s="206"/>
      <c r="BX401" s="206"/>
      <c r="BY401" s="207"/>
      <c r="BZ401" s="207"/>
      <c r="CA401" s="207"/>
      <c r="CB401" s="180"/>
      <c r="CC401" s="178"/>
      <c r="CD401" s="178"/>
      <c r="CE401" s="180"/>
      <c r="CF401" s="180"/>
      <c r="CG401" s="180"/>
      <c r="CH401" s="180"/>
      <c r="CI401" s="178"/>
      <c r="CJ401" s="178"/>
      <c r="CK401" s="180"/>
      <c r="CL401" s="180"/>
      <c r="CM401" s="180"/>
      <c r="CN401" s="116"/>
      <c r="CO401" s="218">
        <f t="shared" si="116"/>
        <v>0</v>
      </c>
      <c r="CP401" s="100">
        <f t="shared" si="117"/>
        <v>0</v>
      </c>
      <c r="CQ401" s="218">
        <f t="shared" si="118"/>
        <v>0</v>
      </c>
      <c r="CZ401" s="123"/>
      <c r="DA401" s="122"/>
      <c r="DB401" s="122"/>
      <c r="DC401" s="123"/>
      <c r="DD401" s="123"/>
      <c r="DE401" s="123"/>
      <c r="DF401" s="122"/>
      <c r="DG401" s="122"/>
      <c r="DH401" s="122"/>
      <c r="DI401" s="122"/>
      <c r="DJ401" s="122"/>
      <c r="DK401" s="123"/>
      <c r="DL401" s="23"/>
      <c r="DM401" s="150"/>
      <c r="DN401" s="150"/>
      <c r="DO401" s="116"/>
    </row>
    <row r="402" spans="58:120" s="101" customFormat="1" ht="15" hidden="1" customHeight="1" x14ac:dyDescent="0.25">
      <c r="BF402" s="168"/>
      <c r="BG402" s="168"/>
      <c r="BH402" s="168"/>
      <c r="BI402" s="102"/>
      <c r="BJ402" s="178"/>
      <c r="BK402" s="178"/>
      <c r="BL402" s="178"/>
      <c r="BM402" s="169"/>
      <c r="BN402" s="169"/>
      <c r="BO402" s="169"/>
      <c r="BP402" s="206"/>
      <c r="BQ402" s="206"/>
      <c r="BR402" s="206"/>
      <c r="BS402" s="206"/>
      <c r="BT402" s="206"/>
      <c r="BU402" s="206"/>
      <c r="BV402" s="207"/>
      <c r="BW402" s="206"/>
      <c r="BX402" s="206"/>
      <c r="BY402" s="207"/>
      <c r="BZ402" s="207"/>
      <c r="CA402" s="207"/>
      <c r="CB402" s="180"/>
      <c r="CC402" s="178"/>
      <c r="CD402" s="178"/>
      <c r="CE402" s="180"/>
      <c r="CF402" s="180"/>
      <c r="CG402" s="180"/>
      <c r="CH402" s="180"/>
      <c r="CI402" s="178"/>
      <c r="CJ402" s="178"/>
      <c r="CK402" s="180"/>
      <c r="CL402" s="180"/>
      <c r="CM402" s="180"/>
      <c r="CN402" s="116"/>
      <c r="CO402" s="218">
        <f t="shared" si="116"/>
        <v>0</v>
      </c>
      <c r="CP402" s="100">
        <f t="shared" si="117"/>
        <v>0</v>
      </c>
      <c r="CQ402" s="218">
        <f t="shared" si="118"/>
        <v>0</v>
      </c>
      <c r="CZ402" s="123"/>
      <c r="DA402" s="122"/>
      <c r="DB402" s="122"/>
      <c r="DC402" s="123"/>
      <c r="DD402" s="123"/>
      <c r="DE402" s="123"/>
      <c r="DF402" s="122"/>
      <c r="DG402" s="122"/>
      <c r="DH402" s="122"/>
      <c r="DI402" s="122"/>
      <c r="DJ402" s="122"/>
      <c r="DK402" s="123"/>
      <c r="DL402" s="23"/>
      <c r="DM402" s="150"/>
      <c r="DN402" s="150"/>
      <c r="DO402" s="116"/>
    </row>
    <row r="403" spans="58:120" s="101" customFormat="1" ht="15" hidden="1" customHeight="1" x14ac:dyDescent="0.25">
      <c r="BF403" s="168"/>
      <c r="BG403" s="168"/>
      <c r="BH403" s="168"/>
      <c r="BI403" s="102"/>
      <c r="BJ403" s="178"/>
      <c r="BK403" s="178"/>
      <c r="BL403" s="178"/>
      <c r="BM403" s="169"/>
      <c r="BN403" s="169"/>
      <c r="BO403" s="169"/>
      <c r="BP403" s="206"/>
      <c r="BQ403" s="206"/>
      <c r="BR403" s="206"/>
      <c r="BS403" s="206"/>
      <c r="BT403" s="206"/>
      <c r="BU403" s="206"/>
      <c r="BV403" s="207"/>
      <c r="BW403" s="206"/>
      <c r="BX403" s="206"/>
      <c r="BY403" s="207"/>
      <c r="BZ403" s="207"/>
      <c r="CA403" s="207"/>
      <c r="CB403" s="180"/>
      <c r="CC403" s="178"/>
      <c r="CD403" s="178"/>
      <c r="CE403" s="180"/>
      <c r="CF403" s="180"/>
      <c r="CG403" s="180"/>
      <c r="CH403" s="180"/>
      <c r="CI403" s="178"/>
      <c r="CJ403" s="178"/>
      <c r="CK403" s="180"/>
      <c r="CL403" s="180"/>
      <c r="CM403" s="180"/>
      <c r="CN403" s="116"/>
      <c r="CO403" s="218">
        <f t="shared" si="116"/>
        <v>0</v>
      </c>
      <c r="CP403" s="100">
        <f t="shared" si="117"/>
        <v>0</v>
      </c>
      <c r="CQ403" s="218">
        <f t="shared" si="118"/>
        <v>0</v>
      </c>
      <c r="CZ403" s="123"/>
      <c r="DA403" s="122"/>
      <c r="DB403" s="122"/>
      <c r="DC403" s="123"/>
      <c r="DD403" s="123"/>
      <c r="DE403" s="123"/>
      <c r="DF403" s="122"/>
      <c r="DG403" s="122"/>
      <c r="DH403" s="122"/>
      <c r="DI403" s="122"/>
      <c r="DJ403" s="122"/>
      <c r="DK403" s="123"/>
      <c r="DL403" s="23"/>
      <c r="DM403" s="150"/>
      <c r="DN403" s="150"/>
      <c r="DO403" s="116"/>
    </row>
    <row r="404" spans="58:120" s="101" customFormat="1" ht="15" hidden="1" customHeight="1" x14ac:dyDescent="0.25">
      <c r="BF404" s="168"/>
      <c r="BG404" s="168"/>
      <c r="BH404" s="168"/>
      <c r="BI404" s="102"/>
      <c r="BJ404" s="178"/>
      <c r="BK404" s="178"/>
      <c r="BL404" s="178"/>
      <c r="BM404" s="169"/>
      <c r="BN404" s="169"/>
      <c r="BO404" s="169"/>
      <c r="BP404" s="206"/>
      <c r="BQ404" s="206"/>
      <c r="BR404" s="206"/>
      <c r="BS404" s="206"/>
      <c r="BT404" s="206"/>
      <c r="BU404" s="206"/>
      <c r="BV404" s="207"/>
      <c r="BW404" s="206"/>
      <c r="BX404" s="206"/>
      <c r="BY404" s="207"/>
      <c r="BZ404" s="207"/>
      <c r="CA404" s="207"/>
      <c r="CB404" s="180"/>
      <c r="CC404" s="178"/>
      <c r="CD404" s="178"/>
      <c r="CE404" s="180"/>
      <c r="CF404" s="180"/>
      <c r="CG404" s="180"/>
      <c r="CH404" s="180"/>
      <c r="CI404" s="178"/>
      <c r="CJ404" s="178"/>
      <c r="CK404" s="180"/>
      <c r="CL404" s="180"/>
      <c r="CM404" s="180"/>
      <c r="CN404" s="116"/>
      <c r="CO404" s="218">
        <f t="shared" si="116"/>
        <v>0</v>
      </c>
      <c r="CP404" s="100">
        <f t="shared" si="117"/>
        <v>0</v>
      </c>
      <c r="CQ404" s="218">
        <f t="shared" si="118"/>
        <v>0</v>
      </c>
      <c r="CZ404" s="123"/>
      <c r="DA404" s="122"/>
      <c r="DB404" s="122"/>
      <c r="DC404" s="123"/>
      <c r="DD404" s="123"/>
      <c r="DE404" s="123"/>
      <c r="DF404" s="122"/>
      <c r="DG404" s="122"/>
      <c r="DH404" s="122"/>
      <c r="DI404" s="122"/>
      <c r="DJ404" s="122"/>
      <c r="DK404" s="123"/>
      <c r="DL404" s="23"/>
      <c r="DM404" s="150"/>
      <c r="DN404" s="150"/>
      <c r="DO404" s="116"/>
    </row>
    <row r="405" spans="58:120" s="101" customFormat="1" ht="15" hidden="1" customHeight="1" thickBot="1" x14ac:dyDescent="0.3">
      <c r="BF405" s="168"/>
      <c r="BG405" s="168"/>
      <c r="BH405" s="168"/>
      <c r="BI405" s="102"/>
      <c r="BJ405" s="178"/>
      <c r="BK405" s="178"/>
      <c r="BL405" s="178"/>
      <c r="BM405" s="169"/>
      <c r="BN405" s="169"/>
      <c r="BO405" s="169"/>
      <c r="BP405" s="206"/>
      <c r="BQ405" s="206"/>
      <c r="BR405" s="206"/>
      <c r="BS405" s="206"/>
      <c r="BT405" s="206"/>
      <c r="BU405" s="206"/>
      <c r="BV405" s="207"/>
      <c r="BW405" s="206"/>
      <c r="BX405" s="206"/>
      <c r="BY405" s="207"/>
      <c r="BZ405" s="207"/>
      <c r="CA405" s="207"/>
      <c r="CB405" s="180"/>
      <c r="CC405" s="178"/>
      <c r="CD405" s="178"/>
      <c r="CE405" s="180"/>
      <c r="CF405" s="180"/>
      <c r="CG405" s="180"/>
      <c r="CH405" s="180"/>
      <c r="CI405" s="178"/>
      <c r="CJ405" s="178"/>
      <c r="CK405" s="180"/>
      <c r="CL405" s="180"/>
      <c r="CM405" s="180"/>
      <c r="CN405" s="116"/>
      <c r="CO405" s="218">
        <f t="shared" si="116"/>
        <v>0</v>
      </c>
      <c r="CP405" s="100">
        <f t="shared" si="117"/>
        <v>0</v>
      </c>
      <c r="CQ405" s="218">
        <f t="shared" si="118"/>
        <v>0</v>
      </c>
      <c r="CZ405" s="123"/>
      <c r="DA405" s="122"/>
      <c r="DB405" s="122"/>
      <c r="DC405" s="123"/>
      <c r="DD405" s="123"/>
      <c r="DE405" s="123"/>
      <c r="DF405" s="122"/>
      <c r="DG405" s="122"/>
      <c r="DH405" s="122"/>
      <c r="DI405" s="122"/>
      <c r="DJ405" s="122"/>
      <c r="DK405" s="123"/>
      <c r="DL405" s="23"/>
      <c r="DM405" s="150"/>
      <c r="DN405" s="150"/>
      <c r="DO405" s="116"/>
    </row>
    <row r="406" spans="58:120" s="101" customFormat="1" ht="15.75" hidden="1" customHeight="1" thickBot="1" x14ac:dyDescent="0.3">
      <c r="BF406" s="168"/>
      <c r="BG406" s="168"/>
      <c r="BH406" s="168"/>
      <c r="BI406" s="211" t="s">
        <v>116</v>
      </c>
      <c r="BJ406" s="212" t="s">
        <v>117</v>
      </c>
      <c r="BK406" s="178"/>
      <c r="BL406" s="178"/>
      <c r="BM406" s="169"/>
      <c r="BN406" s="169"/>
      <c r="BO406" s="169"/>
      <c r="BP406" s="206"/>
      <c r="BQ406" s="206"/>
      <c r="BR406" s="206"/>
      <c r="BS406" s="206"/>
      <c r="BT406" s="206"/>
      <c r="BU406" s="206"/>
      <c r="BV406" s="207"/>
      <c r="BW406" s="206"/>
      <c r="BX406" s="206"/>
      <c r="BY406" s="207"/>
      <c r="BZ406" s="207"/>
      <c r="CA406" s="207"/>
      <c r="CB406" s="180"/>
      <c r="CC406" s="178"/>
      <c r="CD406" s="178"/>
      <c r="CE406" s="180"/>
      <c r="CF406" s="180"/>
      <c r="CG406" s="180"/>
      <c r="CH406" s="180"/>
      <c r="CI406" s="178"/>
      <c r="CJ406" s="178"/>
      <c r="CK406" s="180"/>
      <c r="CL406" s="180"/>
      <c r="CM406" s="180"/>
      <c r="CN406" s="116"/>
      <c r="CO406" s="218">
        <f t="shared" si="116"/>
        <v>0</v>
      </c>
      <c r="CP406" s="100">
        <f t="shared" si="117"/>
        <v>0</v>
      </c>
      <c r="CQ406" s="218">
        <f t="shared" si="118"/>
        <v>0</v>
      </c>
      <c r="CZ406" s="123"/>
      <c r="DA406" s="122"/>
      <c r="DB406" s="122"/>
      <c r="DC406" s="123"/>
      <c r="DD406" s="123"/>
      <c r="DE406" s="123"/>
      <c r="DF406" s="122"/>
      <c r="DG406" s="122"/>
      <c r="DH406" s="122"/>
      <c r="DI406" s="122"/>
      <c r="DJ406" s="122"/>
      <c r="DK406" s="123"/>
      <c r="DL406" s="23"/>
      <c r="DM406" s="150"/>
      <c r="DN406" s="150"/>
      <c r="DO406" s="116"/>
    </row>
    <row r="407" spans="58:120" s="101" customFormat="1" ht="15.75" hidden="1" customHeight="1" thickBot="1" x14ac:dyDescent="0.3">
      <c r="BF407" s="168"/>
      <c r="BG407" s="168"/>
      <c r="BH407" s="168"/>
      <c r="BI407" s="190">
        <v>0</v>
      </c>
      <c r="BJ407" s="203">
        <v>0</v>
      </c>
      <c r="BK407" s="178"/>
      <c r="BL407" s="178"/>
      <c r="BM407" s="169"/>
      <c r="BN407" s="169"/>
      <c r="BO407" s="169"/>
      <c r="BP407" s="206"/>
      <c r="BQ407" s="206"/>
      <c r="BR407" s="206"/>
      <c r="BS407" s="206"/>
      <c r="BT407" s="206"/>
      <c r="BU407" s="206"/>
      <c r="BV407" s="207"/>
      <c r="BW407" s="206"/>
      <c r="BX407" s="206"/>
      <c r="BY407" s="207"/>
      <c r="BZ407" s="207"/>
      <c r="CA407" s="207"/>
      <c r="CB407" s="180"/>
      <c r="CC407" s="178"/>
      <c r="CD407" s="178"/>
      <c r="CE407" s="180"/>
      <c r="CF407" s="180"/>
      <c r="CG407" s="180"/>
      <c r="CH407" s="180"/>
      <c r="CI407" s="178"/>
      <c r="CJ407" s="178"/>
      <c r="CK407" s="180"/>
      <c r="CL407" s="180"/>
      <c r="CM407" s="180"/>
      <c r="CN407" s="116"/>
      <c r="CO407" s="218">
        <f t="shared" si="116"/>
        <v>0</v>
      </c>
      <c r="CP407" s="100">
        <f t="shared" si="117"/>
        <v>0</v>
      </c>
      <c r="CQ407" s="218">
        <f t="shared" si="118"/>
        <v>0</v>
      </c>
      <c r="CZ407" s="123"/>
      <c r="DA407" s="122"/>
      <c r="DB407" s="122"/>
      <c r="DC407" s="123"/>
      <c r="DD407" s="123"/>
      <c r="DE407" s="123"/>
      <c r="DF407" s="122"/>
      <c r="DG407" s="122"/>
      <c r="DH407" s="122"/>
      <c r="DI407" s="122"/>
      <c r="DJ407" s="122"/>
      <c r="DK407" s="123"/>
      <c r="DL407" s="23"/>
      <c r="DM407" s="150"/>
      <c r="DN407" s="150"/>
      <c r="DO407" s="116"/>
    </row>
    <row r="408" spans="58:120" s="101" customFormat="1" ht="15.75" hidden="1" customHeight="1" thickBot="1" x14ac:dyDescent="0.3">
      <c r="BF408" s="168"/>
      <c r="BG408" s="168"/>
      <c r="BH408" s="168"/>
      <c r="BI408" s="190">
        <v>2</v>
      </c>
      <c r="BJ408" s="203">
        <v>12.71</v>
      </c>
      <c r="BK408" s="178"/>
      <c r="BL408" s="178"/>
      <c r="BM408" s="169"/>
      <c r="BN408" s="169"/>
      <c r="BO408" s="169"/>
      <c r="BP408" s="180"/>
      <c r="BQ408" s="180"/>
      <c r="BR408" s="180"/>
      <c r="BS408" s="180"/>
      <c r="BT408" s="180"/>
      <c r="BU408" s="180"/>
      <c r="BV408" s="180"/>
      <c r="BW408" s="180"/>
      <c r="BX408" s="180"/>
      <c r="BY408" s="180"/>
      <c r="BZ408" s="180"/>
      <c r="CA408" s="180"/>
      <c r="CB408" s="180"/>
      <c r="CC408" s="178"/>
      <c r="CD408" s="178"/>
      <c r="CE408" s="180"/>
      <c r="CF408" s="180"/>
      <c r="CG408" s="180"/>
      <c r="CH408" s="180"/>
      <c r="CI408" s="178"/>
      <c r="CJ408" s="178"/>
      <c r="CK408" s="180"/>
      <c r="CL408" s="180"/>
      <c r="CM408" s="180"/>
      <c r="CN408" s="116"/>
      <c r="CO408" s="218">
        <f t="shared" si="116"/>
        <v>0</v>
      </c>
      <c r="CP408" s="100">
        <f t="shared" si="117"/>
        <v>0</v>
      </c>
      <c r="CQ408" s="218">
        <f t="shared" si="118"/>
        <v>0</v>
      </c>
      <c r="CZ408" s="116"/>
      <c r="DA408" s="116"/>
      <c r="DB408" s="116"/>
      <c r="DC408" s="116"/>
      <c r="DD408" s="116"/>
      <c r="DE408" s="116"/>
      <c r="DF408" s="116"/>
      <c r="DG408" s="116"/>
      <c r="DH408" s="116"/>
      <c r="DI408" s="116"/>
      <c r="DJ408" s="116"/>
      <c r="DK408" s="116"/>
      <c r="DL408" s="116"/>
    </row>
    <row r="409" spans="58:120" s="101" customFormat="1" ht="15.75" hidden="1" customHeight="1" thickBot="1" x14ac:dyDescent="0.3">
      <c r="BF409" s="168"/>
      <c r="BG409" s="168"/>
      <c r="BH409" s="168"/>
      <c r="BI409" s="190">
        <v>3</v>
      </c>
      <c r="BJ409" s="203">
        <v>4.3</v>
      </c>
      <c r="BK409" s="178"/>
      <c r="BL409" s="178"/>
      <c r="BM409" s="169"/>
      <c r="BN409" s="169"/>
      <c r="BO409" s="169"/>
      <c r="BP409" s="180"/>
      <c r="BQ409" s="180"/>
      <c r="BR409" s="180"/>
      <c r="BS409" s="180"/>
      <c r="BT409" s="180"/>
      <c r="BU409" s="180"/>
      <c r="BV409" s="180"/>
      <c r="BW409" s="180"/>
      <c r="BX409" s="180"/>
      <c r="BY409" s="180"/>
      <c r="BZ409" s="180"/>
      <c r="CA409" s="180"/>
      <c r="CB409" s="180"/>
      <c r="CC409" s="178"/>
      <c r="CD409" s="178"/>
      <c r="CE409" s="180"/>
      <c r="CF409" s="180"/>
      <c r="CG409" s="180"/>
      <c r="CH409" s="180"/>
      <c r="CI409" s="178"/>
      <c r="CJ409" s="178"/>
      <c r="CK409" s="180"/>
      <c r="CL409" s="180"/>
      <c r="CM409" s="180"/>
      <c r="CN409" s="116"/>
      <c r="CO409" s="218">
        <f t="shared" si="116"/>
        <v>0</v>
      </c>
      <c r="CP409" s="100">
        <f t="shared" si="117"/>
        <v>0</v>
      </c>
      <c r="CQ409" s="218">
        <f t="shared" si="118"/>
        <v>0</v>
      </c>
      <c r="CZ409" s="116"/>
      <c r="DA409" s="116"/>
      <c r="DB409" s="116"/>
      <c r="DC409" s="116"/>
      <c r="DD409" s="116"/>
      <c r="DE409" s="116"/>
      <c r="DF409" s="116"/>
      <c r="DG409" s="116"/>
      <c r="DH409" s="116"/>
      <c r="DI409" s="116"/>
      <c r="DJ409" s="116"/>
      <c r="DK409" s="116"/>
      <c r="DL409" s="116"/>
      <c r="DM409" s="116"/>
      <c r="DN409" s="116"/>
      <c r="DO409" s="116"/>
    </row>
    <row r="410" spans="58:120" s="101" customFormat="1" ht="15.75" hidden="1" customHeight="1" thickBot="1" x14ac:dyDescent="0.3">
      <c r="BF410" s="168"/>
      <c r="BG410" s="168"/>
      <c r="BH410" s="168"/>
      <c r="BI410" s="190">
        <v>4</v>
      </c>
      <c r="BJ410" s="203">
        <v>3.18</v>
      </c>
      <c r="BK410" s="178"/>
      <c r="BL410" s="178"/>
      <c r="BM410" s="169"/>
      <c r="BN410" s="169"/>
      <c r="BO410" s="169"/>
      <c r="BP410" s="178"/>
      <c r="BQ410" s="178"/>
      <c r="BR410" s="178"/>
      <c r="BS410" s="178"/>
      <c r="BT410" s="178"/>
      <c r="BU410" s="178"/>
      <c r="BV410" s="180"/>
      <c r="BW410" s="178"/>
      <c r="BX410" s="178"/>
      <c r="BY410" s="180"/>
      <c r="BZ410" s="180"/>
      <c r="CA410" s="180"/>
      <c r="CB410" s="180"/>
      <c r="CC410" s="178"/>
      <c r="CD410" s="178"/>
      <c r="CE410" s="180"/>
      <c r="CF410" s="180"/>
      <c r="CG410" s="180"/>
      <c r="CH410" s="180"/>
      <c r="CI410" s="178"/>
      <c r="CJ410" s="178"/>
      <c r="CK410" s="180"/>
      <c r="CL410" s="180"/>
      <c r="CM410" s="180"/>
      <c r="CN410" s="116"/>
      <c r="CO410" s="218">
        <f t="shared" si="116"/>
        <v>0</v>
      </c>
      <c r="CP410" s="100">
        <f t="shared" si="117"/>
        <v>0</v>
      </c>
      <c r="CQ410" s="218">
        <f t="shared" si="118"/>
        <v>0</v>
      </c>
      <c r="CZ410" s="116"/>
      <c r="DA410" s="115"/>
      <c r="DB410" s="115"/>
      <c r="DC410" s="116"/>
      <c r="DD410" s="116"/>
      <c r="DE410" s="116"/>
      <c r="DF410" s="116"/>
      <c r="DG410" s="115"/>
      <c r="DH410" s="115"/>
      <c r="DI410" s="116"/>
      <c r="DJ410" s="116"/>
      <c r="DK410" s="116"/>
      <c r="DL410" s="116"/>
      <c r="DM410" s="116"/>
      <c r="DN410" s="116"/>
      <c r="DP410" s="116"/>
    </row>
    <row r="411" spans="58:120" s="101" customFormat="1" ht="15.75" hidden="1" customHeight="1" thickBot="1" x14ac:dyDescent="0.3">
      <c r="BF411" s="168"/>
      <c r="BG411" s="168"/>
      <c r="BH411" s="168"/>
      <c r="BI411" s="190">
        <v>5</v>
      </c>
      <c r="BJ411" s="203">
        <v>2.78</v>
      </c>
      <c r="BK411" s="178"/>
      <c r="BL411" s="178"/>
      <c r="BM411" s="169"/>
      <c r="BN411" s="169"/>
      <c r="BO411" s="169"/>
      <c r="BP411" s="178"/>
      <c r="BQ411" s="178"/>
      <c r="BR411" s="178"/>
      <c r="BS411" s="178"/>
      <c r="BT411" s="178"/>
      <c r="BU411" s="178"/>
      <c r="BV411" s="178"/>
      <c r="BW411" s="178"/>
      <c r="BX411" s="178"/>
      <c r="BY411" s="178"/>
      <c r="BZ411" s="178"/>
      <c r="CA411" s="178"/>
      <c r="CB411" s="180"/>
      <c r="CC411" s="178"/>
      <c r="CD411" s="178"/>
      <c r="CE411" s="180"/>
      <c r="CF411" s="180"/>
      <c r="CG411" s="180"/>
      <c r="CH411" s="180"/>
      <c r="CI411" s="178"/>
      <c r="CJ411" s="178"/>
      <c r="CK411" s="180"/>
      <c r="CL411" s="180"/>
      <c r="CM411" s="180"/>
      <c r="CN411" s="116"/>
      <c r="CO411" s="218">
        <f t="shared" si="116"/>
        <v>0</v>
      </c>
      <c r="CP411" s="100">
        <f t="shared" si="117"/>
        <v>0</v>
      </c>
      <c r="CQ411" s="218">
        <f t="shared" si="118"/>
        <v>0</v>
      </c>
      <c r="CZ411" s="116"/>
      <c r="DA411" s="115"/>
      <c r="DB411" s="115"/>
      <c r="DC411" s="116"/>
      <c r="DD411" s="116"/>
      <c r="DE411" s="116"/>
      <c r="DF411" s="116"/>
      <c r="DG411" s="115"/>
      <c r="DH411" s="115"/>
      <c r="DI411" s="116"/>
      <c r="DJ411" s="116"/>
      <c r="DK411" s="116"/>
      <c r="DL411" s="116"/>
    </row>
    <row r="412" spans="58:120" s="101" customFormat="1" ht="15.75" hidden="1" customHeight="1" thickBot="1" x14ac:dyDescent="0.3">
      <c r="BF412" s="168"/>
      <c r="BG412" s="168"/>
      <c r="BH412" s="168"/>
      <c r="BI412" s="190">
        <v>6</v>
      </c>
      <c r="BJ412" s="203">
        <v>2.57</v>
      </c>
      <c r="BK412" s="178"/>
      <c r="BL412" s="178"/>
      <c r="BM412" s="169"/>
      <c r="BN412" s="169"/>
      <c r="BO412" s="169"/>
      <c r="BP412" s="178"/>
      <c r="BQ412" s="178"/>
      <c r="BR412" s="178"/>
      <c r="BS412" s="178"/>
      <c r="BT412" s="178"/>
      <c r="BU412" s="178"/>
      <c r="BV412" s="178"/>
      <c r="BW412" s="178"/>
      <c r="BX412" s="178"/>
      <c r="BY412" s="178"/>
      <c r="BZ412" s="178"/>
      <c r="CA412" s="178"/>
      <c r="CB412" s="180"/>
      <c r="CC412" s="178"/>
      <c r="CD412" s="178"/>
      <c r="CE412" s="180"/>
      <c r="CF412" s="180"/>
      <c r="CG412" s="180"/>
      <c r="CH412" s="180"/>
      <c r="CI412" s="178"/>
      <c r="CJ412" s="178"/>
      <c r="CK412" s="180"/>
      <c r="CL412" s="180"/>
      <c r="CM412" s="180"/>
      <c r="CN412" s="116"/>
      <c r="CO412" s="218">
        <f t="shared" si="116"/>
        <v>0</v>
      </c>
      <c r="CP412" s="100">
        <f t="shared" si="117"/>
        <v>0</v>
      </c>
      <c r="CQ412" s="218">
        <f t="shared" si="118"/>
        <v>0</v>
      </c>
      <c r="CR412" s="116"/>
    </row>
    <row r="413" spans="58:120" s="101" customFormat="1" ht="15.75" hidden="1" customHeight="1" thickBot="1" x14ac:dyDescent="0.3">
      <c r="BF413" s="168"/>
      <c r="BG413" s="168"/>
      <c r="BH413" s="168"/>
      <c r="BI413" s="190">
        <v>7</v>
      </c>
      <c r="BJ413" s="203">
        <v>2.4500000000000002</v>
      </c>
      <c r="BK413" s="178"/>
      <c r="BL413" s="178"/>
      <c r="BM413" s="169"/>
      <c r="BN413" s="169"/>
      <c r="BO413" s="169"/>
      <c r="BP413" s="178"/>
      <c r="BQ413" s="178"/>
      <c r="BR413" s="178"/>
      <c r="BS413" s="178"/>
      <c r="BT413" s="178"/>
      <c r="BU413" s="178"/>
      <c r="BV413" s="178"/>
      <c r="BW413" s="178"/>
      <c r="BX413" s="178"/>
      <c r="BY413" s="178"/>
      <c r="BZ413" s="178"/>
      <c r="CA413" s="178"/>
      <c r="CB413" s="180"/>
      <c r="CC413" s="178"/>
      <c r="CD413" s="178"/>
      <c r="CE413" s="180"/>
      <c r="CF413" s="180"/>
      <c r="CG413" s="180"/>
      <c r="CH413" s="180"/>
      <c r="CI413" s="178"/>
      <c r="CJ413" s="178"/>
      <c r="CK413" s="180"/>
      <c r="CL413" s="180"/>
      <c r="CM413" s="180"/>
      <c r="CN413" s="116"/>
      <c r="CO413" s="218">
        <f t="shared" si="116"/>
        <v>0</v>
      </c>
      <c r="CP413" s="100">
        <f t="shared" si="117"/>
        <v>0</v>
      </c>
      <c r="CQ413" s="218">
        <f t="shared" si="118"/>
        <v>0</v>
      </c>
    </row>
    <row r="414" spans="58:120" s="101" customFormat="1" ht="15.75" hidden="1" customHeight="1" thickBot="1" x14ac:dyDescent="0.3">
      <c r="BF414" s="168"/>
      <c r="BG414" s="168"/>
      <c r="BH414" s="168"/>
      <c r="BI414" s="190">
        <v>8</v>
      </c>
      <c r="BJ414" s="203">
        <v>2.36</v>
      </c>
      <c r="BK414" s="178"/>
      <c r="BL414" s="178"/>
      <c r="BM414" s="169"/>
      <c r="BN414" s="169"/>
      <c r="BO414" s="169"/>
      <c r="BP414" s="178"/>
      <c r="BQ414" s="178"/>
      <c r="BR414" s="178"/>
      <c r="BS414" s="178"/>
      <c r="BT414" s="178"/>
      <c r="BU414" s="178"/>
      <c r="BV414" s="178"/>
      <c r="BW414" s="178"/>
      <c r="BX414" s="178"/>
      <c r="BY414" s="178"/>
      <c r="BZ414" s="178"/>
      <c r="CA414" s="178"/>
      <c r="CB414" s="180"/>
      <c r="CC414" s="178"/>
      <c r="CD414" s="178"/>
      <c r="CE414" s="180"/>
      <c r="CF414" s="180"/>
      <c r="CG414" s="180"/>
      <c r="CH414" s="180"/>
      <c r="CI414" s="178"/>
      <c r="CJ414" s="178"/>
      <c r="CK414" s="180"/>
      <c r="CL414" s="180"/>
      <c r="CM414" s="180"/>
      <c r="CN414" s="116"/>
      <c r="CO414" s="218">
        <f t="shared" si="116"/>
        <v>0</v>
      </c>
      <c r="CP414" s="100">
        <f t="shared" si="117"/>
        <v>0</v>
      </c>
      <c r="CQ414" s="218">
        <f t="shared" si="118"/>
        <v>0</v>
      </c>
    </row>
    <row r="415" spans="58:120" s="101" customFormat="1" ht="15.75" hidden="1" customHeight="1" thickBot="1" x14ac:dyDescent="0.3">
      <c r="BF415" s="168"/>
      <c r="BG415" s="168"/>
      <c r="BH415" s="168"/>
      <c r="BI415" s="190">
        <v>9</v>
      </c>
      <c r="BJ415" s="203">
        <v>2.31</v>
      </c>
      <c r="BK415" s="178"/>
      <c r="BL415" s="178"/>
      <c r="BM415" s="169"/>
      <c r="BN415" s="169"/>
      <c r="BO415" s="169"/>
      <c r="BP415" s="178"/>
      <c r="BQ415" s="178"/>
      <c r="BR415" s="178"/>
      <c r="BS415" s="178"/>
      <c r="BT415" s="178"/>
      <c r="BU415" s="178"/>
      <c r="BV415" s="178"/>
      <c r="BW415" s="178"/>
      <c r="BX415" s="178"/>
      <c r="BY415" s="178"/>
      <c r="BZ415" s="178"/>
      <c r="CA415" s="178"/>
      <c r="CB415" s="180"/>
      <c r="CC415" s="178"/>
      <c r="CD415" s="178"/>
      <c r="CE415" s="180"/>
      <c r="CF415" s="180"/>
      <c r="CG415" s="180"/>
      <c r="CH415" s="180"/>
      <c r="CI415" s="178"/>
      <c r="CJ415" s="178"/>
      <c r="CK415" s="180"/>
      <c r="CL415" s="180"/>
      <c r="CM415" s="180"/>
      <c r="CN415" s="116"/>
      <c r="CO415" s="218">
        <f t="shared" si="116"/>
        <v>0</v>
      </c>
      <c r="CP415" s="100">
        <f t="shared" si="117"/>
        <v>0</v>
      </c>
      <c r="CQ415" s="218">
        <f t="shared" si="118"/>
        <v>0</v>
      </c>
    </row>
    <row r="416" spans="58:120" s="101" customFormat="1" ht="15.75" hidden="1" customHeight="1" thickBot="1" x14ac:dyDescent="0.3">
      <c r="BF416" s="168"/>
      <c r="BG416" s="168"/>
      <c r="BH416" s="168"/>
      <c r="BI416" s="190">
        <v>10</v>
      </c>
      <c r="BJ416" s="203">
        <v>2.2599999999999998</v>
      </c>
      <c r="BK416" s="178"/>
      <c r="BL416" s="178"/>
      <c r="BM416" s="169"/>
      <c r="BN416" s="169"/>
      <c r="BO416" s="169"/>
      <c r="BP416" s="178"/>
      <c r="BQ416" s="178"/>
      <c r="BR416" s="178"/>
      <c r="BS416" s="178"/>
      <c r="BT416" s="178"/>
      <c r="BU416" s="178"/>
      <c r="BV416" s="178"/>
      <c r="BW416" s="178"/>
      <c r="BX416" s="178"/>
      <c r="BY416" s="178"/>
      <c r="BZ416" s="178"/>
      <c r="CA416" s="178"/>
      <c r="CB416" s="180"/>
      <c r="CC416" s="178"/>
      <c r="CD416" s="178"/>
      <c r="CE416" s="180"/>
      <c r="CF416" s="180"/>
      <c r="CG416" s="180"/>
      <c r="CH416" s="180"/>
      <c r="CI416" s="178"/>
      <c r="CJ416" s="178"/>
      <c r="CK416" s="180"/>
      <c r="CL416" s="180"/>
      <c r="CM416" s="180"/>
      <c r="CN416" s="116"/>
      <c r="CO416" s="218">
        <f t="shared" si="116"/>
        <v>0</v>
      </c>
      <c r="CP416" s="100">
        <f t="shared" si="117"/>
        <v>0</v>
      </c>
      <c r="CQ416" s="218">
        <f t="shared" si="118"/>
        <v>0</v>
      </c>
    </row>
    <row r="417" spans="1:97" s="101" customFormat="1" ht="15.75" hidden="1" customHeight="1" thickBot="1" x14ac:dyDescent="0.3">
      <c r="BF417" s="168"/>
      <c r="BG417" s="168"/>
      <c r="BH417" s="168"/>
      <c r="BI417" s="190">
        <v>11</v>
      </c>
      <c r="BJ417" s="203">
        <v>2.23</v>
      </c>
      <c r="BK417" s="178"/>
      <c r="BL417" s="178"/>
      <c r="BM417" s="169"/>
      <c r="BN417" s="169"/>
      <c r="BO417" s="169"/>
      <c r="BP417" s="178"/>
      <c r="BQ417" s="178"/>
      <c r="BR417" s="178"/>
      <c r="BS417" s="178"/>
      <c r="BT417" s="178"/>
      <c r="BU417" s="178"/>
      <c r="BV417" s="178"/>
      <c r="BW417" s="178"/>
      <c r="BX417" s="178"/>
      <c r="BY417" s="178"/>
      <c r="BZ417" s="178"/>
      <c r="CA417" s="178"/>
      <c r="CB417" s="180"/>
      <c r="CC417" s="178"/>
      <c r="CD417" s="178"/>
      <c r="CE417" s="180"/>
      <c r="CF417" s="180"/>
      <c r="CG417" s="180"/>
      <c r="CH417" s="180"/>
      <c r="CI417" s="178"/>
      <c r="CJ417" s="178"/>
      <c r="CK417" s="180"/>
      <c r="CL417" s="180"/>
      <c r="CM417" s="180"/>
      <c r="CN417" s="116"/>
      <c r="CO417" s="218">
        <f t="shared" si="116"/>
        <v>0</v>
      </c>
      <c r="CP417" s="100">
        <f t="shared" si="117"/>
        <v>0</v>
      </c>
      <c r="CQ417" s="218">
        <f t="shared" si="118"/>
        <v>0</v>
      </c>
    </row>
    <row r="418" spans="1:97" s="101" customFormat="1" ht="15.75" hidden="1" customHeight="1" thickBot="1" x14ac:dyDescent="0.3">
      <c r="BF418" s="168"/>
      <c r="BG418" s="168"/>
      <c r="BH418" s="168"/>
      <c r="BI418" s="190">
        <v>12</v>
      </c>
      <c r="BJ418" s="203">
        <v>2.2000000000000002</v>
      </c>
      <c r="BK418" s="178"/>
      <c r="BL418" s="178"/>
      <c r="BM418" s="169"/>
      <c r="BN418" s="169"/>
      <c r="BO418" s="169"/>
      <c r="BP418" s="178"/>
      <c r="BQ418" s="178"/>
      <c r="BR418" s="178"/>
      <c r="BS418" s="178"/>
      <c r="BT418" s="178"/>
      <c r="BU418" s="178"/>
      <c r="BV418" s="178"/>
      <c r="BW418" s="178"/>
      <c r="BX418" s="178"/>
      <c r="BY418" s="178"/>
      <c r="BZ418" s="178"/>
      <c r="CA418" s="178"/>
      <c r="CB418" s="180"/>
      <c r="CC418" s="178"/>
      <c r="CD418" s="178"/>
      <c r="CE418" s="180"/>
      <c r="CF418" s="180"/>
      <c r="CG418" s="180"/>
      <c r="CH418" s="180"/>
      <c r="CI418" s="178"/>
      <c r="CJ418" s="178"/>
      <c r="CK418" s="180"/>
      <c r="CL418" s="180"/>
      <c r="CM418" s="180"/>
      <c r="CN418" s="116"/>
      <c r="CO418" s="218">
        <f t="shared" si="116"/>
        <v>0</v>
      </c>
      <c r="CP418" s="100">
        <f t="shared" si="117"/>
        <v>0</v>
      </c>
      <c r="CQ418" s="218">
        <f t="shared" si="118"/>
        <v>0</v>
      </c>
    </row>
    <row r="419" spans="1:97" s="101" customFormat="1" ht="15" hidden="1" customHeight="1" x14ac:dyDescent="0.25">
      <c r="BF419" s="168"/>
      <c r="BG419" s="168"/>
      <c r="BH419" s="168"/>
      <c r="BI419" s="102"/>
      <c r="BJ419" s="178"/>
      <c r="BK419" s="178"/>
      <c r="BL419" s="178"/>
      <c r="BM419" s="169"/>
      <c r="BN419" s="169"/>
      <c r="BO419" s="169"/>
      <c r="BP419" s="178"/>
      <c r="BQ419" s="178"/>
      <c r="BR419" s="178"/>
      <c r="BS419" s="178"/>
      <c r="BT419" s="178"/>
      <c r="BU419" s="178"/>
      <c r="BV419" s="178"/>
      <c r="BW419" s="178"/>
      <c r="BX419" s="178"/>
      <c r="BY419" s="178"/>
      <c r="BZ419" s="178"/>
      <c r="CA419" s="178"/>
      <c r="CB419" s="180"/>
      <c r="CC419" s="178"/>
      <c r="CD419" s="178"/>
      <c r="CE419" s="180"/>
      <c r="CF419" s="180"/>
      <c r="CG419" s="180"/>
      <c r="CH419" s="180"/>
      <c r="CI419" s="178"/>
      <c r="CJ419" s="178"/>
      <c r="CK419" s="180"/>
      <c r="CL419" s="180"/>
      <c r="CM419" s="180"/>
      <c r="CN419" s="116"/>
      <c r="CO419" s="218">
        <f t="shared" si="116"/>
        <v>0</v>
      </c>
      <c r="CP419" s="100">
        <f t="shared" si="117"/>
        <v>0</v>
      </c>
      <c r="CQ419" s="218">
        <f t="shared" si="118"/>
        <v>0</v>
      </c>
      <c r="CR419" s="124"/>
      <c r="CS419" s="115"/>
    </row>
    <row r="420" spans="1:97" s="101" customFormat="1" ht="15" hidden="1" customHeight="1" x14ac:dyDescent="0.25">
      <c r="A420" s="99"/>
      <c r="V420" s="103"/>
      <c r="AA420" s="104"/>
      <c r="AB420" s="104"/>
      <c r="AD420" s="104"/>
      <c r="AE420" s="105"/>
      <c r="AH420" s="106"/>
      <c r="AI420" s="106"/>
      <c r="AK420" s="104"/>
      <c r="AR420" s="104"/>
      <c r="AV420" s="104"/>
      <c r="AX420" s="104"/>
      <c r="BB420" s="104"/>
      <c r="BC420" s="104"/>
      <c r="BE420" s="104"/>
      <c r="BF420" s="168"/>
      <c r="BG420" s="168"/>
      <c r="BH420" s="168"/>
      <c r="BI420" s="102"/>
      <c r="BJ420" s="178"/>
      <c r="BK420" s="178"/>
      <c r="BL420" s="178"/>
      <c r="BM420" s="169"/>
      <c r="BN420" s="169"/>
      <c r="BO420" s="169"/>
      <c r="BP420" s="178"/>
      <c r="BQ420" s="178"/>
      <c r="BR420" s="178"/>
      <c r="BS420" s="178"/>
      <c r="BT420" s="178"/>
      <c r="BU420" s="178"/>
      <c r="BV420" s="178"/>
      <c r="BW420" s="178"/>
      <c r="BX420" s="178"/>
      <c r="BY420" s="178"/>
      <c r="BZ420" s="178"/>
      <c r="CA420" s="178"/>
      <c r="CB420" s="180"/>
      <c r="CC420" s="178"/>
      <c r="CD420" s="178"/>
      <c r="CE420" s="180"/>
      <c r="CF420" s="180"/>
      <c r="CG420" s="180"/>
      <c r="CH420" s="180"/>
      <c r="CI420" s="178"/>
      <c r="CJ420" s="178"/>
      <c r="CK420" s="180"/>
      <c r="CL420" s="180"/>
      <c r="CM420" s="180"/>
      <c r="CN420" s="116"/>
      <c r="CO420" s="218">
        <f t="shared" si="116"/>
        <v>0</v>
      </c>
      <c r="CP420" s="100">
        <f t="shared" si="117"/>
        <v>0</v>
      </c>
      <c r="CQ420" s="218">
        <f t="shared" si="118"/>
        <v>0</v>
      </c>
    </row>
    <row r="421" spans="1:97" s="101" customFormat="1" ht="15" hidden="1" customHeight="1" thickBot="1" x14ac:dyDescent="0.3">
      <c r="A421" s="99"/>
      <c r="V421" s="103"/>
      <c r="AA421" s="104"/>
      <c r="AB421" s="104"/>
      <c r="AD421" s="104"/>
      <c r="AE421" s="105"/>
      <c r="AH421" s="106"/>
      <c r="AI421" s="106"/>
      <c r="AK421" s="104"/>
      <c r="AR421" s="104"/>
      <c r="AV421" s="104"/>
      <c r="AX421" s="104"/>
      <c r="BB421" s="104"/>
      <c r="BC421" s="104"/>
      <c r="BE421" s="104"/>
      <c r="BF421" s="168"/>
      <c r="BG421" s="168"/>
      <c r="BH421" s="168"/>
      <c r="BI421" s="102"/>
      <c r="BJ421" s="178"/>
      <c r="BK421" s="178"/>
      <c r="BL421" s="178"/>
      <c r="BM421" s="169"/>
      <c r="BN421" s="169"/>
      <c r="BO421" s="169"/>
      <c r="BP421" s="178"/>
      <c r="BQ421" s="178"/>
      <c r="BR421" s="178"/>
      <c r="BS421" s="178"/>
      <c r="BT421" s="178"/>
      <c r="BU421" s="178"/>
      <c r="BV421" s="178"/>
      <c r="BW421" s="178"/>
      <c r="BX421" s="178"/>
      <c r="BY421" s="178"/>
      <c r="BZ421" s="178"/>
      <c r="CA421" s="178"/>
      <c r="CB421" s="180"/>
      <c r="CC421" s="178"/>
      <c r="CD421" s="178"/>
      <c r="CE421" s="180"/>
      <c r="CF421" s="180"/>
      <c r="CG421" s="180"/>
      <c r="CH421" s="180"/>
      <c r="CI421" s="178"/>
      <c r="CJ421" s="178"/>
      <c r="CK421" s="180"/>
      <c r="CL421" s="180"/>
      <c r="CM421" s="180"/>
      <c r="CN421" s="116"/>
      <c r="CO421" s="218">
        <f t="shared" si="116"/>
        <v>0</v>
      </c>
      <c r="CP421" s="100">
        <f t="shared" si="117"/>
        <v>0</v>
      </c>
      <c r="CQ421" s="218">
        <f t="shared" si="118"/>
        <v>0</v>
      </c>
    </row>
    <row r="422" spans="1:97" s="101" customFormat="1" ht="15.75" hidden="1" customHeight="1" thickBot="1" x14ac:dyDescent="0.3">
      <c r="A422" s="99"/>
      <c r="V422" s="103"/>
      <c r="AA422" s="104"/>
      <c r="AB422" s="104"/>
      <c r="AD422" s="104"/>
      <c r="AE422" s="105"/>
      <c r="AH422" s="106"/>
      <c r="AI422" s="106"/>
      <c r="AK422" s="104"/>
      <c r="AR422" s="104"/>
      <c r="AV422" s="104"/>
      <c r="AX422" s="104"/>
      <c r="BB422" s="104"/>
      <c r="BC422" s="104"/>
      <c r="BE422" s="104"/>
      <c r="BF422" s="168"/>
      <c r="BG422" s="168"/>
      <c r="BH422" s="168"/>
      <c r="BI422" s="211"/>
      <c r="BJ422" s="211" t="s">
        <v>309</v>
      </c>
      <c r="BK422" s="211" t="s">
        <v>310</v>
      </c>
      <c r="BL422" s="211" t="s">
        <v>567</v>
      </c>
      <c r="BM422" s="169"/>
      <c r="BN422" s="169"/>
      <c r="BO422" s="169"/>
      <c r="BP422" s="178"/>
      <c r="BQ422" s="178"/>
      <c r="BR422" s="178"/>
      <c r="BS422" s="178"/>
      <c r="BT422" s="178"/>
      <c r="BU422" s="178"/>
      <c r="BV422" s="178"/>
      <c r="BW422" s="178"/>
      <c r="BX422" s="178"/>
      <c r="BY422" s="178"/>
      <c r="BZ422" s="178"/>
      <c r="CA422" s="178"/>
      <c r="CB422" s="180"/>
      <c r="CC422" s="178"/>
      <c r="CD422" s="178"/>
      <c r="CE422" s="180"/>
      <c r="CF422" s="180"/>
      <c r="CG422" s="180"/>
      <c r="CH422" s="180"/>
      <c r="CI422" s="178"/>
      <c r="CJ422" s="178"/>
      <c r="CK422" s="180"/>
      <c r="CL422" s="180"/>
      <c r="CM422" s="180"/>
      <c r="CN422" s="116"/>
      <c r="CO422" s="218">
        <f t="shared" si="116"/>
        <v>0</v>
      </c>
      <c r="CP422" s="100">
        <f t="shared" si="117"/>
        <v>0</v>
      </c>
      <c r="CQ422" s="218">
        <f t="shared" si="118"/>
        <v>0</v>
      </c>
    </row>
    <row r="423" spans="1:97" s="101" customFormat="1" ht="25.5" hidden="1" customHeight="1" thickBot="1" x14ac:dyDescent="0.3">
      <c r="A423" s="99"/>
      <c r="V423" s="103"/>
      <c r="AA423" s="104"/>
      <c r="AB423" s="104"/>
      <c r="AD423" s="104"/>
      <c r="AE423" s="105"/>
      <c r="AH423" s="106"/>
      <c r="AI423" s="106"/>
      <c r="AK423" s="104"/>
      <c r="AR423" s="104"/>
      <c r="AV423" s="104"/>
      <c r="AX423" s="104"/>
      <c r="BB423" s="104"/>
      <c r="BC423" s="104"/>
      <c r="BE423" s="104"/>
      <c r="BF423" s="168"/>
      <c r="BG423" s="168"/>
      <c r="BH423" s="168"/>
      <c r="BI423" s="211" t="s">
        <v>307</v>
      </c>
      <c r="BJ423" s="211" t="s">
        <v>308</v>
      </c>
      <c r="BK423" s="211" t="s">
        <v>308</v>
      </c>
      <c r="BL423" s="211" t="s">
        <v>308</v>
      </c>
      <c r="BM423" s="169"/>
      <c r="BN423" s="169"/>
      <c r="BO423" s="169"/>
      <c r="BP423" s="178"/>
      <c r="BQ423" s="178"/>
      <c r="BR423" s="178"/>
      <c r="BS423" s="178"/>
      <c r="BT423" s="178"/>
      <c r="BU423" s="178"/>
      <c r="BV423" s="178"/>
      <c r="BW423" s="178"/>
      <c r="BX423" s="178"/>
      <c r="BY423" s="178"/>
      <c r="BZ423" s="178"/>
      <c r="CA423" s="178"/>
      <c r="CB423" s="180"/>
      <c r="CC423" s="178"/>
      <c r="CD423" s="178"/>
      <c r="CE423" s="180"/>
      <c r="CF423" s="180"/>
      <c r="CG423" s="180"/>
      <c r="CH423" s="180"/>
      <c r="CI423" s="178"/>
      <c r="CJ423" s="178"/>
      <c r="CK423" s="180"/>
      <c r="CL423" s="180"/>
      <c r="CM423" s="180"/>
      <c r="CN423" s="116"/>
      <c r="CO423" s="218">
        <f t="shared" si="116"/>
        <v>0</v>
      </c>
      <c r="CP423" s="100">
        <f t="shared" si="117"/>
        <v>0</v>
      </c>
      <c r="CQ423" s="218">
        <f t="shared" si="118"/>
        <v>0</v>
      </c>
    </row>
    <row r="424" spans="1:97" s="101" customFormat="1" ht="15.75" hidden="1" customHeight="1" thickBot="1" x14ac:dyDescent="0.3">
      <c r="A424" s="99"/>
      <c r="V424" s="103"/>
      <c r="AA424" s="104"/>
      <c r="AB424" s="104"/>
      <c r="AD424" s="104"/>
      <c r="AE424" s="105"/>
      <c r="AH424" s="106"/>
      <c r="AI424" s="106"/>
      <c r="AK424" s="104"/>
      <c r="AR424" s="104"/>
      <c r="AV424" s="104"/>
      <c r="AX424" s="104"/>
      <c r="BB424" s="104"/>
      <c r="BC424" s="104"/>
      <c r="BE424" s="104"/>
      <c r="BF424" s="168"/>
      <c r="BG424" s="168"/>
      <c r="BH424" s="168"/>
      <c r="BI424" s="190" t="s">
        <v>170</v>
      </c>
      <c r="BJ424" s="190">
        <v>1</v>
      </c>
      <c r="BK424" s="190">
        <v>1</v>
      </c>
      <c r="BL424" s="190">
        <v>1</v>
      </c>
      <c r="BM424" s="169"/>
      <c r="BN424" s="169"/>
      <c r="BO424" s="169"/>
      <c r="BP424" s="178"/>
      <c r="BQ424" s="178"/>
      <c r="BR424" s="178"/>
      <c r="BS424" s="178"/>
      <c r="BT424" s="178"/>
      <c r="BU424" s="178"/>
      <c r="BV424" s="178"/>
      <c r="BW424" s="178"/>
      <c r="BX424" s="178"/>
      <c r="BY424" s="178"/>
      <c r="BZ424" s="178"/>
      <c r="CA424" s="178"/>
      <c r="CB424" s="180"/>
      <c r="CC424" s="178"/>
      <c r="CD424" s="178"/>
      <c r="CE424" s="180"/>
      <c r="CF424" s="180"/>
      <c r="CG424" s="180"/>
      <c r="CH424" s="180"/>
      <c r="CI424" s="178"/>
      <c r="CJ424" s="178"/>
      <c r="CK424" s="180"/>
      <c r="CL424" s="180"/>
      <c r="CM424" s="180"/>
      <c r="CN424" s="116"/>
      <c r="CO424" s="218">
        <f t="shared" si="116"/>
        <v>0</v>
      </c>
      <c r="CP424" s="100">
        <f t="shared" si="117"/>
        <v>0</v>
      </c>
      <c r="CQ424" s="218">
        <f t="shared" si="118"/>
        <v>0</v>
      </c>
    </row>
    <row r="425" spans="1:97" s="101" customFormat="1" ht="15.75" hidden="1" customHeight="1" thickBot="1" x14ac:dyDescent="0.3">
      <c r="A425" s="99"/>
      <c r="V425" s="103"/>
      <c r="AA425" s="104"/>
      <c r="AB425" s="104"/>
      <c r="AD425" s="104"/>
      <c r="AE425" s="105"/>
      <c r="AH425" s="106"/>
      <c r="AI425" s="106"/>
      <c r="AK425" s="104"/>
      <c r="AR425" s="104"/>
      <c r="AV425" s="104"/>
      <c r="AX425" s="104"/>
      <c r="BB425" s="104"/>
      <c r="BC425" s="104"/>
      <c r="BE425" s="104"/>
      <c r="BF425" s="168"/>
      <c r="BG425" s="168"/>
      <c r="BH425" s="168"/>
      <c r="BI425" s="190" t="s">
        <v>106</v>
      </c>
      <c r="BJ425" s="190">
        <v>28</v>
      </c>
      <c r="BK425" s="190">
        <v>25</v>
      </c>
      <c r="BL425" s="190">
        <v>21</v>
      </c>
      <c r="BM425" s="169"/>
      <c r="BN425" s="169"/>
      <c r="BO425" s="169"/>
      <c r="BP425" s="178"/>
      <c r="BQ425" s="178"/>
      <c r="BR425" s="178"/>
      <c r="BS425" s="178"/>
      <c r="BT425" s="178"/>
      <c r="BU425" s="178"/>
      <c r="BV425" s="178"/>
      <c r="BW425" s="178"/>
      <c r="BX425" s="178"/>
      <c r="BY425" s="178"/>
      <c r="BZ425" s="178"/>
      <c r="CA425" s="178"/>
      <c r="CB425" s="180"/>
      <c r="CC425" s="178"/>
      <c r="CD425" s="178"/>
      <c r="CE425" s="180"/>
      <c r="CF425" s="180"/>
      <c r="CG425" s="180"/>
      <c r="CH425" s="180"/>
      <c r="CI425" s="178"/>
      <c r="CJ425" s="178"/>
      <c r="CK425" s="180"/>
      <c r="CL425" s="180"/>
      <c r="CM425" s="180"/>
      <c r="CN425" s="116"/>
      <c r="CO425" s="218">
        <f t="shared" si="116"/>
        <v>0</v>
      </c>
      <c r="CP425" s="100">
        <f t="shared" si="117"/>
        <v>0</v>
      </c>
      <c r="CQ425" s="218">
        <f t="shared" si="118"/>
        <v>0</v>
      </c>
    </row>
    <row r="426" spans="1:97" s="101" customFormat="1" ht="15.75" hidden="1" customHeight="1" thickBot="1" x14ac:dyDescent="0.3">
      <c r="A426" s="99"/>
      <c r="V426" s="103"/>
      <c r="AA426" s="104"/>
      <c r="AB426" s="104"/>
      <c r="AD426" s="104"/>
      <c r="AE426" s="105"/>
      <c r="AH426" s="106"/>
      <c r="AI426" s="106"/>
      <c r="AK426" s="104"/>
      <c r="AR426" s="104"/>
      <c r="AV426" s="104"/>
      <c r="AX426" s="104"/>
      <c r="BB426" s="104"/>
      <c r="BC426" s="104"/>
      <c r="BE426" s="104"/>
      <c r="BF426" s="168"/>
      <c r="BG426" s="168"/>
      <c r="BH426" s="168"/>
      <c r="BI426" s="190" t="s">
        <v>110</v>
      </c>
      <c r="BJ426" s="190">
        <v>265</v>
      </c>
      <c r="BK426" s="190">
        <v>298</v>
      </c>
      <c r="BL426" s="190">
        <v>310</v>
      </c>
      <c r="BM426" s="169"/>
      <c r="BN426" s="169"/>
      <c r="BO426" s="169"/>
      <c r="BP426" s="178"/>
      <c r="BQ426" s="178"/>
      <c r="BR426" s="178"/>
      <c r="BS426" s="178"/>
      <c r="BT426" s="178"/>
      <c r="BU426" s="178"/>
      <c r="BV426" s="178"/>
      <c r="BW426" s="178"/>
      <c r="BX426" s="178"/>
      <c r="BY426" s="178"/>
      <c r="BZ426" s="178"/>
      <c r="CA426" s="178"/>
      <c r="CB426" s="180"/>
      <c r="CC426" s="178"/>
      <c r="CD426" s="178"/>
      <c r="CE426" s="180"/>
      <c r="CF426" s="180"/>
      <c r="CG426" s="180"/>
      <c r="CH426" s="180"/>
      <c r="CI426" s="178"/>
      <c r="CJ426" s="178"/>
      <c r="CK426" s="180"/>
      <c r="CL426" s="180"/>
      <c r="CM426" s="180"/>
      <c r="CN426" s="116"/>
      <c r="CO426" s="100"/>
      <c r="CP426" s="100"/>
      <c r="CQ426" s="100"/>
    </row>
    <row r="427" spans="1:97" s="101" customFormat="1" ht="15.75" hidden="1" customHeight="1" thickBot="1" x14ac:dyDescent="0.3">
      <c r="A427" s="99"/>
      <c r="V427" s="103"/>
      <c r="AA427" s="104"/>
      <c r="AB427" s="104"/>
      <c r="AD427" s="104"/>
      <c r="AE427" s="105"/>
      <c r="AH427" s="106"/>
      <c r="AI427" s="106"/>
      <c r="AK427" s="104"/>
      <c r="AR427" s="104"/>
      <c r="AV427" s="104"/>
      <c r="AX427" s="104"/>
      <c r="BB427" s="104"/>
      <c r="BC427" s="104"/>
      <c r="BE427" s="104"/>
      <c r="BF427" s="168"/>
      <c r="BG427" s="168"/>
      <c r="BH427" s="168"/>
      <c r="BI427" s="190" t="s">
        <v>8</v>
      </c>
      <c r="BJ427" s="190">
        <v>23500</v>
      </c>
      <c r="BK427" s="190">
        <v>22800</v>
      </c>
      <c r="BL427" s="190"/>
      <c r="BM427" s="169"/>
      <c r="BN427" s="169"/>
      <c r="BO427" s="169"/>
      <c r="BP427" s="178"/>
      <c r="BQ427" s="178"/>
      <c r="BR427" s="178"/>
      <c r="BS427" s="178"/>
      <c r="BT427" s="178"/>
      <c r="BU427" s="178"/>
      <c r="BV427" s="178"/>
      <c r="BW427" s="178"/>
      <c r="BX427" s="178"/>
      <c r="BY427" s="178"/>
      <c r="BZ427" s="178"/>
      <c r="CA427" s="178"/>
      <c r="CB427" s="180"/>
      <c r="CC427" s="178"/>
      <c r="CD427" s="178"/>
      <c r="CE427" s="180"/>
      <c r="CF427" s="180"/>
      <c r="CG427" s="180"/>
      <c r="CH427" s="180"/>
      <c r="CI427" s="178"/>
      <c r="CJ427" s="178"/>
      <c r="CK427" s="180"/>
      <c r="CL427" s="180"/>
      <c r="CM427" s="180"/>
      <c r="CN427" s="116"/>
      <c r="CO427" s="100"/>
      <c r="CP427" s="100"/>
      <c r="CQ427" s="100"/>
    </row>
    <row r="428" spans="1:97" s="101" customFormat="1" ht="15.75" hidden="1" customHeight="1" thickBot="1" x14ac:dyDescent="0.3">
      <c r="A428" s="99"/>
      <c r="V428" s="103"/>
      <c r="AA428" s="104"/>
      <c r="AB428" s="104"/>
      <c r="AD428" s="104"/>
      <c r="AE428" s="105"/>
      <c r="AH428" s="106"/>
      <c r="AI428" s="106"/>
      <c r="AK428" s="104"/>
      <c r="AR428" s="104"/>
      <c r="AV428" s="104"/>
      <c r="AX428" s="104"/>
      <c r="BB428" s="104"/>
      <c r="BC428" s="104"/>
      <c r="BE428" s="104"/>
      <c r="BF428" s="168"/>
      <c r="BG428" s="168"/>
      <c r="BH428" s="168"/>
      <c r="BI428" s="190" t="s">
        <v>313</v>
      </c>
      <c r="BJ428" s="190">
        <v>16100</v>
      </c>
      <c r="BK428" s="190">
        <v>17200</v>
      </c>
      <c r="BL428" s="190" t="s">
        <v>314</v>
      </c>
      <c r="BM428" s="169"/>
      <c r="BN428" s="169"/>
      <c r="BO428" s="169"/>
      <c r="BP428" s="178"/>
      <c r="BQ428" s="178"/>
      <c r="BR428" s="178"/>
      <c r="BS428" s="178"/>
      <c r="BT428" s="178"/>
      <c r="BU428" s="178"/>
      <c r="BV428" s="178"/>
      <c r="BW428" s="178"/>
      <c r="BX428" s="178"/>
      <c r="BY428" s="178"/>
      <c r="BZ428" s="178"/>
      <c r="CA428" s="178"/>
      <c r="CB428" s="180"/>
      <c r="CC428" s="178"/>
      <c r="CD428" s="178"/>
      <c r="CE428" s="180"/>
      <c r="CF428" s="180"/>
      <c r="CG428" s="180"/>
      <c r="CH428" s="180"/>
      <c r="CI428" s="178"/>
      <c r="CJ428" s="178"/>
      <c r="CK428" s="180"/>
      <c r="CL428" s="180"/>
      <c r="CM428" s="180"/>
      <c r="CN428" s="116"/>
      <c r="CO428" s="100"/>
      <c r="CP428" s="100"/>
      <c r="CQ428" s="100"/>
    </row>
    <row r="429" spans="1:97" s="101" customFormat="1" ht="15.75" hidden="1" customHeight="1" thickBot="1" x14ac:dyDescent="0.3">
      <c r="A429" s="99"/>
      <c r="V429" s="103"/>
      <c r="AA429" s="104"/>
      <c r="AB429" s="104"/>
      <c r="AD429" s="104"/>
      <c r="AE429" s="105"/>
      <c r="AH429" s="106"/>
      <c r="AI429" s="106"/>
      <c r="AK429" s="104"/>
      <c r="AR429" s="104"/>
      <c r="AV429" s="104"/>
      <c r="AX429" s="104"/>
      <c r="BB429" s="104"/>
      <c r="BC429" s="104"/>
      <c r="BE429" s="104"/>
      <c r="BF429" s="168"/>
      <c r="BG429" s="168"/>
      <c r="BH429" s="168"/>
      <c r="BI429" s="190"/>
      <c r="BJ429" s="190"/>
      <c r="BK429" s="190"/>
      <c r="BL429" s="190"/>
      <c r="BM429" s="169"/>
      <c r="BN429" s="169"/>
      <c r="BO429" s="169"/>
      <c r="BP429" s="178"/>
      <c r="BQ429" s="178"/>
      <c r="BR429" s="178"/>
      <c r="BS429" s="178"/>
      <c r="BT429" s="178"/>
      <c r="BU429" s="178"/>
      <c r="BV429" s="178"/>
      <c r="BW429" s="178"/>
      <c r="BX429" s="178"/>
      <c r="BY429" s="178"/>
      <c r="BZ429" s="178"/>
      <c r="CA429" s="178"/>
      <c r="CB429" s="180"/>
      <c r="CC429" s="178"/>
      <c r="CD429" s="178"/>
      <c r="CE429" s="180"/>
      <c r="CF429" s="180"/>
      <c r="CG429" s="180"/>
      <c r="CH429" s="180"/>
      <c r="CI429" s="178"/>
      <c r="CJ429" s="178"/>
      <c r="CK429" s="180"/>
      <c r="CL429" s="180"/>
      <c r="CM429" s="180"/>
      <c r="CN429" s="116"/>
      <c r="CO429" s="100"/>
      <c r="CP429" s="100"/>
      <c r="CQ429" s="100"/>
    </row>
    <row r="430" spans="1:97" s="101" customFormat="1" ht="15.75" hidden="1" customHeight="1" thickBot="1" x14ac:dyDescent="0.3">
      <c r="A430" s="99"/>
      <c r="V430" s="103"/>
      <c r="AA430" s="104"/>
      <c r="AB430" s="104"/>
      <c r="AD430" s="104"/>
      <c r="AE430" s="105"/>
      <c r="AH430" s="106"/>
      <c r="AI430" s="106"/>
      <c r="AK430" s="104"/>
      <c r="AR430" s="104"/>
      <c r="AV430" s="104"/>
      <c r="AX430" s="104"/>
      <c r="BB430" s="104"/>
      <c r="BC430" s="104"/>
      <c r="BE430" s="104"/>
      <c r="BF430" s="168"/>
      <c r="BG430" s="168"/>
      <c r="BH430" s="168"/>
      <c r="BI430" s="190"/>
      <c r="BJ430" s="190"/>
      <c r="BK430" s="190"/>
      <c r="BL430" s="190"/>
      <c r="BM430" s="169"/>
      <c r="BN430" s="169"/>
      <c r="BO430" s="169"/>
      <c r="BP430" s="178"/>
      <c r="BQ430" s="178"/>
      <c r="BR430" s="178"/>
      <c r="BS430" s="178"/>
      <c r="BT430" s="178"/>
      <c r="BU430" s="178"/>
      <c r="BV430" s="178"/>
      <c r="BW430" s="178"/>
      <c r="BX430" s="178"/>
      <c r="BY430" s="178"/>
      <c r="BZ430" s="178"/>
      <c r="CA430" s="178"/>
      <c r="CB430" s="180"/>
      <c r="CC430" s="178"/>
      <c r="CD430" s="178"/>
      <c r="CE430" s="180"/>
      <c r="CF430" s="180"/>
      <c r="CG430" s="180"/>
      <c r="CH430" s="180"/>
      <c r="CI430" s="178"/>
      <c r="CJ430" s="178"/>
      <c r="CK430" s="180"/>
      <c r="CL430" s="180"/>
      <c r="CM430" s="180"/>
      <c r="CN430" s="116"/>
      <c r="CO430" s="100"/>
      <c r="CP430" s="100"/>
      <c r="CQ430" s="100"/>
    </row>
    <row r="431" spans="1:97" s="101" customFormat="1" ht="15.75" hidden="1" customHeight="1" thickBot="1" x14ac:dyDescent="0.3">
      <c r="A431" s="99"/>
      <c r="V431" s="103"/>
      <c r="AA431" s="104"/>
      <c r="AB431" s="104"/>
      <c r="AD431" s="104"/>
      <c r="AE431" s="105"/>
      <c r="AH431" s="106"/>
      <c r="AI431" s="106"/>
      <c r="AK431" s="104"/>
      <c r="AR431" s="104"/>
      <c r="AV431" s="104"/>
      <c r="AX431" s="104"/>
      <c r="BB431" s="104"/>
      <c r="BC431" s="104"/>
      <c r="BE431" s="104"/>
      <c r="BF431" s="168"/>
      <c r="BG431" s="168"/>
      <c r="BH431" s="168"/>
      <c r="BI431" s="190"/>
      <c r="BJ431" s="190"/>
      <c r="BK431" s="190"/>
      <c r="BL431" s="190"/>
      <c r="BM431" s="169"/>
      <c r="BN431" s="169"/>
      <c r="BO431" s="169"/>
      <c r="BP431" s="178"/>
      <c r="BQ431" s="178"/>
      <c r="BR431" s="178"/>
      <c r="BS431" s="178"/>
      <c r="BT431" s="178"/>
      <c r="BU431" s="178"/>
      <c r="BV431" s="178"/>
      <c r="BW431" s="178"/>
      <c r="BX431" s="178"/>
      <c r="BY431" s="178"/>
      <c r="BZ431" s="178"/>
      <c r="CA431" s="178"/>
      <c r="CB431" s="180"/>
      <c r="CC431" s="178"/>
      <c r="CD431" s="178"/>
      <c r="CE431" s="180"/>
      <c r="CF431" s="180"/>
      <c r="CG431" s="180"/>
      <c r="CH431" s="180"/>
      <c r="CI431" s="178"/>
      <c r="CJ431" s="178"/>
      <c r="CK431" s="180"/>
      <c r="CL431" s="180"/>
      <c r="CM431" s="180"/>
      <c r="CN431" s="116"/>
      <c r="CO431" s="100"/>
      <c r="CP431" s="100"/>
      <c r="CQ431" s="100"/>
    </row>
    <row r="432" spans="1:97" s="101" customFormat="1" ht="15" hidden="1" customHeight="1" x14ac:dyDescent="0.25">
      <c r="A432" s="99"/>
      <c r="V432" s="103"/>
      <c r="AA432" s="104"/>
      <c r="AB432" s="104"/>
      <c r="AD432" s="104"/>
      <c r="AE432" s="105"/>
      <c r="AH432" s="106"/>
      <c r="AI432" s="106"/>
      <c r="AK432" s="104"/>
      <c r="AR432" s="104"/>
      <c r="AV432" s="104"/>
      <c r="AX432" s="104"/>
      <c r="BB432" s="104"/>
      <c r="BC432" s="104"/>
      <c r="BE432" s="104"/>
      <c r="BF432" s="168"/>
      <c r="BG432" s="168"/>
      <c r="BH432" s="168"/>
      <c r="BI432" s="102"/>
      <c r="BJ432" s="178"/>
      <c r="BK432" s="178"/>
      <c r="BL432" s="178"/>
      <c r="BM432" s="169"/>
      <c r="BN432" s="169"/>
      <c r="BO432" s="169"/>
      <c r="BP432" s="178"/>
      <c r="BQ432" s="178"/>
      <c r="BR432" s="178"/>
      <c r="BS432" s="178"/>
      <c r="BT432" s="178"/>
      <c r="BU432" s="178"/>
      <c r="BV432" s="178"/>
      <c r="BW432" s="178"/>
      <c r="BX432" s="178"/>
      <c r="BY432" s="178"/>
      <c r="BZ432" s="178"/>
      <c r="CA432" s="178"/>
      <c r="CB432" s="180"/>
      <c r="CC432" s="178"/>
      <c r="CD432" s="178"/>
      <c r="CE432" s="180"/>
      <c r="CF432" s="180"/>
      <c r="CG432" s="180"/>
      <c r="CH432" s="180"/>
      <c r="CI432" s="178"/>
      <c r="CJ432" s="178"/>
      <c r="CK432" s="180"/>
      <c r="CL432" s="180"/>
      <c r="CM432" s="180"/>
      <c r="CN432" s="116"/>
      <c r="CO432" s="100"/>
      <c r="CP432" s="100"/>
      <c r="CQ432" s="100"/>
    </row>
    <row r="433" spans="1:137" s="101" customFormat="1" ht="15" hidden="1" customHeight="1" x14ac:dyDescent="0.25">
      <c r="A433" s="99"/>
      <c r="V433" s="103"/>
      <c r="AA433" s="104"/>
      <c r="AB433" s="104"/>
      <c r="AD433" s="104"/>
      <c r="AE433" s="105"/>
      <c r="AH433" s="106"/>
      <c r="AI433" s="106"/>
      <c r="AK433" s="104"/>
      <c r="AR433" s="104"/>
      <c r="AV433" s="104"/>
      <c r="AX433" s="104"/>
      <c r="BB433" s="104"/>
      <c r="BC433" s="104"/>
      <c r="BE433" s="104"/>
      <c r="BF433" s="168"/>
      <c r="BG433" s="168"/>
      <c r="BH433" s="168"/>
      <c r="BI433" s="102"/>
      <c r="BJ433" s="178"/>
      <c r="BK433" s="178"/>
      <c r="BL433" s="178"/>
      <c r="BM433" s="169"/>
      <c r="BN433" s="169"/>
      <c r="BO433" s="169"/>
      <c r="BP433" s="178"/>
      <c r="BQ433" s="178"/>
      <c r="BR433" s="178"/>
      <c r="BS433" s="178"/>
      <c r="BT433" s="178"/>
      <c r="BU433" s="178"/>
      <c r="BV433" s="178"/>
      <c r="BW433" s="178"/>
      <c r="BX433" s="178"/>
      <c r="BY433" s="178"/>
      <c r="BZ433" s="178"/>
      <c r="CA433" s="178"/>
      <c r="CB433" s="180"/>
      <c r="CC433" s="178"/>
      <c r="CD433" s="178"/>
      <c r="CE433" s="180"/>
      <c r="CF433" s="180"/>
      <c r="CG433" s="180"/>
      <c r="CH433" s="180"/>
      <c r="CI433" s="178"/>
      <c r="CJ433" s="178"/>
      <c r="CK433" s="180"/>
      <c r="CL433" s="180"/>
      <c r="CM433" s="180"/>
      <c r="CN433" s="116"/>
      <c r="CO433" s="100"/>
      <c r="CP433" s="100"/>
      <c r="CQ433" s="100"/>
    </row>
    <row r="434" spans="1:137" s="101" customFormat="1" ht="15" hidden="1" customHeight="1" x14ac:dyDescent="0.25">
      <c r="A434" s="99"/>
      <c r="V434" s="103"/>
      <c r="AA434" s="104"/>
      <c r="AB434" s="104"/>
      <c r="AD434" s="104"/>
      <c r="AE434" s="105"/>
      <c r="AH434" s="106"/>
      <c r="AI434" s="106"/>
      <c r="AK434" s="104"/>
      <c r="AR434" s="104"/>
      <c r="AV434" s="104"/>
      <c r="AX434" s="104"/>
      <c r="BB434" s="104"/>
      <c r="BC434" s="104"/>
      <c r="BE434" s="104"/>
      <c r="BF434" s="168"/>
      <c r="BG434" s="168"/>
      <c r="BH434" s="168"/>
      <c r="BI434" s="102"/>
      <c r="BJ434" s="178"/>
      <c r="BK434" s="178"/>
      <c r="BL434" s="178"/>
      <c r="BM434" s="169"/>
      <c r="BN434" s="169"/>
      <c r="BO434" s="169"/>
      <c r="BP434" s="178"/>
      <c r="BQ434" s="178"/>
      <c r="BR434" s="178"/>
      <c r="BS434" s="178"/>
      <c r="BT434" s="178"/>
      <c r="BU434" s="178"/>
      <c r="BV434" s="178"/>
      <c r="BW434" s="178"/>
      <c r="BX434" s="178"/>
      <c r="BY434" s="178"/>
      <c r="BZ434" s="178"/>
      <c r="CA434" s="178"/>
      <c r="CB434" s="180"/>
      <c r="CC434" s="178"/>
      <c r="CD434" s="178"/>
      <c r="CE434" s="180"/>
      <c r="CF434" s="180"/>
      <c r="CG434" s="180"/>
      <c r="CH434" s="180"/>
      <c r="CI434" s="178"/>
      <c r="CJ434" s="178"/>
      <c r="CK434" s="180"/>
      <c r="CL434" s="180"/>
      <c r="CM434" s="180"/>
      <c r="CN434" s="116"/>
      <c r="CO434" s="100"/>
      <c r="CP434" s="100"/>
      <c r="CQ434" s="100"/>
    </row>
    <row r="435" spans="1:137" s="101" customFormat="1" ht="15" hidden="1" customHeight="1" x14ac:dyDescent="0.25">
      <c r="A435" s="99"/>
      <c r="V435" s="103"/>
      <c r="AA435" s="104"/>
      <c r="AB435" s="104"/>
      <c r="AD435" s="104"/>
      <c r="AE435" s="105"/>
      <c r="AH435" s="106"/>
      <c r="AI435" s="106"/>
      <c r="AK435" s="104"/>
      <c r="AR435" s="104"/>
      <c r="AV435" s="104"/>
      <c r="AX435" s="104"/>
      <c r="BB435" s="104"/>
      <c r="BC435" s="104"/>
      <c r="BE435" s="104"/>
      <c r="BF435" s="168"/>
      <c r="BG435" s="168"/>
      <c r="BH435" s="168"/>
      <c r="BI435" s="102"/>
      <c r="BJ435" s="178"/>
      <c r="BK435" s="178"/>
      <c r="BL435" s="178"/>
      <c r="BM435" s="169"/>
      <c r="BN435" s="169"/>
      <c r="BO435" s="169"/>
      <c r="BP435" s="178"/>
      <c r="BQ435" s="178"/>
      <c r="BR435" s="178"/>
      <c r="BS435" s="178"/>
      <c r="BT435" s="178"/>
      <c r="BU435" s="178"/>
      <c r="BV435" s="178"/>
      <c r="BW435" s="178"/>
      <c r="BX435" s="178"/>
      <c r="BY435" s="178"/>
      <c r="BZ435" s="178"/>
      <c r="CA435" s="178"/>
      <c r="CB435" s="180"/>
      <c r="CC435" s="178"/>
      <c r="CD435" s="178"/>
      <c r="CE435" s="180"/>
      <c r="CF435" s="180"/>
      <c r="CG435" s="180"/>
      <c r="CH435" s="180"/>
      <c r="CI435" s="178"/>
      <c r="CJ435" s="178"/>
      <c r="CK435" s="180"/>
      <c r="CL435" s="180"/>
      <c r="CM435" s="180"/>
      <c r="CN435" s="116"/>
      <c r="CO435" s="100"/>
      <c r="CP435" s="100"/>
      <c r="CQ435" s="100"/>
    </row>
    <row r="436" spans="1:137" ht="15" hidden="1" customHeight="1" x14ac:dyDescent="0.25">
      <c r="BF436" s="168"/>
      <c r="BG436" s="168"/>
      <c r="BH436" s="168"/>
      <c r="BI436" s="102" t="s">
        <v>232</v>
      </c>
      <c r="BK436" s="178" t="s">
        <v>607</v>
      </c>
      <c r="BM436" s="169" t="s">
        <v>233</v>
      </c>
      <c r="BN436" s="169" t="s">
        <v>233</v>
      </c>
      <c r="BO436" s="169" t="s">
        <v>240</v>
      </c>
      <c r="BP436" s="178" t="s">
        <v>645</v>
      </c>
      <c r="CR436" s="98"/>
      <c r="CS436" s="98"/>
      <c r="CT436" s="98"/>
      <c r="CU436" s="98"/>
      <c r="CV436" s="98"/>
      <c r="CW436" s="98"/>
      <c r="CX436" s="98"/>
      <c r="CY436" s="98"/>
      <c r="CZ436" s="98"/>
      <c r="DA436" s="98"/>
      <c r="DB436" s="98"/>
      <c r="DC436" s="98"/>
      <c r="DD436" s="98"/>
      <c r="DE436" s="98"/>
      <c r="DF436" s="98"/>
      <c r="DG436" s="98"/>
      <c r="DH436" s="98"/>
      <c r="DI436" s="98"/>
      <c r="DJ436" s="98"/>
      <c r="DK436" s="98"/>
      <c r="DL436" s="98"/>
      <c r="DM436" s="98"/>
      <c r="DN436" s="98"/>
      <c r="DO436" s="98"/>
      <c r="DP436" s="98"/>
      <c r="DQ436" s="98"/>
      <c r="DR436" s="98"/>
      <c r="DS436" s="98"/>
      <c r="DT436" s="98"/>
      <c r="DU436" s="98"/>
      <c r="DV436" s="98"/>
      <c r="DW436" s="98"/>
      <c r="DX436" s="98"/>
      <c r="DY436" s="98"/>
      <c r="DZ436" s="98"/>
      <c r="EA436" s="98"/>
      <c r="EB436" s="98"/>
      <c r="EC436" s="98"/>
      <c r="ED436" s="98"/>
      <c r="EE436" s="98"/>
      <c r="EF436" s="98"/>
      <c r="EG436" s="98"/>
    </row>
    <row r="437" spans="1:137" ht="15" hidden="1" customHeight="1" x14ac:dyDescent="0.25">
      <c r="BF437" s="168"/>
      <c r="BG437" s="168"/>
      <c r="BH437" s="168"/>
      <c r="BJ437" s="178" t="s">
        <v>253</v>
      </c>
      <c r="BL437" s="178" t="s">
        <v>251</v>
      </c>
      <c r="CR437" s="98"/>
      <c r="CS437" s="98"/>
      <c r="CT437" s="98"/>
      <c r="CU437" s="98"/>
      <c r="CV437" s="98"/>
      <c r="CW437" s="98"/>
      <c r="CX437" s="98"/>
      <c r="CY437" s="98"/>
      <c r="CZ437" s="98"/>
      <c r="DA437" s="98"/>
      <c r="DB437" s="98"/>
      <c r="DC437" s="98"/>
      <c r="DD437" s="98"/>
      <c r="DE437" s="98"/>
      <c r="DF437" s="98"/>
      <c r="DG437" s="98"/>
      <c r="DH437" s="98"/>
      <c r="DI437" s="98"/>
      <c r="DJ437" s="98"/>
      <c r="DK437" s="98"/>
      <c r="DL437" s="98"/>
      <c r="DM437" s="98"/>
      <c r="DN437" s="98"/>
      <c r="DO437" s="98"/>
      <c r="DP437" s="98"/>
      <c r="DQ437" s="98"/>
      <c r="DR437" s="98"/>
      <c r="DS437" s="98"/>
      <c r="DT437" s="98"/>
      <c r="DU437" s="98"/>
      <c r="DV437" s="98"/>
      <c r="DW437" s="98"/>
      <c r="DX437" s="98"/>
      <c r="DY437" s="98"/>
      <c r="DZ437" s="98"/>
      <c r="EA437" s="98"/>
      <c r="EB437" s="98"/>
      <c r="EC437" s="98"/>
      <c r="ED437" s="98"/>
      <c r="EE437" s="98"/>
      <c r="EF437" s="98"/>
      <c r="EG437" s="98"/>
    </row>
    <row r="438" spans="1:137" ht="15" hidden="1" customHeight="1" x14ac:dyDescent="0.25">
      <c r="BF438" s="168"/>
      <c r="BG438" s="168"/>
      <c r="BH438" s="168"/>
      <c r="BI438" s="102" t="s">
        <v>1</v>
      </c>
      <c r="BJ438" s="178" t="s">
        <v>615</v>
      </c>
      <c r="BK438" s="178">
        <v>1664.9169999999999</v>
      </c>
      <c r="BL438" s="178" t="s">
        <v>641</v>
      </c>
      <c r="BM438" s="169">
        <v>4.3E-3</v>
      </c>
      <c r="BN438" s="169">
        <v>4.3E-3</v>
      </c>
      <c r="BO438" s="169" t="s">
        <v>241</v>
      </c>
      <c r="BP438" s="263">
        <v>1</v>
      </c>
      <c r="CR438" s="98"/>
      <c r="CS438" s="98"/>
      <c r="CT438" s="98"/>
      <c r="CU438" s="98"/>
      <c r="CV438" s="98"/>
      <c r="CW438" s="98"/>
      <c r="CX438" s="98"/>
      <c r="CY438" s="98"/>
      <c r="CZ438" s="98"/>
      <c r="DA438" s="98"/>
      <c r="DB438" s="98"/>
      <c r="DC438" s="98"/>
      <c r="DD438" s="98"/>
      <c r="DE438" s="98"/>
      <c r="DF438" s="98"/>
      <c r="DG438" s="98"/>
      <c r="DH438" s="98"/>
      <c r="DI438" s="98"/>
      <c r="DJ438" s="98"/>
      <c r="DK438" s="98"/>
      <c r="DL438" s="98"/>
      <c r="DM438" s="98"/>
      <c r="DN438" s="98"/>
      <c r="DO438" s="98"/>
      <c r="DP438" s="98"/>
      <c r="DQ438" s="98"/>
      <c r="DR438" s="98"/>
      <c r="DS438" s="98"/>
      <c r="DT438" s="98"/>
      <c r="DU438" s="98"/>
      <c r="DV438" s="98"/>
      <c r="DW438" s="98"/>
      <c r="DX438" s="98"/>
      <c r="DY438" s="98"/>
      <c r="DZ438" s="98"/>
      <c r="EA438" s="98"/>
      <c r="EB438" s="98"/>
      <c r="EC438" s="98"/>
      <c r="ED438" s="98"/>
      <c r="EE438" s="98"/>
      <c r="EF438" s="98"/>
      <c r="EG438" s="98"/>
    </row>
    <row r="439" spans="1:137" ht="15" hidden="1" customHeight="1" x14ac:dyDescent="0.25">
      <c r="BF439" s="168"/>
      <c r="BG439" s="168"/>
      <c r="BH439" s="168"/>
      <c r="BI439" s="102" t="s">
        <v>221</v>
      </c>
      <c r="BJ439" s="178" t="s">
        <v>615</v>
      </c>
      <c r="BK439" s="178">
        <v>1869.837</v>
      </c>
      <c r="BL439" s="178" t="s">
        <v>641</v>
      </c>
      <c r="BM439" s="169">
        <v>3.82E-3</v>
      </c>
      <c r="BN439" s="169">
        <v>3.82E-3</v>
      </c>
      <c r="BO439" s="169" t="s">
        <v>241</v>
      </c>
      <c r="BP439" s="263">
        <v>1</v>
      </c>
      <c r="CR439" s="98"/>
      <c r="CS439" s="98"/>
      <c r="CT439" s="98"/>
      <c r="CU439" s="98"/>
      <c r="CV439" s="98"/>
      <c r="CW439" s="98"/>
      <c r="CX439" s="98"/>
      <c r="CY439" s="98"/>
      <c r="CZ439" s="98"/>
      <c r="DA439" s="98"/>
      <c r="DB439" s="98"/>
      <c r="DC439" s="98"/>
      <c r="DD439" s="98"/>
      <c r="DE439" s="98"/>
      <c r="DF439" s="98"/>
      <c r="DG439" s="98"/>
      <c r="DH439" s="98"/>
      <c r="DI439" s="98"/>
      <c r="DJ439" s="98"/>
      <c r="DK439" s="98"/>
      <c r="DL439" s="98"/>
      <c r="DM439" s="98"/>
      <c r="DN439" s="98"/>
      <c r="DO439" s="98"/>
      <c r="DP439" s="98"/>
      <c r="DQ439" s="98"/>
      <c r="DR439" s="98"/>
      <c r="DS439" s="98"/>
      <c r="DT439" s="98"/>
      <c r="DU439" s="98"/>
      <c r="DV439" s="98"/>
      <c r="DW439" s="98"/>
      <c r="DX439" s="98"/>
      <c r="DY439" s="98"/>
      <c r="DZ439" s="98"/>
      <c r="EA439" s="98"/>
      <c r="EB439" s="98"/>
      <c r="EC439" s="98"/>
      <c r="ED439" s="98"/>
      <c r="EE439" s="98"/>
      <c r="EF439" s="98"/>
      <c r="EG439" s="98"/>
    </row>
    <row r="440" spans="1:137" ht="15" hidden="1" customHeight="1" x14ac:dyDescent="0.25">
      <c r="BF440" s="168"/>
      <c r="BG440" s="168"/>
      <c r="BH440" s="168"/>
      <c r="BI440" s="102" t="s">
        <v>222</v>
      </c>
      <c r="BJ440" s="178" t="s">
        <v>615</v>
      </c>
      <c r="BK440" s="178">
        <v>1758.4449999999999</v>
      </c>
      <c r="BL440" s="178" t="s">
        <v>641</v>
      </c>
      <c r="BM440" s="169">
        <v>3.98E-3</v>
      </c>
      <c r="BN440" s="169">
        <v>3.98E-3</v>
      </c>
      <c r="BO440" s="169" t="s">
        <v>241</v>
      </c>
      <c r="BP440" s="263">
        <v>1</v>
      </c>
      <c r="CR440" s="98"/>
      <c r="CS440" s="98"/>
      <c r="CT440" s="98"/>
      <c r="CU440" s="98"/>
      <c r="CV440" s="98"/>
      <c r="CW440" s="98"/>
      <c r="CX440" s="98"/>
      <c r="CY440" s="98"/>
      <c r="CZ440" s="98"/>
      <c r="DA440" s="98"/>
      <c r="DB440" s="98"/>
      <c r="DC440" s="98"/>
      <c r="DD440" s="98"/>
      <c r="DE440" s="98"/>
      <c r="DF440" s="98"/>
      <c r="DG440" s="98"/>
      <c r="DH440" s="98"/>
      <c r="DI440" s="98"/>
      <c r="DJ440" s="98"/>
      <c r="DK440" s="98"/>
      <c r="DL440" s="98"/>
      <c r="DM440" s="98"/>
      <c r="DN440" s="98"/>
      <c r="DO440" s="98"/>
      <c r="DP440" s="98"/>
      <c r="DQ440" s="98"/>
      <c r="DR440" s="98"/>
      <c r="DS440" s="98"/>
      <c r="DT440" s="98"/>
      <c r="DU440" s="98"/>
      <c r="DV440" s="98"/>
      <c r="DW440" s="98"/>
      <c r="DX440" s="98"/>
      <c r="DY440" s="98"/>
      <c r="DZ440" s="98"/>
      <c r="EA440" s="98"/>
      <c r="EB440" s="98"/>
      <c r="EC440" s="98"/>
      <c r="ED440" s="98"/>
      <c r="EE440" s="98"/>
      <c r="EF440" s="98"/>
      <c r="EG440" s="98"/>
    </row>
    <row r="441" spans="1:137" ht="15" hidden="1" customHeight="1" x14ac:dyDescent="0.25">
      <c r="BF441" s="168"/>
      <c r="BG441" s="168"/>
      <c r="BH441" s="168"/>
      <c r="BI441" s="102" t="s">
        <v>223</v>
      </c>
      <c r="BJ441" s="178" t="s">
        <v>615</v>
      </c>
      <c r="BK441" s="178" t="s">
        <v>403</v>
      </c>
      <c r="BL441" s="178" t="s">
        <v>641</v>
      </c>
      <c r="BM441" s="169">
        <v>3.5799999999999998E-3</v>
      </c>
      <c r="BN441" s="169">
        <v>3.5799999999999998E-3</v>
      </c>
      <c r="BO441" s="169" t="s">
        <v>241</v>
      </c>
      <c r="BP441" s="263">
        <v>1</v>
      </c>
      <c r="CR441" s="98"/>
      <c r="CS441" s="98"/>
      <c r="CT441" s="98"/>
      <c r="CU441" s="98"/>
      <c r="CV441" s="98"/>
      <c r="CW441" s="98"/>
      <c r="CX441" s="98"/>
      <c r="CY441" s="98"/>
      <c r="CZ441" s="98"/>
      <c r="DA441" s="98"/>
      <c r="DB441" s="98"/>
      <c r="DC441" s="98"/>
      <c r="DD441" s="98"/>
      <c r="DE441" s="98"/>
      <c r="DF441" s="98"/>
      <c r="DG441" s="98"/>
      <c r="DH441" s="98"/>
      <c r="DI441" s="98"/>
      <c r="DJ441" s="98"/>
      <c r="DK441" s="98"/>
      <c r="DL441" s="98"/>
      <c r="DM441" s="98"/>
      <c r="DN441" s="98"/>
      <c r="DO441" s="98"/>
      <c r="DP441" s="98"/>
      <c r="DQ441" s="98"/>
      <c r="DR441" s="98"/>
      <c r="DS441" s="98"/>
      <c r="DT441" s="98"/>
      <c r="DU441" s="98"/>
      <c r="DV441" s="98"/>
      <c r="DW441" s="98"/>
      <c r="DX441" s="98"/>
      <c r="DY441" s="98"/>
      <c r="DZ441" s="98"/>
      <c r="EA441" s="98"/>
      <c r="EB441" s="98"/>
      <c r="EC441" s="98"/>
      <c r="ED441" s="98"/>
      <c r="EE441" s="98"/>
      <c r="EF441" s="98"/>
      <c r="EG441" s="98"/>
    </row>
    <row r="442" spans="1:137" ht="15" hidden="1" customHeight="1" x14ac:dyDescent="0.25">
      <c r="BF442" s="168"/>
      <c r="BG442" s="168"/>
      <c r="BH442" s="168"/>
      <c r="BI442" s="102" t="s">
        <v>224</v>
      </c>
      <c r="BJ442" s="178" t="s">
        <v>615</v>
      </c>
      <c r="BK442" s="178">
        <v>1553.251</v>
      </c>
      <c r="BL442" s="178" t="s">
        <v>641</v>
      </c>
      <c r="BM442" s="169">
        <v>4.4900000000000001E-3</v>
      </c>
      <c r="BN442" s="169">
        <v>4.4900000000000001E-3</v>
      </c>
      <c r="BO442" s="169" t="s">
        <v>241</v>
      </c>
      <c r="BP442" s="263">
        <v>1</v>
      </c>
      <c r="CR442" s="98"/>
      <c r="CS442" s="98"/>
      <c r="CT442" s="98"/>
      <c r="CU442" s="98"/>
      <c r="CV442" s="98"/>
      <c r="CW442" s="98"/>
      <c r="CX442" s="98"/>
      <c r="CY442" s="98"/>
      <c r="CZ442" s="98"/>
      <c r="DA442" s="98"/>
      <c r="DB442" s="98"/>
      <c r="DC442" s="98"/>
      <c r="DD442" s="98"/>
      <c r="DE442" s="98"/>
      <c r="DF442" s="98"/>
      <c r="DG442" s="98"/>
      <c r="DH442" s="98"/>
      <c r="DI442" s="98"/>
      <c r="DJ442" s="98"/>
      <c r="DK442" s="98"/>
      <c r="DL442" s="98"/>
      <c r="DM442" s="98"/>
      <c r="DN442" s="98"/>
      <c r="DO442" s="98"/>
      <c r="DP442" s="98"/>
      <c r="DQ442" s="98"/>
      <c r="DR442" s="98"/>
      <c r="DS442" s="98"/>
      <c r="DT442" s="98"/>
      <c r="DU442" s="98"/>
      <c r="DV442" s="98"/>
      <c r="DW442" s="98"/>
      <c r="DX442" s="98"/>
      <c r="DY442" s="98"/>
      <c r="DZ442" s="98"/>
      <c r="EA442" s="98"/>
      <c r="EB442" s="98"/>
      <c r="EC442" s="98"/>
      <c r="ED442" s="98"/>
      <c r="EE442" s="98"/>
      <c r="EF442" s="98"/>
      <c r="EG442" s="98"/>
    </row>
    <row r="443" spans="1:137" ht="15" hidden="1" customHeight="1" x14ac:dyDescent="0.25">
      <c r="BF443" s="168"/>
      <c r="BG443" s="168"/>
      <c r="BH443" s="168"/>
      <c r="BI443" s="102" t="s">
        <v>225</v>
      </c>
      <c r="BJ443" s="178" t="s">
        <v>615</v>
      </c>
      <c r="BK443" s="178">
        <v>2222.1489999999999</v>
      </c>
      <c r="BL443" s="178" t="s">
        <v>641</v>
      </c>
      <c r="BM443" s="169">
        <v>3.0299999999999997E-3</v>
      </c>
      <c r="BN443" s="169">
        <v>3.0299999999999997E-3</v>
      </c>
      <c r="BO443" s="169" t="s">
        <v>241</v>
      </c>
      <c r="BP443" s="263">
        <v>1</v>
      </c>
      <c r="CR443" s="98"/>
      <c r="CS443" s="98"/>
      <c r="CT443" s="98"/>
      <c r="CU443" s="98"/>
      <c r="CV443" s="98"/>
      <c r="CW443" s="98"/>
      <c r="CX443" s="98"/>
      <c r="CY443" s="98"/>
      <c r="CZ443" s="98"/>
      <c r="DA443" s="98"/>
      <c r="DB443" s="98"/>
      <c r="DC443" s="98"/>
      <c r="DD443" s="98"/>
      <c r="DE443" s="98"/>
      <c r="DF443" s="98"/>
      <c r="DG443" s="98"/>
      <c r="DH443" s="98"/>
      <c r="DI443" s="98"/>
      <c r="DJ443" s="98"/>
      <c r="DK443" s="98"/>
      <c r="DL443" s="98"/>
      <c r="DM443" s="98"/>
      <c r="DN443" s="98"/>
      <c r="DO443" s="98"/>
      <c r="DP443" s="98"/>
      <c r="DQ443" s="98"/>
      <c r="DR443" s="98"/>
      <c r="DS443" s="98"/>
      <c r="DT443" s="98"/>
      <c r="DU443" s="98"/>
      <c r="DV443" s="98"/>
      <c r="DW443" s="98"/>
      <c r="DX443" s="98"/>
      <c r="DY443" s="98"/>
      <c r="DZ443" s="98"/>
      <c r="EA443" s="98"/>
      <c r="EB443" s="98"/>
      <c r="EC443" s="98"/>
      <c r="ED443" s="98"/>
      <c r="EE443" s="98"/>
      <c r="EF443" s="98"/>
      <c r="EG443" s="98"/>
    </row>
    <row r="444" spans="1:137" ht="15" hidden="1" customHeight="1" x14ac:dyDescent="0.25">
      <c r="BF444" s="168"/>
      <c r="BG444" s="168"/>
      <c r="BH444" s="168"/>
      <c r="BI444" s="102" t="s">
        <v>226</v>
      </c>
      <c r="BJ444" s="178" t="s">
        <v>615</v>
      </c>
      <c r="BK444" s="178">
        <v>1871.6690000000001</v>
      </c>
      <c r="BL444" s="178" t="s">
        <v>641</v>
      </c>
      <c r="BM444" s="169">
        <v>3.7299999999999998E-3</v>
      </c>
      <c r="BN444" s="169">
        <v>3.7299999999999998E-3</v>
      </c>
      <c r="BO444" s="169" t="s">
        <v>241</v>
      </c>
      <c r="BP444" s="263">
        <v>1</v>
      </c>
      <c r="CR444" s="98"/>
      <c r="CS444" s="98"/>
      <c r="CT444" s="98"/>
      <c r="CU444" s="98"/>
      <c r="CV444" s="98"/>
      <c r="CW444" s="98"/>
      <c r="CX444" s="98"/>
      <c r="CY444" s="98"/>
      <c r="CZ444" s="98"/>
      <c r="DA444" s="98"/>
      <c r="DB444" s="98"/>
      <c r="DC444" s="98"/>
      <c r="DD444" s="98"/>
      <c r="DE444" s="98"/>
      <c r="DF444" s="98"/>
      <c r="DG444" s="98"/>
      <c r="DH444" s="98"/>
      <c r="DI444" s="98"/>
      <c r="DJ444" s="98"/>
      <c r="DK444" s="98"/>
      <c r="DL444" s="98"/>
      <c r="DM444" s="98"/>
      <c r="DN444" s="98"/>
      <c r="DO444" s="98"/>
      <c r="DP444" s="98"/>
      <c r="DQ444" s="98"/>
      <c r="DR444" s="98"/>
      <c r="DS444" s="98"/>
      <c r="DT444" s="98"/>
      <c r="DU444" s="98"/>
      <c r="DV444" s="98"/>
      <c r="DW444" s="98"/>
      <c r="DX444" s="98"/>
      <c r="DY444" s="98"/>
      <c r="DZ444" s="98"/>
      <c r="EA444" s="98"/>
      <c r="EB444" s="98"/>
      <c r="EC444" s="98"/>
      <c r="ED444" s="98"/>
      <c r="EE444" s="98"/>
      <c r="EF444" s="98"/>
      <c r="EG444" s="98"/>
    </row>
    <row r="445" spans="1:137" ht="15" hidden="1" customHeight="1" x14ac:dyDescent="0.25">
      <c r="BF445" s="168"/>
      <c r="BG445" s="168"/>
      <c r="BH445" s="168"/>
      <c r="BI445" s="102" t="s">
        <v>3</v>
      </c>
      <c r="BJ445" s="178" t="s">
        <v>615</v>
      </c>
      <c r="BK445" s="178">
        <v>1521.3389999999999</v>
      </c>
      <c r="BL445" s="178" t="s">
        <v>641</v>
      </c>
      <c r="BM445" s="169">
        <v>4.4099999999999999E-3</v>
      </c>
      <c r="BN445" s="169">
        <v>4.4099999999999999E-3</v>
      </c>
      <c r="BO445" s="169" t="s">
        <v>241</v>
      </c>
      <c r="BP445" s="263">
        <v>1</v>
      </c>
      <c r="CR445" s="98"/>
      <c r="CS445" s="98"/>
      <c r="CT445" s="98"/>
      <c r="CU445" s="98"/>
      <c r="CV445" s="98"/>
      <c r="CW445" s="98"/>
      <c r="CX445" s="98"/>
      <c r="CY445" s="98"/>
      <c r="CZ445" s="98"/>
      <c r="DA445" s="98"/>
      <c r="DB445" s="98"/>
      <c r="DC445" s="98"/>
      <c r="DD445" s="98"/>
      <c r="DE445" s="98"/>
      <c r="DF445" s="98"/>
      <c r="DG445" s="98"/>
      <c r="DH445" s="98"/>
      <c r="DI445" s="98"/>
      <c r="DJ445" s="98"/>
      <c r="DK445" s="98"/>
      <c r="DL445" s="98"/>
      <c r="DM445" s="98"/>
      <c r="DN445" s="98"/>
      <c r="DO445" s="98"/>
      <c r="DP445" s="98"/>
      <c r="DQ445" s="98"/>
      <c r="DR445" s="98"/>
      <c r="DS445" s="98"/>
      <c r="DT445" s="98"/>
      <c r="DU445" s="98"/>
      <c r="DV445" s="98"/>
      <c r="DW445" s="98"/>
      <c r="DX445" s="98"/>
      <c r="DY445" s="98"/>
      <c r="DZ445" s="98"/>
      <c r="EA445" s="98"/>
      <c r="EB445" s="98"/>
      <c r="EC445" s="98"/>
      <c r="ED445" s="98"/>
      <c r="EE445" s="98"/>
      <c r="EF445" s="98"/>
      <c r="EG445" s="98"/>
    </row>
    <row r="446" spans="1:137" ht="15" hidden="1" customHeight="1" x14ac:dyDescent="0.25">
      <c r="BF446" s="168"/>
      <c r="BG446" s="168"/>
      <c r="BH446" s="168"/>
      <c r="BI446" s="102" t="s">
        <v>227</v>
      </c>
      <c r="BJ446" s="178" t="s">
        <v>615</v>
      </c>
      <c r="BK446" s="178">
        <v>1958.4190000000001</v>
      </c>
      <c r="BL446" s="178" t="s">
        <v>641</v>
      </c>
      <c r="BM446" s="169">
        <v>3.6800000000000001E-3</v>
      </c>
      <c r="BN446" s="169">
        <v>3.6800000000000001E-3</v>
      </c>
      <c r="BO446" s="169" t="s">
        <v>241</v>
      </c>
      <c r="BP446" s="263">
        <v>1</v>
      </c>
      <c r="CR446" s="98"/>
      <c r="CS446" s="98"/>
      <c r="CT446" s="98"/>
      <c r="CU446" s="98"/>
      <c r="CV446" s="98"/>
      <c r="CW446" s="98"/>
      <c r="CX446" s="98"/>
      <c r="CY446" s="98"/>
      <c r="CZ446" s="98"/>
      <c r="DA446" s="98"/>
      <c r="DB446" s="98"/>
      <c r="DC446" s="98"/>
      <c r="DD446" s="98"/>
      <c r="DE446" s="98"/>
      <c r="DF446" s="98"/>
      <c r="DG446" s="98"/>
      <c r="DH446" s="98"/>
      <c r="DI446" s="98"/>
      <c r="DJ446" s="98"/>
      <c r="DK446" s="98"/>
      <c r="DL446" s="98"/>
      <c r="DM446" s="98"/>
      <c r="DN446" s="98"/>
      <c r="DO446" s="98"/>
      <c r="DP446" s="98"/>
      <c r="DQ446" s="98"/>
      <c r="DR446" s="98"/>
      <c r="DS446" s="98"/>
      <c r="DT446" s="98"/>
      <c r="DU446" s="98"/>
      <c r="DV446" s="98"/>
      <c r="DW446" s="98"/>
      <c r="DX446" s="98"/>
      <c r="DY446" s="98"/>
      <c r="DZ446" s="98"/>
      <c r="EA446" s="98"/>
      <c r="EB446" s="98"/>
      <c r="EC446" s="98"/>
      <c r="ED446" s="98"/>
      <c r="EE446" s="98"/>
      <c r="EF446" s="98"/>
      <c r="EG446" s="98"/>
    </row>
    <row r="447" spans="1:137" ht="15" hidden="1" customHeight="1" x14ac:dyDescent="0.25">
      <c r="BF447" s="168"/>
      <c r="BG447" s="168"/>
      <c r="BH447" s="168"/>
      <c r="BI447" s="102" t="s">
        <v>228</v>
      </c>
      <c r="BJ447" s="178" t="s">
        <v>615</v>
      </c>
      <c r="BK447" s="178">
        <v>1953.38</v>
      </c>
      <c r="BL447" s="178" t="s">
        <v>641</v>
      </c>
      <c r="BM447" s="169">
        <v>3.5899999999999999E-3</v>
      </c>
      <c r="BN447" s="169">
        <v>3.5899999999999999E-3</v>
      </c>
      <c r="BO447" s="169" t="s">
        <v>241</v>
      </c>
      <c r="BP447" s="263">
        <v>1</v>
      </c>
      <c r="CR447" s="98"/>
      <c r="CS447" s="98"/>
      <c r="CT447" s="98"/>
      <c r="CU447" s="98"/>
      <c r="CV447" s="98"/>
      <c r="CW447" s="98"/>
      <c r="CX447" s="98"/>
      <c r="CY447" s="98"/>
      <c r="CZ447" s="98"/>
      <c r="DA447" s="98"/>
      <c r="DB447" s="98"/>
      <c r="DC447" s="98"/>
      <c r="DD447" s="98"/>
      <c r="DE447" s="98"/>
      <c r="DF447" s="98"/>
      <c r="DG447" s="98"/>
      <c r="DH447" s="98"/>
      <c r="DI447" s="98"/>
      <c r="DJ447" s="98"/>
      <c r="DK447" s="98"/>
      <c r="DL447" s="98"/>
      <c r="DM447" s="98"/>
      <c r="DN447" s="98"/>
      <c r="DO447" s="98"/>
      <c r="DP447" s="98"/>
      <c r="DQ447" s="98"/>
      <c r="DR447" s="98"/>
      <c r="DS447" s="98"/>
      <c r="DT447" s="98"/>
      <c r="DU447" s="98"/>
      <c r="DV447" s="98"/>
      <c r="DW447" s="98"/>
      <c r="DX447" s="98"/>
      <c r="DY447" s="98"/>
      <c r="DZ447" s="98"/>
      <c r="EA447" s="98"/>
      <c r="EB447" s="98"/>
      <c r="EC447" s="98"/>
      <c r="ED447" s="98"/>
      <c r="EE447" s="98"/>
      <c r="EF447" s="98"/>
      <c r="EG447" s="98"/>
    </row>
    <row r="448" spans="1:137" ht="15" hidden="1" customHeight="1" x14ac:dyDescent="0.25">
      <c r="BF448" s="168"/>
      <c r="BG448" s="168"/>
      <c r="BH448" s="168"/>
      <c r="BI448" s="102" t="s">
        <v>229</v>
      </c>
      <c r="BJ448" s="178" t="s">
        <v>615</v>
      </c>
      <c r="BK448" s="178">
        <v>2005.412</v>
      </c>
      <c r="BL448" s="178" t="s">
        <v>641</v>
      </c>
      <c r="BM448" s="169">
        <v>3.4999999999999996E-3</v>
      </c>
      <c r="BN448" s="169">
        <v>3.4999999999999996E-3</v>
      </c>
      <c r="BO448" s="169" t="s">
        <v>241</v>
      </c>
      <c r="BP448" s="263">
        <v>1</v>
      </c>
      <c r="CR448" s="98"/>
      <c r="CS448" s="98"/>
      <c r="CT448" s="98"/>
      <c r="CU448" s="98"/>
      <c r="CV448" s="98"/>
      <c r="CW448" s="98"/>
      <c r="CX448" s="98"/>
      <c r="CY448" s="98"/>
      <c r="CZ448" s="98"/>
      <c r="DA448" s="98"/>
      <c r="DB448" s="98"/>
      <c r="DC448" s="98"/>
      <c r="DD448" s="98"/>
      <c r="DE448" s="98"/>
      <c r="DF448" s="98"/>
      <c r="DG448" s="98"/>
      <c r="DH448" s="98"/>
      <c r="DI448" s="98"/>
      <c r="DJ448" s="98"/>
      <c r="DK448" s="98"/>
      <c r="DL448" s="98"/>
      <c r="DM448" s="98"/>
      <c r="DN448" s="98"/>
      <c r="DO448" s="98"/>
      <c r="DP448" s="98"/>
      <c r="DQ448" s="98"/>
      <c r="DR448" s="98"/>
      <c r="DS448" s="98"/>
      <c r="DT448" s="98"/>
      <c r="DU448" s="98"/>
      <c r="DV448" s="98"/>
      <c r="DW448" s="98"/>
      <c r="DX448" s="98"/>
      <c r="DY448" s="98"/>
      <c r="DZ448" s="98"/>
      <c r="EA448" s="98"/>
      <c r="EB448" s="98"/>
      <c r="EC448" s="98"/>
      <c r="ED448" s="98"/>
      <c r="EE448" s="98"/>
      <c r="EF448" s="98"/>
      <c r="EG448" s="98"/>
    </row>
    <row r="449" spans="1:137" ht="15" hidden="1" customHeight="1" x14ac:dyDescent="0.25">
      <c r="BF449" s="168"/>
      <c r="BG449" s="168"/>
      <c r="BH449" s="168"/>
      <c r="BI449" s="102" t="s">
        <v>230</v>
      </c>
      <c r="BJ449" s="178" t="s">
        <v>615</v>
      </c>
      <c r="BK449" s="178">
        <v>1942.7539999999999</v>
      </c>
      <c r="BL449" s="178" t="s">
        <v>641</v>
      </c>
      <c r="BM449" s="169">
        <v>3.5899999999999999E-3</v>
      </c>
      <c r="BN449" s="169">
        <v>3.5899999999999999E-3</v>
      </c>
      <c r="BO449" s="169" t="s">
        <v>241</v>
      </c>
      <c r="BP449" s="263">
        <v>1</v>
      </c>
      <c r="CR449" s="98"/>
      <c r="CS449" s="98"/>
      <c r="CT449" s="98"/>
      <c r="CU449" s="98"/>
      <c r="CV449" s="98"/>
      <c r="CW449" s="98"/>
      <c r="CX449" s="98"/>
      <c r="CY449" s="98"/>
      <c r="CZ449" s="98"/>
      <c r="DA449" s="98"/>
      <c r="DB449" s="98"/>
      <c r="DC449" s="98"/>
      <c r="DD449" s="98"/>
      <c r="DE449" s="98"/>
      <c r="DF449" s="98"/>
      <c r="DG449" s="98"/>
      <c r="DH449" s="98"/>
      <c r="DI449" s="98"/>
      <c r="DJ449" s="98"/>
      <c r="DK449" s="98"/>
      <c r="DL449" s="98"/>
      <c r="DM449" s="98"/>
      <c r="DN449" s="98"/>
      <c r="DO449" s="98"/>
      <c r="DP449" s="98"/>
      <c r="DQ449" s="98"/>
      <c r="DR449" s="98"/>
      <c r="DS449" s="98"/>
      <c r="DT449" s="98"/>
      <c r="DU449" s="98"/>
      <c r="DV449" s="98"/>
      <c r="DW449" s="98"/>
      <c r="DX449" s="98"/>
      <c r="DY449" s="98"/>
      <c r="DZ449" s="98"/>
      <c r="EA449" s="98"/>
      <c r="EB449" s="98"/>
      <c r="EC449" s="98"/>
      <c r="ED449" s="98"/>
      <c r="EE449" s="98"/>
      <c r="EF449" s="98"/>
      <c r="EG449" s="98"/>
    </row>
    <row r="450" spans="1:137" ht="15" hidden="1" customHeight="1" x14ac:dyDescent="0.25">
      <c r="BF450" s="168"/>
      <c r="BG450" s="168"/>
      <c r="BH450" s="168"/>
      <c r="BI450" s="102" t="s">
        <v>231</v>
      </c>
      <c r="BJ450" s="178" t="s">
        <v>615</v>
      </c>
      <c r="BK450" s="178">
        <v>1932.1279999999999</v>
      </c>
      <c r="BL450" s="178" t="s">
        <v>641</v>
      </c>
      <c r="BM450" s="169">
        <v>3.6099999999999999E-3</v>
      </c>
      <c r="BN450" s="169">
        <v>3.6099999999999999E-3</v>
      </c>
      <c r="BO450" s="169" t="s">
        <v>241</v>
      </c>
      <c r="BP450" s="263">
        <v>1</v>
      </c>
      <c r="CR450" s="98"/>
      <c r="CS450" s="98"/>
      <c r="CT450" s="98"/>
      <c r="CU450" s="98"/>
      <c r="CV450" s="98"/>
      <c r="CW450" s="98"/>
      <c r="CX450" s="98"/>
      <c r="CY450" s="98"/>
      <c r="CZ450" s="98"/>
      <c r="DA450" s="98"/>
      <c r="DB450" s="98"/>
      <c r="DC450" s="98"/>
      <c r="DD450" s="98"/>
      <c r="DE450" s="98"/>
      <c r="DF450" s="98"/>
      <c r="DG450" s="98"/>
      <c r="DH450" s="98"/>
      <c r="DI450" s="98"/>
      <c r="DJ450" s="98"/>
      <c r="DK450" s="98"/>
      <c r="DL450" s="98"/>
      <c r="DM450" s="98"/>
      <c r="DN450" s="98"/>
      <c r="DO450" s="98"/>
      <c r="DP450" s="98"/>
      <c r="DQ450" s="98"/>
      <c r="DR450" s="98"/>
      <c r="DS450" s="98"/>
      <c r="DT450" s="98"/>
      <c r="DU450" s="98"/>
      <c r="DV450" s="98"/>
      <c r="DW450" s="98"/>
      <c r="DX450" s="98"/>
      <c r="DY450" s="98"/>
      <c r="DZ450" s="98"/>
      <c r="EA450" s="98"/>
      <c r="EB450" s="98"/>
      <c r="EC450" s="98"/>
      <c r="ED450" s="98"/>
      <c r="EE450" s="98"/>
      <c r="EF450" s="98"/>
      <c r="EG450" s="98"/>
    </row>
    <row r="451" spans="1:137" ht="15" hidden="1" customHeight="1" x14ac:dyDescent="0.25">
      <c r="A451" s="98"/>
      <c r="V451" s="98"/>
      <c r="AA451" s="98"/>
      <c r="AB451" s="98"/>
      <c r="AD451" s="98"/>
      <c r="AE451" s="98"/>
      <c r="AH451" s="98"/>
      <c r="AI451" s="98"/>
      <c r="AK451" s="98"/>
      <c r="AR451" s="98"/>
      <c r="AV451" s="98"/>
      <c r="AX451" s="98"/>
      <c r="BB451" s="98"/>
      <c r="BC451" s="98"/>
      <c r="BE451" s="98"/>
      <c r="BF451" s="168"/>
      <c r="BG451" s="168"/>
      <c r="BH451" s="168"/>
      <c r="BI451" s="102" t="s">
        <v>602</v>
      </c>
      <c r="BJ451" s="178" t="s">
        <v>49</v>
      </c>
      <c r="BK451" s="178">
        <v>1.521339</v>
      </c>
      <c r="BL451" s="178" t="s">
        <v>259</v>
      </c>
      <c r="BM451" s="169">
        <v>4.4099999999999999E-3</v>
      </c>
      <c r="BN451" s="169">
        <v>4.4099999999999999E-3</v>
      </c>
      <c r="BO451" s="169" t="s">
        <v>241</v>
      </c>
      <c r="BP451" s="263">
        <v>1</v>
      </c>
      <c r="BQ451" s="98"/>
      <c r="BR451" s="98"/>
      <c r="BS451" s="98"/>
      <c r="BT451" s="98"/>
      <c r="BU451" s="98"/>
      <c r="BV451" s="98"/>
      <c r="BW451" s="98"/>
      <c r="BX451" s="98"/>
      <c r="BY451" s="98"/>
      <c r="BZ451" s="98"/>
      <c r="CA451" s="98"/>
      <c r="CB451" s="98"/>
      <c r="CC451" s="98"/>
      <c r="CD451" s="98"/>
      <c r="CE451" s="98"/>
      <c r="CF451" s="98"/>
      <c r="CG451" s="98"/>
      <c r="CH451" s="98"/>
      <c r="CI451" s="98"/>
      <c r="CJ451" s="98"/>
      <c r="CK451" s="98"/>
      <c r="CL451" s="98"/>
      <c r="CM451" s="98"/>
      <c r="CN451" s="98"/>
      <c r="CR451" s="98"/>
      <c r="CS451" s="98"/>
      <c r="CT451" s="98"/>
      <c r="CU451" s="98"/>
      <c r="CV451" s="98"/>
      <c r="CW451" s="98"/>
      <c r="CX451" s="98"/>
      <c r="CY451" s="98"/>
      <c r="CZ451" s="98"/>
      <c r="DA451" s="98"/>
      <c r="DB451" s="98"/>
      <c r="DC451" s="98"/>
      <c r="DD451" s="98"/>
      <c r="DE451" s="98"/>
      <c r="DF451" s="98"/>
      <c r="DG451" s="98"/>
      <c r="DH451" s="98"/>
      <c r="DI451" s="98"/>
      <c r="DJ451" s="98"/>
      <c r="DK451" s="98"/>
      <c r="DL451" s="98"/>
      <c r="DM451" s="98"/>
      <c r="DN451" s="98"/>
      <c r="DO451" s="98"/>
      <c r="DP451" s="98"/>
      <c r="DQ451" s="98"/>
      <c r="DR451" s="98"/>
      <c r="DS451" s="98"/>
      <c r="DT451" s="98"/>
      <c r="DU451" s="98"/>
      <c r="DV451" s="98"/>
      <c r="DW451" s="98"/>
      <c r="DX451" s="98"/>
      <c r="DY451" s="98"/>
      <c r="DZ451" s="98"/>
      <c r="EA451" s="98"/>
      <c r="EB451" s="98"/>
      <c r="EC451" s="98"/>
      <c r="ED451" s="98"/>
      <c r="EE451" s="98"/>
      <c r="EF451" s="98"/>
      <c r="EG451" s="98"/>
    </row>
    <row r="452" spans="1:137" ht="15" hidden="1" customHeight="1" x14ac:dyDescent="0.25">
      <c r="A452" s="98"/>
      <c r="V452" s="98"/>
      <c r="AA452" s="98"/>
      <c r="AB452" s="98"/>
      <c r="AD452" s="98"/>
      <c r="AE452" s="98"/>
      <c r="AH452" s="98"/>
      <c r="AI452" s="98"/>
      <c r="AK452" s="98"/>
      <c r="AR452" s="98"/>
      <c r="AV452" s="98"/>
      <c r="AX452" s="98"/>
      <c r="BB452" s="98"/>
      <c r="BC452" s="98"/>
      <c r="BE452" s="98"/>
      <c r="BF452" s="168"/>
      <c r="BG452" s="168"/>
      <c r="BH452" s="168"/>
      <c r="BI452" s="102" t="s">
        <v>603</v>
      </c>
      <c r="BJ452" s="178" t="s">
        <v>49</v>
      </c>
      <c r="BK452" s="178">
        <v>1.521339</v>
      </c>
      <c r="BL452" s="178" t="s">
        <v>259</v>
      </c>
      <c r="BM452" s="169">
        <v>4.4099999999999999E-3</v>
      </c>
      <c r="BN452" s="169">
        <v>4.4099999999999999E-3</v>
      </c>
      <c r="BO452" s="169" t="s">
        <v>241</v>
      </c>
      <c r="BP452" s="263">
        <v>1</v>
      </c>
      <c r="BQ452" s="98"/>
      <c r="BR452" s="98"/>
      <c r="BS452" s="98"/>
      <c r="BT452" s="98"/>
      <c r="BU452" s="98"/>
      <c r="BV452" s="98"/>
      <c r="BW452" s="98"/>
      <c r="BX452" s="98"/>
      <c r="BY452" s="98"/>
      <c r="BZ452" s="98"/>
      <c r="CA452" s="98"/>
      <c r="CB452" s="98"/>
      <c r="CC452" s="98"/>
      <c r="CD452" s="98"/>
      <c r="CE452" s="98"/>
      <c r="CF452" s="98"/>
      <c r="CG452" s="98"/>
      <c r="CH452" s="98"/>
      <c r="CI452" s="98"/>
      <c r="CJ452" s="98"/>
      <c r="CK452" s="98"/>
      <c r="CL452" s="98"/>
      <c r="CM452" s="98"/>
      <c r="CN452" s="98"/>
      <c r="CR452" s="98"/>
      <c r="CS452" s="98"/>
      <c r="CT452" s="98"/>
      <c r="CU452" s="98"/>
      <c r="CV452" s="98"/>
      <c r="CW452" s="98"/>
      <c r="CX452" s="98"/>
      <c r="CY452" s="98"/>
      <c r="CZ452" s="98"/>
      <c r="DA452" s="98"/>
      <c r="DB452" s="98"/>
      <c r="DC452" s="98"/>
      <c r="DD452" s="98"/>
      <c r="DE452" s="98"/>
      <c r="DF452" s="98"/>
      <c r="DG452" s="98"/>
      <c r="DH452" s="98"/>
      <c r="DI452" s="98"/>
      <c r="DJ452" s="98"/>
      <c r="DK452" s="98"/>
      <c r="DL452" s="98"/>
      <c r="DM452" s="98"/>
      <c r="DN452" s="98"/>
      <c r="DO452" s="98"/>
      <c r="DP452" s="98"/>
      <c r="DQ452" s="98"/>
      <c r="DR452" s="98"/>
      <c r="DS452" s="98"/>
      <c r="DT452" s="98"/>
      <c r="DU452" s="98"/>
      <c r="DV452" s="98"/>
      <c r="DW452" s="98"/>
      <c r="DX452" s="98"/>
      <c r="DY452" s="98"/>
      <c r="DZ452" s="98"/>
      <c r="EA452" s="98"/>
      <c r="EB452" s="98"/>
      <c r="EC452" s="98"/>
      <c r="ED452" s="98"/>
      <c r="EE452" s="98"/>
      <c r="EF452" s="98"/>
      <c r="EG452" s="98"/>
    </row>
    <row r="453" spans="1:137" ht="15" hidden="1" customHeight="1" x14ac:dyDescent="0.25">
      <c r="A453" s="98"/>
      <c r="V453" s="98"/>
      <c r="AA453" s="98"/>
      <c r="AB453" s="98"/>
      <c r="AD453" s="98"/>
      <c r="AE453" s="98"/>
      <c r="AH453" s="98"/>
      <c r="AI453" s="98"/>
      <c r="AK453" s="98"/>
      <c r="AR453" s="98"/>
      <c r="AV453" s="98"/>
      <c r="AX453" s="98"/>
      <c r="BB453" s="98"/>
      <c r="BC453" s="98"/>
      <c r="BE453" s="98"/>
      <c r="BF453" s="168"/>
      <c r="BG453" s="168"/>
      <c r="BH453" s="168"/>
      <c r="BI453" s="102">
        <v>0</v>
      </c>
      <c r="BJ453" s="178">
        <v>0</v>
      </c>
      <c r="BK453" s="178">
        <v>0</v>
      </c>
      <c r="BL453" s="178">
        <v>0</v>
      </c>
      <c r="BM453" s="169">
        <v>0</v>
      </c>
      <c r="BN453" s="169">
        <v>0</v>
      </c>
      <c r="BO453" s="169">
        <v>0</v>
      </c>
      <c r="BQ453" s="98"/>
      <c r="BR453" s="98"/>
      <c r="BS453" s="98"/>
      <c r="BT453" s="98"/>
      <c r="BU453" s="98"/>
      <c r="BV453" s="98"/>
      <c r="BW453" s="98"/>
      <c r="BX453" s="98"/>
      <c r="BY453" s="98"/>
      <c r="BZ453" s="98"/>
      <c r="CA453" s="98"/>
      <c r="CB453" s="98"/>
      <c r="CC453" s="98"/>
      <c r="CD453" s="98"/>
      <c r="CE453" s="98"/>
      <c r="CF453" s="98"/>
      <c r="CG453" s="98"/>
      <c r="CH453" s="98"/>
      <c r="CI453" s="98"/>
      <c r="CJ453" s="98"/>
      <c r="CK453" s="98"/>
      <c r="CL453" s="98"/>
      <c r="CM453" s="98"/>
      <c r="CN453" s="98"/>
      <c r="CR453" s="98"/>
      <c r="CS453" s="98"/>
      <c r="CT453" s="98"/>
      <c r="CU453" s="98"/>
      <c r="CV453" s="98"/>
      <c r="CW453" s="98"/>
      <c r="CX453" s="98"/>
      <c r="CY453" s="98"/>
      <c r="CZ453" s="98"/>
      <c r="DA453" s="98"/>
      <c r="DB453" s="98"/>
      <c r="DC453" s="98"/>
      <c r="DD453" s="98"/>
      <c r="DE453" s="98"/>
      <c r="DF453" s="98"/>
      <c r="DG453" s="98"/>
      <c r="DH453" s="98"/>
      <c r="DI453" s="98"/>
      <c r="DJ453" s="98"/>
      <c r="DK453" s="98"/>
      <c r="DL453" s="98"/>
      <c r="DM453" s="98"/>
      <c r="DN453" s="98"/>
      <c r="DO453" s="98"/>
      <c r="DP453" s="98"/>
      <c r="DQ453" s="98"/>
      <c r="DR453" s="98"/>
      <c r="DS453" s="98"/>
      <c r="DT453" s="98"/>
      <c r="DU453" s="98"/>
      <c r="DV453" s="98"/>
      <c r="DW453" s="98"/>
      <c r="DX453" s="98"/>
      <c r="DY453" s="98"/>
      <c r="DZ453" s="98"/>
      <c r="EA453" s="98"/>
      <c r="EB453" s="98"/>
      <c r="EC453" s="98"/>
      <c r="ED453" s="98"/>
      <c r="EE453" s="98"/>
      <c r="EF453" s="98"/>
      <c r="EG453" s="98"/>
    </row>
    <row r="454" spans="1:137" ht="15" hidden="1" customHeight="1" x14ac:dyDescent="0.25">
      <c r="A454" s="98"/>
      <c r="V454" s="98"/>
      <c r="AA454" s="98"/>
      <c r="AB454" s="98"/>
      <c r="AD454" s="98"/>
      <c r="AE454" s="98"/>
      <c r="AH454" s="98"/>
      <c r="AI454" s="98"/>
      <c r="AK454" s="98"/>
      <c r="AR454" s="98"/>
      <c r="AV454" s="98"/>
      <c r="AX454" s="98"/>
      <c r="BB454" s="98"/>
      <c r="BC454" s="98"/>
      <c r="BE454" s="98"/>
      <c r="BF454" s="168"/>
      <c r="BG454" s="168"/>
      <c r="BH454" s="168"/>
      <c r="BQ454" s="98"/>
      <c r="BR454" s="98"/>
      <c r="BS454" s="98"/>
      <c r="BT454" s="98"/>
      <c r="BU454" s="98"/>
      <c r="BV454" s="98"/>
      <c r="BW454" s="98"/>
      <c r="BX454" s="98"/>
      <c r="BY454" s="98"/>
      <c r="BZ454" s="98"/>
      <c r="CA454" s="98"/>
      <c r="CB454" s="98"/>
      <c r="CC454" s="98"/>
      <c r="CD454" s="98"/>
      <c r="CE454" s="98"/>
      <c r="CF454" s="98"/>
      <c r="CG454" s="98"/>
      <c r="CH454" s="98"/>
      <c r="CI454" s="98"/>
      <c r="CJ454" s="98"/>
      <c r="CK454" s="98"/>
      <c r="CL454" s="98"/>
      <c r="CM454" s="98"/>
      <c r="CN454" s="98"/>
      <c r="CR454" s="98"/>
      <c r="CS454" s="98"/>
      <c r="CT454" s="98"/>
      <c r="CU454" s="98"/>
      <c r="CV454" s="98"/>
      <c r="CW454" s="98"/>
      <c r="CX454" s="98"/>
      <c r="CY454" s="98"/>
      <c r="CZ454" s="98"/>
      <c r="DA454" s="98"/>
      <c r="DB454" s="98"/>
      <c r="DC454" s="98"/>
      <c r="DD454" s="98"/>
      <c r="DE454" s="98"/>
      <c r="DF454" s="98"/>
      <c r="DG454" s="98"/>
      <c r="DH454" s="98"/>
      <c r="DI454" s="98"/>
      <c r="DJ454" s="98"/>
      <c r="DK454" s="98"/>
      <c r="DL454" s="98"/>
      <c r="DM454" s="98"/>
      <c r="DN454" s="98"/>
      <c r="DO454" s="98"/>
      <c r="DP454" s="98"/>
      <c r="DQ454" s="98"/>
      <c r="DR454" s="98"/>
      <c r="DS454" s="98"/>
      <c r="DT454" s="98"/>
      <c r="DU454" s="98"/>
      <c r="DV454" s="98"/>
      <c r="DW454" s="98"/>
      <c r="DX454" s="98"/>
      <c r="DY454" s="98"/>
      <c r="DZ454" s="98"/>
      <c r="EA454" s="98"/>
      <c r="EB454" s="98"/>
      <c r="EC454" s="98"/>
      <c r="ED454" s="98"/>
      <c r="EE454" s="98"/>
      <c r="EF454" s="98"/>
      <c r="EG454" s="98"/>
    </row>
    <row r="455" spans="1:137" ht="15" hidden="1" customHeight="1" x14ac:dyDescent="0.25">
      <c r="A455" s="98"/>
      <c r="V455" s="98"/>
      <c r="AA455" s="98"/>
      <c r="AB455" s="98"/>
      <c r="AD455" s="98"/>
      <c r="AE455" s="98"/>
      <c r="AH455" s="98"/>
      <c r="AI455" s="98"/>
      <c r="AK455" s="98"/>
      <c r="AR455" s="98"/>
      <c r="AV455" s="98"/>
      <c r="AX455" s="98"/>
      <c r="BB455" s="98"/>
      <c r="BC455" s="98"/>
      <c r="BE455" s="98"/>
      <c r="BF455" s="168"/>
      <c r="BG455" s="168"/>
      <c r="BH455" s="168"/>
      <c r="BI455" s="102" t="s">
        <v>232</v>
      </c>
      <c r="BK455" s="178" t="s">
        <v>267</v>
      </c>
      <c r="BM455" s="169" t="s">
        <v>233</v>
      </c>
      <c r="BN455" s="169" t="s">
        <v>233</v>
      </c>
      <c r="BO455" s="169" t="s">
        <v>240</v>
      </c>
      <c r="BQ455" s="98"/>
      <c r="BR455" s="98"/>
      <c r="BS455" s="98"/>
      <c r="BT455" s="98"/>
      <c r="BU455" s="98"/>
      <c r="BV455" s="98"/>
      <c r="BW455" s="98"/>
      <c r="BX455" s="98"/>
      <c r="BY455" s="98"/>
      <c r="BZ455" s="98"/>
      <c r="CA455" s="98"/>
      <c r="CB455" s="98"/>
      <c r="CC455" s="98"/>
      <c r="CD455" s="98"/>
      <c r="CE455" s="98"/>
      <c r="CF455" s="98"/>
      <c r="CG455" s="98"/>
      <c r="CH455" s="98"/>
      <c r="CI455" s="98"/>
      <c r="CJ455" s="98"/>
      <c r="CK455" s="98"/>
      <c r="CL455" s="98"/>
      <c r="CM455" s="98"/>
      <c r="CN455" s="98"/>
      <c r="CR455" s="98"/>
      <c r="CS455" s="98"/>
      <c r="CT455" s="98"/>
      <c r="CU455" s="98"/>
      <c r="CV455" s="98"/>
      <c r="CW455" s="98"/>
      <c r="CX455" s="98"/>
      <c r="CY455" s="98"/>
      <c r="CZ455" s="98"/>
      <c r="DA455" s="98"/>
      <c r="DB455" s="98"/>
      <c r="DC455" s="98"/>
      <c r="DD455" s="98"/>
      <c r="DE455" s="98"/>
      <c r="DF455" s="98"/>
      <c r="DG455" s="98"/>
      <c r="DH455" s="98"/>
      <c r="DI455" s="98"/>
      <c r="DJ455" s="98"/>
      <c r="DK455" s="98"/>
      <c r="DL455" s="98"/>
      <c r="DM455" s="98"/>
      <c r="DN455" s="98"/>
      <c r="DO455" s="98"/>
      <c r="DP455" s="98"/>
      <c r="DQ455" s="98"/>
      <c r="DR455" s="98"/>
      <c r="DS455" s="98"/>
      <c r="DT455" s="98"/>
      <c r="DU455" s="98"/>
      <c r="DV455" s="98"/>
      <c r="DW455" s="98"/>
      <c r="DX455" s="98"/>
      <c r="DY455" s="98"/>
      <c r="DZ455" s="98"/>
      <c r="EA455" s="98"/>
      <c r="EB455" s="98"/>
      <c r="EC455" s="98"/>
      <c r="ED455" s="98"/>
      <c r="EE455" s="98"/>
      <c r="EF455" s="98"/>
      <c r="EG455" s="98"/>
    </row>
    <row r="456" spans="1:137" ht="15" hidden="1" customHeight="1" x14ac:dyDescent="0.25">
      <c r="A456" s="98"/>
      <c r="V456" s="98"/>
      <c r="AA456" s="98"/>
      <c r="AB456" s="98"/>
      <c r="AD456" s="98"/>
      <c r="AE456" s="98"/>
      <c r="AH456" s="98"/>
      <c r="AI456" s="98"/>
      <c r="AK456" s="98"/>
      <c r="AR456" s="98"/>
      <c r="AV456" s="98"/>
      <c r="AX456" s="98"/>
      <c r="BB456" s="98"/>
      <c r="BC456" s="98"/>
      <c r="BE456" s="98"/>
      <c r="BF456" s="168"/>
      <c r="BG456" s="168"/>
      <c r="BH456" s="168"/>
      <c r="BJ456" s="178" t="s">
        <v>253</v>
      </c>
      <c r="BL456" s="178" t="s">
        <v>251</v>
      </c>
      <c r="BQ456" s="98"/>
      <c r="BR456" s="98"/>
      <c r="BS456" s="98"/>
      <c r="BT456" s="98"/>
      <c r="BU456" s="98"/>
      <c r="BV456" s="98"/>
      <c r="BW456" s="98"/>
      <c r="BX456" s="98"/>
      <c r="BY456" s="98"/>
      <c r="BZ456" s="98"/>
      <c r="CA456" s="98"/>
      <c r="CB456" s="98"/>
      <c r="CC456" s="98"/>
      <c r="CD456" s="98"/>
      <c r="CE456" s="98"/>
      <c r="CF456" s="98"/>
      <c r="CG456" s="98"/>
      <c r="CH456" s="98"/>
      <c r="CI456" s="98"/>
      <c r="CJ456" s="98"/>
      <c r="CK456" s="98"/>
      <c r="CL456" s="98"/>
      <c r="CM456" s="98"/>
      <c r="CN456" s="98"/>
      <c r="CR456" s="98"/>
      <c r="CS456" s="98"/>
      <c r="CT456" s="98"/>
      <c r="CU456" s="98"/>
      <c r="CV456" s="98"/>
      <c r="CW456" s="98"/>
      <c r="CX456" s="98"/>
      <c r="CY456" s="98"/>
      <c r="CZ456" s="98"/>
      <c r="DA456" s="98"/>
      <c r="DB456" s="98"/>
      <c r="DC456" s="98"/>
      <c r="DD456" s="98"/>
      <c r="DE456" s="98"/>
      <c r="DF456" s="98"/>
      <c r="DG456" s="98"/>
      <c r="DH456" s="98"/>
      <c r="DI456" s="98"/>
      <c r="DJ456" s="98"/>
      <c r="DK456" s="98"/>
      <c r="DL456" s="98"/>
      <c r="DM456" s="98"/>
      <c r="DN456" s="98"/>
      <c r="DO456" s="98"/>
      <c r="DP456" s="98"/>
      <c r="DQ456" s="98"/>
      <c r="DR456" s="98"/>
      <c r="DS456" s="98"/>
      <c r="DT456" s="98"/>
      <c r="DU456" s="98"/>
      <c r="DV456" s="98"/>
      <c r="DW456" s="98"/>
      <c r="DX456" s="98"/>
      <c r="DY456" s="98"/>
      <c r="DZ456" s="98"/>
      <c r="EA456" s="98"/>
      <c r="EB456" s="98"/>
      <c r="EC456" s="98"/>
      <c r="ED456" s="98"/>
      <c r="EE456" s="98"/>
      <c r="EF456" s="98"/>
      <c r="EG456" s="98"/>
    </row>
    <row r="457" spans="1:137" ht="15" hidden="1" customHeight="1" x14ac:dyDescent="0.25">
      <c r="A457" s="98"/>
      <c r="V457" s="98"/>
      <c r="AA457" s="98"/>
      <c r="AB457" s="98"/>
      <c r="AD457" s="98"/>
      <c r="AE457" s="98"/>
      <c r="AH457" s="98"/>
      <c r="AI457" s="98"/>
      <c r="AK457" s="98"/>
      <c r="AR457" s="98"/>
      <c r="AV457" s="98"/>
      <c r="AX457" s="98"/>
      <c r="BB457" s="98"/>
      <c r="BC457" s="98"/>
      <c r="BE457" s="98"/>
      <c r="BF457" s="168"/>
      <c r="BG457" s="168"/>
      <c r="BH457" s="168"/>
      <c r="BI457" s="102" t="s">
        <v>237</v>
      </c>
      <c r="BJ457" s="178" t="s">
        <v>252</v>
      </c>
      <c r="BK457" s="178">
        <v>6.8822999999999999</v>
      </c>
      <c r="BL457" s="178" t="s">
        <v>642</v>
      </c>
      <c r="BM457" s="169">
        <v>2.98E-3</v>
      </c>
      <c r="BN457" s="169">
        <v>2.98E-3</v>
      </c>
      <c r="BO457" s="169" t="s">
        <v>241</v>
      </c>
      <c r="BP457" s="263">
        <v>1</v>
      </c>
      <c r="BQ457" s="98"/>
      <c r="BR457" s="98"/>
      <c r="BS457" s="98"/>
      <c r="BT457" s="98"/>
      <c r="BU457" s="98"/>
      <c r="BV457" s="98"/>
      <c r="BW457" s="98"/>
      <c r="BX457" s="98"/>
      <c r="BY457" s="98"/>
      <c r="BZ457" s="98"/>
      <c r="CA457" s="98"/>
      <c r="CB457" s="98"/>
      <c r="CC457" s="98"/>
      <c r="CD457" s="98"/>
      <c r="CE457" s="98"/>
      <c r="CF457" s="98"/>
      <c r="CG457" s="98"/>
      <c r="CH457" s="98"/>
      <c r="CI457" s="98"/>
      <c r="CJ457" s="98"/>
      <c r="CK457" s="98"/>
      <c r="CL457" s="98"/>
      <c r="CM457" s="98"/>
      <c r="CN457" s="98"/>
      <c r="CR457" s="98"/>
      <c r="CS457" s="98"/>
      <c r="CT457" s="98"/>
      <c r="CU457" s="98"/>
      <c r="CV457" s="98"/>
      <c r="CW457" s="98"/>
      <c r="CX457" s="98"/>
      <c r="CY457" s="98"/>
      <c r="CZ457" s="98"/>
      <c r="DA457" s="98"/>
      <c r="DB457" s="98"/>
      <c r="DC457" s="98"/>
      <c r="DD457" s="98"/>
      <c r="DE457" s="98"/>
      <c r="DF457" s="98"/>
      <c r="DG457" s="98"/>
      <c r="DH457" s="98"/>
      <c r="DI457" s="98"/>
      <c r="DJ457" s="98"/>
      <c r="DK457" s="98"/>
      <c r="DL457" s="98"/>
      <c r="DM457" s="98"/>
      <c r="DN457" s="98"/>
      <c r="DO457" s="98"/>
      <c r="DP457" s="98"/>
      <c r="DQ457" s="98"/>
      <c r="DR457" s="98"/>
      <c r="DS457" s="98"/>
      <c r="DT457" s="98"/>
      <c r="DU457" s="98"/>
      <c r="DV457" s="98"/>
      <c r="DW457" s="98"/>
      <c r="DX457" s="98"/>
      <c r="DY457" s="98"/>
      <c r="DZ457" s="98"/>
      <c r="EA457" s="98"/>
      <c r="EB457" s="98"/>
      <c r="EC457" s="98"/>
      <c r="ED457" s="98"/>
      <c r="EE457" s="98"/>
      <c r="EF457" s="98"/>
      <c r="EG457" s="98"/>
    </row>
    <row r="458" spans="1:137" ht="15" hidden="1" customHeight="1" x14ac:dyDescent="0.25">
      <c r="A458" s="98"/>
      <c r="V458" s="98"/>
      <c r="AA458" s="98"/>
      <c r="AB458" s="98"/>
      <c r="AD458" s="98"/>
      <c r="AE458" s="98"/>
      <c r="AH458" s="98"/>
      <c r="AI458" s="98"/>
      <c r="AK458" s="98"/>
      <c r="AR458" s="98"/>
      <c r="AV458" s="98"/>
      <c r="AX458" s="98"/>
      <c r="BB458" s="98"/>
      <c r="BC458" s="98"/>
      <c r="BE458" s="98"/>
      <c r="BF458" s="168"/>
      <c r="BG458" s="168"/>
      <c r="BH458" s="168"/>
      <c r="BI458" s="102" t="s">
        <v>368</v>
      </c>
      <c r="BJ458" s="178" t="s">
        <v>252</v>
      </c>
      <c r="BK458" s="178">
        <v>5.9200999999999997</v>
      </c>
      <c r="BL458" s="178" t="s">
        <v>642</v>
      </c>
      <c r="BM458" s="169">
        <v>3.4799999999999996E-3</v>
      </c>
      <c r="BN458" s="169">
        <v>3.4799999999999996E-3</v>
      </c>
      <c r="BO458" s="169" t="s">
        <v>241</v>
      </c>
      <c r="BP458" s="263">
        <v>1</v>
      </c>
      <c r="BQ458" s="98"/>
      <c r="BR458" s="98"/>
      <c r="BS458" s="98"/>
      <c r="BT458" s="98"/>
      <c r="BU458" s="98"/>
      <c r="BV458" s="98"/>
      <c r="BW458" s="98"/>
      <c r="BX458" s="98"/>
      <c r="BY458" s="98"/>
      <c r="BZ458" s="98"/>
      <c r="CA458" s="98"/>
      <c r="CB458" s="98"/>
      <c r="CC458" s="98"/>
      <c r="CD458" s="98"/>
      <c r="CE458" s="98"/>
      <c r="CF458" s="98"/>
      <c r="CG458" s="98"/>
      <c r="CH458" s="98"/>
      <c r="CI458" s="98"/>
      <c r="CJ458" s="98"/>
      <c r="CK458" s="98"/>
      <c r="CL458" s="98"/>
      <c r="CM458" s="98"/>
      <c r="CN458" s="98"/>
      <c r="CR458" s="98"/>
      <c r="CS458" s="98"/>
      <c r="CT458" s="98"/>
      <c r="CU458" s="98"/>
      <c r="CV458" s="98"/>
      <c r="CW458" s="98"/>
      <c r="CX458" s="98"/>
      <c r="CY458" s="98"/>
      <c r="CZ458" s="98"/>
      <c r="DA458" s="98"/>
      <c r="DB458" s="98"/>
      <c r="DC458" s="98"/>
      <c r="DD458" s="98"/>
      <c r="DE458" s="98"/>
      <c r="DF458" s="98"/>
      <c r="DG458" s="98"/>
      <c r="DH458" s="98"/>
      <c r="DI458" s="98"/>
      <c r="DJ458" s="98"/>
      <c r="DK458" s="98"/>
      <c r="DL458" s="98"/>
      <c r="DM458" s="98"/>
      <c r="DN458" s="98"/>
      <c r="DO458" s="98"/>
      <c r="DP458" s="98"/>
      <c r="DQ458" s="98"/>
      <c r="DR458" s="98"/>
      <c r="DS458" s="98"/>
      <c r="DT458" s="98"/>
      <c r="DU458" s="98"/>
      <c r="DV458" s="98"/>
      <c r="DW458" s="98"/>
      <c r="DX458" s="98"/>
      <c r="DY458" s="98"/>
      <c r="DZ458" s="98"/>
      <c r="EA458" s="98"/>
      <c r="EB458" s="98"/>
      <c r="EC458" s="98"/>
      <c r="ED458" s="98"/>
      <c r="EE458" s="98"/>
      <c r="EF458" s="98"/>
      <c r="EG458" s="98"/>
    </row>
    <row r="459" spans="1:137" ht="15" hidden="1" customHeight="1" x14ac:dyDescent="0.25">
      <c r="A459" s="98"/>
      <c r="V459" s="98"/>
      <c r="AA459" s="98"/>
      <c r="AB459" s="98"/>
      <c r="AD459" s="98"/>
      <c r="AE459" s="98"/>
      <c r="AH459" s="98"/>
      <c r="AI459" s="98"/>
      <c r="AK459" s="98"/>
      <c r="AR459" s="98"/>
      <c r="AV459" s="98"/>
      <c r="AX459" s="98"/>
      <c r="BB459" s="98"/>
      <c r="BC459" s="98"/>
      <c r="BE459" s="98"/>
      <c r="BF459" s="168"/>
      <c r="BG459" s="168"/>
      <c r="BH459" s="168"/>
      <c r="BQ459" s="98"/>
      <c r="BR459" s="98"/>
      <c r="BS459" s="98"/>
      <c r="BT459" s="98"/>
      <c r="BU459" s="98"/>
      <c r="BV459" s="98"/>
      <c r="BW459" s="98"/>
      <c r="BX459" s="98"/>
      <c r="BY459" s="98"/>
      <c r="BZ459" s="98"/>
      <c r="CA459" s="98"/>
      <c r="CB459" s="98"/>
      <c r="CC459" s="98"/>
      <c r="CD459" s="98"/>
      <c r="CE459" s="98"/>
      <c r="CF459" s="98"/>
      <c r="CG459" s="98"/>
      <c r="CH459" s="98"/>
      <c r="CI459" s="98"/>
      <c r="CJ459" s="98"/>
      <c r="CK459" s="98"/>
      <c r="CL459" s="98"/>
      <c r="CM459" s="98"/>
      <c r="CN459" s="98"/>
      <c r="CR459" s="98"/>
      <c r="CS459" s="98"/>
      <c r="CT459" s="98"/>
      <c r="CU459" s="98"/>
      <c r="CV459" s="98"/>
      <c r="CW459" s="98"/>
      <c r="CX459" s="98"/>
      <c r="CY459" s="98"/>
      <c r="CZ459" s="98"/>
      <c r="DA459" s="98"/>
      <c r="DB459" s="98"/>
      <c r="DC459" s="98"/>
      <c r="DD459" s="98"/>
      <c r="DE459" s="98"/>
      <c r="DF459" s="98"/>
      <c r="DG459" s="98"/>
      <c r="DH459" s="98"/>
      <c r="DI459" s="98"/>
      <c r="DJ459" s="98"/>
      <c r="DK459" s="98"/>
      <c r="DL459" s="98"/>
      <c r="DM459" s="98"/>
      <c r="DN459" s="98"/>
      <c r="DO459" s="98"/>
      <c r="DP459" s="98"/>
      <c r="DQ459" s="98"/>
      <c r="DR459" s="98"/>
      <c r="DS459" s="98"/>
      <c r="DT459" s="98"/>
      <c r="DU459" s="98"/>
      <c r="DV459" s="98"/>
      <c r="DW459" s="98"/>
      <c r="DX459" s="98"/>
      <c r="DY459" s="98"/>
      <c r="DZ459" s="98"/>
      <c r="EA459" s="98"/>
      <c r="EB459" s="98"/>
      <c r="EC459" s="98"/>
      <c r="ED459" s="98"/>
      <c r="EE459" s="98"/>
      <c r="EF459" s="98"/>
      <c r="EG459" s="98"/>
    </row>
    <row r="460" spans="1:137" ht="15" hidden="1" customHeight="1" x14ac:dyDescent="0.25">
      <c r="A460" s="98"/>
      <c r="V460" s="98"/>
      <c r="AA460" s="98"/>
      <c r="AB460" s="98"/>
      <c r="AD460" s="98"/>
      <c r="AE460" s="98"/>
      <c r="AH460" s="98"/>
      <c r="AI460" s="98"/>
      <c r="AK460" s="98"/>
      <c r="AR460" s="98"/>
      <c r="AV460" s="98"/>
      <c r="AX460" s="98"/>
      <c r="BB460" s="98"/>
      <c r="BC460" s="98"/>
      <c r="BE460" s="98"/>
      <c r="BF460" s="168"/>
      <c r="BG460" s="168"/>
      <c r="BH460" s="168"/>
      <c r="BQ460" s="98"/>
      <c r="BR460" s="98"/>
      <c r="BS460" s="98"/>
      <c r="BT460" s="98"/>
      <c r="BU460" s="98"/>
      <c r="BV460" s="98"/>
      <c r="BW460" s="98"/>
      <c r="BX460" s="98"/>
      <c r="BY460" s="98"/>
      <c r="BZ460" s="98"/>
      <c r="CA460" s="98"/>
      <c r="CB460" s="98"/>
      <c r="CC460" s="98"/>
      <c r="CD460" s="98"/>
      <c r="CE460" s="98"/>
      <c r="CF460" s="98"/>
      <c r="CG460" s="98"/>
      <c r="CH460" s="98"/>
      <c r="CI460" s="98"/>
      <c r="CJ460" s="98"/>
      <c r="CK460" s="98"/>
      <c r="CL460" s="98"/>
      <c r="CM460" s="98"/>
      <c r="CN460" s="98"/>
      <c r="CR460" s="98"/>
      <c r="CS460" s="98"/>
      <c r="CT460" s="98"/>
      <c r="CU460" s="98"/>
      <c r="CV460" s="98"/>
      <c r="CW460" s="98"/>
      <c r="CX460" s="98"/>
      <c r="CY460" s="98"/>
      <c r="CZ460" s="98"/>
      <c r="DA460" s="98"/>
      <c r="DB460" s="98"/>
      <c r="DC460" s="98"/>
      <c r="DD460" s="98"/>
      <c r="DE460" s="98"/>
      <c r="DF460" s="98"/>
      <c r="DG460" s="98"/>
      <c r="DH460" s="98"/>
      <c r="DI460" s="98"/>
      <c r="DJ460" s="98"/>
      <c r="DK460" s="98"/>
      <c r="DL460" s="98"/>
      <c r="DM460" s="98"/>
      <c r="DN460" s="98"/>
      <c r="DO460" s="98"/>
      <c r="DP460" s="98"/>
      <c r="DQ460" s="98"/>
      <c r="DR460" s="98"/>
      <c r="DS460" s="98"/>
      <c r="DT460" s="98"/>
      <c r="DU460" s="98"/>
      <c r="DV460" s="98"/>
      <c r="DW460" s="98"/>
      <c r="DX460" s="98"/>
      <c r="DY460" s="98"/>
      <c r="DZ460" s="98"/>
      <c r="EA460" s="98"/>
      <c r="EB460" s="98"/>
      <c r="EC460" s="98"/>
      <c r="ED460" s="98"/>
      <c r="EE460" s="98"/>
      <c r="EF460" s="98"/>
      <c r="EG460" s="98"/>
    </row>
    <row r="461" spans="1:137" ht="15" hidden="1" customHeight="1" x14ac:dyDescent="0.25">
      <c r="A461" s="98"/>
      <c r="V461" s="98"/>
      <c r="AA461" s="98"/>
      <c r="AB461" s="98"/>
      <c r="AD461" s="98"/>
      <c r="AE461" s="98"/>
      <c r="AH461" s="98"/>
      <c r="AI461" s="98"/>
      <c r="AK461" s="98"/>
      <c r="AR461" s="98"/>
      <c r="AV461" s="98"/>
      <c r="AX461" s="98"/>
      <c r="BB461" s="98"/>
      <c r="BC461" s="98"/>
      <c r="BE461" s="98"/>
      <c r="BF461" s="168"/>
      <c r="BG461" s="168"/>
      <c r="BH461" s="168"/>
      <c r="BI461" s="102" t="s">
        <v>232</v>
      </c>
      <c r="BK461" s="178" t="s">
        <v>267</v>
      </c>
      <c r="BM461" s="169" t="s">
        <v>233</v>
      </c>
      <c r="BN461" s="169" t="s">
        <v>233</v>
      </c>
      <c r="BO461" s="169" t="s">
        <v>240</v>
      </c>
      <c r="BQ461" s="98"/>
      <c r="BR461" s="98"/>
      <c r="BS461" s="98"/>
      <c r="BT461" s="98"/>
      <c r="BU461" s="98"/>
      <c r="BV461" s="98"/>
      <c r="BW461" s="98"/>
      <c r="BX461" s="98"/>
      <c r="BY461" s="98"/>
      <c r="BZ461" s="98"/>
      <c r="CA461" s="98"/>
      <c r="CB461" s="98"/>
      <c r="CC461" s="98"/>
      <c r="CD461" s="98"/>
      <c r="CE461" s="98"/>
      <c r="CF461" s="98"/>
      <c r="CG461" s="98"/>
      <c r="CH461" s="98"/>
      <c r="CI461" s="98"/>
      <c r="CJ461" s="98"/>
      <c r="CK461" s="98"/>
      <c r="CL461" s="98"/>
      <c r="CM461" s="98"/>
      <c r="CN461" s="98"/>
      <c r="CR461" s="98"/>
      <c r="CS461" s="98"/>
      <c r="CT461" s="98"/>
      <c r="CU461" s="98"/>
      <c r="CV461" s="98"/>
      <c r="CW461" s="98"/>
      <c r="CX461" s="98"/>
      <c r="CY461" s="98"/>
      <c r="CZ461" s="98"/>
      <c r="DA461" s="98"/>
      <c r="DB461" s="98"/>
      <c r="DC461" s="98"/>
      <c r="DD461" s="98"/>
      <c r="DE461" s="98"/>
      <c r="DF461" s="98"/>
      <c r="DG461" s="98"/>
      <c r="DH461" s="98"/>
      <c r="DI461" s="98"/>
      <c r="DJ461" s="98"/>
      <c r="DK461" s="98"/>
      <c r="DL461" s="98"/>
      <c r="DM461" s="98"/>
      <c r="DN461" s="98"/>
      <c r="DO461" s="98"/>
      <c r="DP461" s="98"/>
      <c r="DQ461" s="98"/>
      <c r="DR461" s="98"/>
      <c r="DS461" s="98"/>
      <c r="DT461" s="98"/>
      <c r="DU461" s="98"/>
      <c r="DV461" s="98"/>
      <c r="DW461" s="98"/>
      <c r="DX461" s="98"/>
      <c r="DY461" s="98"/>
      <c r="DZ461" s="98"/>
      <c r="EA461" s="98"/>
      <c r="EB461" s="98"/>
      <c r="EC461" s="98"/>
      <c r="ED461" s="98"/>
      <c r="EE461" s="98"/>
      <c r="EF461" s="98"/>
      <c r="EG461" s="98"/>
    </row>
    <row r="462" spans="1:137" ht="15" hidden="1" customHeight="1" x14ac:dyDescent="0.25">
      <c r="A462" s="98"/>
      <c r="V462" s="98"/>
      <c r="AA462" s="98"/>
      <c r="AB462" s="98"/>
      <c r="AD462" s="98"/>
      <c r="AE462" s="98"/>
      <c r="AH462" s="98"/>
      <c r="AI462" s="98"/>
      <c r="AK462" s="98"/>
      <c r="AR462" s="98"/>
      <c r="AV462" s="98"/>
      <c r="AX462" s="98"/>
      <c r="BB462" s="98"/>
      <c r="BC462" s="98"/>
      <c r="BE462" s="98"/>
      <c r="BF462" s="168"/>
      <c r="BG462" s="168"/>
      <c r="BH462" s="168"/>
      <c r="BJ462" s="178" t="s">
        <v>253</v>
      </c>
      <c r="BL462" s="178" t="s">
        <v>251</v>
      </c>
      <c r="BQ462" s="98"/>
      <c r="BR462" s="98"/>
      <c r="BS462" s="98"/>
      <c r="BT462" s="98"/>
      <c r="BU462" s="98"/>
      <c r="BV462" s="98"/>
      <c r="BW462" s="98"/>
      <c r="BX462" s="98"/>
      <c r="BY462" s="98"/>
      <c r="BZ462" s="98"/>
      <c r="CA462" s="98"/>
      <c r="CB462" s="98"/>
      <c r="CC462" s="98"/>
      <c r="CD462" s="98"/>
      <c r="CE462" s="98"/>
      <c r="CF462" s="98"/>
      <c r="CG462" s="98"/>
      <c r="CH462" s="98"/>
      <c r="CI462" s="98"/>
      <c r="CJ462" s="98"/>
      <c r="CK462" s="98"/>
      <c r="CL462" s="98"/>
      <c r="CM462" s="98"/>
      <c r="CN462" s="98"/>
      <c r="CR462" s="98"/>
      <c r="CS462" s="98"/>
      <c r="CT462" s="98"/>
      <c r="CU462" s="98"/>
      <c r="CV462" s="98"/>
      <c r="CW462" s="98"/>
      <c r="CX462" s="98"/>
      <c r="CY462" s="98"/>
      <c r="CZ462" s="98"/>
      <c r="DA462" s="98"/>
      <c r="DB462" s="98"/>
      <c r="DC462" s="98"/>
      <c r="DD462" s="98"/>
      <c r="DE462" s="98"/>
      <c r="DF462" s="98"/>
      <c r="DG462" s="98"/>
      <c r="DH462" s="98"/>
      <c r="DI462" s="98"/>
      <c r="DJ462" s="98"/>
      <c r="DK462" s="98"/>
      <c r="DL462" s="98"/>
      <c r="DM462" s="98"/>
      <c r="DN462" s="98"/>
      <c r="DO462" s="98"/>
      <c r="DP462" s="98"/>
      <c r="DQ462" s="98"/>
      <c r="DR462" s="98"/>
      <c r="DS462" s="98"/>
      <c r="DT462" s="98"/>
      <c r="DU462" s="98"/>
      <c r="DV462" s="98"/>
      <c r="DW462" s="98"/>
      <c r="DX462" s="98"/>
      <c r="DY462" s="98"/>
      <c r="DZ462" s="98"/>
      <c r="EA462" s="98"/>
      <c r="EB462" s="98"/>
      <c r="EC462" s="98"/>
      <c r="ED462" s="98"/>
      <c r="EE462" s="98"/>
      <c r="EF462" s="98"/>
      <c r="EG462" s="98"/>
    </row>
    <row r="463" spans="1:137" ht="15" hidden="1" customHeight="1" x14ac:dyDescent="0.25">
      <c r="A463" s="98"/>
      <c r="V463" s="98"/>
      <c r="AA463" s="98"/>
      <c r="AB463" s="98"/>
      <c r="AD463" s="98"/>
      <c r="AE463" s="98"/>
      <c r="AH463" s="98"/>
      <c r="AI463" s="98"/>
      <c r="AK463" s="98"/>
      <c r="AR463" s="98"/>
      <c r="AV463" s="98"/>
      <c r="AX463" s="98"/>
      <c r="BB463" s="98"/>
      <c r="BC463" s="98"/>
      <c r="BE463" s="98"/>
      <c r="BF463" s="168"/>
      <c r="BG463" s="168"/>
      <c r="BH463" s="168"/>
      <c r="BI463" s="102" t="s">
        <v>274</v>
      </c>
      <c r="BJ463" s="178" t="s">
        <v>643</v>
      </c>
      <c r="BK463" s="178">
        <v>1.8565</v>
      </c>
      <c r="BL463" s="178" t="s">
        <v>644</v>
      </c>
      <c r="BM463" s="169">
        <v>8.8870000000000005E-2</v>
      </c>
      <c r="BN463" s="169">
        <v>8.8870000000000005E-2</v>
      </c>
      <c r="BO463" s="169" t="s">
        <v>241</v>
      </c>
      <c r="BP463" s="263">
        <v>1</v>
      </c>
      <c r="BQ463" s="98"/>
      <c r="BR463" s="98"/>
      <c r="BS463" s="98"/>
      <c r="BT463" s="98"/>
      <c r="BU463" s="98"/>
      <c r="BV463" s="98"/>
      <c r="BW463" s="98"/>
      <c r="BX463" s="98"/>
      <c r="BY463" s="98"/>
      <c r="BZ463" s="98"/>
      <c r="CA463" s="98"/>
      <c r="CB463" s="98"/>
      <c r="CC463" s="98"/>
      <c r="CD463" s="98"/>
      <c r="CE463" s="98"/>
      <c r="CF463" s="98"/>
      <c r="CG463" s="98"/>
      <c r="CH463" s="98"/>
      <c r="CI463" s="98"/>
      <c r="CJ463" s="98"/>
      <c r="CK463" s="98"/>
      <c r="CL463" s="98"/>
      <c r="CM463" s="98"/>
      <c r="CN463" s="98"/>
      <c r="CR463" s="98"/>
      <c r="CS463" s="98"/>
      <c r="CT463" s="98"/>
      <c r="CU463" s="98"/>
      <c r="CV463" s="98"/>
      <c r="CW463" s="98"/>
      <c r="CX463" s="98"/>
      <c r="CY463" s="98"/>
      <c r="CZ463" s="98"/>
      <c r="DA463" s="98"/>
      <c r="DB463" s="98"/>
      <c r="DC463" s="98"/>
      <c r="DD463" s="98"/>
      <c r="DE463" s="98"/>
      <c r="DF463" s="98"/>
      <c r="DG463" s="98"/>
      <c r="DH463" s="98"/>
      <c r="DI463" s="98"/>
      <c r="DJ463" s="98"/>
      <c r="DK463" s="98"/>
      <c r="DL463" s="98"/>
      <c r="DM463" s="98"/>
      <c r="DN463" s="98"/>
      <c r="DO463" s="98"/>
      <c r="DP463" s="98"/>
      <c r="DQ463" s="98"/>
      <c r="DR463" s="98"/>
      <c r="DS463" s="98"/>
      <c r="DT463" s="98"/>
      <c r="DU463" s="98"/>
      <c r="DV463" s="98"/>
      <c r="DW463" s="98"/>
      <c r="DX463" s="98"/>
      <c r="DY463" s="98"/>
      <c r="DZ463" s="98"/>
      <c r="EA463" s="98"/>
      <c r="EB463" s="98"/>
      <c r="EC463" s="98"/>
      <c r="ED463" s="98"/>
      <c r="EE463" s="98"/>
      <c r="EF463" s="98"/>
      <c r="EG463" s="98"/>
    </row>
    <row r="464" spans="1:137" ht="15" hidden="1" customHeight="1" x14ac:dyDescent="0.25">
      <c r="A464" s="98"/>
      <c r="V464" s="98"/>
      <c r="AA464" s="98"/>
      <c r="AB464" s="98"/>
      <c r="AD464" s="98"/>
      <c r="AE464" s="98"/>
      <c r="AH464" s="98"/>
      <c r="AI464" s="98"/>
      <c r="AK464" s="98"/>
      <c r="AR464" s="98"/>
      <c r="AV464" s="98"/>
      <c r="AX464" s="98"/>
      <c r="BB464" s="98"/>
      <c r="BC464" s="98"/>
      <c r="BE464" s="98"/>
      <c r="BF464" s="168"/>
      <c r="BG464" s="168"/>
      <c r="BH464" s="168"/>
      <c r="BQ464" s="98"/>
      <c r="BR464" s="98"/>
      <c r="BS464" s="98"/>
      <c r="BT464" s="98"/>
      <c r="BU464" s="98"/>
      <c r="BV464" s="98"/>
      <c r="BW464" s="98"/>
      <c r="BX464" s="98"/>
      <c r="BY464" s="98"/>
      <c r="BZ464" s="98"/>
      <c r="CA464" s="98"/>
      <c r="CB464" s="98"/>
      <c r="CC464" s="98"/>
      <c r="CD464" s="98"/>
      <c r="CE464" s="98"/>
      <c r="CF464" s="98"/>
      <c r="CG464" s="98"/>
      <c r="CH464" s="98"/>
      <c r="CI464" s="98"/>
      <c r="CJ464" s="98"/>
      <c r="CK464" s="98"/>
      <c r="CL464" s="98"/>
      <c r="CM464" s="98"/>
      <c r="CN464" s="98"/>
      <c r="CR464" s="98"/>
      <c r="CS464" s="98"/>
      <c r="CT464" s="98"/>
      <c r="CU464" s="98"/>
      <c r="CV464" s="98"/>
      <c r="CW464" s="98"/>
      <c r="CX464" s="98"/>
      <c r="CY464" s="98"/>
      <c r="CZ464" s="98"/>
      <c r="DA464" s="98"/>
      <c r="DB464" s="98"/>
      <c r="DC464" s="98"/>
      <c r="DD464" s="98"/>
      <c r="DE464" s="98"/>
      <c r="DF464" s="98"/>
      <c r="DG464" s="98"/>
      <c r="DH464" s="98"/>
      <c r="DI464" s="98"/>
      <c r="DJ464" s="98"/>
      <c r="DK464" s="98"/>
      <c r="DL464" s="98"/>
      <c r="DM464" s="98"/>
      <c r="DN464" s="98"/>
      <c r="DO464" s="98"/>
      <c r="DP464" s="98"/>
      <c r="DQ464" s="98"/>
      <c r="DR464" s="98"/>
      <c r="DS464" s="98"/>
      <c r="DT464" s="98"/>
      <c r="DU464" s="98"/>
      <c r="DV464" s="98"/>
      <c r="DW464" s="98"/>
      <c r="DX464" s="98"/>
      <c r="DY464" s="98"/>
      <c r="DZ464" s="98"/>
      <c r="EA464" s="98"/>
      <c r="EB464" s="98"/>
      <c r="EC464" s="98"/>
      <c r="ED464" s="98"/>
      <c r="EE464" s="98"/>
      <c r="EF464" s="98"/>
      <c r="EG464" s="98"/>
    </row>
    <row r="465" spans="1:137" ht="15" hidden="1" customHeight="1" x14ac:dyDescent="0.25">
      <c r="A465" s="98"/>
      <c r="V465" s="98"/>
      <c r="AA465" s="98"/>
      <c r="AB465" s="98"/>
      <c r="AD465" s="98"/>
      <c r="AE465" s="98"/>
      <c r="AH465" s="98"/>
      <c r="AI465" s="98"/>
      <c r="AK465" s="98"/>
      <c r="AR465" s="98"/>
      <c r="AV465" s="98"/>
      <c r="AX465" s="98"/>
      <c r="BB465" s="98"/>
      <c r="BC465" s="98"/>
      <c r="BE465" s="98"/>
      <c r="BF465" s="168"/>
      <c r="BG465" s="168"/>
      <c r="BH465" s="168"/>
      <c r="BQ465" s="98"/>
      <c r="BR465" s="98"/>
      <c r="BS465" s="98"/>
      <c r="BT465" s="98"/>
      <c r="BU465" s="98"/>
      <c r="BV465" s="98"/>
      <c r="BW465" s="98"/>
      <c r="BX465" s="98"/>
      <c r="BY465" s="98"/>
      <c r="BZ465" s="98"/>
      <c r="CA465" s="98"/>
      <c r="CB465" s="98"/>
      <c r="CC465" s="98"/>
      <c r="CD465" s="98"/>
      <c r="CE465" s="98"/>
      <c r="CF465" s="98"/>
      <c r="CG465" s="98"/>
      <c r="CH465" s="98"/>
      <c r="CI465" s="98"/>
      <c r="CJ465" s="98"/>
      <c r="CK465" s="98"/>
      <c r="CL465" s="98"/>
      <c r="CM465" s="98"/>
      <c r="CN465" s="98"/>
      <c r="CR465" s="98"/>
      <c r="CS465" s="98"/>
      <c r="CT465" s="98"/>
      <c r="CU465" s="98"/>
      <c r="CV465" s="98"/>
      <c r="CW465" s="98"/>
      <c r="CX465" s="98"/>
      <c r="CY465" s="98"/>
      <c r="CZ465" s="98"/>
      <c r="DA465" s="98"/>
      <c r="DB465" s="98"/>
      <c r="DC465" s="98"/>
      <c r="DD465" s="98"/>
      <c r="DE465" s="98"/>
      <c r="DF465" s="98"/>
      <c r="DG465" s="98"/>
      <c r="DH465" s="98"/>
      <c r="DI465" s="98"/>
      <c r="DJ465" s="98"/>
      <c r="DK465" s="98"/>
      <c r="DL465" s="98"/>
      <c r="DM465" s="98"/>
      <c r="DN465" s="98"/>
      <c r="DO465" s="98"/>
      <c r="DP465" s="98"/>
      <c r="DQ465" s="98"/>
      <c r="DR465" s="98"/>
      <c r="DS465" s="98"/>
      <c r="DT465" s="98"/>
      <c r="DU465" s="98"/>
      <c r="DV465" s="98"/>
      <c r="DW465" s="98"/>
      <c r="DX465" s="98"/>
      <c r="DY465" s="98"/>
      <c r="DZ465" s="98"/>
      <c r="EA465" s="98"/>
      <c r="EB465" s="98"/>
      <c r="EC465" s="98"/>
      <c r="ED465" s="98"/>
      <c r="EE465" s="98"/>
      <c r="EF465" s="98"/>
      <c r="EG465" s="98"/>
    </row>
    <row r="466" spans="1:137" hidden="1" x14ac:dyDescent="0.25">
      <c r="BF466" s="168"/>
      <c r="BG466" s="168"/>
      <c r="BH466" s="168"/>
    </row>
    <row r="467" spans="1:137" hidden="1" x14ac:dyDescent="0.25">
      <c r="BF467" s="168"/>
      <c r="BG467" s="168"/>
      <c r="BH467" s="168"/>
    </row>
    <row r="468" spans="1:137" hidden="1" x14ac:dyDescent="0.25">
      <c r="BF468" s="168"/>
      <c r="BG468" s="168"/>
      <c r="BH468" s="168"/>
    </row>
    <row r="469" spans="1:137" hidden="1" x14ac:dyDescent="0.25">
      <c r="BF469" s="168"/>
      <c r="BG469" s="168"/>
      <c r="BH469" s="168"/>
    </row>
    <row r="470" spans="1:137" hidden="1" x14ac:dyDescent="0.25">
      <c r="BF470" s="168"/>
      <c r="BG470" s="168"/>
      <c r="BH470" s="168"/>
    </row>
    <row r="471" spans="1:137" hidden="1" x14ac:dyDescent="0.25">
      <c r="BF471" s="168"/>
      <c r="BG471" s="168"/>
      <c r="BH471" s="168"/>
    </row>
    <row r="472" spans="1:137" hidden="1" x14ac:dyDescent="0.25">
      <c r="BF472" s="168"/>
      <c r="BG472" s="168"/>
      <c r="BH472" s="168"/>
    </row>
    <row r="473" spans="1:137" hidden="1" x14ac:dyDescent="0.25">
      <c r="BF473" s="168"/>
      <c r="BG473" s="168"/>
      <c r="BH473" s="168"/>
    </row>
    <row r="474" spans="1:137" x14ac:dyDescent="0.25">
      <c r="BF474" s="168"/>
      <c r="BG474" s="168"/>
      <c r="BH474" s="168"/>
    </row>
    <row r="475" spans="1:137" x14ac:dyDescent="0.25">
      <c r="BF475" s="168"/>
      <c r="BG475" s="168"/>
      <c r="BH475" s="168"/>
    </row>
    <row r="476" spans="1:137" x14ac:dyDescent="0.25">
      <c r="BF476" s="168"/>
      <c r="BG476" s="168"/>
      <c r="BH476" s="168"/>
    </row>
    <row r="477" spans="1:137" x14ac:dyDescent="0.25">
      <c r="BF477" s="168"/>
      <c r="BG477" s="168"/>
      <c r="BH477" s="168"/>
    </row>
    <row r="478" spans="1:137" x14ac:dyDescent="0.25">
      <c r="BF478" s="168"/>
      <c r="BG478" s="168"/>
      <c r="BH478" s="168"/>
    </row>
    <row r="479" spans="1:137" x14ac:dyDescent="0.25">
      <c r="BF479" s="168"/>
      <c r="BG479" s="168"/>
      <c r="BH479" s="168"/>
    </row>
  </sheetData>
  <sheetProtection password="C935" sheet="1" objects="1" scenarios="1" formatCells="0" formatColumns="0" formatRows="0" insertRows="0"/>
  <protectedRanges>
    <protectedRange algorithmName="SHA-512" hashValue="JkwGMkyN6uDZy9K3UnLYKHbONkTneyvcBkZbw832pf3/OvzPn47/tOjWWFkoHruJFqsDNzL3ZtFhUW1rxpiesQ==" saltValue="hiIEQ6ppq6xjmWFZjcvCAg==" spinCount="100000" sqref="BP99:BS100 BP84:BP98 BP116:BS117 BW99:BX100 BW116:BX117 CC99:CD100 CC116:CD117 CI99:CJ100 CI116:CJ117 BU99:BU100 BU116:BU117 BS98 BT98:BT100 BS85:BT97 BS103:BT114 BT115:BT117 BS115 CI103:CI115 CC103:CC115 BW103:BW115 BP103:BQ115" name="Rango1_10"/>
  </protectedRanges>
  <mergeCells count="177">
    <mergeCell ref="BK387:BK388"/>
    <mergeCell ref="BM387:BM388"/>
    <mergeCell ref="BN387:BN388"/>
    <mergeCell ref="BO387:BO388"/>
    <mergeCell ref="BI352:BI353"/>
    <mergeCell ref="BI387:BI388"/>
    <mergeCell ref="BK337:BK338"/>
    <mergeCell ref="BM337:BM338"/>
    <mergeCell ref="BN337:BN338"/>
    <mergeCell ref="BO337:BO338"/>
    <mergeCell ref="BI313:BI314"/>
    <mergeCell ref="BI324:BI325"/>
    <mergeCell ref="BI337:BI338"/>
    <mergeCell ref="BK352:BK353"/>
    <mergeCell ref="BM352:BM353"/>
    <mergeCell ref="BN352:BN353"/>
    <mergeCell ref="BO352:BO353"/>
    <mergeCell ref="BK313:BK314"/>
    <mergeCell ref="BM313:BM314"/>
    <mergeCell ref="BN313:BN314"/>
    <mergeCell ref="BO313:BO314"/>
    <mergeCell ref="BP313:BP314"/>
    <mergeCell ref="BR313:BR314"/>
    <mergeCell ref="BS313:BS314"/>
    <mergeCell ref="BT313:BT314"/>
    <mergeCell ref="BK324:BK325"/>
    <mergeCell ref="BM324:BM325"/>
    <mergeCell ref="BN324:BN325"/>
    <mergeCell ref="BO324:BO325"/>
    <mergeCell ref="DH277:DH278"/>
    <mergeCell ref="DI277:DI278"/>
    <mergeCell ref="DJ277:DK277"/>
    <mergeCell ref="DL277:DM277"/>
    <mergeCell ref="AI278:AM278"/>
    <mergeCell ref="BK278:BK279"/>
    <mergeCell ref="BM278:BM279"/>
    <mergeCell ref="BN278:BN279"/>
    <mergeCell ref="BK277:BO277"/>
    <mergeCell ref="BP277:BT277"/>
    <mergeCell ref="DB277:DB278"/>
    <mergeCell ref="DC277:DD277"/>
    <mergeCell ref="DE277:DE278"/>
    <mergeCell ref="DF277:DF278"/>
    <mergeCell ref="BO278:BO279"/>
    <mergeCell ref="BP278:BP279"/>
    <mergeCell ref="BR278:BR279"/>
    <mergeCell ref="BS278:BS279"/>
    <mergeCell ref="BI278:BI279"/>
    <mergeCell ref="BT278:BT279"/>
    <mergeCell ref="BJ256:BJ257"/>
    <mergeCell ref="BK256:BK257"/>
    <mergeCell ref="BM256:BM257"/>
    <mergeCell ref="BN256:BN257"/>
    <mergeCell ref="BO256:BO257"/>
    <mergeCell ref="BQ182:BQ183"/>
    <mergeCell ref="BS182:BS183"/>
    <mergeCell ref="BT182:BT183"/>
    <mergeCell ref="DG277:DG278"/>
    <mergeCell ref="BU182:BU183"/>
    <mergeCell ref="BK189:BK190"/>
    <mergeCell ref="BM189:BM190"/>
    <mergeCell ref="BN189:BN190"/>
    <mergeCell ref="BO189:BO190"/>
    <mergeCell ref="BK177:BK178"/>
    <mergeCell ref="BM177:BM178"/>
    <mergeCell ref="BN177:BN178"/>
    <mergeCell ref="BO177:BO178"/>
    <mergeCell ref="BK182:BK183"/>
    <mergeCell ref="BM182:BM183"/>
    <mergeCell ref="BN182:BN183"/>
    <mergeCell ref="BO182:BO183"/>
    <mergeCell ref="BT165:BT166"/>
    <mergeCell ref="BU165:BU166"/>
    <mergeCell ref="BK171:BK172"/>
    <mergeCell ref="BM171:BM172"/>
    <mergeCell ref="BN171:BN172"/>
    <mergeCell ref="BO171:BO172"/>
    <mergeCell ref="BS139:BS140"/>
    <mergeCell ref="BT139:BT140"/>
    <mergeCell ref="BU139:BU140"/>
    <mergeCell ref="BK165:BK166"/>
    <mergeCell ref="BM165:BM166"/>
    <mergeCell ref="BN165:BN166"/>
    <mergeCell ref="BO165:BO166"/>
    <mergeCell ref="BQ165:BQ166"/>
    <mergeCell ref="BS165:BS166"/>
    <mergeCell ref="BK139:BK140"/>
    <mergeCell ref="BM139:BM140"/>
    <mergeCell ref="BN139:BN140"/>
    <mergeCell ref="BO139:BO140"/>
    <mergeCell ref="BQ139:BQ140"/>
    <mergeCell ref="BK72:BK73"/>
    <mergeCell ref="BM72:BM73"/>
    <mergeCell ref="B53:B54"/>
    <mergeCell ref="C53:C54"/>
    <mergeCell ref="D53:R53"/>
    <mergeCell ref="S53:W53"/>
    <mergeCell ref="X53:AD53"/>
    <mergeCell ref="CB101:CM101"/>
    <mergeCell ref="BK118:BK119"/>
    <mergeCell ref="BM118:BM119"/>
    <mergeCell ref="BN118:BN119"/>
    <mergeCell ref="BO118:BO119"/>
    <mergeCell ref="BP118:CA118"/>
    <mergeCell ref="CB118:CM118"/>
    <mergeCell ref="BN72:BN73"/>
    <mergeCell ref="BO72:BO73"/>
    <mergeCell ref="BP72:CA72"/>
    <mergeCell ref="CB72:CM72"/>
    <mergeCell ref="BK101:BK102"/>
    <mergeCell ref="BM101:BM102"/>
    <mergeCell ref="BN101:BN102"/>
    <mergeCell ref="BO101:BO102"/>
    <mergeCell ref="BP101:CA101"/>
    <mergeCell ref="B2:AL3"/>
    <mergeCell ref="B28:BG28"/>
    <mergeCell ref="B30:BG30"/>
    <mergeCell ref="B31:B32"/>
    <mergeCell ref="C31:C32"/>
    <mergeCell ref="D31:R31"/>
    <mergeCell ref="S31:W31"/>
    <mergeCell ref="X31:AD31"/>
    <mergeCell ref="AE31:AK31"/>
    <mergeCell ref="AL31:AR31"/>
    <mergeCell ref="AS31:AX31"/>
    <mergeCell ref="AY31:BE31"/>
    <mergeCell ref="BF31:BF32"/>
    <mergeCell ref="BG31:BG32"/>
    <mergeCell ref="X32:Y32"/>
    <mergeCell ref="AE32:AF32"/>
    <mergeCell ref="AL32:AM32"/>
    <mergeCell ref="AS32:AT32"/>
    <mergeCell ref="AY32:AZ32"/>
    <mergeCell ref="C8:K8"/>
    <mergeCell ref="Y8:AL8"/>
    <mergeCell ref="C9:K9"/>
    <mergeCell ref="Y9:AL9"/>
    <mergeCell ref="C10:K10"/>
    <mergeCell ref="Y10:AL10"/>
    <mergeCell ref="B5:AL5"/>
    <mergeCell ref="C6:K6"/>
    <mergeCell ref="Y6:AL6"/>
    <mergeCell ref="C7:K7"/>
    <mergeCell ref="Y7:AL7"/>
    <mergeCell ref="AE53:AE54"/>
    <mergeCell ref="AF53:AF54"/>
    <mergeCell ref="B12:BG12"/>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 ref="BI177:BI178"/>
    <mergeCell ref="BI182:BI183"/>
    <mergeCell ref="BI189:BI190"/>
    <mergeCell ref="BI256:BI257"/>
    <mergeCell ref="AS16:AT16"/>
    <mergeCell ref="AY16:AZ16"/>
    <mergeCell ref="B17:B23"/>
    <mergeCell ref="B33:B39"/>
    <mergeCell ref="BI101:BI102"/>
    <mergeCell ref="BI118:BI119"/>
    <mergeCell ref="BI139:BI140"/>
    <mergeCell ref="BI165:BI166"/>
    <mergeCell ref="BI171:BI172"/>
    <mergeCell ref="B56:AA56"/>
    <mergeCell ref="B58:AA58"/>
  </mergeCells>
  <dataValidations count="2">
    <dataValidation type="list" allowBlank="1" showInputMessage="1" showErrorMessage="1" sqref="C55">
      <formula1>$BI$451:$BI$452</formula1>
    </dataValidation>
    <dataValidation type="list" allowBlank="1" showInputMessage="1" showErrorMessage="1" sqref="C33:C39 C17:C23">
      <formula1>$BI$214:$BI$253</formula1>
    </dataValidation>
  </dataValidations>
  <hyperlinks>
    <hyperlink ref="Q32" location="'INSTRUCCIONES INCERTIDUMBRE'!C21" display="TOTAL"/>
    <hyperlink ref="R32" location="'INSTRUCCIONES INCERTIDUMBRE'!C22" display="No. DATOS"/>
    <hyperlink ref="S32" location="'INSTRUCCIONES INCERTIDUMBRE'!C23" display="PROMEDIO"/>
    <hyperlink ref="T32" location="'INSTRUCCIONES INCERTIDUMBRE'!C24" display="DESVIACION ESTÁNDAR"/>
    <hyperlink ref="U32" location="'INSTRUCCIONES INCERTIDUMBRE'!C25" display="FACTOR T"/>
    <hyperlink ref="W32" location="'INSTRUCCIONES INCERTIDUMBRE'!C26" display="INCERTIDUMBRE"/>
    <hyperlink ref="BF31:BF32" location="'INSTRUCCIONES INCERTIDUMBRE'!C32" display="'INSTRUCCIONES INCERTIDUMBRE'!C32"/>
    <hyperlink ref="BG31:BG32" location="'INSTRUCCIONES INCERTIDUMBRE'!C34" display="INCERTIDUMBRE DE LA FUENTE"/>
    <hyperlink ref="D32" location="'INSTRUCCIONES INCERTIDUMBRE'!C19" display="UNIDAD"/>
    <hyperlink ref="E32" location="'HC CORPORATIVA-INCERTIDUMBRE'!C20" display="DATO 1"/>
    <hyperlink ref="BU153" r:id="rId1"/>
    <hyperlink ref="BO159" r:id="rId2"/>
    <hyperlink ref="Q54" location="'INSTRUCCIONES INCERTIDUMBRE'!C21" display="TOTAL"/>
    <hyperlink ref="R54" location="'INSTRUCCIONES INCERTIDUMBRE'!C22" display="No. DATOS"/>
    <hyperlink ref="S54" location="'INSTRUCCIONES INCERTIDUMBRE'!C23" display="PROMEDIO"/>
    <hyperlink ref="T54" location="'INSTRUCCIONES INCERTIDUMBRE'!C24" display="DESVIACION ESTÁNDAR"/>
    <hyperlink ref="U54" location="'INSTRUCCIONES INCERTIDUMBRE'!C25" display="FACTOR T"/>
    <hyperlink ref="W54" location="'INSTRUCCIONES INCERTIDUMBRE'!C26" display="INCERTIDUMBRE"/>
    <hyperlink ref="D54" location="'INSTRUCCIONES INCERTIDUMBRE'!C19" display="UNIDAD"/>
    <hyperlink ref="E54" location="'HC CORPORATIVA-INCERTIDUMBRE'!C20" display="DATO 1"/>
    <hyperlink ref="AE53:AE54" location="'INSTRUCCIONES INCERTIDUMBRE'!C32" display="'INSTRUCCIONES INCERTIDUMBRE'!C32"/>
    <hyperlink ref="AF53:AF54" location="'INSTRUCCIONES INCERTIDUMBRE'!C34" display="INCERTIDUMBRE DE LA FUENTE"/>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F15:BF16" location="'INSTRUCCIONES INCERTIDUMBRE'!C32" display="'INSTRUCCIONES INCERTIDUMBRE'!C32"/>
    <hyperlink ref="BG15:BG16" location="'INSTRUCCIONES INCERTIDUMBRE'!C34" display="INCERTIDUMBRE DE LA FUENTE"/>
    <hyperlink ref="D16" location="'INSTRUCCIONES INCERTIDUMBRE'!C19" display="UNIDAD"/>
    <hyperlink ref="E16" location="'HC CORPORATIVA-INCERTIDUMBRE'!C20" display="DATO 1"/>
  </hyperlinks>
  <pageMargins left="0.7" right="0.7" top="0.75" bottom="0.75" header="0.3" footer="0.3"/>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EG386"/>
  <sheetViews>
    <sheetView zoomScale="80" zoomScaleNormal="80" workbookViewId="0">
      <selection activeCell="B54" sqref="B54:B55"/>
    </sheetView>
  </sheetViews>
  <sheetFormatPr baseColWidth="10" defaultRowHeight="15" x14ac:dyDescent="0.25"/>
  <cols>
    <col min="1" max="1" width="6.140625" style="151" customWidth="1"/>
    <col min="2" max="2" width="64.28515625" style="151" customWidth="1"/>
    <col min="3" max="3" width="27.85546875" style="151" customWidth="1"/>
    <col min="4" max="4" width="23.42578125" style="151" customWidth="1"/>
    <col min="5" max="5" width="22" style="151" customWidth="1"/>
    <col min="6" max="7" width="17.5703125" style="151" customWidth="1"/>
    <col min="8" max="8" width="5.28515625" style="151" customWidth="1"/>
    <col min="9" max="9" width="33.28515625" style="151" customWidth="1"/>
    <col min="10" max="10" width="16.140625" style="151" hidden="1" customWidth="1"/>
    <col min="11" max="11" width="15.140625" style="151" hidden="1" customWidth="1"/>
    <col min="12" max="12" width="20.5703125" style="151" customWidth="1"/>
    <col min="13" max="13" width="22.28515625" style="151" customWidth="1"/>
    <col min="14" max="14" width="12.7109375" style="151" customWidth="1"/>
    <col min="15" max="50" width="0" style="151" hidden="1" customWidth="1"/>
    <col min="51" max="51" width="11.42578125" style="151"/>
    <col min="52" max="52" width="39.28515625" style="151" customWidth="1"/>
    <col min="53" max="53" width="16.42578125" style="151" customWidth="1"/>
    <col min="54" max="54" width="24.28515625" style="151" customWidth="1"/>
    <col min="55" max="55" width="25.140625" style="151" customWidth="1"/>
    <col min="56" max="60" width="27.42578125" style="151" customWidth="1"/>
    <col min="61" max="61" width="28.85546875" style="151" customWidth="1"/>
    <col min="62" max="62" width="21.42578125" style="151" customWidth="1"/>
    <col min="63" max="263" width="11.42578125" style="151"/>
    <col min="264" max="264" width="6.140625" style="151" customWidth="1"/>
    <col min="265" max="265" width="33.42578125" style="151" customWidth="1"/>
    <col min="266" max="267" width="25.7109375" style="151" customWidth="1"/>
    <col min="268" max="268" width="11.42578125" style="151" customWidth="1"/>
    <col min="269" max="269" width="16.140625" style="151" customWidth="1"/>
    <col min="270" max="270" width="13.42578125" style="151" customWidth="1"/>
    <col min="271" max="271" width="11.42578125" style="151" customWidth="1"/>
    <col min="272" max="272" width="20.5703125" style="151" customWidth="1"/>
    <col min="273" max="273" width="22.28515625" style="151" customWidth="1"/>
    <col min="274" max="274" width="2.5703125" style="151" customWidth="1"/>
    <col min="275" max="519" width="11.42578125" style="151"/>
    <col min="520" max="520" width="6.140625" style="151" customWidth="1"/>
    <col min="521" max="521" width="33.42578125" style="151" customWidth="1"/>
    <col min="522" max="523" width="25.7109375" style="151" customWidth="1"/>
    <col min="524" max="524" width="11.42578125" style="151" customWidth="1"/>
    <col min="525" max="525" width="16.140625" style="151" customWidth="1"/>
    <col min="526" max="526" width="13.42578125" style="151" customWidth="1"/>
    <col min="527" max="527" width="11.42578125" style="151" customWidth="1"/>
    <col min="528" max="528" width="20.5703125" style="151" customWidth="1"/>
    <col min="529" max="529" width="22.28515625" style="151" customWidth="1"/>
    <col min="530" max="530" width="2.5703125" style="151" customWidth="1"/>
    <col min="531" max="775" width="11.42578125" style="151"/>
    <col min="776" max="776" width="6.140625" style="151" customWidth="1"/>
    <col min="777" max="777" width="33.42578125" style="151" customWidth="1"/>
    <col min="778" max="779" width="25.7109375" style="151" customWidth="1"/>
    <col min="780" max="780" width="11.42578125" style="151" customWidth="1"/>
    <col min="781" max="781" width="16.140625" style="151" customWidth="1"/>
    <col min="782" max="782" width="13.42578125" style="151" customWidth="1"/>
    <col min="783" max="783" width="11.42578125" style="151" customWidth="1"/>
    <col min="784" max="784" width="20.5703125" style="151" customWidth="1"/>
    <col min="785" max="785" width="22.28515625" style="151" customWidth="1"/>
    <col min="786" max="786" width="2.5703125" style="151" customWidth="1"/>
    <col min="787" max="1031" width="11.42578125" style="151"/>
    <col min="1032" max="1032" width="6.140625" style="151" customWidth="1"/>
    <col min="1033" max="1033" width="33.42578125" style="151" customWidth="1"/>
    <col min="1034" max="1035" width="25.7109375" style="151" customWidth="1"/>
    <col min="1036" max="1036" width="11.42578125" style="151" customWidth="1"/>
    <col min="1037" max="1037" width="16.140625" style="151" customWidth="1"/>
    <col min="1038" max="1038" width="13.42578125" style="151" customWidth="1"/>
    <col min="1039" max="1039" width="11.42578125" style="151" customWidth="1"/>
    <col min="1040" max="1040" width="20.5703125" style="151" customWidth="1"/>
    <col min="1041" max="1041" width="22.28515625" style="151" customWidth="1"/>
    <col min="1042" max="1042" width="2.5703125" style="151" customWidth="1"/>
    <col min="1043" max="1287" width="11.42578125" style="151"/>
    <col min="1288" max="1288" width="6.140625" style="151" customWidth="1"/>
    <col min="1289" max="1289" width="33.42578125" style="151" customWidth="1"/>
    <col min="1290" max="1291" width="25.7109375" style="151" customWidth="1"/>
    <col min="1292" max="1292" width="11.42578125" style="151" customWidth="1"/>
    <col min="1293" max="1293" width="16.140625" style="151" customWidth="1"/>
    <col min="1294" max="1294" width="13.42578125" style="151" customWidth="1"/>
    <col min="1295" max="1295" width="11.42578125" style="151" customWidth="1"/>
    <col min="1296" max="1296" width="20.5703125" style="151" customWidth="1"/>
    <col min="1297" max="1297" width="22.28515625" style="151" customWidth="1"/>
    <col min="1298" max="1298" width="2.5703125" style="151" customWidth="1"/>
    <col min="1299" max="1543" width="11.42578125" style="151"/>
    <col min="1544" max="1544" width="6.140625" style="151" customWidth="1"/>
    <col min="1545" max="1545" width="33.42578125" style="151" customWidth="1"/>
    <col min="1546" max="1547" width="25.7109375" style="151" customWidth="1"/>
    <col min="1548" max="1548" width="11.42578125" style="151" customWidth="1"/>
    <col min="1549" max="1549" width="16.140625" style="151" customWidth="1"/>
    <col min="1550" max="1550" width="13.42578125" style="151" customWidth="1"/>
    <col min="1551" max="1551" width="11.42578125" style="151" customWidth="1"/>
    <col min="1552" max="1552" width="20.5703125" style="151" customWidth="1"/>
    <col min="1553" max="1553" width="22.28515625" style="151" customWidth="1"/>
    <col min="1554" max="1554" width="2.5703125" style="151" customWidth="1"/>
    <col min="1555" max="1799" width="11.42578125" style="151"/>
    <col min="1800" max="1800" width="6.140625" style="151" customWidth="1"/>
    <col min="1801" max="1801" width="33.42578125" style="151" customWidth="1"/>
    <col min="1802" max="1803" width="25.7109375" style="151" customWidth="1"/>
    <col min="1804" max="1804" width="11.42578125" style="151" customWidth="1"/>
    <col min="1805" max="1805" width="16.140625" style="151" customWidth="1"/>
    <col min="1806" max="1806" width="13.42578125" style="151" customWidth="1"/>
    <col min="1807" max="1807" width="11.42578125" style="151" customWidth="1"/>
    <col min="1808" max="1808" width="20.5703125" style="151" customWidth="1"/>
    <col min="1809" max="1809" width="22.28515625" style="151" customWidth="1"/>
    <col min="1810" max="1810" width="2.5703125" style="151" customWidth="1"/>
    <col min="1811" max="2055" width="11.42578125" style="151"/>
    <col min="2056" max="2056" width="6.140625" style="151" customWidth="1"/>
    <col min="2057" max="2057" width="33.42578125" style="151" customWidth="1"/>
    <col min="2058" max="2059" width="25.7109375" style="151" customWidth="1"/>
    <col min="2060" max="2060" width="11.42578125" style="151" customWidth="1"/>
    <col min="2061" max="2061" width="16.140625" style="151" customWidth="1"/>
    <col min="2062" max="2062" width="13.42578125" style="151" customWidth="1"/>
    <col min="2063" max="2063" width="11.42578125" style="151" customWidth="1"/>
    <col min="2064" max="2064" width="20.5703125" style="151" customWidth="1"/>
    <col min="2065" max="2065" width="22.28515625" style="151" customWidth="1"/>
    <col min="2066" max="2066" width="2.5703125" style="151" customWidth="1"/>
    <col min="2067" max="2311" width="11.42578125" style="151"/>
    <col min="2312" max="2312" width="6.140625" style="151" customWidth="1"/>
    <col min="2313" max="2313" width="33.42578125" style="151" customWidth="1"/>
    <col min="2314" max="2315" width="25.7109375" style="151" customWidth="1"/>
    <col min="2316" max="2316" width="11.42578125" style="151" customWidth="1"/>
    <col min="2317" max="2317" width="16.140625" style="151" customWidth="1"/>
    <col min="2318" max="2318" width="13.42578125" style="151" customWidth="1"/>
    <col min="2319" max="2319" width="11.42578125" style="151" customWidth="1"/>
    <col min="2320" max="2320" width="20.5703125" style="151" customWidth="1"/>
    <col min="2321" max="2321" width="22.28515625" style="151" customWidth="1"/>
    <col min="2322" max="2322" width="2.5703125" style="151" customWidth="1"/>
    <col min="2323" max="2567" width="11.42578125" style="151"/>
    <col min="2568" max="2568" width="6.140625" style="151" customWidth="1"/>
    <col min="2569" max="2569" width="33.42578125" style="151" customWidth="1"/>
    <col min="2570" max="2571" width="25.7109375" style="151" customWidth="1"/>
    <col min="2572" max="2572" width="11.42578125" style="151" customWidth="1"/>
    <col min="2573" max="2573" width="16.140625" style="151" customWidth="1"/>
    <col min="2574" max="2574" width="13.42578125" style="151" customWidth="1"/>
    <col min="2575" max="2575" width="11.42578125" style="151" customWidth="1"/>
    <col min="2576" max="2576" width="20.5703125" style="151" customWidth="1"/>
    <col min="2577" max="2577" width="22.28515625" style="151" customWidth="1"/>
    <col min="2578" max="2578" width="2.5703125" style="151" customWidth="1"/>
    <col min="2579" max="2823" width="11.42578125" style="151"/>
    <col min="2824" max="2824" width="6.140625" style="151" customWidth="1"/>
    <col min="2825" max="2825" width="33.42578125" style="151" customWidth="1"/>
    <col min="2826" max="2827" width="25.7109375" style="151" customWidth="1"/>
    <col min="2828" max="2828" width="11.42578125" style="151" customWidth="1"/>
    <col min="2829" max="2829" width="16.140625" style="151" customWidth="1"/>
    <col min="2830" max="2830" width="13.42578125" style="151" customWidth="1"/>
    <col min="2831" max="2831" width="11.42578125" style="151" customWidth="1"/>
    <col min="2832" max="2832" width="20.5703125" style="151" customWidth="1"/>
    <col min="2833" max="2833" width="22.28515625" style="151" customWidth="1"/>
    <col min="2834" max="2834" width="2.5703125" style="151" customWidth="1"/>
    <col min="2835" max="3079" width="11.42578125" style="151"/>
    <col min="3080" max="3080" width="6.140625" style="151" customWidth="1"/>
    <col min="3081" max="3081" width="33.42578125" style="151" customWidth="1"/>
    <col min="3082" max="3083" width="25.7109375" style="151" customWidth="1"/>
    <col min="3084" max="3084" width="11.42578125" style="151" customWidth="1"/>
    <col min="3085" max="3085" width="16.140625" style="151" customWidth="1"/>
    <col min="3086" max="3086" width="13.42578125" style="151" customWidth="1"/>
    <col min="3087" max="3087" width="11.42578125" style="151" customWidth="1"/>
    <col min="3088" max="3088" width="20.5703125" style="151" customWidth="1"/>
    <col min="3089" max="3089" width="22.28515625" style="151" customWidth="1"/>
    <col min="3090" max="3090" width="2.5703125" style="151" customWidth="1"/>
    <col min="3091" max="3335" width="11.42578125" style="151"/>
    <col min="3336" max="3336" width="6.140625" style="151" customWidth="1"/>
    <col min="3337" max="3337" width="33.42578125" style="151" customWidth="1"/>
    <col min="3338" max="3339" width="25.7109375" style="151" customWidth="1"/>
    <col min="3340" max="3340" width="11.42578125" style="151" customWidth="1"/>
    <col min="3341" max="3341" width="16.140625" style="151" customWidth="1"/>
    <col min="3342" max="3342" width="13.42578125" style="151" customWidth="1"/>
    <col min="3343" max="3343" width="11.42578125" style="151" customWidth="1"/>
    <col min="3344" max="3344" width="20.5703125" style="151" customWidth="1"/>
    <col min="3345" max="3345" width="22.28515625" style="151" customWidth="1"/>
    <col min="3346" max="3346" width="2.5703125" style="151" customWidth="1"/>
    <col min="3347" max="3591" width="11.42578125" style="151"/>
    <col min="3592" max="3592" width="6.140625" style="151" customWidth="1"/>
    <col min="3593" max="3593" width="33.42578125" style="151" customWidth="1"/>
    <col min="3594" max="3595" width="25.7109375" style="151" customWidth="1"/>
    <col min="3596" max="3596" width="11.42578125" style="151" customWidth="1"/>
    <col min="3597" max="3597" width="16.140625" style="151" customWidth="1"/>
    <col min="3598" max="3598" width="13.42578125" style="151" customWidth="1"/>
    <col min="3599" max="3599" width="11.42578125" style="151" customWidth="1"/>
    <col min="3600" max="3600" width="20.5703125" style="151" customWidth="1"/>
    <col min="3601" max="3601" width="22.28515625" style="151" customWidth="1"/>
    <col min="3602" max="3602" width="2.5703125" style="151" customWidth="1"/>
    <col min="3603" max="3847" width="11.42578125" style="151"/>
    <col min="3848" max="3848" width="6.140625" style="151" customWidth="1"/>
    <col min="3849" max="3849" width="33.42578125" style="151" customWidth="1"/>
    <col min="3850" max="3851" width="25.7109375" style="151" customWidth="1"/>
    <col min="3852" max="3852" width="11.42578125" style="151" customWidth="1"/>
    <col min="3853" max="3853" width="16.140625" style="151" customWidth="1"/>
    <col min="3854" max="3854" width="13.42578125" style="151" customWidth="1"/>
    <col min="3855" max="3855" width="11.42578125" style="151" customWidth="1"/>
    <col min="3856" max="3856" width="20.5703125" style="151" customWidth="1"/>
    <col min="3857" max="3857" width="22.28515625" style="151" customWidth="1"/>
    <col min="3858" max="3858" width="2.5703125" style="151" customWidth="1"/>
    <col min="3859" max="4103" width="11.42578125" style="151"/>
    <col min="4104" max="4104" width="6.140625" style="151" customWidth="1"/>
    <col min="4105" max="4105" width="33.42578125" style="151" customWidth="1"/>
    <col min="4106" max="4107" width="25.7109375" style="151" customWidth="1"/>
    <col min="4108" max="4108" width="11.42578125" style="151" customWidth="1"/>
    <col min="4109" max="4109" width="16.140625" style="151" customWidth="1"/>
    <col min="4110" max="4110" width="13.42578125" style="151" customWidth="1"/>
    <col min="4111" max="4111" width="11.42578125" style="151" customWidth="1"/>
    <col min="4112" max="4112" width="20.5703125" style="151" customWidth="1"/>
    <col min="4113" max="4113" width="22.28515625" style="151" customWidth="1"/>
    <col min="4114" max="4114" width="2.5703125" style="151" customWidth="1"/>
    <col min="4115" max="4359" width="11.42578125" style="151"/>
    <col min="4360" max="4360" width="6.140625" style="151" customWidth="1"/>
    <col min="4361" max="4361" width="33.42578125" style="151" customWidth="1"/>
    <col min="4362" max="4363" width="25.7109375" style="151" customWidth="1"/>
    <col min="4364" max="4364" width="11.42578125" style="151" customWidth="1"/>
    <col min="4365" max="4365" width="16.140625" style="151" customWidth="1"/>
    <col min="4366" max="4366" width="13.42578125" style="151" customWidth="1"/>
    <col min="4367" max="4367" width="11.42578125" style="151" customWidth="1"/>
    <col min="4368" max="4368" width="20.5703125" style="151" customWidth="1"/>
    <col min="4369" max="4369" width="22.28515625" style="151" customWidth="1"/>
    <col min="4370" max="4370" width="2.5703125" style="151" customWidth="1"/>
    <col min="4371" max="4615" width="11.42578125" style="151"/>
    <col min="4616" max="4616" width="6.140625" style="151" customWidth="1"/>
    <col min="4617" max="4617" width="33.42578125" style="151" customWidth="1"/>
    <col min="4618" max="4619" width="25.7109375" style="151" customWidth="1"/>
    <col min="4620" max="4620" width="11.42578125" style="151" customWidth="1"/>
    <col min="4621" max="4621" width="16.140625" style="151" customWidth="1"/>
    <col min="4622" max="4622" width="13.42578125" style="151" customWidth="1"/>
    <col min="4623" max="4623" width="11.42578125" style="151" customWidth="1"/>
    <col min="4624" max="4624" width="20.5703125" style="151" customWidth="1"/>
    <col min="4625" max="4625" width="22.28515625" style="151" customWidth="1"/>
    <col min="4626" max="4626" width="2.5703125" style="151" customWidth="1"/>
    <col min="4627" max="4871" width="11.42578125" style="151"/>
    <col min="4872" max="4872" width="6.140625" style="151" customWidth="1"/>
    <col min="4873" max="4873" width="33.42578125" style="151" customWidth="1"/>
    <col min="4874" max="4875" width="25.7109375" style="151" customWidth="1"/>
    <col min="4876" max="4876" width="11.42578125" style="151" customWidth="1"/>
    <col min="4877" max="4877" width="16.140625" style="151" customWidth="1"/>
    <col min="4878" max="4878" width="13.42578125" style="151" customWidth="1"/>
    <col min="4879" max="4879" width="11.42578125" style="151" customWidth="1"/>
    <col min="4880" max="4880" width="20.5703125" style="151" customWidth="1"/>
    <col min="4881" max="4881" width="22.28515625" style="151" customWidth="1"/>
    <col min="4882" max="4882" width="2.5703125" style="151" customWidth="1"/>
    <col min="4883" max="5127" width="11.42578125" style="151"/>
    <col min="5128" max="5128" width="6.140625" style="151" customWidth="1"/>
    <col min="5129" max="5129" width="33.42578125" style="151" customWidth="1"/>
    <col min="5130" max="5131" width="25.7109375" style="151" customWidth="1"/>
    <col min="5132" max="5132" width="11.42578125" style="151" customWidth="1"/>
    <col min="5133" max="5133" width="16.140625" style="151" customWidth="1"/>
    <col min="5134" max="5134" width="13.42578125" style="151" customWidth="1"/>
    <col min="5135" max="5135" width="11.42578125" style="151" customWidth="1"/>
    <col min="5136" max="5136" width="20.5703125" style="151" customWidth="1"/>
    <col min="5137" max="5137" width="22.28515625" style="151" customWidth="1"/>
    <col min="5138" max="5138" width="2.5703125" style="151" customWidth="1"/>
    <col min="5139" max="5383" width="11.42578125" style="151"/>
    <col min="5384" max="5384" width="6.140625" style="151" customWidth="1"/>
    <col min="5385" max="5385" width="33.42578125" style="151" customWidth="1"/>
    <col min="5386" max="5387" width="25.7109375" style="151" customWidth="1"/>
    <col min="5388" max="5388" width="11.42578125" style="151" customWidth="1"/>
    <col min="5389" max="5389" width="16.140625" style="151" customWidth="1"/>
    <col min="5390" max="5390" width="13.42578125" style="151" customWidth="1"/>
    <col min="5391" max="5391" width="11.42578125" style="151" customWidth="1"/>
    <col min="5392" max="5392" width="20.5703125" style="151" customWidth="1"/>
    <col min="5393" max="5393" width="22.28515625" style="151" customWidth="1"/>
    <col min="5394" max="5394" width="2.5703125" style="151" customWidth="1"/>
    <col min="5395" max="5639" width="11.42578125" style="151"/>
    <col min="5640" max="5640" width="6.140625" style="151" customWidth="1"/>
    <col min="5641" max="5641" width="33.42578125" style="151" customWidth="1"/>
    <col min="5642" max="5643" width="25.7109375" style="151" customWidth="1"/>
    <col min="5644" max="5644" width="11.42578125" style="151" customWidth="1"/>
    <col min="5645" max="5645" width="16.140625" style="151" customWidth="1"/>
    <col min="5646" max="5646" width="13.42578125" style="151" customWidth="1"/>
    <col min="5647" max="5647" width="11.42578125" style="151" customWidth="1"/>
    <col min="5648" max="5648" width="20.5703125" style="151" customWidth="1"/>
    <col min="5649" max="5649" width="22.28515625" style="151" customWidth="1"/>
    <col min="5650" max="5650" width="2.5703125" style="151" customWidth="1"/>
    <col min="5651" max="5895" width="11.42578125" style="151"/>
    <col min="5896" max="5896" width="6.140625" style="151" customWidth="1"/>
    <col min="5897" max="5897" width="33.42578125" style="151" customWidth="1"/>
    <col min="5898" max="5899" width="25.7109375" style="151" customWidth="1"/>
    <col min="5900" max="5900" width="11.42578125" style="151" customWidth="1"/>
    <col min="5901" max="5901" width="16.140625" style="151" customWidth="1"/>
    <col min="5902" max="5902" width="13.42578125" style="151" customWidth="1"/>
    <col min="5903" max="5903" width="11.42578125" style="151" customWidth="1"/>
    <col min="5904" max="5904" width="20.5703125" style="151" customWidth="1"/>
    <col min="5905" max="5905" width="22.28515625" style="151" customWidth="1"/>
    <col min="5906" max="5906" width="2.5703125" style="151" customWidth="1"/>
    <col min="5907" max="6151" width="11.42578125" style="151"/>
    <col min="6152" max="6152" width="6.140625" style="151" customWidth="1"/>
    <col min="6153" max="6153" width="33.42578125" style="151" customWidth="1"/>
    <col min="6154" max="6155" width="25.7109375" style="151" customWidth="1"/>
    <col min="6156" max="6156" width="11.42578125" style="151" customWidth="1"/>
    <col min="6157" max="6157" width="16.140625" style="151" customWidth="1"/>
    <col min="6158" max="6158" width="13.42578125" style="151" customWidth="1"/>
    <col min="6159" max="6159" width="11.42578125" style="151" customWidth="1"/>
    <col min="6160" max="6160" width="20.5703125" style="151" customWidth="1"/>
    <col min="6161" max="6161" width="22.28515625" style="151" customWidth="1"/>
    <col min="6162" max="6162" width="2.5703125" style="151" customWidth="1"/>
    <col min="6163" max="6407" width="11.42578125" style="151"/>
    <col min="6408" max="6408" width="6.140625" style="151" customWidth="1"/>
    <col min="6409" max="6409" width="33.42578125" style="151" customWidth="1"/>
    <col min="6410" max="6411" width="25.7109375" style="151" customWidth="1"/>
    <col min="6412" max="6412" width="11.42578125" style="151" customWidth="1"/>
    <col min="6413" max="6413" width="16.140625" style="151" customWidth="1"/>
    <col min="6414" max="6414" width="13.42578125" style="151" customWidth="1"/>
    <col min="6415" max="6415" width="11.42578125" style="151" customWidth="1"/>
    <col min="6416" max="6416" width="20.5703125" style="151" customWidth="1"/>
    <col min="6417" max="6417" width="22.28515625" style="151" customWidth="1"/>
    <col min="6418" max="6418" width="2.5703125" style="151" customWidth="1"/>
    <col min="6419" max="6663" width="11.42578125" style="151"/>
    <col min="6664" max="6664" width="6.140625" style="151" customWidth="1"/>
    <col min="6665" max="6665" width="33.42578125" style="151" customWidth="1"/>
    <col min="6666" max="6667" width="25.7109375" style="151" customWidth="1"/>
    <col min="6668" max="6668" width="11.42578125" style="151" customWidth="1"/>
    <col min="6669" max="6669" width="16.140625" style="151" customWidth="1"/>
    <col min="6670" max="6670" width="13.42578125" style="151" customWidth="1"/>
    <col min="6671" max="6671" width="11.42578125" style="151" customWidth="1"/>
    <col min="6672" max="6672" width="20.5703125" style="151" customWidth="1"/>
    <col min="6673" max="6673" width="22.28515625" style="151" customWidth="1"/>
    <col min="6674" max="6674" width="2.5703125" style="151" customWidth="1"/>
    <col min="6675" max="6919" width="11.42578125" style="151"/>
    <col min="6920" max="6920" width="6.140625" style="151" customWidth="1"/>
    <col min="6921" max="6921" width="33.42578125" style="151" customWidth="1"/>
    <col min="6922" max="6923" width="25.7109375" style="151" customWidth="1"/>
    <col min="6924" max="6924" width="11.42578125" style="151" customWidth="1"/>
    <col min="6925" max="6925" width="16.140625" style="151" customWidth="1"/>
    <col min="6926" max="6926" width="13.42578125" style="151" customWidth="1"/>
    <col min="6927" max="6927" width="11.42578125" style="151" customWidth="1"/>
    <col min="6928" max="6928" width="20.5703125" style="151" customWidth="1"/>
    <col min="6929" max="6929" width="22.28515625" style="151" customWidth="1"/>
    <col min="6930" max="6930" width="2.5703125" style="151" customWidth="1"/>
    <col min="6931" max="7175" width="11.42578125" style="151"/>
    <col min="7176" max="7176" width="6.140625" style="151" customWidth="1"/>
    <col min="7177" max="7177" width="33.42578125" style="151" customWidth="1"/>
    <col min="7178" max="7179" width="25.7109375" style="151" customWidth="1"/>
    <col min="7180" max="7180" width="11.42578125" style="151" customWidth="1"/>
    <col min="7181" max="7181" width="16.140625" style="151" customWidth="1"/>
    <col min="7182" max="7182" width="13.42578125" style="151" customWidth="1"/>
    <col min="7183" max="7183" width="11.42578125" style="151" customWidth="1"/>
    <col min="7184" max="7184" width="20.5703125" style="151" customWidth="1"/>
    <col min="7185" max="7185" width="22.28515625" style="151" customWidth="1"/>
    <col min="7186" max="7186" width="2.5703125" style="151" customWidth="1"/>
    <col min="7187" max="7431" width="11.42578125" style="151"/>
    <col min="7432" max="7432" width="6.140625" style="151" customWidth="1"/>
    <col min="7433" max="7433" width="33.42578125" style="151" customWidth="1"/>
    <col min="7434" max="7435" width="25.7109375" style="151" customWidth="1"/>
    <col min="7436" max="7436" width="11.42578125" style="151" customWidth="1"/>
    <col min="7437" max="7437" width="16.140625" style="151" customWidth="1"/>
    <col min="7438" max="7438" width="13.42578125" style="151" customWidth="1"/>
    <col min="7439" max="7439" width="11.42578125" style="151" customWidth="1"/>
    <col min="7440" max="7440" width="20.5703125" style="151" customWidth="1"/>
    <col min="7441" max="7441" width="22.28515625" style="151" customWidth="1"/>
    <col min="7442" max="7442" width="2.5703125" style="151" customWidth="1"/>
    <col min="7443" max="7687" width="11.42578125" style="151"/>
    <col min="7688" max="7688" width="6.140625" style="151" customWidth="1"/>
    <col min="7689" max="7689" width="33.42578125" style="151" customWidth="1"/>
    <col min="7690" max="7691" width="25.7109375" style="151" customWidth="1"/>
    <col min="7692" max="7692" width="11.42578125" style="151" customWidth="1"/>
    <col min="7693" max="7693" width="16.140625" style="151" customWidth="1"/>
    <col min="7694" max="7694" width="13.42578125" style="151" customWidth="1"/>
    <col min="7695" max="7695" width="11.42578125" style="151" customWidth="1"/>
    <col min="7696" max="7696" width="20.5703125" style="151" customWidth="1"/>
    <col min="7697" max="7697" width="22.28515625" style="151" customWidth="1"/>
    <col min="7698" max="7698" width="2.5703125" style="151" customWidth="1"/>
    <col min="7699" max="7943" width="11.42578125" style="151"/>
    <col min="7944" max="7944" width="6.140625" style="151" customWidth="1"/>
    <col min="7945" max="7945" width="33.42578125" style="151" customWidth="1"/>
    <col min="7946" max="7947" width="25.7109375" style="151" customWidth="1"/>
    <col min="7948" max="7948" width="11.42578125" style="151" customWidth="1"/>
    <col min="7949" max="7949" width="16.140625" style="151" customWidth="1"/>
    <col min="7950" max="7950" width="13.42578125" style="151" customWidth="1"/>
    <col min="7951" max="7951" width="11.42578125" style="151" customWidth="1"/>
    <col min="7952" max="7952" width="20.5703125" style="151" customWidth="1"/>
    <col min="7953" max="7953" width="22.28515625" style="151" customWidth="1"/>
    <col min="7954" max="7954" width="2.5703125" style="151" customWidth="1"/>
    <col min="7955" max="8199" width="11.42578125" style="151"/>
    <col min="8200" max="8200" width="6.140625" style="151" customWidth="1"/>
    <col min="8201" max="8201" width="33.42578125" style="151" customWidth="1"/>
    <col min="8202" max="8203" width="25.7109375" style="151" customWidth="1"/>
    <col min="8204" max="8204" width="11.42578125" style="151" customWidth="1"/>
    <col min="8205" max="8205" width="16.140625" style="151" customWidth="1"/>
    <col min="8206" max="8206" width="13.42578125" style="151" customWidth="1"/>
    <col min="8207" max="8207" width="11.42578125" style="151" customWidth="1"/>
    <col min="8208" max="8208" width="20.5703125" style="151" customWidth="1"/>
    <col min="8209" max="8209" width="22.28515625" style="151" customWidth="1"/>
    <col min="8210" max="8210" width="2.5703125" style="151" customWidth="1"/>
    <col min="8211" max="8455" width="11.42578125" style="151"/>
    <col min="8456" max="8456" width="6.140625" style="151" customWidth="1"/>
    <col min="8457" max="8457" width="33.42578125" style="151" customWidth="1"/>
    <col min="8458" max="8459" width="25.7109375" style="151" customWidth="1"/>
    <col min="8460" max="8460" width="11.42578125" style="151" customWidth="1"/>
    <col min="8461" max="8461" width="16.140625" style="151" customWidth="1"/>
    <col min="8462" max="8462" width="13.42578125" style="151" customWidth="1"/>
    <col min="8463" max="8463" width="11.42578125" style="151" customWidth="1"/>
    <col min="8464" max="8464" width="20.5703125" style="151" customWidth="1"/>
    <col min="8465" max="8465" width="22.28515625" style="151" customWidth="1"/>
    <col min="8466" max="8466" width="2.5703125" style="151" customWidth="1"/>
    <col min="8467" max="8711" width="11.42578125" style="151"/>
    <col min="8712" max="8712" width="6.140625" style="151" customWidth="1"/>
    <col min="8713" max="8713" width="33.42578125" style="151" customWidth="1"/>
    <col min="8714" max="8715" width="25.7109375" style="151" customWidth="1"/>
    <col min="8716" max="8716" width="11.42578125" style="151" customWidth="1"/>
    <col min="8717" max="8717" width="16.140625" style="151" customWidth="1"/>
    <col min="8718" max="8718" width="13.42578125" style="151" customWidth="1"/>
    <col min="8719" max="8719" width="11.42578125" style="151" customWidth="1"/>
    <col min="8720" max="8720" width="20.5703125" style="151" customWidth="1"/>
    <col min="8721" max="8721" width="22.28515625" style="151" customWidth="1"/>
    <col min="8722" max="8722" width="2.5703125" style="151" customWidth="1"/>
    <col min="8723" max="8967" width="11.42578125" style="151"/>
    <col min="8968" max="8968" width="6.140625" style="151" customWidth="1"/>
    <col min="8969" max="8969" width="33.42578125" style="151" customWidth="1"/>
    <col min="8970" max="8971" width="25.7109375" style="151" customWidth="1"/>
    <col min="8972" max="8972" width="11.42578125" style="151" customWidth="1"/>
    <col min="8973" max="8973" width="16.140625" style="151" customWidth="1"/>
    <col min="8974" max="8974" width="13.42578125" style="151" customWidth="1"/>
    <col min="8975" max="8975" width="11.42578125" style="151" customWidth="1"/>
    <col min="8976" max="8976" width="20.5703125" style="151" customWidth="1"/>
    <col min="8977" max="8977" width="22.28515625" style="151" customWidth="1"/>
    <col min="8978" max="8978" width="2.5703125" style="151" customWidth="1"/>
    <col min="8979" max="9223" width="11.42578125" style="151"/>
    <col min="9224" max="9224" width="6.140625" style="151" customWidth="1"/>
    <col min="9225" max="9225" width="33.42578125" style="151" customWidth="1"/>
    <col min="9226" max="9227" width="25.7109375" style="151" customWidth="1"/>
    <col min="9228" max="9228" width="11.42578125" style="151" customWidth="1"/>
    <col min="9229" max="9229" width="16.140625" style="151" customWidth="1"/>
    <col min="9230" max="9230" width="13.42578125" style="151" customWidth="1"/>
    <col min="9231" max="9231" width="11.42578125" style="151" customWidth="1"/>
    <col min="9232" max="9232" width="20.5703125" style="151" customWidth="1"/>
    <col min="9233" max="9233" width="22.28515625" style="151" customWidth="1"/>
    <col min="9234" max="9234" width="2.5703125" style="151" customWidth="1"/>
    <col min="9235" max="9479" width="11.42578125" style="151"/>
    <col min="9480" max="9480" width="6.140625" style="151" customWidth="1"/>
    <col min="9481" max="9481" width="33.42578125" style="151" customWidth="1"/>
    <col min="9482" max="9483" width="25.7109375" style="151" customWidth="1"/>
    <col min="9484" max="9484" width="11.42578125" style="151" customWidth="1"/>
    <col min="9485" max="9485" width="16.140625" style="151" customWidth="1"/>
    <col min="9486" max="9486" width="13.42578125" style="151" customWidth="1"/>
    <col min="9487" max="9487" width="11.42578125" style="151" customWidth="1"/>
    <col min="9488" max="9488" width="20.5703125" style="151" customWidth="1"/>
    <col min="9489" max="9489" width="22.28515625" style="151" customWidth="1"/>
    <col min="9490" max="9490" width="2.5703125" style="151" customWidth="1"/>
    <col min="9491" max="9735" width="11.42578125" style="151"/>
    <col min="9736" max="9736" width="6.140625" style="151" customWidth="1"/>
    <col min="9737" max="9737" width="33.42578125" style="151" customWidth="1"/>
    <col min="9738" max="9739" width="25.7109375" style="151" customWidth="1"/>
    <col min="9740" max="9740" width="11.42578125" style="151" customWidth="1"/>
    <col min="9741" max="9741" width="16.140625" style="151" customWidth="1"/>
    <col min="9742" max="9742" width="13.42578125" style="151" customWidth="1"/>
    <col min="9743" max="9743" width="11.42578125" style="151" customWidth="1"/>
    <col min="9744" max="9744" width="20.5703125" style="151" customWidth="1"/>
    <col min="9745" max="9745" width="22.28515625" style="151" customWidth="1"/>
    <col min="9746" max="9746" width="2.5703125" style="151" customWidth="1"/>
    <col min="9747" max="9991" width="11.42578125" style="151"/>
    <col min="9992" max="9992" width="6.140625" style="151" customWidth="1"/>
    <col min="9993" max="9993" width="33.42578125" style="151" customWidth="1"/>
    <col min="9994" max="9995" width="25.7109375" style="151" customWidth="1"/>
    <col min="9996" max="9996" width="11.42578125" style="151" customWidth="1"/>
    <col min="9997" max="9997" width="16.140625" style="151" customWidth="1"/>
    <col min="9998" max="9998" width="13.42578125" style="151" customWidth="1"/>
    <col min="9999" max="9999" width="11.42578125" style="151" customWidth="1"/>
    <col min="10000" max="10000" width="20.5703125" style="151" customWidth="1"/>
    <col min="10001" max="10001" width="22.28515625" style="151" customWidth="1"/>
    <col min="10002" max="10002" width="2.5703125" style="151" customWidth="1"/>
    <col min="10003" max="10247" width="11.42578125" style="151"/>
    <col min="10248" max="10248" width="6.140625" style="151" customWidth="1"/>
    <col min="10249" max="10249" width="33.42578125" style="151" customWidth="1"/>
    <col min="10250" max="10251" width="25.7109375" style="151" customWidth="1"/>
    <col min="10252" max="10252" width="11.42578125" style="151" customWidth="1"/>
    <col min="10253" max="10253" width="16.140625" style="151" customWidth="1"/>
    <col min="10254" max="10254" width="13.42578125" style="151" customWidth="1"/>
    <col min="10255" max="10255" width="11.42578125" style="151" customWidth="1"/>
    <col min="10256" max="10256" width="20.5703125" style="151" customWidth="1"/>
    <col min="10257" max="10257" width="22.28515625" style="151" customWidth="1"/>
    <col min="10258" max="10258" width="2.5703125" style="151" customWidth="1"/>
    <col min="10259" max="10503" width="11.42578125" style="151"/>
    <col min="10504" max="10504" width="6.140625" style="151" customWidth="1"/>
    <col min="10505" max="10505" width="33.42578125" style="151" customWidth="1"/>
    <col min="10506" max="10507" width="25.7109375" style="151" customWidth="1"/>
    <col min="10508" max="10508" width="11.42578125" style="151" customWidth="1"/>
    <col min="10509" max="10509" width="16.140625" style="151" customWidth="1"/>
    <col min="10510" max="10510" width="13.42578125" style="151" customWidth="1"/>
    <col min="10511" max="10511" width="11.42578125" style="151" customWidth="1"/>
    <col min="10512" max="10512" width="20.5703125" style="151" customWidth="1"/>
    <col min="10513" max="10513" width="22.28515625" style="151" customWidth="1"/>
    <col min="10514" max="10514" width="2.5703125" style="151" customWidth="1"/>
    <col min="10515" max="10759" width="11.42578125" style="151"/>
    <col min="10760" max="10760" width="6.140625" style="151" customWidth="1"/>
    <col min="10761" max="10761" width="33.42578125" style="151" customWidth="1"/>
    <col min="10762" max="10763" width="25.7109375" style="151" customWidth="1"/>
    <col min="10764" max="10764" width="11.42578125" style="151" customWidth="1"/>
    <col min="10765" max="10765" width="16.140625" style="151" customWidth="1"/>
    <col min="10766" max="10766" width="13.42578125" style="151" customWidth="1"/>
    <col min="10767" max="10767" width="11.42578125" style="151" customWidth="1"/>
    <col min="10768" max="10768" width="20.5703125" style="151" customWidth="1"/>
    <col min="10769" max="10769" width="22.28515625" style="151" customWidth="1"/>
    <col min="10770" max="10770" width="2.5703125" style="151" customWidth="1"/>
    <col min="10771" max="11015" width="11.42578125" style="151"/>
    <col min="11016" max="11016" width="6.140625" style="151" customWidth="1"/>
    <col min="11017" max="11017" width="33.42578125" style="151" customWidth="1"/>
    <col min="11018" max="11019" width="25.7109375" style="151" customWidth="1"/>
    <col min="11020" max="11020" width="11.42578125" style="151" customWidth="1"/>
    <col min="11021" max="11021" width="16.140625" style="151" customWidth="1"/>
    <col min="11022" max="11022" width="13.42578125" style="151" customWidth="1"/>
    <col min="11023" max="11023" width="11.42578125" style="151" customWidth="1"/>
    <col min="11024" max="11024" width="20.5703125" style="151" customWidth="1"/>
    <col min="11025" max="11025" width="22.28515625" style="151" customWidth="1"/>
    <col min="11026" max="11026" width="2.5703125" style="151" customWidth="1"/>
    <col min="11027" max="11271" width="11.42578125" style="151"/>
    <col min="11272" max="11272" width="6.140625" style="151" customWidth="1"/>
    <col min="11273" max="11273" width="33.42578125" style="151" customWidth="1"/>
    <col min="11274" max="11275" width="25.7109375" style="151" customWidth="1"/>
    <col min="11276" max="11276" width="11.42578125" style="151" customWidth="1"/>
    <col min="11277" max="11277" width="16.140625" style="151" customWidth="1"/>
    <col min="11278" max="11278" width="13.42578125" style="151" customWidth="1"/>
    <col min="11279" max="11279" width="11.42578125" style="151" customWidth="1"/>
    <col min="11280" max="11280" width="20.5703125" style="151" customWidth="1"/>
    <col min="11281" max="11281" width="22.28515625" style="151" customWidth="1"/>
    <col min="11282" max="11282" width="2.5703125" style="151" customWidth="1"/>
    <col min="11283" max="11527" width="11.42578125" style="151"/>
    <col min="11528" max="11528" width="6.140625" style="151" customWidth="1"/>
    <col min="11529" max="11529" width="33.42578125" style="151" customWidth="1"/>
    <col min="11530" max="11531" width="25.7109375" style="151" customWidth="1"/>
    <col min="11532" max="11532" width="11.42578125" style="151" customWidth="1"/>
    <col min="11533" max="11533" width="16.140625" style="151" customWidth="1"/>
    <col min="11534" max="11534" width="13.42578125" style="151" customWidth="1"/>
    <col min="11535" max="11535" width="11.42578125" style="151" customWidth="1"/>
    <col min="11536" max="11536" width="20.5703125" style="151" customWidth="1"/>
    <col min="11537" max="11537" width="22.28515625" style="151" customWidth="1"/>
    <col min="11538" max="11538" width="2.5703125" style="151" customWidth="1"/>
    <col min="11539" max="11783" width="11.42578125" style="151"/>
    <col min="11784" max="11784" width="6.140625" style="151" customWidth="1"/>
    <col min="11785" max="11785" width="33.42578125" style="151" customWidth="1"/>
    <col min="11786" max="11787" width="25.7109375" style="151" customWidth="1"/>
    <col min="11788" max="11788" width="11.42578125" style="151" customWidth="1"/>
    <col min="11789" max="11789" width="16.140625" style="151" customWidth="1"/>
    <col min="11790" max="11790" width="13.42578125" style="151" customWidth="1"/>
    <col min="11791" max="11791" width="11.42578125" style="151" customWidth="1"/>
    <col min="11792" max="11792" width="20.5703125" style="151" customWidth="1"/>
    <col min="11793" max="11793" width="22.28515625" style="151" customWidth="1"/>
    <col min="11794" max="11794" width="2.5703125" style="151" customWidth="1"/>
    <col min="11795" max="12039" width="11.42578125" style="151"/>
    <col min="12040" max="12040" width="6.140625" style="151" customWidth="1"/>
    <col min="12041" max="12041" width="33.42578125" style="151" customWidth="1"/>
    <col min="12042" max="12043" width="25.7109375" style="151" customWidth="1"/>
    <col min="12044" max="12044" width="11.42578125" style="151" customWidth="1"/>
    <col min="12045" max="12045" width="16.140625" style="151" customWidth="1"/>
    <col min="12046" max="12046" width="13.42578125" style="151" customWidth="1"/>
    <col min="12047" max="12047" width="11.42578125" style="151" customWidth="1"/>
    <col min="12048" max="12048" width="20.5703125" style="151" customWidth="1"/>
    <col min="12049" max="12049" width="22.28515625" style="151" customWidth="1"/>
    <col min="12050" max="12050" width="2.5703125" style="151" customWidth="1"/>
    <col min="12051" max="12295" width="11.42578125" style="151"/>
    <col min="12296" max="12296" width="6.140625" style="151" customWidth="1"/>
    <col min="12297" max="12297" width="33.42578125" style="151" customWidth="1"/>
    <col min="12298" max="12299" width="25.7109375" style="151" customWidth="1"/>
    <col min="12300" max="12300" width="11.42578125" style="151" customWidth="1"/>
    <col min="12301" max="12301" width="16.140625" style="151" customWidth="1"/>
    <col min="12302" max="12302" width="13.42578125" style="151" customWidth="1"/>
    <col min="12303" max="12303" width="11.42578125" style="151" customWidth="1"/>
    <col min="12304" max="12304" width="20.5703125" style="151" customWidth="1"/>
    <col min="12305" max="12305" width="22.28515625" style="151" customWidth="1"/>
    <col min="12306" max="12306" width="2.5703125" style="151" customWidth="1"/>
    <col min="12307" max="12551" width="11.42578125" style="151"/>
    <col min="12552" max="12552" width="6.140625" style="151" customWidth="1"/>
    <col min="12553" max="12553" width="33.42578125" style="151" customWidth="1"/>
    <col min="12554" max="12555" width="25.7109375" style="151" customWidth="1"/>
    <col min="12556" max="12556" width="11.42578125" style="151" customWidth="1"/>
    <col min="12557" max="12557" width="16.140625" style="151" customWidth="1"/>
    <col min="12558" max="12558" width="13.42578125" style="151" customWidth="1"/>
    <col min="12559" max="12559" width="11.42578125" style="151" customWidth="1"/>
    <col min="12560" max="12560" width="20.5703125" style="151" customWidth="1"/>
    <col min="12561" max="12561" width="22.28515625" style="151" customWidth="1"/>
    <col min="12562" max="12562" width="2.5703125" style="151" customWidth="1"/>
    <col min="12563" max="12807" width="11.42578125" style="151"/>
    <col min="12808" max="12808" width="6.140625" style="151" customWidth="1"/>
    <col min="12809" max="12809" width="33.42578125" style="151" customWidth="1"/>
    <col min="12810" max="12811" width="25.7109375" style="151" customWidth="1"/>
    <col min="12812" max="12812" width="11.42578125" style="151" customWidth="1"/>
    <col min="12813" max="12813" width="16.140625" style="151" customWidth="1"/>
    <col min="12814" max="12814" width="13.42578125" style="151" customWidth="1"/>
    <col min="12815" max="12815" width="11.42578125" style="151" customWidth="1"/>
    <col min="12816" max="12816" width="20.5703125" style="151" customWidth="1"/>
    <col min="12817" max="12817" width="22.28515625" style="151" customWidth="1"/>
    <col min="12818" max="12818" width="2.5703125" style="151" customWidth="1"/>
    <col min="12819" max="13063" width="11.42578125" style="151"/>
    <col min="13064" max="13064" width="6.140625" style="151" customWidth="1"/>
    <col min="13065" max="13065" width="33.42578125" style="151" customWidth="1"/>
    <col min="13066" max="13067" width="25.7109375" style="151" customWidth="1"/>
    <col min="13068" max="13068" width="11.42578125" style="151" customWidth="1"/>
    <col min="13069" max="13069" width="16.140625" style="151" customWidth="1"/>
    <col min="13070" max="13070" width="13.42578125" style="151" customWidth="1"/>
    <col min="13071" max="13071" width="11.42578125" style="151" customWidth="1"/>
    <col min="13072" max="13072" width="20.5703125" style="151" customWidth="1"/>
    <col min="13073" max="13073" width="22.28515625" style="151" customWidth="1"/>
    <col min="13074" max="13074" width="2.5703125" style="151" customWidth="1"/>
    <col min="13075" max="13319" width="11.42578125" style="151"/>
    <col min="13320" max="13320" width="6.140625" style="151" customWidth="1"/>
    <col min="13321" max="13321" width="33.42578125" style="151" customWidth="1"/>
    <col min="13322" max="13323" width="25.7109375" style="151" customWidth="1"/>
    <col min="13324" max="13324" width="11.42578125" style="151" customWidth="1"/>
    <col min="13325" max="13325" width="16.140625" style="151" customWidth="1"/>
    <col min="13326" max="13326" width="13.42578125" style="151" customWidth="1"/>
    <col min="13327" max="13327" width="11.42578125" style="151" customWidth="1"/>
    <col min="13328" max="13328" width="20.5703125" style="151" customWidth="1"/>
    <col min="13329" max="13329" width="22.28515625" style="151" customWidth="1"/>
    <col min="13330" max="13330" width="2.5703125" style="151" customWidth="1"/>
    <col min="13331" max="13575" width="11.42578125" style="151"/>
    <col min="13576" max="13576" width="6.140625" style="151" customWidth="1"/>
    <col min="13577" max="13577" width="33.42578125" style="151" customWidth="1"/>
    <col min="13578" max="13579" width="25.7109375" style="151" customWidth="1"/>
    <col min="13580" max="13580" width="11.42578125" style="151" customWidth="1"/>
    <col min="13581" max="13581" width="16.140625" style="151" customWidth="1"/>
    <col min="13582" max="13582" width="13.42578125" style="151" customWidth="1"/>
    <col min="13583" max="13583" width="11.42578125" style="151" customWidth="1"/>
    <col min="13584" max="13584" width="20.5703125" style="151" customWidth="1"/>
    <col min="13585" max="13585" width="22.28515625" style="151" customWidth="1"/>
    <col min="13586" max="13586" width="2.5703125" style="151" customWidth="1"/>
    <col min="13587" max="13831" width="11.42578125" style="151"/>
    <col min="13832" max="13832" width="6.140625" style="151" customWidth="1"/>
    <col min="13833" max="13833" width="33.42578125" style="151" customWidth="1"/>
    <col min="13834" max="13835" width="25.7109375" style="151" customWidth="1"/>
    <col min="13836" max="13836" width="11.42578125" style="151" customWidth="1"/>
    <col min="13837" max="13837" width="16.140625" style="151" customWidth="1"/>
    <col min="13838" max="13838" width="13.42578125" style="151" customWidth="1"/>
    <col min="13839" max="13839" width="11.42578125" style="151" customWidth="1"/>
    <col min="13840" max="13840" width="20.5703125" style="151" customWidth="1"/>
    <col min="13841" max="13841" width="22.28515625" style="151" customWidth="1"/>
    <col min="13842" max="13842" width="2.5703125" style="151" customWidth="1"/>
    <col min="13843" max="14087" width="11.42578125" style="151"/>
    <col min="14088" max="14088" width="6.140625" style="151" customWidth="1"/>
    <col min="14089" max="14089" width="33.42578125" style="151" customWidth="1"/>
    <col min="14090" max="14091" width="25.7109375" style="151" customWidth="1"/>
    <col min="14092" max="14092" width="11.42578125" style="151" customWidth="1"/>
    <col min="14093" max="14093" width="16.140625" style="151" customWidth="1"/>
    <col min="14094" max="14094" width="13.42578125" style="151" customWidth="1"/>
    <col min="14095" max="14095" width="11.42578125" style="151" customWidth="1"/>
    <col min="14096" max="14096" width="20.5703125" style="151" customWidth="1"/>
    <col min="14097" max="14097" width="22.28515625" style="151" customWidth="1"/>
    <col min="14098" max="14098" width="2.5703125" style="151" customWidth="1"/>
    <col min="14099" max="14343" width="11.42578125" style="151"/>
    <col min="14344" max="14344" width="6.140625" style="151" customWidth="1"/>
    <col min="14345" max="14345" width="33.42578125" style="151" customWidth="1"/>
    <col min="14346" max="14347" width="25.7109375" style="151" customWidth="1"/>
    <col min="14348" max="14348" width="11.42578125" style="151" customWidth="1"/>
    <col min="14349" max="14349" width="16.140625" style="151" customWidth="1"/>
    <col min="14350" max="14350" width="13.42578125" style="151" customWidth="1"/>
    <col min="14351" max="14351" width="11.42578125" style="151" customWidth="1"/>
    <col min="14352" max="14352" width="20.5703125" style="151" customWidth="1"/>
    <col min="14353" max="14353" width="22.28515625" style="151" customWidth="1"/>
    <col min="14354" max="14354" width="2.5703125" style="151" customWidth="1"/>
    <col min="14355" max="14599" width="11.42578125" style="151"/>
    <col min="14600" max="14600" width="6.140625" style="151" customWidth="1"/>
    <col min="14601" max="14601" width="33.42578125" style="151" customWidth="1"/>
    <col min="14602" max="14603" width="25.7109375" style="151" customWidth="1"/>
    <col min="14604" max="14604" width="11.42578125" style="151" customWidth="1"/>
    <col min="14605" max="14605" width="16.140625" style="151" customWidth="1"/>
    <col min="14606" max="14606" width="13.42578125" style="151" customWidth="1"/>
    <col min="14607" max="14607" width="11.42578125" style="151" customWidth="1"/>
    <col min="14608" max="14608" width="20.5703125" style="151" customWidth="1"/>
    <col min="14609" max="14609" width="22.28515625" style="151" customWidth="1"/>
    <col min="14610" max="14610" width="2.5703125" style="151" customWidth="1"/>
    <col min="14611" max="14855" width="11.42578125" style="151"/>
    <col min="14856" max="14856" width="6.140625" style="151" customWidth="1"/>
    <col min="14857" max="14857" width="33.42578125" style="151" customWidth="1"/>
    <col min="14858" max="14859" width="25.7109375" style="151" customWidth="1"/>
    <col min="14860" max="14860" width="11.42578125" style="151" customWidth="1"/>
    <col min="14861" max="14861" width="16.140625" style="151" customWidth="1"/>
    <col min="14862" max="14862" width="13.42578125" style="151" customWidth="1"/>
    <col min="14863" max="14863" width="11.42578125" style="151" customWidth="1"/>
    <col min="14864" max="14864" width="20.5703125" style="151" customWidth="1"/>
    <col min="14865" max="14865" width="22.28515625" style="151" customWidth="1"/>
    <col min="14866" max="14866" width="2.5703125" style="151" customWidth="1"/>
    <col min="14867" max="15111" width="11.42578125" style="151"/>
    <col min="15112" max="15112" width="6.140625" style="151" customWidth="1"/>
    <col min="15113" max="15113" width="33.42578125" style="151" customWidth="1"/>
    <col min="15114" max="15115" width="25.7109375" style="151" customWidth="1"/>
    <col min="15116" max="15116" width="11.42578125" style="151" customWidth="1"/>
    <col min="15117" max="15117" width="16.140625" style="151" customWidth="1"/>
    <col min="15118" max="15118" width="13.42578125" style="151" customWidth="1"/>
    <col min="15119" max="15119" width="11.42578125" style="151" customWidth="1"/>
    <col min="15120" max="15120" width="20.5703125" style="151" customWidth="1"/>
    <col min="15121" max="15121" width="22.28515625" style="151" customWidth="1"/>
    <col min="15122" max="15122" width="2.5703125" style="151" customWidth="1"/>
    <col min="15123" max="15367" width="11.42578125" style="151"/>
    <col min="15368" max="15368" width="6.140625" style="151" customWidth="1"/>
    <col min="15369" max="15369" width="33.42578125" style="151" customWidth="1"/>
    <col min="15370" max="15371" width="25.7109375" style="151" customWidth="1"/>
    <col min="15372" max="15372" width="11.42578125" style="151" customWidth="1"/>
    <col min="15373" max="15373" width="16.140625" style="151" customWidth="1"/>
    <col min="15374" max="15374" width="13.42578125" style="151" customWidth="1"/>
    <col min="15375" max="15375" width="11.42578125" style="151" customWidth="1"/>
    <col min="15376" max="15376" width="20.5703125" style="151" customWidth="1"/>
    <col min="15377" max="15377" width="22.28515625" style="151" customWidth="1"/>
    <col min="15378" max="15378" width="2.5703125" style="151" customWidth="1"/>
    <col min="15379" max="15623" width="11.42578125" style="151"/>
    <col min="15624" max="15624" width="6.140625" style="151" customWidth="1"/>
    <col min="15625" max="15625" width="33.42578125" style="151" customWidth="1"/>
    <col min="15626" max="15627" width="25.7109375" style="151" customWidth="1"/>
    <col min="15628" max="15628" width="11.42578125" style="151" customWidth="1"/>
    <col min="15629" max="15629" width="16.140625" style="151" customWidth="1"/>
    <col min="15630" max="15630" width="13.42578125" style="151" customWidth="1"/>
    <col min="15631" max="15631" width="11.42578125" style="151" customWidth="1"/>
    <col min="15632" max="15632" width="20.5703125" style="151" customWidth="1"/>
    <col min="15633" max="15633" width="22.28515625" style="151" customWidth="1"/>
    <col min="15634" max="15634" width="2.5703125" style="151" customWidth="1"/>
    <col min="15635" max="15879" width="11.42578125" style="151"/>
    <col min="15880" max="15880" width="6.140625" style="151" customWidth="1"/>
    <col min="15881" max="15881" width="33.42578125" style="151" customWidth="1"/>
    <col min="15882" max="15883" width="25.7109375" style="151" customWidth="1"/>
    <col min="15884" max="15884" width="11.42578125" style="151" customWidth="1"/>
    <col min="15885" max="15885" width="16.140625" style="151" customWidth="1"/>
    <col min="15886" max="15886" width="13.42578125" style="151" customWidth="1"/>
    <col min="15887" max="15887" width="11.42578125" style="151" customWidth="1"/>
    <col min="15888" max="15888" width="20.5703125" style="151" customWidth="1"/>
    <col min="15889" max="15889" width="22.28515625" style="151" customWidth="1"/>
    <col min="15890" max="15890" width="2.5703125" style="151" customWidth="1"/>
    <col min="15891" max="16135" width="11.42578125" style="151"/>
    <col min="16136" max="16136" width="6.140625" style="151" customWidth="1"/>
    <col min="16137" max="16137" width="33.42578125" style="151" customWidth="1"/>
    <col min="16138" max="16139" width="25.7109375" style="151" customWidth="1"/>
    <col min="16140" max="16140" width="11.42578125" style="151" customWidth="1"/>
    <col min="16141" max="16141" width="16.140625" style="151" customWidth="1"/>
    <col min="16142" max="16142" width="13.42578125" style="151" customWidth="1"/>
    <col min="16143" max="16143" width="11.42578125" style="151" customWidth="1"/>
    <col min="16144" max="16144" width="20.5703125" style="151" customWidth="1"/>
    <col min="16145" max="16145" width="22.28515625" style="151" customWidth="1"/>
    <col min="16146" max="16146" width="2.5703125" style="151" customWidth="1"/>
    <col min="16147" max="16384" width="11.42578125" style="151"/>
  </cols>
  <sheetData>
    <row r="1" spans="1:137" ht="9" customHeight="1" x14ac:dyDescent="0.25">
      <c r="A1" s="290"/>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row>
    <row r="2" spans="1:137" s="27" customFormat="1" ht="18.75" customHeight="1" x14ac:dyDescent="0.25">
      <c r="A2" s="26"/>
      <c r="B2" s="1804" t="s">
        <v>1346</v>
      </c>
      <c r="C2" s="1804"/>
      <c r="D2" s="1804"/>
      <c r="E2" s="1804"/>
      <c r="F2" s="1804"/>
      <c r="G2" s="1804"/>
      <c r="H2" s="1804"/>
      <c r="I2" s="1804"/>
      <c r="J2" s="1804"/>
      <c r="K2" s="1804"/>
      <c r="L2" s="1804"/>
      <c r="M2" s="1804"/>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31"/>
      <c r="AN2" s="32"/>
      <c r="AO2" s="32"/>
      <c r="AP2" s="32"/>
      <c r="AQ2" s="32"/>
      <c r="AR2" s="33"/>
      <c r="AS2" s="30"/>
      <c r="AT2" s="31"/>
      <c r="AU2" s="32"/>
      <c r="AV2" s="33"/>
      <c r="AW2" s="32"/>
      <c r="AX2" s="33"/>
      <c r="AY2" s="30"/>
      <c r="AZ2" s="31"/>
      <c r="BA2" s="32"/>
      <c r="BB2" s="33"/>
      <c r="BC2" s="33"/>
      <c r="BD2" s="32"/>
      <c r="BE2" s="33"/>
      <c r="BF2" s="34"/>
      <c r="BG2" s="35"/>
      <c r="BH2" s="28"/>
      <c r="BI2" s="64"/>
      <c r="BJ2" s="168"/>
      <c r="BK2" s="168"/>
      <c r="BL2" s="168"/>
      <c r="BM2" s="169"/>
      <c r="BN2" s="169"/>
      <c r="BO2" s="169"/>
      <c r="BP2" s="168"/>
      <c r="BQ2" s="168"/>
      <c r="BR2" s="168"/>
      <c r="BS2" s="168"/>
      <c r="BT2" s="168"/>
      <c r="BU2" s="168"/>
      <c r="BV2" s="168"/>
      <c r="BW2" s="168"/>
      <c r="BX2" s="168"/>
      <c r="BY2" s="168"/>
      <c r="BZ2" s="168"/>
      <c r="CA2" s="168"/>
      <c r="CB2" s="170"/>
      <c r="CC2" s="168"/>
      <c r="CD2" s="168"/>
      <c r="CE2" s="170"/>
      <c r="CF2" s="170"/>
      <c r="CG2" s="170"/>
      <c r="CH2" s="170"/>
      <c r="CI2" s="168"/>
      <c r="CJ2" s="168"/>
      <c r="CK2" s="170"/>
      <c r="CL2" s="170"/>
      <c r="CM2" s="170"/>
      <c r="CN2" s="113"/>
      <c r="CO2" s="36"/>
      <c r="CP2" s="36"/>
      <c r="CQ2" s="36"/>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6"/>
      <c r="EA2" s="36"/>
      <c r="EB2" s="36"/>
      <c r="EC2" s="36"/>
      <c r="ED2" s="36"/>
      <c r="EE2" s="36"/>
      <c r="EF2" s="36"/>
      <c r="EG2" s="36"/>
    </row>
    <row r="3" spans="1:137" s="27" customFormat="1" ht="49.5" customHeight="1" x14ac:dyDescent="0.25">
      <c r="A3" s="26"/>
      <c r="B3" s="1804"/>
      <c r="C3" s="1804"/>
      <c r="D3" s="1804"/>
      <c r="E3" s="1804"/>
      <c r="F3" s="1804"/>
      <c r="G3" s="1804"/>
      <c r="H3" s="1804"/>
      <c r="I3" s="1804"/>
      <c r="J3" s="1804"/>
      <c r="K3" s="1804"/>
      <c r="L3" s="1804"/>
      <c r="M3" s="1804"/>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39"/>
      <c r="AN3" s="40"/>
      <c r="AO3" s="40"/>
      <c r="AP3" s="40"/>
      <c r="AQ3" s="40"/>
      <c r="AR3" s="41"/>
      <c r="AS3" s="38"/>
      <c r="AT3" s="39"/>
      <c r="AU3" s="40"/>
      <c r="AV3" s="41"/>
      <c r="AW3" s="40"/>
      <c r="AX3" s="41"/>
      <c r="AY3" s="38"/>
      <c r="AZ3" s="39"/>
      <c r="BA3" s="40"/>
      <c r="BB3" s="41"/>
      <c r="BC3" s="41"/>
      <c r="BD3" s="40"/>
      <c r="BE3" s="41"/>
      <c r="BF3" s="42"/>
      <c r="BG3" s="32"/>
      <c r="BH3" s="28"/>
      <c r="BI3" s="64"/>
      <c r="BJ3" s="168"/>
      <c r="BK3" s="168"/>
      <c r="BL3" s="168"/>
      <c r="BM3" s="169"/>
      <c r="BN3" s="169"/>
      <c r="BO3" s="169"/>
      <c r="BP3" s="168"/>
      <c r="BQ3" s="168"/>
      <c r="BR3" s="168"/>
      <c r="BS3" s="168"/>
      <c r="BT3" s="168"/>
      <c r="BU3" s="168"/>
      <c r="BV3" s="168"/>
      <c r="BW3" s="168"/>
      <c r="BX3" s="168"/>
      <c r="BY3" s="168"/>
      <c r="BZ3" s="168"/>
      <c r="CA3" s="168"/>
      <c r="CB3" s="170"/>
      <c r="CC3" s="168"/>
      <c r="CD3" s="168"/>
      <c r="CE3" s="170"/>
      <c r="CF3" s="170"/>
      <c r="CG3" s="170"/>
      <c r="CH3" s="170"/>
      <c r="CI3" s="168"/>
      <c r="CJ3" s="168"/>
      <c r="CK3" s="170"/>
      <c r="CL3" s="170"/>
      <c r="CM3" s="170"/>
      <c r="CN3" s="113"/>
      <c r="CO3" s="36"/>
      <c r="CP3" s="36"/>
      <c r="CQ3" s="36"/>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6"/>
      <c r="EA3" s="36"/>
      <c r="EB3" s="36"/>
      <c r="EC3" s="36"/>
      <c r="ED3" s="36"/>
      <c r="EE3" s="36"/>
      <c r="EF3" s="36"/>
      <c r="EG3" s="36"/>
    </row>
    <row r="4" spans="1:137" s="26" customFormat="1" ht="18.75" customHeight="1" thickBot="1" x14ac:dyDescent="0.3">
      <c r="A4" s="43"/>
      <c r="B4" s="31"/>
      <c r="C4" s="1092"/>
      <c r="D4" s="43"/>
      <c r="E4" s="44"/>
      <c r="F4" s="44"/>
      <c r="G4" s="44"/>
      <c r="H4" s="44"/>
      <c r="I4" s="44"/>
      <c r="J4" s="44"/>
      <c r="K4" s="44"/>
      <c r="L4" s="44"/>
      <c r="M4" s="44"/>
      <c r="N4" s="44"/>
      <c r="O4" s="44"/>
      <c r="P4" s="44"/>
      <c r="Q4" s="44"/>
      <c r="R4" s="45"/>
      <c r="S4" s="44"/>
      <c r="T4" s="44"/>
      <c r="U4" s="44"/>
      <c r="V4" s="46"/>
      <c r="W4" s="46"/>
      <c r="X4" s="43"/>
      <c r="Y4" s="43"/>
      <c r="Z4" s="46"/>
      <c r="AA4" s="47"/>
      <c r="AB4" s="47"/>
      <c r="AC4" s="46"/>
      <c r="AD4" s="47"/>
      <c r="AE4" s="48"/>
      <c r="AF4" s="43"/>
      <c r="AG4" s="46"/>
      <c r="AH4" s="49"/>
      <c r="AI4" s="49"/>
      <c r="AJ4" s="46"/>
      <c r="AK4" s="47"/>
      <c r="AL4" s="43"/>
      <c r="AM4" s="43"/>
      <c r="AN4" s="46"/>
      <c r="AO4" s="46"/>
      <c r="AP4" s="46"/>
      <c r="AQ4" s="46"/>
      <c r="AR4" s="47"/>
      <c r="AS4" s="43"/>
      <c r="AT4" s="43"/>
      <c r="AU4" s="46"/>
      <c r="AV4" s="47"/>
      <c r="AW4" s="46"/>
      <c r="AX4" s="47"/>
      <c r="AY4" s="43"/>
      <c r="AZ4" s="43"/>
      <c r="BA4" s="46"/>
      <c r="BB4" s="47"/>
      <c r="BC4" s="47"/>
      <c r="BD4" s="46"/>
      <c r="BE4" s="47"/>
      <c r="BF4" s="50"/>
      <c r="BG4" s="51"/>
      <c r="BH4" s="28"/>
      <c r="BI4" s="164"/>
      <c r="BJ4" s="165"/>
      <c r="BK4" s="165"/>
      <c r="BL4" s="165"/>
      <c r="BM4" s="166"/>
      <c r="BN4" s="166"/>
      <c r="BO4" s="166"/>
      <c r="BP4" s="165"/>
      <c r="BQ4" s="165"/>
      <c r="BR4" s="165"/>
      <c r="BS4" s="165"/>
      <c r="BT4" s="165"/>
      <c r="BU4" s="165"/>
      <c r="BV4" s="165"/>
      <c r="BW4" s="165"/>
      <c r="BX4" s="165"/>
      <c r="BY4" s="165"/>
      <c r="BZ4" s="165"/>
      <c r="CA4" s="165"/>
      <c r="CB4" s="167"/>
      <c r="CC4" s="165"/>
      <c r="CD4" s="165"/>
      <c r="CE4" s="167"/>
      <c r="CF4" s="167"/>
      <c r="CG4" s="167"/>
      <c r="CH4" s="167"/>
      <c r="CI4" s="165"/>
      <c r="CJ4" s="165"/>
      <c r="CK4" s="167"/>
      <c r="CL4" s="167"/>
      <c r="CM4" s="167"/>
      <c r="CN4" s="112"/>
      <c r="CO4" s="29"/>
      <c r="CP4" s="29"/>
      <c r="CQ4" s="29"/>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9"/>
      <c r="EA4" s="29"/>
      <c r="EB4" s="29"/>
      <c r="EC4" s="29"/>
      <c r="ED4" s="29"/>
      <c r="EE4" s="29"/>
      <c r="EF4" s="29"/>
      <c r="EG4" s="29"/>
    </row>
    <row r="5" spans="1:137" s="27" customFormat="1" ht="18.75" customHeight="1" x14ac:dyDescent="0.25">
      <c r="A5" s="26"/>
      <c r="B5" s="1864" t="s">
        <v>647</v>
      </c>
      <c r="C5" s="1865"/>
      <c r="D5" s="1865"/>
      <c r="E5" s="1865"/>
      <c r="F5" s="1865"/>
      <c r="G5" s="1865"/>
      <c r="H5" s="1865"/>
      <c r="I5" s="1865"/>
      <c r="J5" s="1865"/>
      <c r="K5" s="1865"/>
      <c r="L5" s="1865"/>
      <c r="M5" s="1866"/>
      <c r="O5" s="1114"/>
      <c r="P5" s="1114"/>
      <c r="Q5" s="1114"/>
      <c r="R5" s="1114"/>
      <c r="S5" s="1114"/>
      <c r="T5" s="1114"/>
      <c r="U5" s="1114"/>
      <c r="V5" s="1114"/>
      <c r="W5" s="1114"/>
      <c r="X5" s="1114"/>
      <c r="Y5" s="1114"/>
      <c r="Z5" s="1114"/>
      <c r="AA5" s="1114"/>
      <c r="AB5" s="1114"/>
      <c r="AC5" s="1114"/>
      <c r="AD5" s="1114"/>
      <c r="AE5" s="1114"/>
      <c r="AF5" s="1114"/>
      <c r="AG5" s="1114"/>
      <c r="AH5" s="1114"/>
      <c r="AI5" s="1114"/>
      <c r="AJ5" s="1114"/>
      <c r="AK5" s="1114"/>
      <c r="AL5" s="1115"/>
      <c r="BH5" s="28"/>
      <c r="BI5" s="64"/>
      <c r="BJ5" s="168"/>
      <c r="BK5" s="168"/>
      <c r="BL5" s="168"/>
      <c r="BM5" s="169"/>
      <c r="BN5" s="169"/>
      <c r="BO5" s="169"/>
      <c r="BP5" s="168"/>
      <c r="BQ5" s="168"/>
      <c r="BR5" s="168"/>
      <c r="BS5" s="168"/>
      <c r="BT5" s="168"/>
      <c r="BU5" s="168"/>
      <c r="BV5" s="168"/>
      <c r="BW5" s="168"/>
      <c r="BX5" s="168"/>
      <c r="BY5" s="168"/>
      <c r="BZ5" s="168"/>
      <c r="CA5" s="168"/>
      <c r="CB5" s="170"/>
      <c r="CC5" s="168"/>
      <c r="CD5" s="168"/>
      <c r="CE5" s="170"/>
      <c r="CF5" s="170"/>
      <c r="CG5" s="170"/>
      <c r="CH5" s="170"/>
      <c r="CI5" s="168"/>
      <c r="CJ5" s="168"/>
      <c r="CK5" s="170"/>
      <c r="CL5" s="170"/>
      <c r="CM5" s="170"/>
      <c r="CN5" s="113"/>
      <c r="CO5" s="36"/>
      <c r="CP5" s="36"/>
      <c r="CQ5" s="36"/>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6"/>
      <c r="EA5" s="36"/>
      <c r="EB5" s="36"/>
      <c r="EC5" s="36"/>
      <c r="ED5" s="36"/>
      <c r="EE5" s="36"/>
      <c r="EF5" s="36"/>
      <c r="EG5" s="36"/>
    </row>
    <row r="6" spans="1:137" s="27" customFormat="1" x14ac:dyDescent="0.25">
      <c r="A6" s="26"/>
      <c r="B6" s="1096" t="s">
        <v>17</v>
      </c>
      <c r="C6" s="1677" t="str">
        <f>AGROPECUARIO!C6</f>
        <v>Chía</v>
      </c>
      <c r="D6" s="1677"/>
      <c r="E6" s="1677"/>
      <c r="F6" s="1095" t="s">
        <v>16</v>
      </c>
      <c r="G6" s="1653" t="str">
        <f>AGROPECUARIO!Y6</f>
        <v>Cra 11 # 17 - 50</v>
      </c>
      <c r="H6" s="1653"/>
      <c r="I6" s="1653"/>
      <c r="J6" s="1653"/>
      <c r="K6" s="1653"/>
      <c r="L6" s="1653"/>
      <c r="M6" s="1879"/>
      <c r="O6" s="265"/>
      <c r="P6" s="265"/>
      <c r="Q6" s="265"/>
      <c r="R6" s="265"/>
      <c r="S6" s="265"/>
      <c r="T6" s="265"/>
      <c r="U6" s="265"/>
      <c r="V6" s="265"/>
      <c r="W6" s="265"/>
      <c r="X6" s="999" t="s">
        <v>649</v>
      </c>
      <c r="Y6" s="1625" t="str">
        <f>AGROPECUARIO!Y6</f>
        <v>Cra 11 # 17 - 50</v>
      </c>
      <c r="Z6" s="1625"/>
      <c r="AA6" s="1625"/>
      <c r="AB6" s="1625"/>
      <c r="AC6" s="1625"/>
      <c r="AD6" s="1625"/>
      <c r="AE6" s="1625"/>
      <c r="AF6" s="1625"/>
      <c r="AG6" s="1625"/>
      <c r="AH6" s="1625"/>
      <c r="AI6" s="1625"/>
      <c r="AJ6" s="1625"/>
      <c r="AK6" s="1625"/>
      <c r="AL6" s="1869"/>
      <c r="BH6" s="28"/>
      <c r="BI6" s="64"/>
      <c r="BJ6" s="168"/>
      <c r="BK6" s="168"/>
      <c r="BL6" s="168"/>
      <c r="BM6" s="169"/>
      <c r="BN6" s="169"/>
      <c r="BO6" s="169"/>
      <c r="BP6" s="168"/>
      <c r="BQ6" s="168"/>
      <c r="BR6" s="168"/>
      <c r="BS6" s="168"/>
      <c r="BT6" s="168"/>
      <c r="BU6" s="168"/>
      <c r="BV6" s="168"/>
      <c r="BW6" s="168"/>
      <c r="BX6" s="168"/>
      <c r="BY6" s="168"/>
      <c r="BZ6" s="168"/>
      <c r="CA6" s="168"/>
      <c r="CB6" s="170"/>
      <c r="CC6" s="168"/>
      <c r="CD6" s="168"/>
      <c r="CE6" s="170"/>
      <c r="CF6" s="170"/>
      <c r="CG6" s="170"/>
      <c r="CH6" s="170"/>
      <c r="CI6" s="168"/>
      <c r="CJ6" s="168"/>
      <c r="CK6" s="170"/>
      <c r="CL6" s="170"/>
      <c r="CM6" s="170"/>
      <c r="CN6" s="113"/>
      <c r="CO6" s="36"/>
      <c r="CP6" s="36"/>
      <c r="CQ6" s="36"/>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6"/>
      <c r="EA6" s="36"/>
      <c r="EB6" s="36"/>
      <c r="EC6" s="36"/>
      <c r="ED6" s="36"/>
      <c r="EE6" s="36"/>
      <c r="EF6" s="36"/>
      <c r="EG6" s="36"/>
    </row>
    <row r="7" spans="1:137" s="27" customFormat="1" x14ac:dyDescent="0.25">
      <c r="A7" s="26"/>
      <c r="B7" s="1096" t="s">
        <v>648</v>
      </c>
      <c r="C7" s="1677" t="str">
        <f>AGROPECUARIO!C7</f>
        <v>Secretaría de Medio Ambiente</v>
      </c>
      <c r="D7" s="1677"/>
      <c r="E7" s="1677"/>
      <c r="F7" s="1095" t="s">
        <v>17</v>
      </c>
      <c r="G7" s="1653" t="str">
        <f>AGROPECUARIO!Y7</f>
        <v>8844444 - 3200</v>
      </c>
      <c r="H7" s="1653"/>
      <c r="I7" s="1653"/>
      <c r="J7" s="1653"/>
      <c r="K7" s="1653"/>
      <c r="L7" s="1653"/>
      <c r="M7" s="1879"/>
      <c r="O7" s="265"/>
      <c r="P7" s="265"/>
      <c r="Q7" s="265"/>
      <c r="R7" s="265"/>
      <c r="S7" s="265"/>
      <c r="T7" s="265"/>
      <c r="U7" s="265"/>
      <c r="V7" s="265"/>
      <c r="W7" s="265"/>
      <c r="X7" s="999" t="s">
        <v>16</v>
      </c>
      <c r="Y7" s="1625" t="str">
        <f>AGROPECUARIO!Y7</f>
        <v>8844444 - 3200</v>
      </c>
      <c r="Z7" s="1625"/>
      <c r="AA7" s="1625"/>
      <c r="AB7" s="1625"/>
      <c r="AC7" s="1625"/>
      <c r="AD7" s="1625"/>
      <c r="AE7" s="1625"/>
      <c r="AF7" s="1625"/>
      <c r="AG7" s="1625"/>
      <c r="AH7" s="1625"/>
      <c r="AI7" s="1625"/>
      <c r="AJ7" s="1625"/>
      <c r="AK7" s="1625"/>
      <c r="AL7" s="1869"/>
      <c r="BH7" s="28"/>
      <c r="BI7" s="64"/>
      <c r="BJ7" s="168"/>
      <c r="BK7" s="168"/>
      <c r="BL7" s="168"/>
      <c r="BM7" s="169"/>
      <c r="BN7" s="169"/>
      <c r="BO7" s="169"/>
      <c r="BP7" s="168"/>
      <c r="BQ7" s="168"/>
      <c r="BR7" s="168"/>
      <c r="BS7" s="168"/>
      <c r="BT7" s="168"/>
      <c r="BU7" s="168"/>
      <c r="BV7" s="168"/>
      <c r="BW7" s="168"/>
      <c r="BX7" s="168"/>
      <c r="BY7" s="168"/>
      <c r="BZ7" s="168"/>
      <c r="CA7" s="168"/>
      <c r="CB7" s="170"/>
      <c r="CC7" s="168"/>
      <c r="CD7" s="168"/>
      <c r="CE7" s="170"/>
      <c r="CF7" s="170"/>
      <c r="CG7" s="170"/>
      <c r="CH7" s="170"/>
      <c r="CI7" s="168"/>
      <c r="CJ7" s="168"/>
      <c r="CK7" s="170"/>
      <c r="CL7" s="170"/>
      <c r="CM7" s="170"/>
      <c r="CN7" s="113"/>
      <c r="CO7" s="36"/>
      <c r="CP7" s="36"/>
      <c r="CQ7" s="36"/>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6"/>
      <c r="EA7" s="36"/>
      <c r="EB7" s="36"/>
      <c r="EC7" s="36"/>
      <c r="ED7" s="36"/>
      <c r="EE7" s="36"/>
      <c r="EF7" s="36"/>
      <c r="EG7" s="36"/>
    </row>
    <row r="8" spans="1:137" s="27" customFormat="1" x14ac:dyDescent="0.25">
      <c r="A8" s="26"/>
      <c r="B8" s="1096" t="s">
        <v>18</v>
      </c>
      <c r="C8" s="1677" t="str">
        <f>AGROPECUARIO!C8</f>
        <v>David Ricardo Murcia Cortés - Viviana Elisa Garzón</v>
      </c>
      <c r="D8" s="1677"/>
      <c r="E8" s="1677"/>
      <c r="F8" s="1095" t="s">
        <v>19</v>
      </c>
      <c r="G8" s="1653">
        <f>AGROPECUARIO!Y8</f>
        <v>3174291112</v>
      </c>
      <c r="H8" s="1653"/>
      <c r="I8" s="1653"/>
      <c r="J8" s="1653"/>
      <c r="K8" s="1653"/>
      <c r="L8" s="1653"/>
      <c r="M8" s="1879"/>
      <c r="O8" s="265"/>
      <c r="P8" s="265"/>
      <c r="Q8" s="265"/>
      <c r="R8" s="265"/>
      <c r="S8" s="265"/>
      <c r="T8" s="265"/>
      <c r="U8" s="265"/>
      <c r="V8" s="265"/>
      <c r="W8" s="265"/>
      <c r="X8" s="999" t="s">
        <v>19</v>
      </c>
      <c r="Y8" s="1625">
        <f>AGROPECUARIO!Y8</f>
        <v>3174291112</v>
      </c>
      <c r="Z8" s="1625"/>
      <c r="AA8" s="1625"/>
      <c r="AB8" s="1625"/>
      <c r="AC8" s="1625"/>
      <c r="AD8" s="1625"/>
      <c r="AE8" s="1625"/>
      <c r="AF8" s="1625"/>
      <c r="AG8" s="1625"/>
      <c r="AH8" s="1625"/>
      <c r="AI8" s="1625"/>
      <c r="AJ8" s="1625"/>
      <c r="AK8" s="1625"/>
      <c r="AL8" s="1869"/>
      <c r="BH8" s="28"/>
      <c r="BI8" s="64"/>
      <c r="BJ8" s="168"/>
      <c r="BK8" s="168"/>
      <c r="BL8" s="168"/>
      <c r="BM8" s="169"/>
      <c r="BN8" s="169"/>
      <c r="BO8" s="169"/>
      <c r="BP8" s="168"/>
      <c r="BQ8" s="168"/>
      <c r="BR8" s="168"/>
      <c r="BS8" s="168"/>
      <c r="BT8" s="168"/>
      <c r="BU8" s="168"/>
      <c r="BV8" s="168"/>
      <c r="BW8" s="168"/>
      <c r="BX8" s="168"/>
      <c r="BY8" s="168"/>
      <c r="BZ8" s="168"/>
      <c r="CA8" s="168"/>
      <c r="CB8" s="170"/>
      <c r="CC8" s="168"/>
      <c r="CD8" s="168"/>
      <c r="CE8" s="170"/>
      <c r="CF8" s="170"/>
      <c r="CG8" s="170"/>
      <c r="CH8" s="170"/>
      <c r="CI8" s="168"/>
      <c r="CJ8" s="168"/>
      <c r="CK8" s="170"/>
      <c r="CL8" s="170"/>
      <c r="CM8" s="170"/>
      <c r="CN8" s="113"/>
      <c r="CO8" s="36"/>
      <c r="CP8" s="36"/>
      <c r="CQ8" s="36"/>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6"/>
      <c r="EA8" s="36"/>
      <c r="EB8" s="36"/>
      <c r="EC8" s="36"/>
      <c r="ED8" s="36"/>
      <c r="EE8" s="36"/>
      <c r="EF8" s="36"/>
      <c r="EG8" s="36"/>
    </row>
    <row r="9" spans="1:137" s="27" customFormat="1" x14ac:dyDescent="0.25">
      <c r="A9" s="26"/>
      <c r="B9" s="1096" t="s">
        <v>20</v>
      </c>
      <c r="C9" s="1677" t="str">
        <f>AGROPECUARIO!C9</f>
        <v>Profesional Universitario - Profesional Universitario</v>
      </c>
      <c r="D9" s="1677"/>
      <c r="E9" s="1677"/>
      <c r="F9" s="1095" t="s">
        <v>21</v>
      </c>
      <c r="G9" s="1653">
        <f>AGROPECUARIO!Y9</f>
        <v>2019</v>
      </c>
      <c r="H9" s="1653"/>
      <c r="I9" s="1653"/>
      <c r="J9" s="1653"/>
      <c r="K9" s="1653"/>
      <c r="L9" s="1653"/>
      <c r="M9" s="1879"/>
      <c r="O9" s="265"/>
      <c r="P9" s="265"/>
      <c r="Q9" s="265"/>
      <c r="R9" s="265"/>
      <c r="S9" s="265"/>
      <c r="T9" s="265"/>
      <c r="U9" s="265"/>
      <c r="V9" s="265"/>
      <c r="W9" s="265"/>
      <c r="X9" s="999" t="s">
        <v>21</v>
      </c>
      <c r="Y9" s="1625">
        <f>AGROPECUARIO!Y9</f>
        <v>2019</v>
      </c>
      <c r="Z9" s="1625"/>
      <c r="AA9" s="1625"/>
      <c r="AB9" s="1625"/>
      <c r="AC9" s="1625"/>
      <c r="AD9" s="1625"/>
      <c r="AE9" s="1625"/>
      <c r="AF9" s="1625"/>
      <c r="AG9" s="1625"/>
      <c r="AH9" s="1625"/>
      <c r="AI9" s="1625"/>
      <c r="AJ9" s="1625"/>
      <c r="AK9" s="1625"/>
      <c r="AL9" s="1869"/>
      <c r="BH9" s="28"/>
      <c r="BI9" s="64"/>
      <c r="BJ9" s="168"/>
      <c r="BK9" s="168"/>
      <c r="BL9" s="168"/>
      <c r="BM9" s="169"/>
      <c r="BN9" s="169"/>
      <c r="BO9" s="169"/>
      <c r="BP9" s="168"/>
      <c r="BQ9" s="168"/>
      <c r="BR9" s="168"/>
      <c r="BS9" s="168"/>
      <c r="BT9" s="168"/>
      <c r="BU9" s="168"/>
      <c r="BV9" s="168"/>
      <c r="BW9" s="168"/>
      <c r="BX9" s="168"/>
      <c r="BY9" s="168"/>
      <c r="BZ9" s="168"/>
      <c r="CA9" s="168"/>
      <c r="CB9" s="170"/>
      <c r="CC9" s="168"/>
      <c r="CD9" s="168"/>
      <c r="CE9" s="170"/>
      <c r="CF9" s="170"/>
      <c r="CG9" s="170"/>
      <c r="CH9" s="170"/>
      <c r="CI9" s="168"/>
      <c r="CJ9" s="168"/>
      <c r="CK9" s="170"/>
      <c r="CL9" s="170"/>
      <c r="CM9" s="170"/>
      <c r="CN9" s="113"/>
      <c r="CO9" s="36"/>
      <c r="CP9" s="36"/>
      <c r="CQ9" s="36"/>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6"/>
      <c r="EA9" s="36"/>
      <c r="EB9" s="36"/>
      <c r="EC9" s="36"/>
      <c r="ED9" s="36"/>
      <c r="EE9" s="36"/>
      <c r="EF9" s="36"/>
      <c r="EG9" s="36"/>
    </row>
    <row r="10" spans="1:137" s="27" customFormat="1" ht="15.75" thickBot="1" x14ac:dyDescent="0.3">
      <c r="A10" s="26"/>
      <c r="B10" s="1097" t="s">
        <v>121</v>
      </c>
      <c r="C10" s="1878" t="str">
        <f>AGROPECUARIO!C10</f>
        <v>david.murcia@chia.gov.co, viviana.garzon@chia.gov.co</v>
      </c>
      <c r="D10" s="1878"/>
      <c r="E10" s="1878"/>
      <c r="F10" s="1098" t="s">
        <v>22</v>
      </c>
      <c r="G10" s="1654">
        <f>AGROPECUARIO!Y10</f>
        <v>44386</v>
      </c>
      <c r="H10" s="1654"/>
      <c r="I10" s="1654"/>
      <c r="J10" s="1654"/>
      <c r="K10" s="1654"/>
      <c r="L10" s="1654"/>
      <c r="M10" s="1654"/>
      <c r="O10" s="1093"/>
      <c r="P10" s="1093"/>
      <c r="Q10" s="1093"/>
      <c r="R10" s="1093"/>
      <c r="S10" s="1093"/>
      <c r="T10" s="1093"/>
      <c r="U10" s="1093"/>
      <c r="V10" s="1093"/>
      <c r="W10" s="1093"/>
      <c r="X10" s="1094" t="s">
        <v>22</v>
      </c>
      <c r="Y10" s="1867">
        <f>AGROPECUARIO!Y10</f>
        <v>44386</v>
      </c>
      <c r="Z10" s="1867"/>
      <c r="AA10" s="1867"/>
      <c r="AB10" s="1867"/>
      <c r="AC10" s="1867"/>
      <c r="AD10" s="1867"/>
      <c r="AE10" s="1867"/>
      <c r="AF10" s="1867"/>
      <c r="AG10" s="1867"/>
      <c r="AH10" s="1867"/>
      <c r="AI10" s="1867"/>
      <c r="AJ10" s="1867"/>
      <c r="AK10" s="1867"/>
      <c r="AL10" s="1868"/>
      <c r="BH10" s="28"/>
      <c r="BI10" s="64"/>
      <c r="BJ10" s="168"/>
      <c r="BK10" s="168"/>
      <c r="BL10" s="168"/>
      <c r="BM10" s="169"/>
      <c r="BN10" s="169"/>
      <c r="BO10" s="169"/>
      <c r="BP10" s="388"/>
      <c r="BQ10" s="388"/>
      <c r="BR10" s="388"/>
      <c r="BS10" s="388"/>
      <c r="BT10" s="388"/>
      <c r="BU10" s="388"/>
      <c r="BV10" s="168"/>
      <c r="BW10" s="388"/>
      <c r="BX10" s="388"/>
      <c r="BY10" s="168"/>
      <c r="BZ10" s="168"/>
      <c r="CA10" s="168"/>
      <c r="CB10" s="170"/>
      <c r="CC10" s="388"/>
      <c r="CD10" s="388"/>
      <c r="CE10" s="170"/>
      <c r="CF10" s="170"/>
      <c r="CG10" s="170"/>
      <c r="CH10" s="170"/>
      <c r="CI10" s="388"/>
      <c r="CJ10" s="388"/>
      <c r="CK10" s="170"/>
      <c r="CL10" s="170"/>
      <c r="CM10" s="170"/>
      <c r="CN10" s="113"/>
      <c r="CO10" s="36"/>
      <c r="CP10" s="36"/>
      <c r="CQ10" s="36"/>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6"/>
      <c r="EA10" s="36"/>
      <c r="EB10" s="36"/>
      <c r="EC10" s="36"/>
      <c r="ED10" s="36"/>
      <c r="EE10" s="36"/>
      <c r="EF10" s="36"/>
      <c r="EG10" s="36"/>
    </row>
    <row r="11" spans="1:137" s="1091" customFormat="1" ht="31.5" customHeight="1" x14ac:dyDescent="0.25">
      <c r="A11" s="1087"/>
      <c r="B11" s="1088"/>
      <c r="C11" s="1881"/>
      <c r="D11" s="1881"/>
      <c r="E11" s="1881"/>
      <c r="F11" s="1881"/>
      <c r="G11" s="1881"/>
      <c r="H11" s="1881"/>
      <c r="I11" s="1881"/>
      <c r="J11" s="1089"/>
      <c r="K11" s="1089"/>
      <c r="L11" s="1090"/>
      <c r="M11" s="1088"/>
      <c r="N11" s="27"/>
      <c r="O11" s="1087"/>
      <c r="P11" s="1087"/>
      <c r="Q11" s="1087"/>
      <c r="R11" s="1087"/>
      <c r="S11" s="1087"/>
      <c r="T11" s="1087"/>
      <c r="U11" s="1087"/>
      <c r="V11" s="1087"/>
      <c r="W11" s="1087"/>
      <c r="X11" s="1087"/>
      <c r="Y11" s="1087"/>
      <c r="Z11" s="1087"/>
      <c r="AA11" s="1087"/>
      <c r="AB11" s="1087"/>
      <c r="AC11" s="1882"/>
      <c r="AD11" s="1882"/>
      <c r="AE11" s="1882"/>
      <c r="AF11" s="1882"/>
      <c r="AG11" s="1882"/>
      <c r="AH11" s="1087"/>
      <c r="AI11" s="1087"/>
      <c r="AJ11" s="1087"/>
      <c r="AK11" s="1087"/>
      <c r="AL11" s="1087"/>
      <c r="AM11" s="1087"/>
      <c r="AN11" s="1087"/>
      <c r="AO11" s="1087"/>
      <c r="AP11" s="1087"/>
      <c r="AQ11" s="1087"/>
      <c r="AR11" s="1087"/>
      <c r="AS11" s="1087"/>
      <c r="AT11" s="1087"/>
      <c r="AU11" s="1087"/>
      <c r="AV11" s="1087"/>
      <c r="AW11" s="1087"/>
      <c r="AX11" s="1087"/>
      <c r="AY11" s="1087"/>
      <c r="AZ11" s="1087"/>
      <c r="BA11" s="1087"/>
      <c r="BB11" s="1087"/>
    </row>
    <row r="12" spans="1:137" s="312" customFormat="1" ht="30" customHeight="1" x14ac:dyDescent="0.25">
      <c r="A12" s="290"/>
      <c r="B12" s="1863" t="s">
        <v>1228</v>
      </c>
      <c r="C12" s="1863"/>
      <c r="D12" s="1863"/>
      <c r="E12" s="1863"/>
      <c r="F12" s="1863"/>
      <c r="G12" s="1863"/>
      <c r="H12" s="1863"/>
      <c r="I12" s="1863"/>
      <c r="J12" s="1863"/>
      <c r="K12" s="1863"/>
      <c r="L12" s="1863"/>
      <c r="M12" s="1863"/>
      <c r="N12" s="310"/>
      <c r="O12" s="311"/>
      <c r="P12" s="310"/>
      <c r="Q12" s="310"/>
      <c r="R12" s="297" t="s">
        <v>676</v>
      </c>
      <c r="S12" s="305">
        <v>594.69299999999998</v>
      </c>
      <c r="T12" s="301">
        <v>5.2299999999999999E-2</v>
      </c>
      <c r="U12" s="310"/>
      <c r="V12" s="310"/>
      <c r="W12" s="310"/>
      <c r="X12" s="310"/>
      <c r="Y12" s="310"/>
      <c r="Z12" s="310"/>
      <c r="AA12" s="310"/>
      <c r="AB12" s="310"/>
      <c r="AC12" s="1848" t="s">
        <v>677</v>
      </c>
      <c r="AD12" s="1848"/>
      <c r="AE12" s="1848"/>
      <c r="AF12" s="1848"/>
      <c r="AG12" s="1848"/>
      <c r="AH12" s="1848"/>
      <c r="AI12" s="1848"/>
      <c r="AJ12" s="1848"/>
      <c r="AK12" s="1848"/>
      <c r="AL12" s="1848"/>
      <c r="AM12" s="1848"/>
      <c r="AN12" s="1848"/>
      <c r="AO12" s="310"/>
      <c r="AP12" s="310"/>
      <c r="AQ12" s="1862"/>
      <c r="AR12" s="339"/>
      <c r="AS12" s="338"/>
      <c r="AT12" s="314" t="s">
        <v>673</v>
      </c>
      <c r="AU12" s="309">
        <v>3.2</v>
      </c>
      <c r="AV12" s="309">
        <v>1.3</v>
      </c>
      <c r="AW12" s="310"/>
      <c r="AX12" s="310"/>
      <c r="AY12" s="310"/>
      <c r="AZ12" s="310"/>
      <c r="BA12" s="310"/>
      <c r="BB12" s="310"/>
    </row>
    <row r="13" spans="1:137" s="312" customFormat="1" ht="30" customHeight="1" x14ac:dyDescent="0.25">
      <c r="A13" s="290"/>
      <c r="B13" s="1822" t="s">
        <v>1256</v>
      </c>
      <c r="C13" s="1822"/>
      <c r="D13" s="1822"/>
      <c r="E13" s="1822"/>
      <c r="F13" s="1822"/>
      <c r="G13" s="1822"/>
      <c r="H13" s="1822"/>
      <c r="I13" s="1822"/>
      <c r="J13" s="1822"/>
      <c r="K13" s="1822"/>
      <c r="L13" s="1822"/>
      <c r="M13" s="1822"/>
      <c r="N13" s="310"/>
      <c r="O13" s="313"/>
      <c r="P13" s="310"/>
      <c r="Q13" s="310"/>
      <c r="R13" s="297" t="s">
        <v>679</v>
      </c>
      <c r="S13" s="305">
        <v>353.22399999999999</v>
      </c>
      <c r="T13" s="301">
        <v>3.1E-2</v>
      </c>
      <c r="U13" s="310"/>
      <c r="V13" s="310"/>
      <c r="W13" s="310"/>
      <c r="X13" s="310"/>
      <c r="Y13" s="310"/>
      <c r="Z13" s="310"/>
      <c r="AA13" s="310"/>
      <c r="AB13" s="310"/>
      <c r="AC13" s="1805" t="s">
        <v>680</v>
      </c>
      <c r="AD13" s="1805"/>
      <c r="AE13" s="1805"/>
      <c r="AF13" s="1805"/>
      <c r="AG13" s="1805"/>
      <c r="AH13" s="1805"/>
      <c r="AI13" s="1805"/>
      <c r="AJ13" s="1805"/>
      <c r="AK13" s="1805"/>
      <c r="AL13" s="1805"/>
      <c r="AM13" s="1805"/>
      <c r="AN13" s="1805"/>
      <c r="AO13" s="310"/>
      <c r="AP13" s="310"/>
      <c r="AQ13" s="1862"/>
      <c r="AR13" s="1816" t="s">
        <v>681</v>
      </c>
      <c r="AS13" s="1816" t="s">
        <v>682</v>
      </c>
      <c r="AT13" s="299" t="s">
        <v>670</v>
      </c>
      <c r="AU13" s="334">
        <v>1.3</v>
      </c>
      <c r="AV13" s="334">
        <v>1.2</v>
      </c>
      <c r="AW13" s="310"/>
      <c r="AX13" s="310"/>
      <c r="AY13" s="310"/>
      <c r="AZ13" s="310"/>
      <c r="BA13" s="310"/>
      <c r="BB13" s="310"/>
    </row>
    <row r="14" spans="1:137" s="312" customFormat="1" ht="52.5" customHeight="1" x14ac:dyDescent="0.25">
      <c r="A14" s="290"/>
      <c r="B14" s="1814" t="s">
        <v>1229</v>
      </c>
      <c r="C14" s="1870" t="s">
        <v>1231</v>
      </c>
      <c r="D14" s="1871"/>
      <c r="E14" s="315" t="s">
        <v>1286</v>
      </c>
      <c r="F14" s="1874" t="s">
        <v>1222</v>
      </c>
      <c r="G14" s="1875"/>
      <c r="H14" s="1825" t="s">
        <v>1333</v>
      </c>
      <c r="I14" s="1825"/>
      <c r="J14" s="316"/>
      <c r="K14" s="316"/>
      <c r="L14" s="315" t="s">
        <v>1257</v>
      </c>
      <c r="M14" s="315" t="s">
        <v>1227</v>
      </c>
      <c r="N14" s="310"/>
      <c r="O14" s="317"/>
      <c r="P14" s="310"/>
      <c r="Q14" s="310"/>
      <c r="R14" s="297" t="s">
        <v>684</v>
      </c>
      <c r="S14" s="305">
        <v>8398.1149999999998</v>
      </c>
      <c r="T14" s="301">
        <v>0.7349</v>
      </c>
      <c r="U14" s="310"/>
      <c r="V14" s="310"/>
      <c r="W14" s="310"/>
      <c r="X14" s="310"/>
      <c r="Y14" s="310"/>
      <c r="Z14" s="310"/>
      <c r="AA14" s="310"/>
      <c r="AB14" s="310"/>
      <c r="AC14" s="1817" t="s">
        <v>685</v>
      </c>
      <c r="AD14" s="1817"/>
      <c r="AE14" s="1817"/>
      <c r="AF14" s="1817"/>
      <c r="AG14" s="1817"/>
      <c r="AH14" s="1817"/>
      <c r="AI14" s="1817"/>
      <c r="AJ14" s="1817"/>
      <c r="AK14" s="1817"/>
      <c r="AL14" s="1817"/>
      <c r="AM14" s="1817"/>
      <c r="AN14" s="1817"/>
      <c r="AO14" s="310"/>
      <c r="AP14" s="310"/>
      <c r="AQ14" s="1862"/>
      <c r="AR14" s="1816"/>
      <c r="AS14" s="1816"/>
      <c r="AT14" s="314" t="s">
        <v>671</v>
      </c>
      <c r="AU14" s="309">
        <v>1.2</v>
      </c>
      <c r="AV14" s="309">
        <v>1.1000000000000001</v>
      </c>
      <c r="AW14" s="310"/>
      <c r="AX14" s="310"/>
      <c r="AY14" s="310"/>
      <c r="AZ14" s="310"/>
      <c r="BA14" s="310"/>
      <c r="BB14" s="310"/>
    </row>
    <row r="15" spans="1:137" s="312" customFormat="1" ht="20.25" customHeight="1" x14ac:dyDescent="0.25">
      <c r="A15" s="290"/>
      <c r="B15" s="1814"/>
      <c r="C15" s="1872"/>
      <c r="D15" s="1873"/>
      <c r="E15" s="318" t="s">
        <v>686</v>
      </c>
      <c r="F15" s="1876" t="s">
        <v>1224</v>
      </c>
      <c r="G15" s="1877"/>
      <c r="H15" s="1818" t="s">
        <v>1332</v>
      </c>
      <c r="I15" s="1818"/>
      <c r="J15" s="319"/>
      <c r="K15" s="319"/>
      <c r="L15" s="341" t="s">
        <v>1205</v>
      </c>
      <c r="M15" s="342" t="s">
        <v>669</v>
      </c>
      <c r="N15" s="310"/>
      <c r="O15" s="313"/>
      <c r="P15" s="310"/>
      <c r="Q15" s="310"/>
      <c r="R15" s="297" t="s">
        <v>687</v>
      </c>
      <c r="S15" s="300">
        <v>41.771000000000001</v>
      </c>
      <c r="T15" s="301">
        <v>3.7000000000000002E-3</v>
      </c>
      <c r="U15" s="310"/>
      <c r="V15" s="310"/>
      <c r="W15" s="310"/>
      <c r="X15" s="310"/>
      <c r="Y15" s="310"/>
      <c r="Z15" s="310"/>
      <c r="AA15" s="310"/>
      <c r="AB15" s="310"/>
      <c r="AC15" s="1817" t="s">
        <v>688</v>
      </c>
      <c r="AD15" s="1817"/>
      <c r="AE15" s="1817"/>
      <c r="AF15" s="1817"/>
      <c r="AG15" s="1817"/>
      <c r="AH15" s="1817"/>
      <c r="AI15" s="1817"/>
      <c r="AJ15" s="1817"/>
      <c r="AK15" s="1817"/>
      <c r="AL15" s="1817"/>
      <c r="AM15" s="1817"/>
      <c r="AN15" s="1817"/>
      <c r="AO15" s="310"/>
      <c r="AP15" s="310"/>
      <c r="AQ15" s="1862"/>
      <c r="AR15" s="1816"/>
      <c r="AS15" s="1816"/>
      <c r="AT15" s="314" t="s">
        <v>673</v>
      </c>
      <c r="AU15" s="309">
        <v>4</v>
      </c>
      <c r="AV15" s="309">
        <v>1.3</v>
      </c>
      <c r="AW15" s="310"/>
      <c r="AX15" s="310"/>
      <c r="AY15" s="310"/>
      <c r="AZ15" s="310"/>
      <c r="BA15" s="310"/>
      <c r="BB15" s="310"/>
    </row>
    <row r="16" spans="1:137" ht="18.75" customHeight="1" x14ac:dyDescent="0.25">
      <c r="A16" s="290"/>
      <c r="B16" s="462" t="s">
        <v>1235</v>
      </c>
      <c r="C16" s="1823" t="s">
        <v>1208</v>
      </c>
      <c r="D16" s="1824"/>
      <c r="E16" s="1332"/>
      <c r="F16" s="1883">
        <f>VLOOKUP($C16,$AZ$89:$BJ$119,9,FALSE)</f>
        <v>-5.7339999999999991</v>
      </c>
      <c r="G16" s="1884"/>
      <c r="H16" s="1819">
        <f>E16*F16</f>
        <v>0</v>
      </c>
      <c r="I16" s="1819"/>
      <c r="J16" s="447"/>
      <c r="K16" s="439"/>
      <c r="L16" s="439">
        <f>IF(E16&gt;0,H16*(44/12),0)</f>
        <v>0</v>
      </c>
      <c r="M16" s="448">
        <f>IF(E16&gt;0,VLOOKUP($C16,$AZ$89:$BJ$119,10,FALSE),0)</f>
        <v>0</v>
      </c>
      <c r="N16" s="28">
        <f>(L16*M16)^2</f>
        <v>0</v>
      </c>
      <c r="O16" s="313"/>
      <c r="P16" s="290"/>
      <c r="Q16" s="290"/>
      <c r="R16" s="297" t="s">
        <v>693</v>
      </c>
      <c r="S16" s="300">
        <v>75.983000000000004</v>
      </c>
      <c r="T16" s="301">
        <v>6.7000000000000002E-3</v>
      </c>
      <c r="U16" s="290"/>
      <c r="V16" s="290"/>
      <c r="W16" s="290"/>
      <c r="X16" s="290"/>
      <c r="Y16" s="290"/>
      <c r="Z16" s="290"/>
      <c r="AA16" s="290"/>
      <c r="AB16" s="290"/>
      <c r="AC16" s="293" t="s">
        <v>672</v>
      </c>
      <c r="AD16" s="1816"/>
      <c r="AE16" s="1816"/>
      <c r="AF16" s="314"/>
      <c r="AG16" s="1816"/>
      <c r="AH16" s="1816"/>
      <c r="AI16" s="1816"/>
      <c r="AJ16" s="1816"/>
      <c r="AK16" s="314"/>
      <c r="AL16" s="1816"/>
      <c r="AM16" s="1816"/>
      <c r="AN16" s="314"/>
      <c r="AO16" s="290"/>
      <c r="AP16" s="290"/>
      <c r="AQ16" s="1862"/>
      <c r="AR16" s="1861"/>
      <c r="AS16" s="1816"/>
      <c r="AT16" s="314" t="s">
        <v>671</v>
      </c>
      <c r="AU16" s="309">
        <v>2</v>
      </c>
      <c r="AV16" s="309">
        <v>1.3</v>
      </c>
      <c r="AW16" s="290"/>
      <c r="AX16" s="290"/>
      <c r="AY16" s="290"/>
      <c r="AZ16" s="290"/>
      <c r="BA16" s="290"/>
      <c r="BB16" s="290"/>
    </row>
    <row r="17" spans="1:54" ht="18" customHeight="1" x14ac:dyDescent="0.25">
      <c r="A17" s="290"/>
      <c r="B17" s="462" t="s">
        <v>1234</v>
      </c>
      <c r="C17" s="1823"/>
      <c r="D17" s="1824"/>
      <c r="E17" s="1332"/>
      <c r="F17" s="1883" t="e">
        <f>VLOOKUP($C17,$AZ$89:$BJ$119,9,FALSE)</f>
        <v>#N/A</v>
      </c>
      <c r="G17" s="1884"/>
      <c r="H17" s="1819" t="e">
        <f>E17*F17</f>
        <v>#N/A</v>
      </c>
      <c r="I17" s="1819"/>
      <c r="J17" s="447"/>
      <c r="K17" s="439"/>
      <c r="L17" s="439">
        <f>IF(E17&gt;0,H17*(44/12),0)</f>
        <v>0</v>
      </c>
      <c r="M17" s="448">
        <f>IF(E17&gt;0,VLOOKUP($C17,$AZ$89:$BJ$119,10,FALSE),0)</f>
        <v>0</v>
      </c>
      <c r="N17" s="28">
        <f t="shared" ref="N17:N31" si="0">(L17*M17)^2</f>
        <v>0</v>
      </c>
      <c r="O17" s="317"/>
      <c r="P17" s="290"/>
      <c r="Q17" s="290"/>
      <c r="R17" s="297" t="s">
        <v>694</v>
      </c>
      <c r="S17" s="305">
        <v>473.16800000000001</v>
      </c>
      <c r="T17" s="301">
        <v>4.48E-2</v>
      </c>
      <c r="U17" s="290"/>
      <c r="V17" s="290"/>
      <c r="W17" s="290"/>
      <c r="X17" s="290"/>
      <c r="Y17" s="290"/>
      <c r="Z17" s="290"/>
      <c r="AA17" s="290"/>
      <c r="AB17" s="290"/>
      <c r="AC17" s="306" t="s">
        <v>695</v>
      </c>
      <c r="AD17" s="1816" t="s">
        <v>696</v>
      </c>
      <c r="AE17" s="1816"/>
      <c r="AF17" s="314">
        <v>300</v>
      </c>
      <c r="AG17" s="1816">
        <v>270</v>
      </c>
      <c r="AH17" s="1816"/>
      <c r="AI17" s="1816">
        <v>110</v>
      </c>
      <c r="AJ17" s="1816"/>
      <c r="AK17" s="314">
        <v>60</v>
      </c>
      <c r="AL17" s="1816">
        <v>170</v>
      </c>
      <c r="AM17" s="1816"/>
      <c r="AN17" s="314">
        <v>60</v>
      </c>
      <c r="AO17" s="290"/>
      <c r="AP17" s="290"/>
      <c r="AQ17" s="1862"/>
      <c r="AR17" s="1861"/>
      <c r="AS17" s="1816"/>
      <c r="AT17" s="314" t="s">
        <v>673</v>
      </c>
      <c r="AU17" s="309">
        <v>9</v>
      </c>
      <c r="AV17" s="309">
        <v>1.7</v>
      </c>
      <c r="AW17" s="290"/>
      <c r="AX17" s="290"/>
      <c r="AY17" s="290"/>
      <c r="AZ17" s="290"/>
      <c r="BA17" s="290"/>
      <c r="BB17" s="290"/>
    </row>
    <row r="18" spans="1:54" ht="18" customHeight="1" x14ac:dyDescent="0.25">
      <c r="A18" s="290"/>
      <c r="B18" s="462" t="s">
        <v>1233</v>
      </c>
      <c r="C18" s="1823"/>
      <c r="D18" s="1824"/>
      <c r="E18" s="1332"/>
      <c r="F18" s="1883" t="e">
        <f>VLOOKUP($C18,$AZ$89:$BJ$119,9,FALSE)</f>
        <v>#N/A</v>
      </c>
      <c r="G18" s="1884"/>
      <c r="H18" s="1819" t="e">
        <f>E18*F18</f>
        <v>#N/A</v>
      </c>
      <c r="I18" s="1819"/>
      <c r="J18" s="447"/>
      <c r="K18" s="439"/>
      <c r="L18" s="439">
        <f>IF(E18&gt;0,H18*(44/12),0)</f>
        <v>0</v>
      </c>
      <c r="M18" s="448">
        <f>IF(E18&gt;0,VLOOKUP($C18,$AZ$89:$BJ$119,10,FALSE),0)</f>
        <v>0</v>
      </c>
      <c r="N18" s="28">
        <f t="shared" si="0"/>
        <v>0</v>
      </c>
      <c r="O18" s="313"/>
      <c r="P18" s="290"/>
      <c r="Q18" s="290"/>
      <c r="R18" s="297" t="s">
        <v>697</v>
      </c>
      <c r="S18" s="300">
        <v>53.234999999999999</v>
      </c>
      <c r="T18" s="301">
        <v>4.7000000000000002E-3</v>
      </c>
      <c r="U18" s="290"/>
      <c r="V18" s="290"/>
      <c r="W18" s="290"/>
      <c r="X18" s="290"/>
      <c r="Y18" s="290"/>
      <c r="Z18" s="290"/>
      <c r="AA18" s="290"/>
      <c r="AB18" s="290"/>
      <c r="AC18" s="306" t="s">
        <v>698</v>
      </c>
      <c r="AD18" s="1816" t="s">
        <v>696</v>
      </c>
      <c r="AE18" s="1816"/>
      <c r="AF18" s="314">
        <v>200</v>
      </c>
      <c r="AG18" s="1816">
        <v>140</v>
      </c>
      <c r="AH18" s="1816"/>
      <c r="AI18" s="1816">
        <v>110</v>
      </c>
      <c r="AJ18" s="1816"/>
      <c r="AK18" s="314">
        <v>60</v>
      </c>
      <c r="AL18" s="1816">
        <v>120</v>
      </c>
      <c r="AM18" s="1816"/>
      <c r="AN18" s="314">
        <v>30</v>
      </c>
      <c r="AO18" s="290"/>
      <c r="AP18" s="290"/>
      <c r="AQ18" s="1826" t="s">
        <v>699</v>
      </c>
      <c r="AR18" s="1826"/>
      <c r="AS18" s="1826"/>
      <c r="AT18" s="1826"/>
      <c r="AU18" s="1826"/>
      <c r="AV18" s="1826"/>
      <c r="AW18" s="290"/>
      <c r="AX18" s="290"/>
      <c r="AY18" s="290"/>
      <c r="AZ18" s="290"/>
      <c r="BA18" s="290"/>
      <c r="BB18" s="290"/>
    </row>
    <row r="19" spans="1:54" ht="18" customHeight="1" x14ac:dyDescent="0.25">
      <c r="A19" s="290"/>
      <c r="B19" s="462" t="s">
        <v>1230</v>
      </c>
      <c r="C19" s="1823"/>
      <c r="D19" s="1824"/>
      <c r="E19" s="1332"/>
      <c r="F19" s="1883" t="e">
        <f>VLOOKUP($C19,$AZ$89:$BJ$119,9,FALSE)</f>
        <v>#N/A</v>
      </c>
      <c r="G19" s="1884"/>
      <c r="H19" s="1819" t="e">
        <f>E19*F19</f>
        <v>#N/A</v>
      </c>
      <c r="I19" s="1819"/>
      <c r="J19" s="447"/>
      <c r="K19" s="439"/>
      <c r="L19" s="439">
        <f>IF(E19&gt;0,H19*(44/12),0)</f>
        <v>0</v>
      </c>
      <c r="M19" s="448">
        <f>IF(E19&gt;0,VLOOKUP($C19,$AZ$89:$BJ$119,10,FALSE),0)</f>
        <v>0</v>
      </c>
      <c r="N19" s="28">
        <f t="shared" si="0"/>
        <v>0</v>
      </c>
      <c r="O19" s="311"/>
      <c r="P19" s="290"/>
      <c r="Q19" s="290"/>
      <c r="R19" s="297" t="s">
        <v>700</v>
      </c>
      <c r="S19" s="300">
        <v>19.887</v>
      </c>
      <c r="T19" s="301">
        <v>1.6999999999999999E-3</v>
      </c>
      <c r="U19" s="290"/>
      <c r="V19" s="290"/>
      <c r="W19" s="290"/>
      <c r="X19" s="290"/>
      <c r="Y19" s="290"/>
      <c r="Z19" s="290"/>
      <c r="AA19" s="290"/>
      <c r="AB19" s="290"/>
      <c r="AC19" s="306" t="s">
        <v>701</v>
      </c>
      <c r="AD19" s="1816" t="s">
        <v>696</v>
      </c>
      <c r="AE19" s="1816"/>
      <c r="AF19" s="314">
        <v>170</v>
      </c>
      <c r="AG19" s="1816">
        <v>120</v>
      </c>
      <c r="AH19" s="1816"/>
      <c r="AI19" s="1816">
        <v>90</v>
      </c>
      <c r="AJ19" s="1816"/>
      <c r="AK19" s="314">
        <v>50</v>
      </c>
      <c r="AL19" s="1816">
        <v>130</v>
      </c>
      <c r="AM19" s="1816"/>
      <c r="AN19" s="314">
        <v>30</v>
      </c>
      <c r="AO19" s="290"/>
      <c r="AP19" s="290"/>
      <c r="AQ19" s="1826" t="s">
        <v>702</v>
      </c>
      <c r="AR19" s="1826"/>
      <c r="AS19" s="1826"/>
      <c r="AT19" s="1826"/>
      <c r="AU19" s="1826"/>
      <c r="AV19" s="1826"/>
      <c r="AW19" s="290"/>
      <c r="AX19" s="290"/>
      <c r="AY19" s="290"/>
      <c r="AZ19" s="290"/>
      <c r="BA19" s="290"/>
      <c r="BB19" s="290"/>
    </row>
    <row r="20" spans="1:54" ht="18" customHeight="1" x14ac:dyDescent="0.25">
      <c r="A20" s="290"/>
      <c r="B20" s="462" t="s">
        <v>1232</v>
      </c>
      <c r="C20" s="1823"/>
      <c r="D20" s="1824"/>
      <c r="E20" s="1332"/>
      <c r="F20" s="1883" t="e">
        <f>VLOOKUP($C20,$AZ$89:$BJ$119,9,FALSE)</f>
        <v>#N/A</v>
      </c>
      <c r="G20" s="1884"/>
      <c r="H20" s="1819" t="e">
        <f>E20*F20</f>
        <v>#N/A</v>
      </c>
      <c r="I20" s="1819"/>
      <c r="J20" s="447"/>
      <c r="K20" s="439"/>
      <c r="L20" s="439">
        <f>IF(E20&gt;0,H20*(44/12),0)</f>
        <v>0</v>
      </c>
      <c r="M20" s="448">
        <f>IF(E20&gt;0,VLOOKUP($C20,$AZ$89:$BJ$119,10,FALSE),0)</f>
        <v>0</v>
      </c>
      <c r="N20" s="28">
        <f t="shared" si="0"/>
        <v>0</v>
      </c>
      <c r="O20" s="311"/>
      <c r="P20" s="290"/>
      <c r="Q20" s="290"/>
      <c r="R20" s="297" t="s">
        <v>703</v>
      </c>
      <c r="S20" s="300">
        <v>32.064</v>
      </c>
      <c r="T20" s="301">
        <v>2.8E-3</v>
      </c>
      <c r="U20" s="290"/>
      <c r="V20" s="290"/>
      <c r="W20" s="290"/>
      <c r="X20" s="290"/>
      <c r="Y20" s="290"/>
      <c r="Z20" s="290"/>
      <c r="AA20" s="290"/>
      <c r="AB20" s="290"/>
      <c r="AC20" s="306" t="s">
        <v>704</v>
      </c>
      <c r="AD20" s="1816" t="s">
        <v>696</v>
      </c>
      <c r="AE20" s="1816"/>
      <c r="AF20" s="314">
        <v>150</v>
      </c>
      <c r="AG20" s="1816">
        <v>100</v>
      </c>
      <c r="AH20" s="1816"/>
      <c r="AI20" s="1816">
        <v>60</v>
      </c>
      <c r="AJ20" s="1816"/>
      <c r="AK20" s="314">
        <v>30</v>
      </c>
      <c r="AL20" s="1816">
        <v>80</v>
      </c>
      <c r="AM20" s="1816"/>
      <c r="AN20" s="314">
        <v>30</v>
      </c>
      <c r="AO20" s="290"/>
      <c r="AP20" s="290"/>
      <c r="AQ20" s="1826" t="s">
        <v>705</v>
      </c>
      <c r="AR20" s="1826"/>
      <c r="AS20" s="1826"/>
      <c r="AT20" s="1826"/>
      <c r="AU20" s="1826"/>
      <c r="AV20" s="1826"/>
      <c r="AW20" s="290"/>
      <c r="AX20" s="290"/>
      <c r="AY20" s="290"/>
      <c r="AZ20" s="290"/>
      <c r="BA20" s="290"/>
      <c r="BB20" s="290"/>
    </row>
    <row r="21" spans="1:54" ht="18" customHeight="1" x14ac:dyDescent="0.25">
      <c r="A21" s="290"/>
      <c r="B21" s="1812" t="s">
        <v>719</v>
      </c>
      <c r="C21" s="1885"/>
      <c r="D21" s="1813"/>
      <c r="E21" s="326">
        <f>SUM(E16:E20)</f>
        <v>0</v>
      </c>
      <c r="F21" s="1812"/>
      <c r="G21" s="1813"/>
      <c r="H21" s="1815"/>
      <c r="I21" s="1815"/>
      <c r="J21" s="327"/>
      <c r="K21" s="327"/>
      <c r="L21" s="326">
        <f>SUM(L16:L20)</f>
        <v>0</v>
      </c>
      <c r="M21" s="449">
        <f>IF(L21&gt;0,SQRT(SUM(N16:N20))/L21,0)</f>
        <v>0</v>
      </c>
      <c r="N21" s="28">
        <f t="shared" si="0"/>
        <v>0</v>
      </c>
      <c r="O21" s="290"/>
      <c r="P21" s="290"/>
      <c r="Q21" s="290"/>
      <c r="R21" s="328" t="s">
        <v>720</v>
      </c>
      <c r="S21" s="328" t="s">
        <v>721</v>
      </c>
      <c r="T21" s="329">
        <v>45377140</v>
      </c>
      <c r="U21" s="330">
        <v>258.89999999999998</v>
      </c>
      <c r="V21" s="330">
        <v>28</v>
      </c>
      <c r="W21" s="330">
        <v>129.4</v>
      </c>
      <c r="X21" s="329">
        <v>11746982370</v>
      </c>
      <c r="Y21" s="329">
        <v>5873491185</v>
      </c>
      <c r="Z21" s="329">
        <v>21555712650</v>
      </c>
      <c r="AA21" s="290"/>
      <c r="AB21" s="290"/>
      <c r="AC21" s="340"/>
      <c r="AD21" s="340"/>
      <c r="AE21" s="333"/>
      <c r="AF21" s="1854" t="s">
        <v>665</v>
      </c>
      <c r="AG21" s="1854"/>
      <c r="AH21" s="1854"/>
      <c r="AI21" s="1854" t="s">
        <v>722</v>
      </c>
      <c r="AJ21" s="333"/>
      <c r="AK21" s="1880"/>
      <c r="AL21" s="1880"/>
      <c r="AM21" s="333"/>
      <c r="AN21" s="290"/>
      <c r="AO21" s="290"/>
      <c r="AP21" s="290"/>
      <c r="AQ21" s="290"/>
      <c r="AR21" s="290"/>
      <c r="AS21" s="290"/>
      <c r="AT21" s="290"/>
      <c r="AU21" s="290"/>
      <c r="AV21" s="290"/>
      <c r="AW21" s="290"/>
      <c r="AX21" s="290"/>
      <c r="AY21" s="290"/>
      <c r="AZ21" s="290"/>
      <c r="BA21" s="290"/>
      <c r="BB21" s="290"/>
    </row>
    <row r="22" spans="1:54" ht="18" customHeight="1" x14ac:dyDescent="0.25">
      <c r="A22" s="290"/>
      <c r="B22" s="457"/>
      <c r="C22" s="458"/>
      <c r="D22" s="458"/>
      <c r="E22" s="459"/>
      <c r="F22" s="459"/>
      <c r="G22" s="459"/>
      <c r="H22" s="460"/>
      <c r="I22" s="460"/>
      <c r="J22" s="460"/>
      <c r="K22" s="460"/>
      <c r="L22" s="459"/>
      <c r="M22" s="461"/>
      <c r="N22" s="28"/>
      <c r="O22" s="290"/>
      <c r="P22" s="290"/>
      <c r="Q22" s="290"/>
      <c r="R22" s="450"/>
      <c r="S22" s="450"/>
      <c r="T22" s="451"/>
      <c r="U22" s="452"/>
      <c r="V22" s="452"/>
      <c r="W22" s="452"/>
      <c r="X22" s="451"/>
      <c r="Y22" s="451"/>
      <c r="Z22" s="451"/>
      <c r="AA22" s="290"/>
      <c r="AB22" s="290"/>
      <c r="AC22" s="340"/>
      <c r="AD22" s="340"/>
      <c r="AE22" s="333"/>
      <c r="AF22" s="1854"/>
      <c r="AG22" s="1854"/>
      <c r="AH22" s="1854"/>
      <c r="AI22" s="1854"/>
      <c r="AJ22" s="333"/>
      <c r="AK22" s="333"/>
      <c r="AL22" s="333"/>
      <c r="AM22" s="333"/>
      <c r="AN22" s="290"/>
      <c r="AO22" s="290"/>
      <c r="AP22" s="290"/>
      <c r="AQ22" s="290"/>
      <c r="AR22" s="290"/>
      <c r="AS22" s="290"/>
      <c r="AT22" s="290"/>
      <c r="AU22" s="290"/>
      <c r="AV22" s="290"/>
      <c r="AW22" s="290"/>
      <c r="AX22" s="290"/>
      <c r="AY22" s="290"/>
      <c r="AZ22" s="290"/>
      <c r="BA22" s="290"/>
      <c r="BB22" s="290"/>
    </row>
    <row r="23" spans="1:54" s="312" customFormat="1" ht="30" customHeight="1" x14ac:dyDescent="0.25">
      <c r="A23" s="290"/>
      <c r="B23" s="1822" t="s">
        <v>1255</v>
      </c>
      <c r="C23" s="1822"/>
      <c r="D23" s="1822"/>
      <c r="E23" s="1822"/>
      <c r="F23" s="1822"/>
      <c r="G23" s="1822"/>
      <c r="H23" s="1822"/>
      <c r="I23" s="1822"/>
      <c r="J23" s="1822"/>
      <c r="K23" s="1822"/>
      <c r="L23" s="1822"/>
      <c r="M23" s="1822"/>
      <c r="N23" s="310"/>
      <c r="O23" s="313"/>
      <c r="P23" s="310"/>
      <c r="Q23" s="310"/>
      <c r="R23" s="297" t="s">
        <v>679</v>
      </c>
      <c r="S23" s="305">
        <v>353.22399999999999</v>
      </c>
      <c r="T23" s="301">
        <v>3.1E-2</v>
      </c>
      <c r="U23" s="310"/>
      <c r="V23" s="310"/>
      <c r="W23" s="310"/>
      <c r="X23" s="310"/>
      <c r="Y23" s="310"/>
      <c r="Z23" s="310"/>
      <c r="AA23" s="310"/>
      <c r="AB23" s="310"/>
      <c r="AC23" s="340"/>
      <c r="AD23" s="340"/>
      <c r="AE23" s="333"/>
      <c r="AF23" s="1854"/>
      <c r="AG23" s="1854"/>
      <c r="AH23" s="1854"/>
      <c r="AI23" s="1854"/>
      <c r="AJ23" s="333"/>
      <c r="AK23" s="333"/>
      <c r="AL23" s="333"/>
      <c r="AM23" s="333"/>
      <c r="AN23" s="290"/>
      <c r="AO23" s="310"/>
      <c r="AP23" s="310"/>
      <c r="AQ23" s="290"/>
      <c r="AR23" s="290"/>
      <c r="AS23" s="290"/>
      <c r="AT23" s="299" t="s">
        <v>670</v>
      </c>
      <c r="AU23" s="334">
        <v>1.3</v>
      </c>
      <c r="AV23" s="334">
        <v>1.2</v>
      </c>
      <c r="AW23" s="310"/>
      <c r="AX23" s="310"/>
      <c r="AY23" s="310"/>
      <c r="AZ23" s="310"/>
      <c r="BA23" s="310"/>
      <c r="BB23" s="310"/>
    </row>
    <row r="24" spans="1:54" s="312" customFormat="1" ht="52.5" customHeight="1" x14ac:dyDescent="0.25">
      <c r="A24" s="290"/>
      <c r="B24" s="1814" t="s">
        <v>1229</v>
      </c>
      <c r="C24" s="1814" t="s">
        <v>1258</v>
      </c>
      <c r="D24" s="1808" t="s">
        <v>1282</v>
      </c>
      <c r="E24" s="315" t="s">
        <v>1286</v>
      </c>
      <c r="F24" s="315" t="s">
        <v>1283</v>
      </c>
      <c r="G24" s="315" t="s">
        <v>1284</v>
      </c>
      <c r="H24" s="1825" t="s">
        <v>1257</v>
      </c>
      <c r="I24" s="1825"/>
      <c r="J24" s="316"/>
      <c r="K24" s="316"/>
      <c r="L24" s="315" t="s">
        <v>1257</v>
      </c>
      <c r="M24" s="315" t="s">
        <v>1227</v>
      </c>
      <c r="N24" s="310"/>
      <c r="O24" s="317"/>
      <c r="P24" s="310"/>
      <c r="Q24" s="310"/>
      <c r="R24" s="297" t="s">
        <v>684</v>
      </c>
      <c r="S24" s="305">
        <v>8398.1149999999998</v>
      </c>
      <c r="T24" s="301">
        <v>0.7349</v>
      </c>
      <c r="U24" s="310"/>
      <c r="V24" s="310"/>
      <c r="W24" s="310"/>
      <c r="X24" s="310"/>
      <c r="Y24" s="310"/>
      <c r="Z24" s="310"/>
      <c r="AA24" s="310"/>
      <c r="AB24" s="310"/>
      <c r="AC24" s="1817" t="s">
        <v>685</v>
      </c>
      <c r="AD24" s="1817"/>
      <c r="AE24" s="1817"/>
      <c r="AF24" s="1817"/>
      <c r="AG24" s="1817"/>
      <c r="AH24" s="1817"/>
      <c r="AI24" s="1817"/>
      <c r="AJ24" s="1817"/>
      <c r="AK24" s="1817"/>
      <c r="AL24" s="1817"/>
      <c r="AM24" s="1817"/>
      <c r="AN24" s="1817"/>
      <c r="AO24" s="310"/>
      <c r="AP24" s="310"/>
      <c r="AQ24" s="290"/>
      <c r="AR24" s="290"/>
      <c r="AS24" s="290"/>
      <c r="AT24" s="314" t="s">
        <v>671</v>
      </c>
      <c r="AU24" s="309">
        <v>1.2</v>
      </c>
      <c r="AV24" s="309">
        <v>1.1000000000000001</v>
      </c>
      <c r="AW24" s="310"/>
      <c r="AX24" s="310"/>
      <c r="AY24" s="310"/>
      <c r="AZ24" s="310"/>
      <c r="BA24" s="310"/>
      <c r="BB24" s="310"/>
    </row>
    <row r="25" spans="1:54" s="312" customFormat="1" ht="20.25" customHeight="1" x14ac:dyDescent="0.25">
      <c r="A25" s="290"/>
      <c r="B25" s="1814"/>
      <c r="C25" s="1814"/>
      <c r="D25" s="1809"/>
      <c r="E25" s="318" t="s">
        <v>686</v>
      </c>
      <c r="F25" s="318" t="s">
        <v>1285</v>
      </c>
      <c r="G25" s="318" t="s">
        <v>1285</v>
      </c>
      <c r="H25" s="1818" t="s">
        <v>1205</v>
      </c>
      <c r="I25" s="1818"/>
      <c r="J25" s="319"/>
      <c r="K25" s="319"/>
      <c r="L25" s="341" t="s">
        <v>1205</v>
      </c>
      <c r="M25" s="342" t="s">
        <v>669</v>
      </c>
      <c r="N25" s="310"/>
      <c r="O25" s="313"/>
      <c r="P25" s="310"/>
      <c r="Q25" s="310"/>
      <c r="R25" s="297" t="s">
        <v>687</v>
      </c>
      <c r="S25" s="300">
        <v>41.771000000000001</v>
      </c>
      <c r="T25" s="301">
        <v>3.7000000000000002E-3</v>
      </c>
      <c r="U25" s="310"/>
      <c r="V25" s="310"/>
      <c r="W25" s="310"/>
      <c r="X25" s="310"/>
      <c r="Y25" s="310"/>
      <c r="Z25" s="310"/>
      <c r="AA25" s="310"/>
      <c r="AB25" s="310"/>
      <c r="AC25" s="1817" t="s">
        <v>688</v>
      </c>
      <c r="AD25" s="1817"/>
      <c r="AE25" s="1817"/>
      <c r="AF25" s="1817"/>
      <c r="AG25" s="1817"/>
      <c r="AH25" s="1817"/>
      <c r="AI25" s="1817"/>
      <c r="AJ25" s="1817"/>
      <c r="AK25" s="1817"/>
      <c r="AL25" s="1817"/>
      <c r="AM25" s="1817"/>
      <c r="AN25" s="1817"/>
      <c r="AO25" s="310"/>
      <c r="AP25" s="310"/>
      <c r="AQ25" s="290"/>
      <c r="AR25" s="290"/>
      <c r="AS25" s="290"/>
      <c r="AT25" s="314" t="s">
        <v>673</v>
      </c>
      <c r="AU25" s="309">
        <v>4</v>
      </c>
      <c r="AV25" s="309">
        <v>1.3</v>
      </c>
      <c r="AW25" s="310"/>
      <c r="AX25" s="310"/>
      <c r="AY25" s="310"/>
      <c r="AZ25" s="310"/>
      <c r="BA25" s="310"/>
      <c r="BB25" s="310"/>
    </row>
    <row r="26" spans="1:54" ht="18.75" customHeight="1" x14ac:dyDescent="0.25">
      <c r="A26" s="290"/>
      <c r="B26" s="462" t="s">
        <v>1246</v>
      </c>
      <c r="C26" s="1332"/>
      <c r="D26" s="1332"/>
      <c r="E26" s="1333"/>
      <c r="F26" s="446" t="e">
        <f>VLOOKUP($C26,$AZ$89:$BJ$521,2,FALSE)</f>
        <v>#N/A</v>
      </c>
      <c r="G26" s="446" t="e">
        <f>VLOOKUP($D26,$AZ$89:$BJ$527,4,FALSE)</f>
        <v>#N/A</v>
      </c>
      <c r="H26" s="1819" t="e">
        <f>E26*(G26-F26)</f>
        <v>#N/A</v>
      </c>
      <c r="I26" s="1819"/>
      <c r="J26" s="447"/>
      <c r="K26" s="443"/>
      <c r="L26" s="439">
        <f>IF(E26&gt;0,H26*(44/12),0)</f>
        <v>0</v>
      </c>
      <c r="M26" s="448">
        <f>IF(E26&gt;0,VLOOKUP($C26,$AZ$89:$BJ$521,3,FALSE),0)</f>
        <v>0</v>
      </c>
      <c r="N26" s="28">
        <f t="shared" si="0"/>
        <v>0</v>
      </c>
      <c r="O26" s="290"/>
      <c r="P26" s="290"/>
      <c r="Q26" s="290"/>
      <c r="R26" s="328" t="s">
        <v>727</v>
      </c>
      <c r="S26" s="328" t="s">
        <v>728</v>
      </c>
      <c r="T26" s="328">
        <v>172.07900000000001</v>
      </c>
      <c r="U26" s="330">
        <v>172.2</v>
      </c>
      <c r="V26" s="330">
        <v>39.5</v>
      </c>
      <c r="W26" s="330">
        <v>86.1</v>
      </c>
      <c r="X26" s="329">
        <v>29634292</v>
      </c>
      <c r="Y26" s="329">
        <v>14817146</v>
      </c>
      <c r="Z26" s="329">
        <v>54378925</v>
      </c>
      <c r="AA26" s="290"/>
      <c r="AB26" s="290"/>
      <c r="AC26" s="294" t="s">
        <v>729</v>
      </c>
      <c r="AD26" s="294"/>
      <c r="AE26" s="335" t="s">
        <v>730</v>
      </c>
      <c r="AF26" s="1820" t="s">
        <v>731</v>
      </c>
      <c r="AG26" s="1820"/>
      <c r="AH26" s="1820"/>
      <c r="AI26" s="1820"/>
      <c r="AJ26" s="335" t="s">
        <v>732</v>
      </c>
      <c r="AK26" s="1821" t="s">
        <v>733</v>
      </c>
      <c r="AL26" s="1821"/>
      <c r="AM26" s="335" t="s">
        <v>732</v>
      </c>
      <c r="AN26" s="290"/>
      <c r="AO26" s="290"/>
      <c r="AP26" s="290"/>
      <c r="AQ26" s="290"/>
      <c r="AR26" s="290"/>
      <c r="AS26" s="290"/>
      <c r="AT26" s="290"/>
      <c r="AU26" s="290"/>
      <c r="AV26" s="290"/>
      <c r="AW26" s="290"/>
      <c r="AX26" s="290"/>
      <c r="AY26" s="290"/>
      <c r="AZ26" s="290"/>
      <c r="BA26" s="290"/>
      <c r="BB26" s="290"/>
    </row>
    <row r="27" spans="1:54" ht="18" customHeight="1" x14ac:dyDescent="0.25">
      <c r="A27" s="290"/>
      <c r="B27" s="462" t="s">
        <v>1245</v>
      </c>
      <c r="C27" s="1332"/>
      <c r="D27" s="1332"/>
      <c r="E27" s="1333"/>
      <c r="F27" s="446" t="e">
        <f>VLOOKUP($C27,$AZ$89:$BJ$521,2,FALSE)</f>
        <v>#N/A</v>
      </c>
      <c r="G27" s="446" t="e">
        <f>VLOOKUP($D27,$AZ$89:$BJ$527,2,FALSE)</f>
        <v>#N/A</v>
      </c>
      <c r="H27" s="1819" t="e">
        <f>E27*(G27-F27)</f>
        <v>#N/A</v>
      </c>
      <c r="I27" s="1819"/>
      <c r="J27" s="447"/>
      <c r="K27" s="443"/>
      <c r="L27" s="439">
        <f>IF(E27&gt;0,H27*(44/12),0)</f>
        <v>0</v>
      </c>
      <c r="M27" s="448">
        <f>IF(E27&gt;0,VLOOKUP($C27,$AZ$89:$BJ$521,3,FALSE),0)</f>
        <v>0</v>
      </c>
      <c r="N27" s="28">
        <f t="shared" si="0"/>
        <v>0</v>
      </c>
      <c r="O27" s="290"/>
      <c r="P27" s="290"/>
      <c r="Q27" s="290"/>
      <c r="R27" s="322" t="s">
        <v>734</v>
      </c>
      <c r="S27" s="322" t="s">
        <v>735</v>
      </c>
      <c r="T27" s="324">
        <v>1094798</v>
      </c>
      <c r="U27" s="323">
        <v>193</v>
      </c>
      <c r="V27" s="323">
        <v>41.3</v>
      </c>
      <c r="W27" s="336">
        <v>96.5</v>
      </c>
      <c r="X27" s="324">
        <v>211285876</v>
      </c>
      <c r="Y27" s="324">
        <v>105642938</v>
      </c>
      <c r="Z27" s="324">
        <v>387709583</v>
      </c>
      <c r="AA27" s="290"/>
      <c r="AB27" s="290"/>
      <c r="AC27" s="1805" t="s">
        <v>672</v>
      </c>
      <c r="AD27" s="1805"/>
      <c r="AE27" s="1805"/>
      <c r="AF27" s="1805"/>
      <c r="AG27" s="1805"/>
      <c r="AH27" s="1805"/>
      <c r="AI27" s="1805"/>
      <c r="AJ27" s="1805"/>
      <c r="AK27" s="1805"/>
      <c r="AL27" s="1805"/>
      <c r="AM27" s="1805"/>
      <c r="AN27" s="290"/>
      <c r="AO27" s="290"/>
      <c r="AP27" s="290"/>
      <c r="AQ27" s="290"/>
      <c r="AR27" s="290"/>
      <c r="AS27" s="290"/>
      <c r="AT27" s="290"/>
      <c r="AU27" s="290"/>
      <c r="AV27" s="290"/>
      <c r="AW27" s="290"/>
      <c r="AX27" s="290"/>
      <c r="AY27" s="290"/>
      <c r="AZ27" s="290"/>
      <c r="BA27" s="290"/>
      <c r="BB27" s="290"/>
    </row>
    <row r="28" spans="1:54" ht="18" customHeight="1" x14ac:dyDescent="0.25">
      <c r="A28" s="290"/>
      <c r="B28" s="462" t="s">
        <v>1247</v>
      </c>
      <c r="C28" s="1332"/>
      <c r="D28" s="1332"/>
      <c r="E28" s="1333"/>
      <c r="F28" s="446" t="e">
        <f>VLOOKUP($C28,$AZ$89:$BJ$521,2,FALSE)</f>
        <v>#N/A</v>
      </c>
      <c r="G28" s="446" t="e">
        <f>VLOOKUP($D28,$AZ$89:$BJ$521,2,FALSE)</f>
        <v>#N/A</v>
      </c>
      <c r="H28" s="1819" t="e">
        <f>E28*(G28-F28)</f>
        <v>#N/A</v>
      </c>
      <c r="I28" s="1819"/>
      <c r="J28" s="447"/>
      <c r="K28" s="443"/>
      <c r="L28" s="439">
        <f>IF(E28&gt;0,H28*(44/12),0)</f>
        <v>0</v>
      </c>
      <c r="M28" s="448">
        <f>IF(E28&gt;0,VLOOKUP($C28,$AZ$89:$BJ$521,3,FALSE),0)</f>
        <v>0</v>
      </c>
      <c r="N28" s="28">
        <f t="shared" si="0"/>
        <v>0</v>
      </c>
      <c r="O28" s="290"/>
      <c r="P28" s="290"/>
      <c r="Q28" s="290"/>
      <c r="R28" s="322" t="s">
        <v>734</v>
      </c>
      <c r="S28" s="322" t="s">
        <v>735</v>
      </c>
      <c r="T28" s="324">
        <v>1094798</v>
      </c>
      <c r="U28" s="323">
        <v>193</v>
      </c>
      <c r="V28" s="323">
        <v>41.3</v>
      </c>
      <c r="W28" s="336">
        <v>96.5</v>
      </c>
      <c r="X28" s="324">
        <v>211285876</v>
      </c>
      <c r="Y28" s="324">
        <v>105642938</v>
      </c>
      <c r="Z28" s="324">
        <v>387709583</v>
      </c>
      <c r="AA28" s="290"/>
      <c r="AB28" s="290"/>
      <c r="AC28" s="1805" t="s">
        <v>672</v>
      </c>
      <c r="AD28" s="1805"/>
      <c r="AE28" s="1805"/>
      <c r="AF28" s="1805"/>
      <c r="AG28" s="1805"/>
      <c r="AH28" s="1805"/>
      <c r="AI28" s="1805"/>
      <c r="AJ28" s="1805"/>
      <c r="AK28" s="1805"/>
      <c r="AL28" s="1805"/>
      <c r="AM28" s="1805"/>
      <c r="AN28" s="290"/>
      <c r="AO28" s="290"/>
      <c r="AP28" s="290"/>
      <c r="AQ28" s="290"/>
      <c r="AR28" s="290"/>
      <c r="AS28" s="290"/>
      <c r="AT28" s="290"/>
      <c r="AU28" s="290"/>
      <c r="AV28" s="290"/>
      <c r="AW28" s="290"/>
      <c r="AX28" s="290"/>
      <c r="AY28" s="290"/>
      <c r="AZ28" s="290"/>
      <c r="BA28" s="290"/>
      <c r="BB28" s="290"/>
    </row>
    <row r="29" spans="1:54" ht="18" customHeight="1" x14ac:dyDescent="0.25">
      <c r="A29" s="290"/>
      <c r="B29" s="462" t="s">
        <v>1248</v>
      </c>
      <c r="C29" s="1332"/>
      <c r="D29" s="1332"/>
      <c r="E29" s="1333"/>
      <c r="F29" s="446" t="e">
        <f>VLOOKUP($C29,$AZ$89:$BJ$521,2,FALSE)</f>
        <v>#N/A</v>
      </c>
      <c r="G29" s="446" t="e">
        <f>VLOOKUP($D29,$AZ$89:$BJ$521,2,FALSE)</f>
        <v>#N/A</v>
      </c>
      <c r="H29" s="1819" t="e">
        <f>E29*(G29-F29)</f>
        <v>#N/A</v>
      </c>
      <c r="I29" s="1819"/>
      <c r="J29" s="447"/>
      <c r="K29" s="443"/>
      <c r="L29" s="439">
        <f>IF(E29&gt;0,H29*(44/12),0)</f>
        <v>0</v>
      </c>
      <c r="M29" s="448">
        <f>IF(E29&gt;0,VLOOKUP($C29,$AZ$89:$BJ$521,3,FALSE),0)</f>
        <v>0</v>
      </c>
      <c r="N29" s="28">
        <f t="shared" si="0"/>
        <v>0</v>
      </c>
      <c r="O29" s="290"/>
      <c r="P29" s="290"/>
      <c r="Q29" s="290"/>
      <c r="R29" s="322" t="s">
        <v>734</v>
      </c>
      <c r="S29" s="322" t="s">
        <v>735</v>
      </c>
      <c r="T29" s="324">
        <v>1094798</v>
      </c>
      <c r="U29" s="323">
        <v>193</v>
      </c>
      <c r="V29" s="323">
        <v>41.3</v>
      </c>
      <c r="W29" s="336">
        <v>96.5</v>
      </c>
      <c r="X29" s="324">
        <v>211285876</v>
      </c>
      <c r="Y29" s="324">
        <v>105642938</v>
      </c>
      <c r="Z29" s="324">
        <v>387709583</v>
      </c>
      <c r="AA29" s="290"/>
      <c r="AB29" s="290"/>
      <c r="AC29" s="1805" t="s">
        <v>672</v>
      </c>
      <c r="AD29" s="1805"/>
      <c r="AE29" s="1805"/>
      <c r="AF29" s="1805"/>
      <c r="AG29" s="1805"/>
      <c r="AH29" s="1805"/>
      <c r="AI29" s="1805"/>
      <c r="AJ29" s="1805"/>
      <c r="AK29" s="1805"/>
      <c r="AL29" s="1805"/>
      <c r="AM29" s="1805"/>
      <c r="AN29" s="290"/>
      <c r="AO29" s="290"/>
      <c r="AP29" s="290"/>
      <c r="AQ29" s="290"/>
      <c r="AR29" s="290"/>
      <c r="AS29" s="290"/>
      <c r="AT29" s="290"/>
      <c r="AU29" s="290"/>
      <c r="AV29" s="290"/>
      <c r="AW29" s="290"/>
      <c r="AX29" s="290"/>
      <c r="AY29" s="290"/>
      <c r="AZ29" s="290"/>
      <c r="BA29" s="290"/>
      <c r="BB29" s="290"/>
    </row>
    <row r="30" spans="1:54" ht="18" customHeight="1" x14ac:dyDescent="0.25">
      <c r="A30" s="290"/>
      <c r="B30" s="462" t="s">
        <v>1249</v>
      </c>
      <c r="C30" s="1332"/>
      <c r="D30" s="1332"/>
      <c r="E30" s="1333"/>
      <c r="F30" s="446" t="e">
        <f>VLOOKUP($C30,$AZ$89:$BJ$521,2,FALSE)</f>
        <v>#N/A</v>
      </c>
      <c r="G30" s="446" t="e">
        <f>VLOOKUP($D30,$AZ$89:$BJ$521,2,FALSE)</f>
        <v>#N/A</v>
      </c>
      <c r="H30" s="1819" t="e">
        <f>E30*(G30-F30)</f>
        <v>#N/A</v>
      </c>
      <c r="I30" s="1819"/>
      <c r="J30" s="447"/>
      <c r="K30" s="443"/>
      <c r="L30" s="439">
        <f>IF(E30&gt;0,H30*(44/12),0)</f>
        <v>0</v>
      </c>
      <c r="M30" s="448">
        <f>IF(E30&gt;0,VLOOKUP($C30,$AZ$89:$BJ$521,3,FALSE),0)</f>
        <v>0</v>
      </c>
      <c r="N30" s="28">
        <f t="shared" si="0"/>
        <v>0</v>
      </c>
      <c r="O30" s="290"/>
      <c r="P30" s="290"/>
      <c r="Q30" s="290"/>
      <c r="R30" s="322" t="s">
        <v>734</v>
      </c>
      <c r="S30" s="322" t="s">
        <v>735</v>
      </c>
      <c r="T30" s="324">
        <v>1094798</v>
      </c>
      <c r="U30" s="323">
        <v>193</v>
      </c>
      <c r="V30" s="323">
        <v>41.3</v>
      </c>
      <c r="W30" s="336">
        <v>96.5</v>
      </c>
      <c r="X30" s="324">
        <v>211285876</v>
      </c>
      <c r="Y30" s="324">
        <v>105642938</v>
      </c>
      <c r="Z30" s="324">
        <v>387709583</v>
      </c>
      <c r="AA30" s="290"/>
      <c r="AB30" s="290"/>
      <c r="AC30" s="1805" t="s">
        <v>672</v>
      </c>
      <c r="AD30" s="1805"/>
      <c r="AE30" s="1805"/>
      <c r="AF30" s="1805"/>
      <c r="AG30" s="1805"/>
      <c r="AH30" s="1805"/>
      <c r="AI30" s="1805"/>
      <c r="AJ30" s="1805"/>
      <c r="AK30" s="1805"/>
      <c r="AL30" s="1805"/>
      <c r="AM30" s="1805"/>
      <c r="AN30" s="290"/>
      <c r="AO30" s="290"/>
      <c r="AP30" s="290"/>
      <c r="AQ30" s="290"/>
      <c r="AR30" s="290"/>
      <c r="AS30" s="290"/>
      <c r="AT30" s="290"/>
      <c r="AU30" s="290"/>
      <c r="AV30" s="290"/>
      <c r="AW30" s="290"/>
      <c r="AX30" s="290"/>
      <c r="AY30" s="290"/>
      <c r="AZ30" s="290"/>
      <c r="BA30" s="290"/>
      <c r="BB30" s="290"/>
    </row>
    <row r="31" spans="1:54" ht="18" customHeight="1" x14ac:dyDescent="0.25">
      <c r="A31" s="290"/>
      <c r="B31" s="1812" t="s">
        <v>719</v>
      </c>
      <c r="C31" s="1813"/>
      <c r="D31" s="325"/>
      <c r="E31" s="326">
        <f>SUM(E26:E30)</f>
        <v>0</v>
      </c>
      <c r="F31" s="326"/>
      <c r="G31" s="326"/>
      <c r="H31" s="1815"/>
      <c r="I31" s="1815"/>
      <c r="J31" s="327"/>
      <c r="K31" s="327"/>
      <c r="L31" s="326">
        <f>SUM(L26:L30)</f>
        <v>0</v>
      </c>
      <c r="M31" s="449">
        <f>IF(L31&gt;0,SQRT(SUM(N26:N30))/L31,0)</f>
        <v>0</v>
      </c>
      <c r="N31" s="28">
        <f t="shared" si="0"/>
        <v>0</v>
      </c>
      <c r="O31" s="290"/>
      <c r="P31" s="290"/>
      <c r="Q31" s="290"/>
      <c r="R31" s="322" t="s">
        <v>739</v>
      </c>
      <c r="S31" s="322" t="s">
        <v>740</v>
      </c>
      <c r="T31" s="322">
        <v>606.89599999999996</v>
      </c>
      <c r="U31" s="323">
        <v>213.5</v>
      </c>
      <c r="V31" s="323">
        <v>47.8</v>
      </c>
      <c r="W31" s="336">
        <v>106.8</v>
      </c>
      <c r="X31" s="324">
        <v>129579389</v>
      </c>
      <c r="Y31" s="324">
        <v>64789695</v>
      </c>
      <c r="Z31" s="324">
        <v>237778180</v>
      </c>
      <c r="AA31" s="290"/>
      <c r="AB31" s="290"/>
      <c r="AC31" s="338" t="s">
        <v>741</v>
      </c>
      <c r="AD31" s="298" t="s">
        <v>670</v>
      </c>
      <c r="AE31" s="314">
        <v>1.9</v>
      </c>
      <c r="AF31" s="1816">
        <v>2</v>
      </c>
      <c r="AG31" s="1816"/>
      <c r="AH31" s="1816"/>
      <c r="AI31" s="314">
        <v>1</v>
      </c>
      <c r="AJ31" s="314">
        <v>1</v>
      </c>
      <c r="AK31" s="1816">
        <v>1.4</v>
      </c>
      <c r="AL31" s="1816"/>
      <c r="AM31" s="314">
        <v>0.4</v>
      </c>
      <c r="AN31" s="290"/>
      <c r="AO31" s="290"/>
      <c r="AP31" s="290"/>
      <c r="AQ31" s="290"/>
      <c r="AR31" s="290"/>
      <c r="AS31" s="290"/>
      <c r="AT31" s="290"/>
      <c r="AU31" s="290"/>
      <c r="AV31" s="290"/>
      <c r="AW31" s="290"/>
      <c r="AX31" s="290"/>
      <c r="AY31" s="290"/>
      <c r="AZ31" s="290"/>
      <c r="BA31" s="290"/>
      <c r="BB31" s="290"/>
    </row>
    <row r="32" spans="1:54" s="1091" customFormat="1" ht="18" customHeight="1" x14ac:dyDescent="0.25">
      <c r="A32" s="1087"/>
      <c r="B32" s="1101"/>
      <c r="C32" s="1102"/>
      <c r="D32" s="453"/>
      <c r="E32" s="454"/>
      <c r="F32" s="454"/>
      <c r="G32" s="454"/>
      <c r="H32" s="455"/>
      <c r="I32" s="455"/>
      <c r="J32" s="455"/>
      <c r="K32" s="455"/>
      <c r="L32" s="454"/>
      <c r="M32" s="456"/>
      <c r="N32" s="28"/>
      <c r="O32" s="1087"/>
      <c r="P32" s="1087"/>
      <c r="Q32" s="1087"/>
      <c r="R32" s="1103"/>
      <c r="S32" s="1103"/>
      <c r="T32" s="1103"/>
      <c r="U32" s="1104"/>
      <c r="V32" s="1104"/>
      <c r="W32" s="1105"/>
      <c r="X32" s="1106"/>
      <c r="Y32" s="1106"/>
      <c r="Z32" s="1106"/>
      <c r="AA32" s="1087"/>
      <c r="AB32" s="1087"/>
      <c r="AC32" s="1107"/>
      <c r="AD32" s="1108"/>
      <c r="AE32" s="1109"/>
      <c r="AF32" s="1109"/>
      <c r="AG32" s="1109"/>
      <c r="AH32" s="1109"/>
      <c r="AI32" s="1109"/>
      <c r="AJ32" s="1109"/>
      <c r="AK32" s="1109"/>
      <c r="AL32" s="1109"/>
      <c r="AM32" s="1109"/>
      <c r="AN32" s="1087"/>
      <c r="AO32" s="1087"/>
      <c r="AP32" s="1087"/>
      <c r="AQ32" s="1087"/>
      <c r="AR32" s="1087"/>
      <c r="AS32" s="1087"/>
      <c r="AT32" s="1087"/>
      <c r="AU32" s="1087"/>
      <c r="AV32" s="1087"/>
      <c r="AW32" s="1087"/>
      <c r="AX32" s="1087"/>
      <c r="AY32" s="1087"/>
      <c r="AZ32" s="1087"/>
      <c r="BA32" s="1087"/>
      <c r="BB32" s="1087"/>
    </row>
    <row r="33" spans="1:54" s="312" customFormat="1" ht="30" customHeight="1" x14ac:dyDescent="0.25">
      <c r="A33" s="290"/>
      <c r="B33" s="1822" t="s">
        <v>1250</v>
      </c>
      <c r="C33" s="1822"/>
      <c r="D33" s="1822"/>
      <c r="E33" s="1822"/>
      <c r="F33" s="1822"/>
      <c r="G33" s="1822"/>
      <c r="H33" s="1822"/>
      <c r="I33" s="1822"/>
      <c r="J33" s="1822"/>
      <c r="K33" s="1822"/>
      <c r="L33" s="1822"/>
      <c r="M33" s="1822"/>
      <c r="N33" s="310"/>
      <c r="O33" s="313"/>
      <c r="P33" s="310"/>
      <c r="Q33" s="310"/>
      <c r="R33" s="297" t="s">
        <v>679</v>
      </c>
      <c r="S33" s="305">
        <v>353.22399999999999</v>
      </c>
      <c r="T33" s="301">
        <v>3.1E-2</v>
      </c>
      <c r="U33" s="310"/>
      <c r="V33" s="310"/>
      <c r="W33" s="310"/>
      <c r="X33" s="310"/>
      <c r="Y33" s="310"/>
      <c r="Z33" s="310"/>
      <c r="AA33" s="310"/>
      <c r="AB33" s="310"/>
      <c r="AC33" s="340"/>
      <c r="AD33" s="340"/>
      <c r="AE33" s="333"/>
      <c r="AF33" s="314"/>
      <c r="AG33" s="314"/>
      <c r="AH33" s="314"/>
      <c r="AI33" s="314"/>
      <c r="AJ33" s="333"/>
      <c r="AK33" s="333"/>
      <c r="AL33" s="333"/>
      <c r="AM33" s="333"/>
      <c r="AN33" s="290"/>
      <c r="AO33" s="310"/>
      <c r="AP33" s="310"/>
      <c r="AQ33" s="290"/>
      <c r="AR33" s="290"/>
      <c r="AS33" s="290"/>
      <c r="AT33" s="299" t="s">
        <v>670</v>
      </c>
      <c r="AU33" s="334">
        <v>1.3</v>
      </c>
      <c r="AV33" s="334">
        <v>1.2</v>
      </c>
      <c r="AW33" s="310"/>
      <c r="AX33" s="310"/>
      <c r="AY33" s="310"/>
      <c r="AZ33" s="310"/>
      <c r="BA33" s="310"/>
      <c r="BB33" s="310"/>
    </row>
    <row r="34" spans="1:54" s="312" customFormat="1" ht="52.5" customHeight="1" x14ac:dyDescent="0.25">
      <c r="A34" s="290"/>
      <c r="B34" s="1814" t="s">
        <v>1229</v>
      </c>
      <c r="C34" s="1806" t="s">
        <v>1313</v>
      </c>
      <c r="D34" s="1808" t="s">
        <v>1282</v>
      </c>
      <c r="E34" s="315" t="s">
        <v>1286</v>
      </c>
      <c r="F34" s="315" t="s">
        <v>1320</v>
      </c>
      <c r="G34" s="315" t="s">
        <v>1284</v>
      </c>
      <c r="H34" s="1825" t="s">
        <v>1257</v>
      </c>
      <c r="I34" s="1825"/>
      <c r="J34" s="316"/>
      <c r="K34" s="316"/>
      <c r="L34" s="315" t="s">
        <v>1257</v>
      </c>
      <c r="M34" s="315" t="s">
        <v>1227</v>
      </c>
      <c r="N34" s="310"/>
      <c r="O34" s="317"/>
      <c r="P34" s="310"/>
      <c r="Q34" s="310"/>
      <c r="R34" s="297" t="s">
        <v>684</v>
      </c>
      <c r="S34" s="305">
        <v>8398.1149999999998</v>
      </c>
      <c r="T34" s="301">
        <v>0.7349</v>
      </c>
      <c r="U34" s="310"/>
      <c r="V34" s="310"/>
      <c r="W34" s="310"/>
      <c r="X34" s="310"/>
      <c r="Y34" s="310"/>
      <c r="Z34" s="310"/>
      <c r="AA34" s="310"/>
      <c r="AB34" s="310"/>
      <c r="AC34" s="1817" t="s">
        <v>685</v>
      </c>
      <c r="AD34" s="1817"/>
      <c r="AE34" s="1817"/>
      <c r="AF34" s="1817"/>
      <c r="AG34" s="1817"/>
      <c r="AH34" s="1817"/>
      <c r="AI34" s="1817"/>
      <c r="AJ34" s="1817"/>
      <c r="AK34" s="1817"/>
      <c r="AL34" s="1817"/>
      <c r="AM34" s="1817"/>
      <c r="AN34" s="1817"/>
      <c r="AO34" s="310"/>
      <c r="AP34" s="310"/>
      <c r="AQ34" s="290"/>
      <c r="AR34" s="290"/>
      <c r="AS34" s="290"/>
      <c r="AT34" s="314" t="s">
        <v>671</v>
      </c>
      <c r="AU34" s="309">
        <v>1.2</v>
      </c>
      <c r="AV34" s="309">
        <v>1.1000000000000001</v>
      </c>
      <c r="AW34" s="310"/>
      <c r="AX34" s="310"/>
      <c r="AY34" s="310"/>
      <c r="AZ34" s="310"/>
      <c r="BA34" s="310"/>
      <c r="BB34" s="310"/>
    </row>
    <row r="35" spans="1:54" s="312" customFormat="1" ht="20.25" customHeight="1" x14ac:dyDescent="0.25">
      <c r="A35" s="290"/>
      <c r="B35" s="1814"/>
      <c r="C35" s="1807"/>
      <c r="D35" s="1809"/>
      <c r="E35" s="318" t="s">
        <v>686</v>
      </c>
      <c r="F35" s="318" t="s">
        <v>1285</v>
      </c>
      <c r="G35" s="318" t="s">
        <v>1285</v>
      </c>
      <c r="H35" s="1818" t="s">
        <v>1205</v>
      </c>
      <c r="I35" s="1818"/>
      <c r="J35" s="319"/>
      <c r="K35" s="319"/>
      <c r="L35" s="341" t="s">
        <v>1205</v>
      </c>
      <c r="M35" s="342" t="s">
        <v>669</v>
      </c>
      <c r="N35" s="310"/>
      <c r="O35" s="313"/>
      <c r="P35" s="310"/>
      <c r="Q35" s="310"/>
      <c r="R35" s="297" t="s">
        <v>687</v>
      </c>
      <c r="S35" s="300">
        <v>41.771000000000001</v>
      </c>
      <c r="T35" s="301">
        <v>3.7000000000000002E-3</v>
      </c>
      <c r="U35" s="310"/>
      <c r="V35" s="310"/>
      <c r="W35" s="310"/>
      <c r="X35" s="310"/>
      <c r="Y35" s="310"/>
      <c r="Z35" s="310"/>
      <c r="AA35" s="310"/>
      <c r="AB35" s="310"/>
      <c r="AC35" s="1817" t="s">
        <v>688</v>
      </c>
      <c r="AD35" s="1817"/>
      <c r="AE35" s="1817"/>
      <c r="AF35" s="1817"/>
      <c r="AG35" s="1817"/>
      <c r="AH35" s="1817"/>
      <c r="AI35" s="1817"/>
      <c r="AJ35" s="1817"/>
      <c r="AK35" s="1817"/>
      <c r="AL35" s="1817"/>
      <c r="AM35" s="1817"/>
      <c r="AN35" s="1817"/>
      <c r="AO35" s="310"/>
      <c r="AP35" s="310"/>
      <c r="AQ35" s="290"/>
      <c r="AR35" s="290"/>
      <c r="AS35" s="290"/>
      <c r="AT35" s="314" t="s">
        <v>673</v>
      </c>
      <c r="AU35" s="309">
        <v>4</v>
      </c>
      <c r="AV35" s="309">
        <v>1.3</v>
      </c>
      <c r="AW35" s="310"/>
      <c r="AX35" s="310"/>
      <c r="AY35" s="310"/>
      <c r="AZ35" s="310"/>
      <c r="BA35" s="310"/>
      <c r="BB35" s="310"/>
    </row>
    <row r="36" spans="1:54" ht="18.75" customHeight="1" x14ac:dyDescent="0.25">
      <c r="A36" s="290"/>
      <c r="B36" s="462" t="s">
        <v>1251</v>
      </c>
      <c r="C36" s="1332"/>
      <c r="D36" s="1332"/>
      <c r="E36" s="1333"/>
      <c r="F36" s="446" t="e">
        <f>VLOOKUP($C36,$AZ$89:$BJ$521,2,FALSE)</f>
        <v>#N/A</v>
      </c>
      <c r="G36" s="446" t="e">
        <f>VLOOKUP($D36,$AZ$89:$BJ$527,4,FALSE)</f>
        <v>#N/A</v>
      </c>
      <c r="H36" s="1819" t="e">
        <f>E36*(G36-F36)</f>
        <v>#N/A</v>
      </c>
      <c r="I36" s="1819"/>
      <c r="J36" s="447"/>
      <c r="K36" s="443"/>
      <c r="L36" s="439">
        <f>IF(E36&gt;0,H36*(44/12),0)</f>
        <v>0</v>
      </c>
      <c r="M36" s="448">
        <f>IF(E36&gt;0,VLOOKUP($C36,$AZ$89:$BJ$521,3,FALSE),0)</f>
        <v>0</v>
      </c>
      <c r="N36" s="28">
        <f t="shared" ref="N36:N41" si="1">(L36*M36)^2</f>
        <v>0</v>
      </c>
      <c r="O36" s="290"/>
      <c r="P36" s="290"/>
      <c r="Q36" s="290"/>
      <c r="R36" s="328" t="s">
        <v>727</v>
      </c>
      <c r="S36" s="328" t="s">
        <v>728</v>
      </c>
      <c r="T36" s="328">
        <v>172.07900000000001</v>
      </c>
      <c r="U36" s="330">
        <v>172.2</v>
      </c>
      <c r="V36" s="330">
        <v>39.5</v>
      </c>
      <c r="W36" s="330">
        <v>86.1</v>
      </c>
      <c r="X36" s="329">
        <v>29634292</v>
      </c>
      <c r="Y36" s="329">
        <v>14817146</v>
      </c>
      <c r="Z36" s="329">
        <v>54378925</v>
      </c>
      <c r="AA36" s="290"/>
      <c r="AB36" s="290"/>
      <c r="AC36" s="294" t="s">
        <v>729</v>
      </c>
      <c r="AD36" s="294"/>
      <c r="AE36" s="335" t="s">
        <v>730</v>
      </c>
      <c r="AF36" s="1820" t="s">
        <v>731</v>
      </c>
      <c r="AG36" s="1820"/>
      <c r="AH36" s="1820"/>
      <c r="AI36" s="1820"/>
      <c r="AJ36" s="335" t="s">
        <v>732</v>
      </c>
      <c r="AK36" s="1821" t="s">
        <v>733</v>
      </c>
      <c r="AL36" s="1821"/>
      <c r="AM36" s="335" t="s">
        <v>732</v>
      </c>
      <c r="AN36" s="290"/>
      <c r="AO36" s="290"/>
      <c r="AP36" s="290"/>
      <c r="AQ36" s="290"/>
      <c r="AR36" s="290"/>
      <c r="AS36" s="290"/>
      <c r="AT36" s="290"/>
      <c r="AU36" s="290"/>
      <c r="AV36" s="290"/>
      <c r="AW36" s="290"/>
      <c r="AX36" s="290"/>
      <c r="AY36" s="290"/>
      <c r="AZ36" s="290"/>
      <c r="BA36" s="290"/>
      <c r="BB36" s="290"/>
    </row>
    <row r="37" spans="1:54" ht="18" customHeight="1" x14ac:dyDescent="0.25">
      <c r="A37" s="290"/>
      <c r="B37" s="462" t="s">
        <v>1312</v>
      </c>
      <c r="C37" s="1332"/>
      <c r="D37" s="1332"/>
      <c r="E37" s="1333"/>
      <c r="F37" s="446" t="e">
        <f>VLOOKUP($C37,$AZ$89:$BJ$521,2,FALSE)</f>
        <v>#N/A</v>
      </c>
      <c r="G37" s="446" t="e">
        <f>VLOOKUP($D37,$AZ$89:$BJ$521,2,FALSE)</f>
        <v>#N/A</v>
      </c>
      <c r="H37" s="1819" t="e">
        <f>E37*(G37-F37)</f>
        <v>#N/A</v>
      </c>
      <c r="I37" s="1819"/>
      <c r="J37" s="447"/>
      <c r="K37" s="443"/>
      <c r="L37" s="439">
        <f>IF(E37&gt;0,H37*(44/12),0)</f>
        <v>0</v>
      </c>
      <c r="M37" s="448">
        <f>IF(E37&gt;0,VLOOKUP($C37,$AZ$89:$BJ$521,3,FALSE),0)</f>
        <v>0</v>
      </c>
      <c r="N37" s="28">
        <f t="shared" si="1"/>
        <v>0</v>
      </c>
      <c r="O37" s="290"/>
      <c r="P37" s="290"/>
      <c r="Q37" s="290"/>
      <c r="R37" s="322" t="s">
        <v>734</v>
      </c>
      <c r="S37" s="322" t="s">
        <v>735</v>
      </c>
      <c r="T37" s="324">
        <v>1094798</v>
      </c>
      <c r="U37" s="323">
        <v>193</v>
      </c>
      <c r="V37" s="323">
        <v>41.3</v>
      </c>
      <c r="W37" s="336">
        <v>96.5</v>
      </c>
      <c r="X37" s="324">
        <v>211285876</v>
      </c>
      <c r="Y37" s="324">
        <v>105642938</v>
      </c>
      <c r="Z37" s="324">
        <v>387709583</v>
      </c>
      <c r="AA37" s="290"/>
      <c r="AB37" s="290"/>
      <c r="AC37" s="1805" t="s">
        <v>672</v>
      </c>
      <c r="AD37" s="1805"/>
      <c r="AE37" s="1805"/>
      <c r="AF37" s="1805"/>
      <c r="AG37" s="1805"/>
      <c r="AH37" s="1805"/>
      <c r="AI37" s="1805"/>
      <c r="AJ37" s="1805"/>
      <c r="AK37" s="1805"/>
      <c r="AL37" s="1805"/>
      <c r="AM37" s="1805"/>
      <c r="AN37" s="290"/>
      <c r="AO37" s="290"/>
      <c r="AP37" s="290"/>
      <c r="AQ37" s="290"/>
      <c r="AR37" s="290"/>
      <c r="AS37" s="290"/>
      <c r="AT37" s="290"/>
      <c r="AU37" s="290"/>
      <c r="AV37" s="290"/>
      <c r="AW37" s="290"/>
      <c r="AX37" s="290"/>
      <c r="AY37" s="290"/>
      <c r="AZ37" s="290"/>
      <c r="BA37" s="290"/>
      <c r="BB37" s="290"/>
    </row>
    <row r="38" spans="1:54" ht="18" customHeight="1" x14ac:dyDescent="0.25">
      <c r="A38" s="290"/>
      <c r="B38" s="462" t="s">
        <v>1252</v>
      </c>
      <c r="C38" s="1332"/>
      <c r="D38" s="1332"/>
      <c r="E38" s="1333"/>
      <c r="F38" s="446" t="e">
        <f>VLOOKUP($C38,$AZ$89:$BJ$521,2,FALSE)</f>
        <v>#N/A</v>
      </c>
      <c r="G38" s="446" t="e">
        <f>VLOOKUP($D38,$AZ$89:$BJ$521,2,FALSE)</f>
        <v>#N/A</v>
      </c>
      <c r="H38" s="1819" t="e">
        <f>E38*(G38-F38)</f>
        <v>#N/A</v>
      </c>
      <c r="I38" s="1819"/>
      <c r="J38" s="447"/>
      <c r="K38" s="443"/>
      <c r="L38" s="439">
        <f>IF(E38&gt;0,H38*(44/12),0)</f>
        <v>0</v>
      </c>
      <c r="M38" s="448">
        <f>IF(E38&gt;0,VLOOKUP($C38,$AZ$89:$BJ$521,3,FALSE),0)</f>
        <v>0</v>
      </c>
      <c r="N38" s="28">
        <f t="shared" si="1"/>
        <v>0</v>
      </c>
      <c r="O38" s="290"/>
      <c r="P38" s="290"/>
      <c r="Q38" s="290"/>
      <c r="R38" s="322" t="s">
        <v>734</v>
      </c>
      <c r="S38" s="322" t="s">
        <v>735</v>
      </c>
      <c r="T38" s="324">
        <v>1094798</v>
      </c>
      <c r="U38" s="323">
        <v>193</v>
      </c>
      <c r="V38" s="323">
        <v>41.3</v>
      </c>
      <c r="W38" s="336">
        <v>96.5</v>
      </c>
      <c r="X38" s="324">
        <v>211285876</v>
      </c>
      <c r="Y38" s="324">
        <v>105642938</v>
      </c>
      <c r="Z38" s="324">
        <v>387709583</v>
      </c>
      <c r="AA38" s="290"/>
      <c r="AB38" s="290"/>
      <c r="AC38" s="1805" t="s">
        <v>672</v>
      </c>
      <c r="AD38" s="1805"/>
      <c r="AE38" s="1805"/>
      <c r="AF38" s="1805"/>
      <c r="AG38" s="1805"/>
      <c r="AH38" s="1805"/>
      <c r="AI38" s="1805"/>
      <c r="AJ38" s="1805"/>
      <c r="AK38" s="1805"/>
      <c r="AL38" s="1805"/>
      <c r="AM38" s="1805"/>
      <c r="AN38" s="290"/>
      <c r="AO38" s="290"/>
      <c r="AP38" s="290"/>
      <c r="AQ38" s="290"/>
      <c r="AR38" s="290"/>
      <c r="AS38" s="290"/>
      <c r="AT38" s="290"/>
      <c r="AU38" s="290"/>
      <c r="AV38" s="290"/>
      <c r="AW38" s="290"/>
      <c r="AX38" s="290"/>
      <c r="AY38" s="290"/>
      <c r="AZ38" s="290"/>
      <c r="BA38" s="290"/>
      <c r="BB38" s="290"/>
    </row>
    <row r="39" spans="1:54" ht="18" customHeight="1" x14ac:dyDescent="0.25">
      <c r="A39" s="290"/>
      <c r="B39" s="462" t="s">
        <v>1253</v>
      </c>
      <c r="C39" s="1332"/>
      <c r="D39" s="1332"/>
      <c r="E39" s="1333"/>
      <c r="F39" s="446" t="e">
        <f>VLOOKUP($C39,$AZ$89:$BJ$521,2,FALSE)</f>
        <v>#N/A</v>
      </c>
      <c r="G39" s="446" t="e">
        <f>VLOOKUP($D39,$AZ$89:$BJ$521,2,FALSE)</f>
        <v>#N/A</v>
      </c>
      <c r="H39" s="1819" t="e">
        <f>E39*(G39-F39)</f>
        <v>#N/A</v>
      </c>
      <c r="I39" s="1819"/>
      <c r="J39" s="447"/>
      <c r="K39" s="443"/>
      <c r="L39" s="439">
        <f>IF(E39&gt;0,H39*(44/12),0)</f>
        <v>0</v>
      </c>
      <c r="M39" s="448">
        <f>IF(E39&gt;0,VLOOKUP($C39,$AZ$89:$BJ$521,3,FALSE),0)</f>
        <v>0</v>
      </c>
      <c r="N39" s="28">
        <f t="shared" si="1"/>
        <v>0</v>
      </c>
      <c r="O39" s="290"/>
      <c r="P39" s="290"/>
      <c r="Q39" s="290"/>
      <c r="R39" s="322" t="s">
        <v>734</v>
      </c>
      <c r="S39" s="322" t="s">
        <v>735</v>
      </c>
      <c r="T39" s="324">
        <v>1094798</v>
      </c>
      <c r="U39" s="323">
        <v>193</v>
      </c>
      <c r="V39" s="323">
        <v>41.3</v>
      </c>
      <c r="W39" s="336">
        <v>96.5</v>
      </c>
      <c r="X39" s="324">
        <v>211285876</v>
      </c>
      <c r="Y39" s="324">
        <v>105642938</v>
      </c>
      <c r="Z39" s="324">
        <v>387709583</v>
      </c>
      <c r="AA39" s="290"/>
      <c r="AB39" s="290"/>
      <c r="AC39" s="1805" t="s">
        <v>672</v>
      </c>
      <c r="AD39" s="1805"/>
      <c r="AE39" s="1805"/>
      <c r="AF39" s="1805"/>
      <c r="AG39" s="1805"/>
      <c r="AH39" s="1805"/>
      <c r="AI39" s="1805"/>
      <c r="AJ39" s="1805"/>
      <c r="AK39" s="1805"/>
      <c r="AL39" s="1805"/>
      <c r="AM39" s="1805"/>
      <c r="AN39" s="290"/>
      <c r="AO39" s="290"/>
      <c r="AP39" s="290"/>
      <c r="AQ39" s="290"/>
      <c r="AR39" s="290"/>
      <c r="AS39" s="290"/>
      <c r="AT39" s="290"/>
      <c r="AU39" s="290"/>
      <c r="AV39" s="290"/>
      <c r="AW39" s="290"/>
      <c r="AX39" s="290"/>
      <c r="AY39" s="290"/>
      <c r="AZ39" s="290"/>
      <c r="BA39" s="290"/>
      <c r="BB39" s="290"/>
    </row>
    <row r="40" spans="1:54" ht="18" customHeight="1" x14ac:dyDescent="0.25">
      <c r="A40" s="290"/>
      <c r="B40" s="462" t="s">
        <v>1254</v>
      </c>
      <c r="C40" s="1332"/>
      <c r="D40" s="1332"/>
      <c r="E40" s="1333"/>
      <c r="F40" s="446" t="e">
        <f>VLOOKUP($C40,$AZ$89:$BJ$521,2,FALSE)</f>
        <v>#N/A</v>
      </c>
      <c r="G40" s="446" t="e">
        <f>VLOOKUP($D40,$AZ$89:$BJ$521,2,FALSE)</f>
        <v>#N/A</v>
      </c>
      <c r="H40" s="1819" t="e">
        <f>E40*(G40-F40)</f>
        <v>#N/A</v>
      </c>
      <c r="I40" s="1819"/>
      <c r="J40" s="447"/>
      <c r="K40" s="443"/>
      <c r="L40" s="439">
        <f>IF(E40&gt;0,H40*(44/12),0)</f>
        <v>0</v>
      </c>
      <c r="M40" s="448">
        <f>IF(E40&gt;0,VLOOKUP($C40,$AZ$89:$BJ$521,3,FALSE),0)</f>
        <v>0</v>
      </c>
      <c r="N40" s="28">
        <f t="shared" si="1"/>
        <v>0</v>
      </c>
      <c r="O40" s="290"/>
      <c r="P40" s="290"/>
      <c r="Q40" s="290"/>
      <c r="R40" s="322" t="s">
        <v>734</v>
      </c>
      <c r="S40" s="322" t="s">
        <v>735</v>
      </c>
      <c r="T40" s="324">
        <v>1094798</v>
      </c>
      <c r="U40" s="323">
        <v>193</v>
      </c>
      <c r="V40" s="323">
        <v>41.3</v>
      </c>
      <c r="W40" s="336">
        <v>96.5</v>
      </c>
      <c r="X40" s="324">
        <v>211285876</v>
      </c>
      <c r="Y40" s="324">
        <v>105642938</v>
      </c>
      <c r="Z40" s="324">
        <v>387709583</v>
      </c>
      <c r="AA40" s="290"/>
      <c r="AB40" s="290"/>
      <c r="AC40" s="1805" t="s">
        <v>672</v>
      </c>
      <c r="AD40" s="1805"/>
      <c r="AE40" s="1805"/>
      <c r="AF40" s="1805"/>
      <c r="AG40" s="1805"/>
      <c r="AH40" s="1805"/>
      <c r="AI40" s="1805"/>
      <c r="AJ40" s="1805"/>
      <c r="AK40" s="1805"/>
      <c r="AL40" s="1805"/>
      <c r="AM40" s="1805"/>
      <c r="AN40" s="290"/>
      <c r="AO40" s="290"/>
      <c r="AP40" s="290"/>
      <c r="AQ40" s="290"/>
      <c r="AR40" s="290"/>
      <c r="AS40" s="290"/>
      <c r="AT40" s="290"/>
      <c r="AU40" s="290"/>
      <c r="AV40" s="290"/>
      <c r="AW40" s="290"/>
      <c r="AX40" s="290"/>
      <c r="AY40" s="290"/>
      <c r="AZ40" s="290"/>
      <c r="BA40" s="290"/>
      <c r="BB40" s="290"/>
    </row>
    <row r="41" spans="1:54" ht="18" customHeight="1" x14ac:dyDescent="0.25">
      <c r="A41" s="290"/>
      <c r="B41" s="1812" t="s">
        <v>719</v>
      </c>
      <c r="C41" s="1813"/>
      <c r="D41" s="325"/>
      <c r="E41" s="326">
        <f>SUM(E36:E40)</f>
        <v>0</v>
      </c>
      <c r="F41" s="326"/>
      <c r="G41" s="326"/>
      <c r="H41" s="1815"/>
      <c r="I41" s="1815"/>
      <c r="J41" s="327"/>
      <c r="K41" s="327"/>
      <c r="L41" s="326">
        <f>SUM(L36:L40)</f>
        <v>0</v>
      </c>
      <c r="M41" s="449">
        <f>IF(L41&gt;0,SQRT(SUM(N36:N40))/L41,0)</f>
        <v>0</v>
      </c>
      <c r="N41" s="28">
        <f t="shared" si="1"/>
        <v>0</v>
      </c>
      <c r="O41" s="290"/>
      <c r="P41" s="290"/>
      <c r="Q41" s="290"/>
      <c r="R41" s="322" t="s">
        <v>739</v>
      </c>
      <c r="S41" s="322" t="s">
        <v>740</v>
      </c>
      <c r="T41" s="322">
        <v>606.89599999999996</v>
      </c>
      <c r="U41" s="323">
        <v>213.5</v>
      </c>
      <c r="V41" s="323">
        <v>47.8</v>
      </c>
      <c r="W41" s="336">
        <v>106.8</v>
      </c>
      <c r="X41" s="324">
        <v>129579389</v>
      </c>
      <c r="Y41" s="324">
        <v>64789695</v>
      </c>
      <c r="Z41" s="324">
        <v>237778180</v>
      </c>
      <c r="AA41" s="290"/>
      <c r="AB41" s="290"/>
      <c r="AC41" s="338" t="s">
        <v>741</v>
      </c>
      <c r="AD41" s="298" t="s">
        <v>670</v>
      </c>
      <c r="AE41" s="314">
        <v>1.9</v>
      </c>
      <c r="AF41" s="1816">
        <v>2</v>
      </c>
      <c r="AG41" s="1816"/>
      <c r="AH41" s="1816"/>
      <c r="AI41" s="314">
        <v>1</v>
      </c>
      <c r="AJ41" s="314">
        <v>1</v>
      </c>
      <c r="AK41" s="1816">
        <v>1.4</v>
      </c>
      <c r="AL41" s="1816"/>
      <c r="AM41" s="314">
        <v>0.4</v>
      </c>
      <c r="AN41" s="290"/>
      <c r="AO41" s="290"/>
      <c r="AP41" s="290"/>
      <c r="AQ41" s="290"/>
      <c r="AR41" s="290"/>
      <c r="AS41" s="290"/>
      <c r="AT41" s="290"/>
      <c r="AU41" s="290"/>
      <c r="AV41" s="290"/>
      <c r="AW41" s="290"/>
      <c r="AX41" s="290"/>
      <c r="AY41" s="290"/>
      <c r="AZ41" s="290"/>
      <c r="BA41" s="290"/>
      <c r="BB41" s="290"/>
    </row>
    <row r="42" spans="1:54" s="1091" customFormat="1" ht="18" customHeight="1" x14ac:dyDescent="0.25">
      <c r="A42" s="1087"/>
      <c r="B42" s="1101"/>
      <c r="C42" s="1102"/>
      <c r="D42" s="453"/>
      <c r="E42" s="454"/>
      <c r="F42" s="454"/>
      <c r="G42" s="454"/>
      <c r="H42" s="455"/>
      <c r="I42" s="455"/>
      <c r="J42" s="455"/>
      <c r="K42" s="455"/>
      <c r="L42" s="454"/>
      <c r="M42" s="456"/>
      <c r="N42" s="28"/>
      <c r="O42" s="1087"/>
      <c r="P42" s="1087"/>
      <c r="Q42" s="1087"/>
      <c r="R42" s="1103"/>
      <c r="S42" s="1103"/>
      <c r="T42" s="1103"/>
      <c r="U42" s="1104"/>
      <c r="V42" s="1104"/>
      <c r="W42" s="1105"/>
      <c r="X42" s="1106"/>
      <c r="Y42" s="1106"/>
      <c r="Z42" s="1106"/>
      <c r="AA42" s="1087"/>
      <c r="AB42" s="1087"/>
      <c r="AC42" s="1107"/>
      <c r="AD42" s="1108"/>
      <c r="AE42" s="1109"/>
      <c r="AF42" s="1109"/>
      <c r="AG42" s="1109"/>
      <c r="AH42" s="1109"/>
      <c r="AI42" s="1109"/>
      <c r="AJ42" s="1109"/>
      <c r="AK42" s="1109"/>
      <c r="AL42" s="1109"/>
      <c r="AM42" s="1109"/>
      <c r="AN42" s="1087"/>
      <c r="AO42" s="1087"/>
      <c r="AP42" s="1087"/>
      <c r="AQ42" s="1087"/>
      <c r="AR42" s="1087"/>
      <c r="AS42" s="1087"/>
      <c r="AT42" s="1087"/>
      <c r="AU42" s="1087"/>
      <c r="AV42" s="1087"/>
      <c r="AW42" s="1087"/>
      <c r="AX42" s="1087"/>
      <c r="AY42" s="1087"/>
      <c r="AZ42" s="1087"/>
      <c r="BA42" s="1087"/>
      <c r="BB42" s="1087"/>
    </row>
    <row r="43" spans="1:54" s="312" customFormat="1" ht="30" customHeight="1" x14ac:dyDescent="0.25">
      <c r="A43" s="290"/>
      <c r="B43" s="1822" t="s">
        <v>1294</v>
      </c>
      <c r="C43" s="1822"/>
      <c r="D43" s="1822"/>
      <c r="E43" s="1822"/>
      <c r="F43" s="1822"/>
      <c r="G43" s="1822"/>
      <c r="H43" s="1822"/>
      <c r="I43" s="1822"/>
      <c r="J43" s="1822"/>
      <c r="K43" s="1822"/>
      <c r="L43" s="1822"/>
      <c r="M43" s="1822"/>
      <c r="N43" s="310"/>
      <c r="O43" s="313"/>
      <c r="P43" s="310"/>
      <c r="Q43" s="310"/>
      <c r="R43" s="297" t="s">
        <v>679</v>
      </c>
      <c r="S43" s="305">
        <v>353.22399999999999</v>
      </c>
      <c r="T43" s="301">
        <v>3.1E-2</v>
      </c>
      <c r="U43" s="310"/>
      <c r="V43" s="310"/>
      <c r="W43" s="310"/>
      <c r="X43" s="310"/>
      <c r="Y43" s="310"/>
      <c r="Z43" s="310"/>
      <c r="AA43" s="310"/>
      <c r="AB43" s="310"/>
      <c r="AC43" s="340"/>
      <c r="AD43" s="340"/>
      <c r="AE43" s="333"/>
      <c r="AF43" s="314"/>
      <c r="AG43" s="314"/>
      <c r="AH43" s="314"/>
      <c r="AI43" s="314"/>
      <c r="AJ43" s="333"/>
      <c r="AK43" s="333"/>
      <c r="AL43" s="333"/>
      <c r="AM43" s="333"/>
      <c r="AN43" s="290"/>
      <c r="AO43" s="310"/>
      <c r="AP43" s="310"/>
      <c r="AQ43" s="290"/>
      <c r="AR43" s="290"/>
      <c r="AS43" s="290"/>
      <c r="AT43" s="299" t="s">
        <v>670</v>
      </c>
      <c r="AU43" s="334">
        <v>1.3</v>
      </c>
      <c r="AV43" s="334">
        <v>1.2</v>
      </c>
      <c r="AW43" s="310"/>
      <c r="AX43" s="310"/>
      <c r="AY43" s="310"/>
      <c r="AZ43" s="310"/>
      <c r="BA43" s="310"/>
      <c r="BB43" s="310"/>
    </row>
    <row r="44" spans="1:54" s="312" customFormat="1" ht="52.5" customHeight="1" x14ac:dyDescent="0.25">
      <c r="A44" s="290"/>
      <c r="B44" s="1814" t="s">
        <v>1229</v>
      </c>
      <c r="C44" s="1806" t="s">
        <v>1327</v>
      </c>
      <c r="D44" s="1808" t="s">
        <v>1282</v>
      </c>
      <c r="E44" s="315" t="s">
        <v>1286</v>
      </c>
      <c r="F44" s="315" t="s">
        <v>1321</v>
      </c>
      <c r="G44" s="315" t="s">
        <v>1284</v>
      </c>
      <c r="H44" s="1825" t="s">
        <v>1257</v>
      </c>
      <c r="I44" s="1825"/>
      <c r="J44" s="316"/>
      <c r="K44" s="316"/>
      <c r="L44" s="315" t="s">
        <v>1257</v>
      </c>
      <c r="M44" s="315" t="s">
        <v>1227</v>
      </c>
      <c r="N44" s="310"/>
      <c r="O44" s="317"/>
      <c r="P44" s="310"/>
      <c r="Q44" s="310"/>
      <c r="R44" s="297" t="s">
        <v>684</v>
      </c>
      <c r="S44" s="305">
        <v>8398.1149999999998</v>
      </c>
      <c r="T44" s="301">
        <v>0.7349</v>
      </c>
      <c r="U44" s="310"/>
      <c r="V44" s="310"/>
      <c r="W44" s="310"/>
      <c r="X44" s="310"/>
      <c r="Y44" s="310"/>
      <c r="Z44" s="310"/>
      <c r="AA44" s="310"/>
      <c r="AB44" s="310"/>
      <c r="AC44" s="1817" t="s">
        <v>685</v>
      </c>
      <c r="AD44" s="1817"/>
      <c r="AE44" s="1817"/>
      <c r="AF44" s="1817"/>
      <c r="AG44" s="1817"/>
      <c r="AH44" s="1817"/>
      <c r="AI44" s="1817"/>
      <c r="AJ44" s="1817"/>
      <c r="AK44" s="1817"/>
      <c r="AL44" s="1817"/>
      <c r="AM44" s="1817"/>
      <c r="AN44" s="1817"/>
      <c r="AO44" s="310"/>
      <c r="AP44" s="310"/>
      <c r="AQ44" s="290"/>
      <c r="AR44" s="290"/>
      <c r="AS44" s="290"/>
      <c r="AT44" s="314" t="s">
        <v>671</v>
      </c>
      <c r="AU44" s="309">
        <v>1.2</v>
      </c>
      <c r="AV44" s="309">
        <v>1.1000000000000001</v>
      </c>
      <c r="AW44" s="310"/>
      <c r="AX44" s="310"/>
      <c r="AY44" s="310"/>
      <c r="AZ44" s="310"/>
      <c r="BA44" s="310"/>
      <c r="BB44" s="310"/>
    </row>
    <row r="45" spans="1:54" s="312" customFormat="1" ht="20.25" customHeight="1" x14ac:dyDescent="0.25">
      <c r="A45" s="290"/>
      <c r="B45" s="1814"/>
      <c r="C45" s="1807"/>
      <c r="D45" s="1809"/>
      <c r="E45" s="318" t="s">
        <v>686</v>
      </c>
      <c r="F45" s="318" t="s">
        <v>1285</v>
      </c>
      <c r="G45" s="318" t="s">
        <v>1285</v>
      </c>
      <c r="H45" s="1818" t="s">
        <v>1205</v>
      </c>
      <c r="I45" s="1818"/>
      <c r="J45" s="319"/>
      <c r="K45" s="319"/>
      <c r="L45" s="341" t="s">
        <v>1205</v>
      </c>
      <c r="M45" s="342" t="s">
        <v>669</v>
      </c>
      <c r="N45" s="310"/>
      <c r="O45" s="313"/>
      <c r="P45" s="310"/>
      <c r="Q45" s="310"/>
      <c r="R45" s="297" t="s">
        <v>687</v>
      </c>
      <c r="S45" s="300">
        <v>41.771000000000001</v>
      </c>
      <c r="T45" s="301">
        <v>3.7000000000000002E-3</v>
      </c>
      <c r="U45" s="310"/>
      <c r="V45" s="310"/>
      <c r="W45" s="310"/>
      <c r="X45" s="310"/>
      <c r="Y45" s="310"/>
      <c r="Z45" s="310"/>
      <c r="AA45" s="310"/>
      <c r="AB45" s="310"/>
      <c r="AC45" s="1817" t="s">
        <v>688</v>
      </c>
      <c r="AD45" s="1817"/>
      <c r="AE45" s="1817"/>
      <c r="AF45" s="1817"/>
      <c r="AG45" s="1817"/>
      <c r="AH45" s="1817"/>
      <c r="AI45" s="1817"/>
      <c r="AJ45" s="1817"/>
      <c r="AK45" s="1817"/>
      <c r="AL45" s="1817"/>
      <c r="AM45" s="1817"/>
      <c r="AN45" s="1817"/>
      <c r="AO45" s="310"/>
      <c r="AP45" s="310"/>
      <c r="AQ45" s="290"/>
      <c r="AR45" s="290"/>
      <c r="AS45" s="290"/>
      <c r="AT45" s="314" t="s">
        <v>673</v>
      </c>
      <c r="AU45" s="309">
        <v>4</v>
      </c>
      <c r="AV45" s="309">
        <v>1.3</v>
      </c>
      <c r="AW45" s="310"/>
      <c r="AX45" s="310"/>
      <c r="AY45" s="310"/>
      <c r="AZ45" s="310"/>
      <c r="BA45" s="310"/>
      <c r="BB45" s="310"/>
    </row>
    <row r="46" spans="1:54" ht="18.75" customHeight="1" x14ac:dyDescent="0.25">
      <c r="A46" s="290"/>
      <c r="B46" s="462" t="s">
        <v>1293</v>
      </c>
      <c r="C46" s="1332"/>
      <c r="D46" s="1332"/>
      <c r="E46" s="1333"/>
      <c r="F46" s="446" t="e">
        <f>VLOOKUP($C46,$AZ$89:$BJ$521,2,FALSE)</f>
        <v>#N/A</v>
      </c>
      <c r="G46" s="446" t="e">
        <f>VLOOKUP($D46,$AZ$89:$BJ$527,4,FALSE)</f>
        <v>#N/A</v>
      </c>
      <c r="H46" s="1819" t="e">
        <f>E46*(G46-F46)</f>
        <v>#N/A</v>
      </c>
      <c r="I46" s="1819"/>
      <c r="J46" s="447"/>
      <c r="K46" s="443"/>
      <c r="L46" s="439">
        <f>IF(E46&gt;0,H46*(44/12),0)</f>
        <v>0</v>
      </c>
      <c r="M46" s="448">
        <f>IF(E46&gt;0,VLOOKUP($C46,$AZ$89:$BJ$521,3,FALSE),0)</f>
        <v>0</v>
      </c>
      <c r="N46" s="28">
        <f t="shared" ref="N46:N51" si="2">(L46*M46)^2</f>
        <v>0</v>
      </c>
      <c r="O46" s="290"/>
      <c r="P46" s="290"/>
      <c r="Q46" s="290"/>
      <c r="R46" s="328" t="s">
        <v>727</v>
      </c>
      <c r="S46" s="328" t="s">
        <v>728</v>
      </c>
      <c r="T46" s="328">
        <v>172.07900000000001</v>
      </c>
      <c r="U46" s="330">
        <v>172.2</v>
      </c>
      <c r="V46" s="330">
        <v>39.5</v>
      </c>
      <c r="W46" s="330">
        <v>86.1</v>
      </c>
      <c r="X46" s="329">
        <v>29634292</v>
      </c>
      <c r="Y46" s="329">
        <v>14817146</v>
      </c>
      <c r="Z46" s="329">
        <v>54378925</v>
      </c>
      <c r="AA46" s="290"/>
      <c r="AB46" s="290"/>
      <c r="AC46" s="294" t="s">
        <v>729</v>
      </c>
      <c r="AD46" s="294"/>
      <c r="AE46" s="335" t="s">
        <v>730</v>
      </c>
      <c r="AF46" s="1820" t="s">
        <v>731</v>
      </c>
      <c r="AG46" s="1820"/>
      <c r="AH46" s="1820"/>
      <c r="AI46" s="1820"/>
      <c r="AJ46" s="335" t="s">
        <v>732</v>
      </c>
      <c r="AK46" s="1821" t="s">
        <v>733</v>
      </c>
      <c r="AL46" s="1821"/>
      <c r="AM46" s="335" t="s">
        <v>732</v>
      </c>
      <c r="AN46" s="290"/>
      <c r="AO46" s="290"/>
      <c r="AP46" s="290"/>
      <c r="AQ46" s="290"/>
      <c r="AR46" s="290"/>
      <c r="AS46" s="290"/>
      <c r="AT46" s="290"/>
      <c r="AU46" s="290"/>
      <c r="AV46" s="290"/>
      <c r="AW46" s="290"/>
      <c r="AX46" s="290"/>
      <c r="AY46" s="290"/>
      <c r="AZ46" s="290"/>
      <c r="BA46" s="290"/>
      <c r="BB46" s="290"/>
    </row>
    <row r="47" spans="1:54" ht="18" customHeight="1" x14ac:dyDescent="0.25">
      <c r="A47" s="290"/>
      <c r="B47" s="462" t="s">
        <v>1315</v>
      </c>
      <c r="C47" s="1332"/>
      <c r="D47" s="1332"/>
      <c r="E47" s="1333"/>
      <c r="F47" s="446" t="e">
        <f>VLOOKUP($C47,$AZ$89:$BJ$521,2,FALSE)</f>
        <v>#N/A</v>
      </c>
      <c r="G47" s="446" t="e">
        <f>VLOOKUP($D47,$AZ$89:$BJ$521,2,FALSE)</f>
        <v>#N/A</v>
      </c>
      <c r="H47" s="1819" t="e">
        <f>E47*(G47-F47)</f>
        <v>#N/A</v>
      </c>
      <c r="I47" s="1819"/>
      <c r="J47" s="447"/>
      <c r="K47" s="443"/>
      <c r="L47" s="439">
        <f>IF(E47&gt;0,H47*(44/12),0)</f>
        <v>0</v>
      </c>
      <c r="M47" s="448">
        <f>IF(E47&gt;0,VLOOKUP($C47,$AZ$89:$BJ$521,3,FALSE),0)</f>
        <v>0</v>
      </c>
      <c r="N47" s="28">
        <f t="shared" si="2"/>
        <v>0</v>
      </c>
      <c r="O47" s="290"/>
      <c r="P47" s="290"/>
      <c r="Q47" s="290"/>
      <c r="R47" s="322" t="s">
        <v>734</v>
      </c>
      <c r="S47" s="322" t="s">
        <v>735</v>
      </c>
      <c r="T47" s="324">
        <v>1094798</v>
      </c>
      <c r="U47" s="323">
        <v>193</v>
      </c>
      <c r="V47" s="323">
        <v>41.3</v>
      </c>
      <c r="W47" s="336">
        <v>96.5</v>
      </c>
      <c r="X47" s="324">
        <v>211285876</v>
      </c>
      <c r="Y47" s="324">
        <v>105642938</v>
      </c>
      <c r="Z47" s="324">
        <v>387709583</v>
      </c>
      <c r="AA47" s="290"/>
      <c r="AB47" s="290"/>
      <c r="AC47" s="1805" t="s">
        <v>672</v>
      </c>
      <c r="AD47" s="1805"/>
      <c r="AE47" s="1805"/>
      <c r="AF47" s="1805"/>
      <c r="AG47" s="1805"/>
      <c r="AH47" s="1805"/>
      <c r="AI47" s="1805"/>
      <c r="AJ47" s="1805"/>
      <c r="AK47" s="1805"/>
      <c r="AL47" s="1805"/>
      <c r="AM47" s="1805"/>
      <c r="AN47" s="290"/>
      <c r="AO47" s="290"/>
      <c r="AP47" s="290"/>
      <c r="AQ47" s="290"/>
      <c r="AR47" s="290"/>
      <c r="AS47" s="290"/>
      <c r="AT47" s="290"/>
      <c r="AU47" s="290"/>
      <c r="AV47" s="290"/>
      <c r="AW47" s="290"/>
      <c r="AX47" s="290"/>
      <c r="AY47" s="290"/>
      <c r="AZ47" s="290"/>
      <c r="BA47" s="290"/>
      <c r="BB47" s="290"/>
    </row>
    <row r="48" spans="1:54" ht="18" customHeight="1" x14ac:dyDescent="0.25">
      <c r="A48" s="290"/>
      <c r="B48" s="462" t="s">
        <v>1314</v>
      </c>
      <c r="C48" s="1332"/>
      <c r="D48" s="1332"/>
      <c r="E48" s="1333"/>
      <c r="F48" s="446" t="e">
        <f>VLOOKUP($C48,$AZ$89:$BJ$521,2,FALSE)</f>
        <v>#N/A</v>
      </c>
      <c r="G48" s="446" t="e">
        <f>VLOOKUP($D48,$AZ$89:$BJ$521,2,FALSE)</f>
        <v>#N/A</v>
      </c>
      <c r="H48" s="1819" t="e">
        <f>E48*(G48-F48)</f>
        <v>#N/A</v>
      </c>
      <c r="I48" s="1819"/>
      <c r="J48" s="447"/>
      <c r="K48" s="443"/>
      <c r="L48" s="439">
        <f>IF(E48&gt;0,H48*(44/12),0)</f>
        <v>0</v>
      </c>
      <c r="M48" s="448">
        <f>IF(E48&gt;0,VLOOKUP($C48,$AZ$89:$BJ$521,3,FALSE),0)</f>
        <v>0</v>
      </c>
      <c r="N48" s="28">
        <f t="shared" si="2"/>
        <v>0</v>
      </c>
      <c r="O48" s="290"/>
      <c r="P48" s="290"/>
      <c r="Q48" s="290"/>
      <c r="R48" s="322" t="s">
        <v>734</v>
      </c>
      <c r="S48" s="322" t="s">
        <v>735</v>
      </c>
      <c r="T48" s="324">
        <v>1094798</v>
      </c>
      <c r="U48" s="323">
        <v>193</v>
      </c>
      <c r="V48" s="323">
        <v>41.3</v>
      </c>
      <c r="W48" s="336">
        <v>96.5</v>
      </c>
      <c r="X48" s="324">
        <v>211285876</v>
      </c>
      <c r="Y48" s="324">
        <v>105642938</v>
      </c>
      <c r="Z48" s="324">
        <v>387709583</v>
      </c>
      <c r="AA48" s="290"/>
      <c r="AB48" s="290"/>
      <c r="AC48" s="1805" t="s">
        <v>672</v>
      </c>
      <c r="AD48" s="1805"/>
      <c r="AE48" s="1805"/>
      <c r="AF48" s="1805"/>
      <c r="AG48" s="1805"/>
      <c r="AH48" s="1805"/>
      <c r="AI48" s="1805"/>
      <c r="AJ48" s="1805"/>
      <c r="AK48" s="1805"/>
      <c r="AL48" s="1805"/>
      <c r="AM48" s="1805"/>
      <c r="AN48" s="290"/>
      <c r="AO48" s="290"/>
      <c r="AP48" s="290"/>
      <c r="AQ48" s="290"/>
      <c r="AR48" s="290"/>
      <c r="AS48" s="290"/>
      <c r="AT48" s="290"/>
      <c r="AU48" s="290"/>
      <c r="AV48" s="290"/>
      <c r="AW48" s="290"/>
      <c r="AX48" s="290"/>
      <c r="AY48" s="290"/>
      <c r="AZ48" s="290"/>
      <c r="BA48" s="290"/>
      <c r="BB48" s="290"/>
    </row>
    <row r="49" spans="1:54" ht="18" customHeight="1" x14ac:dyDescent="0.25">
      <c r="A49" s="290"/>
      <c r="B49" s="462" t="s">
        <v>1316</v>
      </c>
      <c r="C49" s="1332"/>
      <c r="D49" s="1332"/>
      <c r="E49" s="1333"/>
      <c r="F49" s="446" t="e">
        <f>VLOOKUP($C49,$AZ$89:$BJ$521,2,FALSE)</f>
        <v>#N/A</v>
      </c>
      <c r="G49" s="446" t="e">
        <f>VLOOKUP($D49,$AZ$89:$BJ$521,2,FALSE)</f>
        <v>#N/A</v>
      </c>
      <c r="H49" s="1819" t="e">
        <f>E49*(G49-F49)</f>
        <v>#N/A</v>
      </c>
      <c r="I49" s="1819"/>
      <c r="J49" s="447"/>
      <c r="K49" s="443"/>
      <c r="L49" s="439">
        <f>IF(E49&gt;0,H49*(44/12),0)</f>
        <v>0</v>
      </c>
      <c r="M49" s="448">
        <f>IF(E49&gt;0,VLOOKUP($C49,$AZ$89:$BJ$521,3,FALSE),0)</f>
        <v>0</v>
      </c>
      <c r="N49" s="28">
        <f t="shared" si="2"/>
        <v>0</v>
      </c>
      <c r="O49" s="290"/>
      <c r="P49" s="290"/>
      <c r="Q49" s="290"/>
      <c r="R49" s="322" t="s">
        <v>734</v>
      </c>
      <c r="S49" s="322" t="s">
        <v>735</v>
      </c>
      <c r="T49" s="324">
        <v>1094798</v>
      </c>
      <c r="U49" s="323">
        <v>193</v>
      </c>
      <c r="V49" s="323">
        <v>41.3</v>
      </c>
      <c r="W49" s="336">
        <v>96.5</v>
      </c>
      <c r="X49" s="324">
        <v>211285876</v>
      </c>
      <c r="Y49" s="324">
        <v>105642938</v>
      </c>
      <c r="Z49" s="324">
        <v>387709583</v>
      </c>
      <c r="AA49" s="290"/>
      <c r="AB49" s="290"/>
      <c r="AC49" s="1805" t="s">
        <v>672</v>
      </c>
      <c r="AD49" s="1805"/>
      <c r="AE49" s="1805"/>
      <c r="AF49" s="1805"/>
      <c r="AG49" s="1805"/>
      <c r="AH49" s="1805"/>
      <c r="AI49" s="1805"/>
      <c r="AJ49" s="1805"/>
      <c r="AK49" s="1805"/>
      <c r="AL49" s="1805"/>
      <c r="AM49" s="1805"/>
      <c r="AN49" s="290"/>
      <c r="AO49" s="290"/>
      <c r="AP49" s="290"/>
      <c r="AQ49" s="290"/>
      <c r="AR49" s="290"/>
      <c r="AS49" s="290"/>
      <c r="AT49" s="290"/>
      <c r="AU49" s="290"/>
      <c r="AV49" s="290"/>
      <c r="AW49" s="290"/>
      <c r="AX49" s="290"/>
      <c r="AY49" s="290"/>
      <c r="AZ49" s="290"/>
      <c r="BA49" s="290"/>
      <c r="BB49" s="290"/>
    </row>
    <row r="50" spans="1:54" ht="18" customHeight="1" x14ac:dyDescent="0.25">
      <c r="A50" s="290"/>
      <c r="B50" s="462" t="s">
        <v>1317</v>
      </c>
      <c r="C50" s="1332"/>
      <c r="D50" s="1332"/>
      <c r="E50" s="1333"/>
      <c r="F50" s="446" t="e">
        <f>VLOOKUP($C50,$AZ$89:$BJ$521,2,FALSE)</f>
        <v>#N/A</v>
      </c>
      <c r="G50" s="446" t="e">
        <f>VLOOKUP($D50,$AZ$89:$BJ$521,2,FALSE)</f>
        <v>#N/A</v>
      </c>
      <c r="H50" s="1819" t="e">
        <f>E50*(G50-F50)</f>
        <v>#N/A</v>
      </c>
      <c r="I50" s="1819"/>
      <c r="J50" s="447"/>
      <c r="K50" s="443"/>
      <c r="L50" s="439">
        <f>IF(E50&gt;0,H50*(44/12),0)</f>
        <v>0</v>
      </c>
      <c r="M50" s="448">
        <f>IF(E50&gt;0,VLOOKUP($C50,$AZ$89:$BJ$521,3,FALSE),0)</f>
        <v>0</v>
      </c>
      <c r="N50" s="28">
        <f t="shared" si="2"/>
        <v>0</v>
      </c>
      <c r="O50" s="290"/>
      <c r="P50" s="290"/>
      <c r="Q50" s="290"/>
      <c r="R50" s="322" t="s">
        <v>734</v>
      </c>
      <c r="S50" s="322" t="s">
        <v>735</v>
      </c>
      <c r="T50" s="324">
        <v>1094798</v>
      </c>
      <c r="U50" s="323">
        <v>193</v>
      </c>
      <c r="V50" s="323">
        <v>41.3</v>
      </c>
      <c r="W50" s="336">
        <v>96.5</v>
      </c>
      <c r="X50" s="324">
        <v>211285876</v>
      </c>
      <c r="Y50" s="324">
        <v>105642938</v>
      </c>
      <c r="Z50" s="324">
        <v>387709583</v>
      </c>
      <c r="AA50" s="290"/>
      <c r="AB50" s="290"/>
      <c r="AC50" s="1805" t="s">
        <v>672</v>
      </c>
      <c r="AD50" s="1805"/>
      <c r="AE50" s="1805"/>
      <c r="AF50" s="1805"/>
      <c r="AG50" s="1805"/>
      <c r="AH50" s="1805"/>
      <c r="AI50" s="1805"/>
      <c r="AJ50" s="1805"/>
      <c r="AK50" s="1805"/>
      <c r="AL50" s="1805"/>
      <c r="AM50" s="1805"/>
      <c r="AN50" s="290"/>
      <c r="AO50" s="290"/>
      <c r="AP50" s="290"/>
      <c r="AQ50" s="290"/>
      <c r="AR50" s="290"/>
      <c r="AS50" s="290"/>
      <c r="AT50" s="290"/>
      <c r="AU50" s="290"/>
      <c r="AV50" s="290"/>
      <c r="AW50" s="290"/>
      <c r="AX50" s="290"/>
      <c r="AY50" s="290"/>
      <c r="AZ50" s="290"/>
      <c r="BA50" s="290"/>
      <c r="BB50" s="290"/>
    </row>
    <row r="51" spans="1:54" ht="18" customHeight="1" x14ac:dyDescent="0.25">
      <c r="A51" s="290"/>
      <c r="B51" s="1810" t="s">
        <v>719</v>
      </c>
      <c r="C51" s="1811"/>
      <c r="D51" s="325"/>
      <c r="E51" s="326">
        <f>SUM(E46:E50)</f>
        <v>0</v>
      </c>
      <c r="F51" s="326"/>
      <c r="G51" s="326"/>
      <c r="H51" s="1815"/>
      <c r="I51" s="1815"/>
      <c r="J51" s="327"/>
      <c r="K51" s="327"/>
      <c r="L51" s="326">
        <f>SUM(L46:L50)</f>
        <v>0</v>
      </c>
      <c r="M51" s="449">
        <f>IF(L51&gt;0,SQRT(SUM(N46:N50))/L51,0)</f>
        <v>0</v>
      </c>
      <c r="N51" s="28">
        <f t="shared" si="2"/>
        <v>0</v>
      </c>
      <c r="O51" s="290"/>
      <c r="P51" s="290"/>
      <c r="Q51" s="290"/>
      <c r="R51" s="322" t="s">
        <v>739</v>
      </c>
      <c r="S51" s="322" t="s">
        <v>740</v>
      </c>
      <c r="T51" s="322">
        <v>606.89599999999996</v>
      </c>
      <c r="U51" s="323">
        <v>213.5</v>
      </c>
      <c r="V51" s="323">
        <v>47.8</v>
      </c>
      <c r="W51" s="336">
        <v>106.8</v>
      </c>
      <c r="X51" s="324">
        <v>129579389</v>
      </c>
      <c r="Y51" s="324">
        <v>64789695</v>
      </c>
      <c r="Z51" s="324">
        <v>237778180</v>
      </c>
      <c r="AA51" s="290"/>
      <c r="AB51" s="290"/>
      <c r="AC51" s="338" t="s">
        <v>741</v>
      </c>
      <c r="AD51" s="298" t="s">
        <v>670</v>
      </c>
      <c r="AE51" s="314">
        <v>1.9</v>
      </c>
      <c r="AF51" s="1816">
        <v>2</v>
      </c>
      <c r="AG51" s="1816"/>
      <c r="AH51" s="1816"/>
      <c r="AI51" s="314">
        <v>1</v>
      </c>
      <c r="AJ51" s="314">
        <v>1</v>
      </c>
      <c r="AK51" s="1816">
        <v>1.4</v>
      </c>
      <c r="AL51" s="1816"/>
      <c r="AM51" s="314">
        <v>0.4</v>
      </c>
      <c r="AN51" s="290"/>
      <c r="AO51" s="290"/>
      <c r="AP51" s="290"/>
      <c r="AQ51" s="290"/>
      <c r="AR51" s="290"/>
      <c r="AS51" s="290"/>
      <c r="AT51" s="290"/>
      <c r="AU51" s="290"/>
      <c r="AV51" s="290"/>
      <c r="AW51" s="290"/>
      <c r="AX51" s="290"/>
      <c r="AY51" s="290"/>
      <c r="AZ51" s="290"/>
      <c r="BA51" s="290"/>
      <c r="BB51" s="290"/>
    </row>
    <row r="52" spans="1:54" s="1091" customFormat="1" ht="18" customHeight="1" x14ac:dyDescent="0.25">
      <c r="A52" s="1087"/>
      <c r="B52" s="1110"/>
      <c r="C52" s="1111"/>
      <c r="D52" s="453"/>
      <c r="E52" s="454"/>
      <c r="F52" s="454"/>
      <c r="G52" s="454"/>
      <c r="H52" s="455"/>
      <c r="I52" s="455"/>
      <c r="J52" s="455"/>
      <c r="K52" s="455"/>
      <c r="L52" s="454"/>
      <c r="M52" s="456"/>
      <c r="N52" s="28"/>
      <c r="O52" s="1087"/>
      <c r="P52" s="1087"/>
      <c r="Q52" s="1087"/>
      <c r="R52" s="1103"/>
      <c r="S52" s="1103"/>
      <c r="T52" s="1103"/>
      <c r="U52" s="1104"/>
      <c r="V52" s="1104"/>
      <c r="W52" s="1105"/>
      <c r="X52" s="1106"/>
      <c r="Y52" s="1106"/>
      <c r="Z52" s="1106"/>
      <c r="AA52" s="1087"/>
      <c r="AB52" s="1087"/>
      <c r="AC52" s="1107"/>
      <c r="AD52" s="1108"/>
      <c r="AE52" s="1109"/>
      <c r="AF52" s="1109"/>
      <c r="AG52" s="1109"/>
      <c r="AH52" s="1109"/>
      <c r="AI52" s="1109"/>
      <c r="AJ52" s="1109"/>
      <c r="AK52" s="1109"/>
      <c r="AL52" s="1109"/>
      <c r="AM52" s="1109"/>
      <c r="AN52" s="1087"/>
      <c r="AO52" s="1087"/>
      <c r="AP52" s="1087"/>
      <c r="AQ52" s="1087"/>
      <c r="AR52" s="1087"/>
      <c r="AS52" s="1087"/>
      <c r="AT52" s="1087"/>
      <c r="AU52" s="1087"/>
      <c r="AV52" s="1087"/>
      <c r="AW52" s="1087"/>
      <c r="AX52" s="1087"/>
      <c r="AY52" s="1087"/>
      <c r="AZ52" s="1087"/>
      <c r="BA52" s="1087"/>
      <c r="BB52" s="1087"/>
    </row>
    <row r="53" spans="1:54" s="312" customFormat="1" ht="30" customHeight="1" x14ac:dyDescent="0.25">
      <c r="A53" s="290"/>
      <c r="B53" s="1822" t="s">
        <v>1295</v>
      </c>
      <c r="C53" s="1822"/>
      <c r="D53" s="1822"/>
      <c r="E53" s="1822"/>
      <c r="F53" s="1822"/>
      <c r="G53" s="1822"/>
      <c r="H53" s="1822"/>
      <c r="I53" s="1822"/>
      <c r="J53" s="1822"/>
      <c r="K53" s="1822"/>
      <c r="L53" s="1822"/>
      <c r="M53" s="1822"/>
      <c r="N53" s="310"/>
      <c r="O53" s="313"/>
      <c r="P53" s="310"/>
      <c r="Q53" s="310"/>
      <c r="R53" s="297" t="s">
        <v>679</v>
      </c>
      <c r="S53" s="305">
        <v>353.22399999999999</v>
      </c>
      <c r="T53" s="301">
        <v>3.1E-2</v>
      </c>
      <c r="U53" s="310"/>
      <c r="V53" s="310"/>
      <c r="W53" s="310"/>
      <c r="X53" s="310"/>
      <c r="Y53" s="310"/>
      <c r="Z53" s="310"/>
      <c r="AA53" s="310"/>
      <c r="AB53" s="310"/>
      <c r="AC53" s="340"/>
      <c r="AD53" s="340"/>
      <c r="AE53" s="333"/>
      <c r="AF53" s="314"/>
      <c r="AG53" s="314"/>
      <c r="AH53" s="314"/>
      <c r="AI53" s="314"/>
      <c r="AJ53" s="333"/>
      <c r="AK53" s="333"/>
      <c r="AL53" s="333"/>
      <c r="AM53" s="333"/>
      <c r="AN53" s="290"/>
      <c r="AO53" s="310"/>
      <c r="AP53" s="310"/>
      <c r="AQ53" s="290"/>
      <c r="AR53" s="290"/>
      <c r="AS53" s="290"/>
      <c r="AT53" s="299" t="s">
        <v>670</v>
      </c>
      <c r="AU53" s="334">
        <v>1.3</v>
      </c>
      <c r="AV53" s="334">
        <v>1.2</v>
      </c>
      <c r="AW53" s="310"/>
      <c r="AX53" s="310"/>
      <c r="AY53" s="310"/>
      <c r="AZ53" s="310"/>
      <c r="BA53" s="310"/>
      <c r="BB53" s="310"/>
    </row>
    <row r="54" spans="1:54" s="312" customFormat="1" ht="52.5" customHeight="1" x14ac:dyDescent="0.25">
      <c r="A54" s="290"/>
      <c r="B54" s="1814" t="s">
        <v>1229</v>
      </c>
      <c r="C54" s="1814" t="s">
        <v>1326</v>
      </c>
      <c r="D54" s="1808" t="s">
        <v>1282</v>
      </c>
      <c r="E54" s="315" t="s">
        <v>1286</v>
      </c>
      <c r="F54" s="315" t="s">
        <v>1322</v>
      </c>
      <c r="G54" s="315" t="s">
        <v>1284</v>
      </c>
      <c r="H54" s="1825" t="s">
        <v>1257</v>
      </c>
      <c r="I54" s="1825"/>
      <c r="J54" s="316"/>
      <c r="K54" s="316"/>
      <c r="L54" s="315" t="s">
        <v>1257</v>
      </c>
      <c r="M54" s="315" t="s">
        <v>1227</v>
      </c>
      <c r="N54" s="310"/>
      <c r="O54" s="317"/>
      <c r="P54" s="310"/>
      <c r="Q54" s="310"/>
      <c r="R54" s="297" t="s">
        <v>684</v>
      </c>
      <c r="S54" s="305">
        <v>8398.1149999999998</v>
      </c>
      <c r="T54" s="301">
        <v>0.7349</v>
      </c>
      <c r="U54" s="310"/>
      <c r="V54" s="310"/>
      <c r="W54" s="310"/>
      <c r="X54" s="310"/>
      <c r="Y54" s="310"/>
      <c r="Z54" s="310"/>
      <c r="AA54" s="310"/>
      <c r="AB54" s="310"/>
      <c r="AC54" s="1817" t="s">
        <v>685</v>
      </c>
      <c r="AD54" s="1817"/>
      <c r="AE54" s="1817"/>
      <c r="AF54" s="1817"/>
      <c r="AG54" s="1817"/>
      <c r="AH54" s="1817"/>
      <c r="AI54" s="1817"/>
      <c r="AJ54" s="1817"/>
      <c r="AK54" s="1817"/>
      <c r="AL54" s="1817"/>
      <c r="AM54" s="1817"/>
      <c r="AN54" s="1817"/>
      <c r="AO54" s="310"/>
      <c r="AP54" s="310"/>
      <c r="AQ54" s="290"/>
      <c r="AR54" s="290"/>
      <c r="AS54" s="290"/>
      <c r="AT54" s="314" t="s">
        <v>671</v>
      </c>
      <c r="AU54" s="309">
        <v>1.2</v>
      </c>
      <c r="AV54" s="309">
        <v>1.1000000000000001</v>
      </c>
      <c r="AW54" s="310"/>
      <c r="AX54" s="310"/>
      <c r="AY54" s="310"/>
      <c r="AZ54" s="310"/>
      <c r="BA54" s="310"/>
      <c r="BB54" s="310"/>
    </row>
    <row r="55" spans="1:54" s="312" customFormat="1" ht="20.25" customHeight="1" x14ac:dyDescent="0.25">
      <c r="A55" s="290"/>
      <c r="B55" s="1814"/>
      <c r="C55" s="1814"/>
      <c r="D55" s="1809"/>
      <c r="E55" s="318" t="s">
        <v>686</v>
      </c>
      <c r="F55" s="318" t="s">
        <v>1285</v>
      </c>
      <c r="G55" s="318" t="s">
        <v>1285</v>
      </c>
      <c r="H55" s="1818" t="s">
        <v>1205</v>
      </c>
      <c r="I55" s="1818"/>
      <c r="J55" s="319"/>
      <c r="K55" s="319"/>
      <c r="L55" s="341" t="s">
        <v>1205</v>
      </c>
      <c r="M55" s="342" t="s">
        <v>669</v>
      </c>
      <c r="N55" s="310"/>
      <c r="O55" s="313"/>
      <c r="P55" s="310"/>
      <c r="Q55" s="310"/>
      <c r="R55" s="297" t="s">
        <v>687</v>
      </c>
      <c r="S55" s="300">
        <v>41.771000000000001</v>
      </c>
      <c r="T55" s="301">
        <v>3.7000000000000002E-3</v>
      </c>
      <c r="U55" s="310"/>
      <c r="V55" s="310"/>
      <c r="W55" s="310"/>
      <c r="X55" s="310"/>
      <c r="Y55" s="310"/>
      <c r="Z55" s="310"/>
      <c r="AA55" s="310"/>
      <c r="AB55" s="310"/>
      <c r="AC55" s="1817" t="s">
        <v>688</v>
      </c>
      <c r="AD55" s="1817"/>
      <c r="AE55" s="1817"/>
      <c r="AF55" s="1817"/>
      <c r="AG55" s="1817"/>
      <c r="AH55" s="1817"/>
      <c r="AI55" s="1817"/>
      <c r="AJ55" s="1817"/>
      <c r="AK55" s="1817"/>
      <c r="AL55" s="1817"/>
      <c r="AM55" s="1817"/>
      <c r="AN55" s="1817"/>
      <c r="AO55" s="310"/>
      <c r="AP55" s="310"/>
      <c r="AQ55" s="290"/>
      <c r="AR55" s="290"/>
      <c r="AS55" s="290"/>
      <c r="AT55" s="314" t="s">
        <v>673</v>
      </c>
      <c r="AU55" s="309">
        <v>4</v>
      </c>
      <c r="AV55" s="309">
        <v>1.3</v>
      </c>
      <c r="AW55" s="310"/>
      <c r="AX55" s="310"/>
      <c r="AY55" s="310"/>
      <c r="AZ55" s="310"/>
      <c r="BA55" s="310"/>
      <c r="BB55" s="310"/>
    </row>
    <row r="56" spans="1:54" ht="18.75" customHeight="1" x14ac:dyDescent="0.25">
      <c r="A56" s="290"/>
      <c r="B56" s="462" t="s">
        <v>1296</v>
      </c>
      <c r="C56" s="1332"/>
      <c r="D56" s="1332"/>
      <c r="E56" s="1333"/>
      <c r="F56" s="446" t="e">
        <f>VLOOKUP($C56,$AZ$89:$BJ$521,2,FALSE)</f>
        <v>#N/A</v>
      </c>
      <c r="G56" s="446" t="e">
        <f>VLOOKUP($D56,$AZ$89:$BJ$527,4,FALSE)</f>
        <v>#N/A</v>
      </c>
      <c r="H56" s="1819" t="e">
        <f>E56*(G56-F56)</f>
        <v>#N/A</v>
      </c>
      <c r="I56" s="1819"/>
      <c r="J56" s="447"/>
      <c r="K56" s="443"/>
      <c r="L56" s="439">
        <f>IF(E56&gt;0,H56*(44/12),0)</f>
        <v>0</v>
      </c>
      <c r="M56" s="448">
        <f>IF(E56&gt;0,VLOOKUP($C56,$AZ$89:$BJ$521,3,FALSE),0)</f>
        <v>0</v>
      </c>
      <c r="N56" s="28">
        <f t="shared" ref="N56:N61" si="3">(L56*M56)^2</f>
        <v>0</v>
      </c>
      <c r="O56" s="290"/>
      <c r="P56" s="290"/>
      <c r="Q56" s="290"/>
      <c r="R56" s="328" t="s">
        <v>727</v>
      </c>
      <c r="S56" s="328" t="s">
        <v>728</v>
      </c>
      <c r="T56" s="328">
        <v>172.07900000000001</v>
      </c>
      <c r="U56" s="330">
        <v>172.2</v>
      </c>
      <c r="V56" s="330">
        <v>39.5</v>
      </c>
      <c r="W56" s="330">
        <v>86.1</v>
      </c>
      <c r="X56" s="329">
        <v>29634292</v>
      </c>
      <c r="Y56" s="329">
        <v>14817146</v>
      </c>
      <c r="Z56" s="329">
        <v>54378925</v>
      </c>
      <c r="AA56" s="290"/>
      <c r="AB56" s="290"/>
      <c r="AC56" s="294" t="s">
        <v>729</v>
      </c>
      <c r="AD56" s="294"/>
      <c r="AE56" s="335" t="s">
        <v>730</v>
      </c>
      <c r="AF56" s="1820" t="s">
        <v>731</v>
      </c>
      <c r="AG56" s="1820"/>
      <c r="AH56" s="1820"/>
      <c r="AI56" s="1820"/>
      <c r="AJ56" s="335" t="s">
        <v>732</v>
      </c>
      <c r="AK56" s="1821" t="s">
        <v>733</v>
      </c>
      <c r="AL56" s="1821"/>
      <c r="AM56" s="335" t="s">
        <v>732</v>
      </c>
      <c r="AN56" s="290"/>
      <c r="AO56" s="290"/>
      <c r="AP56" s="290"/>
      <c r="AQ56" s="290"/>
      <c r="AR56" s="290"/>
      <c r="AS56" s="290"/>
      <c r="AT56" s="290"/>
      <c r="AU56" s="290"/>
      <c r="AV56" s="290"/>
      <c r="AW56" s="290"/>
      <c r="AX56" s="290"/>
      <c r="AY56" s="290"/>
      <c r="AZ56" s="290"/>
      <c r="BA56" s="290"/>
      <c r="BB56" s="290"/>
    </row>
    <row r="57" spans="1:54" ht="18" customHeight="1" x14ac:dyDescent="0.25">
      <c r="A57" s="290"/>
      <c r="B57" s="462" t="s">
        <v>1311</v>
      </c>
      <c r="C57" s="1332"/>
      <c r="D57" s="1332"/>
      <c r="E57" s="1333"/>
      <c r="F57" s="446" t="e">
        <f>VLOOKUP($C57,$AZ$89:$BJ$521,2,FALSE)</f>
        <v>#N/A</v>
      </c>
      <c r="G57" s="446" t="e">
        <f>VLOOKUP($D57,$AZ$89:$BJ$521,2,FALSE)</f>
        <v>#N/A</v>
      </c>
      <c r="H57" s="1819" t="e">
        <f>E57*(G57-F57)</f>
        <v>#N/A</v>
      </c>
      <c r="I57" s="1819"/>
      <c r="J57" s="447"/>
      <c r="K57" s="443"/>
      <c r="L57" s="439">
        <f>IF(E57&gt;0,H57*(44/12),0)</f>
        <v>0</v>
      </c>
      <c r="M57" s="448">
        <f>IF(E57&gt;0,VLOOKUP($C57,$AZ$89:$BJ$521,3,FALSE),0)</f>
        <v>0</v>
      </c>
      <c r="N57" s="28">
        <f t="shared" si="3"/>
        <v>0</v>
      </c>
      <c r="O57" s="290"/>
      <c r="P57" s="290"/>
      <c r="Q57" s="290"/>
      <c r="R57" s="322" t="s">
        <v>734</v>
      </c>
      <c r="S57" s="322" t="s">
        <v>735</v>
      </c>
      <c r="T57" s="324">
        <v>1094798</v>
      </c>
      <c r="U57" s="323">
        <v>193</v>
      </c>
      <c r="V57" s="323">
        <v>41.3</v>
      </c>
      <c r="W57" s="336">
        <v>96.5</v>
      </c>
      <c r="X57" s="324">
        <v>211285876</v>
      </c>
      <c r="Y57" s="324">
        <v>105642938</v>
      </c>
      <c r="Z57" s="324">
        <v>387709583</v>
      </c>
      <c r="AA57" s="290"/>
      <c r="AB57" s="290"/>
      <c r="AC57" s="1805" t="s">
        <v>672</v>
      </c>
      <c r="AD57" s="1805"/>
      <c r="AE57" s="1805"/>
      <c r="AF57" s="1805"/>
      <c r="AG57" s="1805"/>
      <c r="AH57" s="1805"/>
      <c r="AI57" s="1805"/>
      <c r="AJ57" s="1805"/>
      <c r="AK57" s="1805"/>
      <c r="AL57" s="1805"/>
      <c r="AM57" s="1805"/>
      <c r="AN57" s="290"/>
      <c r="AO57" s="290"/>
      <c r="AP57" s="290"/>
      <c r="AQ57" s="290"/>
      <c r="AR57" s="290"/>
      <c r="AS57" s="290"/>
      <c r="AT57" s="290"/>
      <c r="AU57" s="290"/>
      <c r="AV57" s="290"/>
      <c r="AW57" s="290"/>
      <c r="AX57" s="290"/>
      <c r="AY57" s="290"/>
      <c r="AZ57" s="290"/>
      <c r="BA57" s="290"/>
      <c r="BB57" s="290"/>
    </row>
    <row r="58" spans="1:54" ht="18" customHeight="1" x14ac:dyDescent="0.25">
      <c r="A58" s="290"/>
      <c r="B58" s="462" t="s">
        <v>1297</v>
      </c>
      <c r="C58" s="1332"/>
      <c r="D58" s="1332"/>
      <c r="E58" s="1333"/>
      <c r="F58" s="446" t="e">
        <f>VLOOKUP($C58,$AZ$89:$BJ$521,2,FALSE)</f>
        <v>#N/A</v>
      </c>
      <c r="G58" s="446" t="e">
        <f>VLOOKUP($D58,$AZ$89:$BJ$527,2,FALSE)</f>
        <v>#N/A</v>
      </c>
      <c r="H58" s="1819" t="e">
        <f>E58*(G58-F58)</f>
        <v>#N/A</v>
      </c>
      <c r="I58" s="1819"/>
      <c r="J58" s="447"/>
      <c r="K58" s="443"/>
      <c r="L58" s="439">
        <f>IF(E58&gt;0,H58*(44/12),0)</f>
        <v>0</v>
      </c>
      <c r="M58" s="448">
        <f>IF(E58&gt;0,VLOOKUP($C58,$AZ$89:$BJ$521,3,FALSE),0)</f>
        <v>0</v>
      </c>
      <c r="N58" s="28">
        <f t="shared" si="3"/>
        <v>0</v>
      </c>
      <c r="O58" s="290"/>
      <c r="P58" s="290"/>
      <c r="Q58" s="290"/>
      <c r="R58" s="322" t="s">
        <v>734</v>
      </c>
      <c r="S58" s="322" t="s">
        <v>735</v>
      </c>
      <c r="T58" s="324">
        <v>1094798</v>
      </c>
      <c r="U58" s="323">
        <v>193</v>
      </c>
      <c r="V58" s="323">
        <v>41.3</v>
      </c>
      <c r="W58" s="336">
        <v>96.5</v>
      </c>
      <c r="X58" s="324">
        <v>211285876</v>
      </c>
      <c r="Y58" s="324">
        <v>105642938</v>
      </c>
      <c r="Z58" s="324">
        <v>387709583</v>
      </c>
      <c r="AA58" s="290"/>
      <c r="AB58" s="290"/>
      <c r="AC58" s="1805" t="s">
        <v>672</v>
      </c>
      <c r="AD58" s="1805"/>
      <c r="AE58" s="1805"/>
      <c r="AF58" s="1805"/>
      <c r="AG58" s="1805"/>
      <c r="AH58" s="1805"/>
      <c r="AI58" s="1805"/>
      <c r="AJ58" s="1805"/>
      <c r="AK58" s="1805"/>
      <c r="AL58" s="1805"/>
      <c r="AM58" s="1805"/>
      <c r="AN58" s="290"/>
      <c r="AO58" s="290"/>
      <c r="AP58" s="290"/>
      <c r="AQ58" s="290"/>
      <c r="AR58" s="290"/>
      <c r="AS58" s="290"/>
      <c r="AT58" s="290"/>
      <c r="AU58" s="290"/>
      <c r="AV58" s="290"/>
      <c r="AW58" s="290"/>
      <c r="AX58" s="290"/>
      <c r="AY58" s="290"/>
      <c r="AZ58" s="290"/>
      <c r="BA58" s="290"/>
      <c r="BB58" s="290"/>
    </row>
    <row r="59" spans="1:54" ht="18" customHeight="1" x14ac:dyDescent="0.25">
      <c r="A59" s="290"/>
      <c r="B59" s="462" t="s">
        <v>1298</v>
      </c>
      <c r="C59" s="1332"/>
      <c r="D59" s="1332"/>
      <c r="E59" s="1333"/>
      <c r="F59" s="446" t="e">
        <f>VLOOKUP($C59,$AZ$89:$BJ$521,2,FALSE)</f>
        <v>#N/A</v>
      </c>
      <c r="G59" s="446" t="e">
        <f>VLOOKUP($D59,$AZ$89:$BJ$527,2,FALSE)</f>
        <v>#N/A</v>
      </c>
      <c r="H59" s="1819" t="e">
        <f>E59*(G59-F59)</f>
        <v>#N/A</v>
      </c>
      <c r="I59" s="1819"/>
      <c r="J59" s="447"/>
      <c r="K59" s="443"/>
      <c r="L59" s="439">
        <f>IF(E59&gt;0,H59*(44/12),0)</f>
        <v>0</v>
      </c>
      <c r="M59" s="448">
        <f>IF(E59&gt;0,VLOOKUP($C59,$AZ$89:$BJ$521,3,FALSE),0)</f>
        <v>0</v>
      </c>
      <c r="N59" s="28">
        <f t="shared" si="3"/>
        <v>0</v>
      </c>
      <c r="O59" s="290"/>
      <c r="P59" s="290"/>
      <c r="Q59" s="290"/>
      <c r="R59" s="322" t="s">
        <v>734</v>
      </c>
      <c r="S59" s="322" t="s">
        <v>735</v>
      </c>
      <c r="T59" s="324">
        <v>1094798</v>
      </c>
      <c r="U59" s="323">
        <v>193</v>
      </c>
      <c r="V59" s="323">
        <v>41.3</v>
      </c>
      <c r="W59" s="336">
        <v>96.5</v>
      </c>
      <c r="X59" s="324">
        <v>211285876</v>
      </c>
      <c r="Y59" s="324">
        <v>105642938</v>
      </c>
      <c r="Z59" s="324">
        <v>387709583</v>
      </c>
      <c r="AA59" s="290"/>
      <c r="AB59" s="290"/>
      <c r="AC59" s="1805" t="s">
        <v>672</v>
      </c>
      <c r="AD59" s="1805"/>
      <c r="AE59" s="1805"/>
      <c r="AF59" s="1805"/>
      <c r="AG59" s="1805"/>
      <c r="AH59" s="1805"/>
      <c r="AI59" s="1805"/>
      <c r="AJ59" s="1805"/>
      <c r="AK59" s="1805"/>
      <c r="AL59" s="1805"/>
      <c r="AM59" s="1805"/>
      <c r="AN59" s="290"/>
      <c r="AO59" s="290"/>
      <c r="AP59" s="290"/>
      <c r="AQ59" s="290"/>
      <c r="AR59" s="290"/>
      <c r="AS59" s="290"/>
      <c r="AT59" s="290"/>
      <c r="AU59" s="290"/>
      <c r="AV59" s="290"/>
      <c r="AW59" s="290"/>
      <c r="AX59" s="290"/>
      <c r="AY59" s="290"/>
      <c r="AZ59" s="290"/>
      <c r="BA59" s="290"/>
      <c r="BB59" s="290"/>
    </row>
    <row r="60" spans="1:54" ht="18" customHeight="1" x14ac:dyDescent="0.25">
      <c r="A60" s="290"/>
      <c r="B60" s="462" t="s">
        <v>1299</v>
      </c>
      <c r="C60" s="1332"/>
      <c r="D60" s="1332"/>
      <c r="E60" s="1333"/>
      <c r="F60" s="446" t="e">
        <f>VLOOKUP($C60,$AZ$89:$BJ$521,2,FALSE)</f>
        <v>#N/A</v>
      </c>
      <c r="G60" s="446" t="e">
        <f>VLOOKUP($D60,$AZ$89:$BJ$521,2,FALSE)</f>
        <v>#N/A</v>
      </c>
      <c r="H60" s="1819" t="e">
        <f>E60*(G60-F60)</f>
        <v>#N/A</v>
      </c>
      <c r="I60" s="1819"/>
      <c r="J60" s="447"/>
      <c r="K60" s="443"/>
      <c r="L60" s="439">
        <f>IF(E60&gt;0,H60*(44/12),0)</f>
        <v>0</v>
      </c>
      <c r="M60" s="448">
        <f>IF(E60&gt;0,VLOOKUP($C60,$AZ$89:$BJ$521,3,FALSE),0)</f>
        <v>0</v>
      </c>
      <c r="N60" s="28">
        <f t="shared" si="3"/>
        <v>0</v>
      </c>
      <c r="O60" s="290"/>
      <c r="P60" s="290"/>
      <c r="Q60" s="290"/>
      <c r="R60" s="322" t="s">
        <v>734</v>
      </c>
      <c r="S60" s="322" t="s">
        <v>735</v>
      </c>
      <c r="T60" s="324">
        <v>1094798</v>
      </c>
      <c r="U60" s="323">
        <v>193</v>
      </c>
      <c r="V60" s="323">
        <v>41.3</v>
      </c>
      <c r="W60" s="336">
        <v>96.5</v>
      </c>
      <c r="X60" s="324">
        <v>211285876</v>
      </c>
      <c r="Y60" s="324">
        <v>105642938</v>
      </c>
      <c r="Z60" s="324">
        <v>387709583</v>
      </c>
      <c r="AA60" s="290"/>
      <c r="AB60" s="290"/>
      <c r="AC60" s="1805" t="s">
        <v>672</v>
      </c>
      <c r="AD60" s="1805"/>
      <c r="AE60" s="1805"/>
      <c r="AF60" s="1805"/>
      <c r="AG60" s="1805"/>
      <c r="AH60" s="1805"/>
      <c r="AI60" s="1805"/>
      <c r="AJ60" s="1805"/>
      <c r="AK60" s="1805"/>
      <c r="AL60" s="1805"/>
      <c r="AM60" s="1805"/>
      <c r="AN60" s="290"/>
      <c r="AO60" s="290"/>
      <c r="AP60" s="290"/>
      <c r="AQ60" s="290"/>
      <c r="AR60" s="290"/>
      <c r="AS60" s="290"/>
      <c r="AT60" s="290"/>
      <c r="AU60" s="290"/>
      <c r="AV60" s="290"/>
      <c r="AW60" s="290"/>
      <c r="AX60" s="290"/>
      <c r="AY60" s="290"/>
      <c r="AZ60" s="290"/>
      <c r="BA60" s="290"/>
      <c r="BB60" s="290"/>
    </row>
    <row r="61" spans="1:54" ht="18" customHeight="1" x14ac:dyDescent="0.25">
      <c r="A61" s="290"/>
      <c r="B61" s="1812" t="s">
        <v>719</v>
      </c>
      <c r="C61" s="1813"/>
      <c r="D61" s="325"/>
      <c r="E61" s="326">
        <f>SUM(E56:E60)</f>
        <v>0</v>
      </c>
      <c r="F61" s="326"/>
      <c r="G61" s="326"/>
      <c r="H61" s="1815"/>
      <c r="I61" s="1815"/>
      <c r="J61" s="327"/>
      <c r="K61" s="327"/>
      <c r="L61" s="326">
        <f>SUM(L56:L60)</f>
        <v>0</v>
      </c>
      <c r="M61" s="449">
        <f>IF(L61&gt;0,SQRT(SUM(N56:N60))/L61,0)</f>
        <v>0</v>
      </c>
      <c r="N61" s="28">
        <f t="shared" si="3"/>
        <v>0</v>
      </c>
      <c r="O61" s="290"/>
      <c r="P61" s="290"/>
      <c r="Q61" s="290"/>
      <c r="R61" s="322" t="s">
        <v>739</v>
      </c>
      <c r="S61" s="322" t="s">
        <v>740</v>
      </c>
      <c r="T61" s="322">
        <v>606.89599999999996</v>
      </c>
      <c r="U61" s="323">
        <v>213.5</v>
      </c>
      <c r="V61" s="323">
        <v>47.8</v>
      </c>
      <c r="W61" s="336">
        <v>106.8</v>
      </c>
      <c r="X61" s="324">
        <v>129579389</v>
      </c>
      <c r="Y61" s="324">
        <v>64789695</v>
      </c>
      <c r="Z61" s="324">
        <v>237778180</v>
      </c>
      <c r="AA61" s="290"/>
      <c r="AB61" s="290"/>
      <c r="AC61" s="338" t="s">
        <v>741</v>
      </c>
      <c r="AD61" s="298" t="s">
        <v>670</v>
      </c>
      <c r="AE61" s="314">
        <v>1.9</v>
      </c>
      <c r="AF61" s="1816">
        <v>2</v>
      </c>
      <c r="AG61" s="1816"/>
      <c r="AH61" s="1816"/>
      <c r="AI61" s="314">
        <v>1</v>
      </c>
      <c r="AJ61" s="314">
        <v>1</v>
      </c>
      <c r="AK61" s="1816">
        <v>1.4</v>
      </c>
      <c r="AL61" s="1816"/>
      <c r="AM61" s="314">
        <v>0.4</v>
      </c>
      <c r="AN61" s="290"/>
      <c r="AO61" s="290"/>
      <c r="AP61" s="290"/>
      <c r="AQ61" s="290"/>
      <c r="AR61" s="290"/>
      <c r="AS61" s="290"/>
      <c r="AT61" s="290"/>
      <c r="AU61" s="290"/>
      <c r="AV61" s="290"/>
      <c r="AW61" s="290"/>
      <c r="AX61" s="290"/>
      <c r="AY61" s="290"/>
      <c r="AZ61" s="290"/>
      <c r="BA61" s="290"/>
      <c r="BB61" s="290"/>
    </row>
    <row r="62" spans="1:54" s="1091" customFormat="1" ht="18" customHeight="1" x14ac:dyDescent="0.25">
      <c r="A62" s="1087"/>
      <c r="B62" s="1101"/>
      <c r="C62" s="1102"/>
      <c r="D62" s="453"/>
      <c r="E62" s="454"/>
      <c r="F62" s="454"/>
      <c r="G62" s="454"/>
      <c r="H62" s="455"/>
      <c r="I62" s="455"/>
      <c r="J62" s="455"/>
      <c r="K62" s="455"/>
      <c r="L62" s="454"/>
      <c r="M62" s="456"/>
      <c r="N62" s="28"/>
      <c r="O62" s="1087"/>
      <c r="P62" s="1087"/>
      <c r="Q62" s="1087"/>
      <c r="R62" s="1103"/>
      <c r="S62" s="1103"/>
      <c r="T62" s="1103"/>
      <c r="U62" s="1104"/>
      <c r="V62" s="1104"/>
      <c r="W62" s="1105"/>
      <c r="X62" s="1106"/>
      <c r="Y62" s="1106"/>
      <c r="Z62" s="1106"/>
      <c r="AA62" s="1087"/>
      <c r="AB62" s="1087"/>
      <c r="AC62" s="1107"/>
      <c r="AD62" s="1108"/>
      <c r="AE62" s="1109"/>
      <c r="AF62" s="1109"/>
      <c r="AG62" s="1109"/>
      <c r="AH62" s="1109"/>
      <c r="AI62" s="1109"/>
      <c r="AJ62" s="1109"/>
      <c r="AK62" s="1109"/>
      <c r="AL62" s="1109"/>
      <c r="AM62" s="1109"/>
      <c r="AN62" s="1087"/>
      <c r="AO62" s="1087"/>
      <c r="AP62" s="1087"/>
      <c r="AQ62" s="1087"/>
      <c r="AR62" s="1087"/>
      <c r="AS62" s="1087"/>
      <c r="AT62" s="1087"/>
      <c r="AU62" s="1087"/>
      <c r="AV62" s="1087"/>
      <c r="AW62" s="1087"/>
      <c r="AX62" s="1087"/>
      <c r="AY62" s="1087"/>
      <c r="AZ62" s="1087"/>
      <c r="BA62" s="1087"/>
      <c r="BB62" s="1087"/>
    </row>
    <row r="63" spans="1:54" s="312" customFormat="1" ht="30" customHeight="1" x14ac:dyDescent="0.25">
      <c r="A63" s="290"/>
      <c r="B63" s="1822" t="s">
        <v>1300</v>
      </c>
      <c r="C63" s="1822"/>
      <c r="D63" s="1822"/>
      <c r="E63" s="1822"/>
      <c r="F63" s="1822"/>
      <c r="G63" s="1822"/>
      <c r="H63" s="1822"/>
      <c r="I63" s="1822"/>
      <c r="J63" s="1822"/>
      <c r="K63" s="1822"/>
      <c r="L63" s="1822"/>
      <c r="M63" s="1822"/>
      <c r="N63" s="310"/>
      <c r="O63" s="313"/>
      <c r="P63" s="310"/>
      <c r="Q63" s="310"/>
      <c r="R63" s="297" t="s">
        <v>679</v>
      </c>
      <c r="S63" s="305">
        <v>353.22399999999999</v>
      </c>
      <c r="T63" s="301">
        <v>3.1E-2</v>
      </c>
      <c r="U63" s="310"/>
      <c r="V63" s="310"/>
      <c r="W63" s="310"/>
      <c r="X63" s="310"/>
      <c r="Y63" s="310"/>
      <c r="Z63" s="310"/>
      <c r="AA63" s="310"/>
      <c r="AB63" s="310"/>
      <c r="AC63" s="340"/>
      <c r="AD63" s="340"/>
      <c r="AE63" s="333"/>
      <c r="AF63" s="314"/>
      <c r="AG63" s="314"/>
      <c r="AH63" s="314"/>
      <c r="AI63" s="314"/>
      <c r="AJ63" s="333"/>
      <c r="AK63" s="333"/>
      <c r="AL63" s="333"/>
      <c r="AM63" s="333"/>
      <c r="AN63" s="290"/>
      <c r="AO63" s="310"/>
      <c r="AP63" s="310"/>
      <c r="AQ63" s="290"/>
      <c r="AR63" s="290"/>
      <c r="AS63" s="290"/>
      <c r="AT63" s="299" t="s">
        <v>670</v>
      </c>
      <c r="AU63" s="334">
        <v>1.3</v>
      </c>
      <c r="AV63" s="334">
        <v>1.2</v>
      </c>
      <c r="AW63" s="310"/>
      <c r="AX63" s="310"/>
      <c r="AY63" s="310"/>
      <c r="AZ63" s="310"/>
      <c r="BA63" s="310"/>
      <c r="BB63" s="310"/>
    </row>
    <row r="64" spans="1:54" s="312" customFormat="1" ht="52.5" customHeight="1" x14ac:dyDescent="0.25">
      <c r="A64" s="290"/>
      <c r="B64" s="1814" t="s">
        <v>1229</v>
      </c>
      <c r="C64" s="1806" t="s">
        <v>1327</v>
      </c>
      <c r="D64" s="1808" t="s">
        <v>1282</v>
      </c>
      <c r="E64" s="315" t="s">
        <v>1286</v>
      </c>
      <c r="F64" s="315" t="s">
        <v>1323</v>
      </c>
      <c r="G64" s="315" t="s">
        <v>1284</v>
      </c>
      <c r="H64" s="1825" t="s">
        <v>1257</v>
      </c>
      <c r="I64" s="1825"/>
      <c r="J64" s="316"/>
      <c r="K64" s="316"/>
      <c r="L64" s="315" t="s">
        <v>1257</v>
      </c>
      <c r="M64" s="315" t="s">
        <v>1227</v>
      </c>
      <c r="N64" s="310"/>
      <c r="O64" s="317"/>
      <c r="P64" s="310"/>
      <c r="Q64" s="310"/>
      <c r="R64" s="297" t="s">
        <v>684</v>
      </c>
      <c r="S64" s="305">
        <v>8398.1149999999998</v>
      </c>
      <c r="T64" s="301">
        <v>0.7349</v>
      </c>
      <c r="U64" s="310"/>
      <c r="V64" s="310"/>
      <c r="W64" s="310"/>
      <c r="X64" s="310"/>
      <c r="Y64" s="310"/>
      <c r="Z64" s="310"/>
      <c r="AA64" s="310"/>
      <c r="AB64" s="310"/>
      <c r="AC64" s="1817" t="s">
        <v>685</v>
      </c>
      <c r="AD64" s="1817"/>
      <c r="AE64" s="1817"/>
      <c r="AF64" s="1817"/>
      <c r="AG64" s="1817"/>
      <c r="AH64" s="1817"/>
      <c r="AI64" s="1817"/>
      <c r="AJ64" s="1817"/>
      <c r="AK64" s="1817"/>
      <c r="AL64" s="1817"/>
      <c r="AM64" s="1817"/>
      <c r="AN64" s="1817"/>
      <c r="AO64" s="310"/>
      <c r="AP64" s="310"/>
      <c r="AQ64" s="290"/>
      <c r="AR64" s="290"/>
      <c r="AS64" s="290"/>
      <c r="AT64" s="314" t="s">
        <v>671</v>
      </c>
      <c r="AU64" s="309">
        <v>1.2</v>
      </c>
      <c r="AV64" s="309">
        <v>1.1000000000000001</v>
      </c>
      <c r="AW64" s="310"/>
      <c r="AX64" s="310"/>
      <c r="AY64" s="310"/>
      <c r="AZ64" s="310"/>
      <c r="BA64" s="310"/>
      <c r="BB64" s="310"/>
    </row>
    <row r="65" spans="1:54" s="312" customFormat="1" ht="20.25" customHeight="1" x14ac:dyDescent="0.25">
      <c r="A65" s="290"/>
      <c r="B65" s="1814"/>
      <c r="C65" s="1807"/>
      <c r="D65" s="1809"/>
      <c r="E65" s="318" t="s">
        <v>686</v>
      </c>
      <c r="F65" s="318" t="s">
        <v>1285</v>
      </c>
      <c r="G65" s="318" t="s">
        <v>1285</v>
      </c>
      <c r="H65" s="1818" t="s">
        <v>1205</v>
      </c>
      <c r="I65" s="1818"/>
      <c r="J65" s="319"/>
      <c r="K65" s="319"/>
      <c r="L65" s="341" t="s">
        <v>1205</v>
      </c>
      <c r="M65" s="342" t="s">
        <v>669</v>
      </c>
      <c r="N65" s="310"/>
      <c r="O65" s="313"/>
      <c r="P65" s="310"/>
      <c r="Q65" s="310"/>
      <c r="R65" s="297" t="s">
        <v>687</v>
      </c>
      <c r="S65" s="300">
        <v>41.771000000000001</v>
      </c>
      <c r="T65" s="301">
        <v>3.7000000000000002E-3</v>
      </c>
      <c r="U65" s="310"/>
      <c r="V65" s="310"/>
      <c r="W65" s="310"/>
      <c r="X65" s="310"/>
      <c r="Y65" s="310"/>
      <c r="Z65" s="310"/>
      <c r="AA65" s="310"/>
      <c r="AB65" s="310"/>
      <c r="AC65" s="1817" t="s">
        <v>688</v>
      </c>
      <c r="AD65" s="1817"/>
      <c r="AE65" s="1817"/>
      <c r="AF65" s="1817"/>
      <c r="AG65" s="1817"/>
      <c r="AH65" s="1817"/>
      <c r="AI65" s="1817"/>
      <c r="AJ65" s="1817"/>
      <c r="AK65" s="1817"/>
      <c r="AL65" s="1817"/>
      <c r="AM65" s="1817"/>
      <c r="AN65" s="1817"/>
      <c r="AO65" s="310"/>
      <c r="AP65" s="310"/>
      <c r="AQ65" s="290"/>
      <c r="AR65" s="290"/>
      <c r="AS65" s="290"/>
      <c r="AT65" s="314" t="s">
        <v>673</v>
      </c>
      <c r="AU65" s="309">
        <v>4</v>
      </c>
      <c r="AV65" s="309">
        <v>1.3</v>
      </c>
      <c r="AW65" s="310"/>
      <c r="AX65" s="310"/>
      <c r="AY65" s="310"/>
      <c r="AZ65" s="310"/>
      <c r="BA65" s="310"/>
      <c r="BB65" s="310"/>
    </row>
    <row r="66" spans="1:54" ht="18.75" customHeight="1" x14ac:dyDescent="0.25">
      <c r="A66" s="290"/>
      <c r="B66" s="462" t="s">
        <v>1301</v>
      </c>
      <c r="C66" s="1332"/>
      <c r="D66" s="1332"/>
      <c r="E66" s="1333"/>
      <c r="F66" s="446" t="e">
        <f>VLOOKUP($C66,$AZ$89:$BJ$521,2,FALSE)</f>
        <v>#N/A</v>
      </c>
      <c r="G66" s="446" t="e">
        <f>VLOOKUP($D66,$AZ$89:$BJ$527,4,FALSE)</f>
        <v>#N/A</v>
      </c>
      <c r="H66" s="1819" t="e">
        <f>E66*(G66-F66)</f>
        <v>#N/A</v>
      </c>
      <c r="I66" s="1819"/>
      <c r="J66" s="447"/>
      <c r="K66" s="443"/>
      <c r="L66" s="439">
        <f>IF(E66&gt;0,H66*(44/12),0)</f>
        <v>0</v>
      </c>
      <c r="M66" s="448">
        <f>IF(E66&gt;0,VLOOKUP($C66,$AZ$89:$BJ$521,3,FALSE),0)</f>
        <v>0</v>
      </c>
      <c r="N66" s="28">
        <f t="shared" ref="N66:N72" si="4">(L66*M66)^2</f>
        <v>0</v>
      </c>
      <c r="O66" s="290"/>
      <c r="P66" s="290"/>
      <c r="Q66" s="290"/>
      <c r="R66" s="328" t="s">
        <v>727</v>
      </c>
      <c r="S66" s="328" t="s">
        <v>728</v>
      </c>
      <c r="T66" s="328">
        <v>172.07900000000001</v>
      </c>
      <c r="U66" s="330">
        <v>172.2</v>
      </c>
      <c r="V66" s="330">
        <v>39.5</v>
      </c>
      <c r="W66" s="330">
        <v>86.1</v>
      </c>
      <c r="X66" s="329">
        <v>29634292</v>
      </c>
      <c r="Y66" s="329">
        <v>14817146</v>
      </c>
      <c r="Z66" s="329">
        <v>54378925</v>
      </c>
      <c r="AA66" s="290"/>
      <c r="AB66" s="290"/>
      <c r="AC66" s="294" t="s">
        <v>729</v>
      </c>
      <c r="AD66" s="294"/>
      <c r="AE66" s="335" t="s">
        <v>730</v>
      </c>
      <c r="AF66" s="1820" t="s">
        <v>731</v>
      </c>
      <c r="AG66" s="1820"/>
      <c r="AH66" s="1820"/>
      <c r="AI66" s="1820"/>
      <c r="AJ66" s="335" t="s">
        <v>732</v>
      </c>
      <c r="AK66" s="1821" t="s">
        <v>733</v>
      </c>
      <c r="AL66" s="1821"/>
      <c r="AM66" s="335" t="s">
        <v>732</v>
      </c>
      <c r="AN66" s="290"/>
      <c r="AO66" s="290"/>
      <c r="AP66" s="290"/>
      <c r="AQ66" s="290"/>
      <c r="AR66" s="290"/>
      <c r="AS66" s="290"/>
      <c r="AT66" s="290"/>
      <c r="AU66" s="290"/>
      <c r="AV66" s="290"/>
      <c r="AW66" s="290"/>
      <c r="AX66" s="290"/>
      <c r="AY66" s="290"/>
      <c r="AZ66" s="290"/>
      <c r="BA66" s="290"/>
      <c r="BB66" s="290"/>
    </row>
    <row r="67" spans="1:54" ht="18" customHeight="1" x14ac:dyDescent="0.25">
      <c r="A67" s="290"/>
      <c r="B67" s="462" t="s">
        <v>1310</v>
      </c>
      <c r="C67" s="1332"/>
      <c r="D67" s="1332"/>
      <c r="E67" s="1333"/>
      <c r="F67" s="446" t="e">
        <f>VLOOKUP($C67,$AZ$89:$BJ$521,2,FALSE)</f>
        <v>#N/A</v>
      </c>
      <c r="G67" s="446" t="e">
        <f>VLOOKUP($D67,$AZ$89:$BJ$521,2,FALSE)</f>
        <v>#N/A</v>
      </c>
      <c r="H67" s="1819" t="e">
        <f>E67*(G67-F67)</f>
        <v>#N/A</v>
      </c>
      <c r="I67" s="1819"/>
      <c r="J67" s="447"/>
      <c r="K67" s="443"/>
      <c r="L67" s="439">
        <f>IF(E67&gt;0,H67*(44/12),0)</f>
        <v>0</v>
      </c>
      <c r="M67" s="448">
        <f>IF(E67&gt;0,VLOOKUP($C67,$AZ$89:$BJ$521,3,FALSE),0)</f>
        <v>0</v>
      </c>
      <c r="N67" s="28">
        <f t="shared" si="4"/>
        <v>0</v>
      </c>
      <c r="O67" s="290"/>
      <c r="P67" s="290"/>
      <c r="Q67" s="290"/>
      <c r="R67" s="322" t="s">
        <v>734</v>
      </c>
      <c r="S67" s="322" t="s">
        <v>735</v>
      </c>
      <c r="T67" s="324">
        <v>1094798</v>
      </c>
      <c r="U67" s="323">
        <v>193</v>
      </c>
      <c r="V67" s="323">
        <v>41.3</v>
      </c>
      <c r="W67" s="336">
        <v>96.5</v>
      </c>
      <c r="X67" s="324">
        <v>211285876</v>
      </c>
      <c r="Y67" s="324">
        <v>105642938</v>
      </c>
      <c r="Z67" s="324">
        <v>387709583</v>
      </c>
      <c r="AA67" s="290"/>
      <c r="AB67" s="290"/>
      <c r="AC67" s="1805" t="s">
        <v>672</v>
      </c>
      <c r="AD67" s="1805"/>
      <c r="AE67" s="1805"/>
      <c r="AF67" s="1805"/>
      <c r="AG67" s="1805"/>
      <c r="AH67" s="1805"/>
      <c r="AI67" s="1805"/>
      <c r="AJ67" s="1805"/>
      <c r="AK67" s="1805"/>
      <c r="AL67" s="1805"/>
      <c r="AM67" s="1805"/>
      <c r="AN67" s="290"/>
      <c r="AO67" s="290"/>
      <c r="AP67" s="290"/>
      <c r="AQ67" s="290"/>
      <c r="AR67" s="290"/>
      <c r="AS67" s="290"/>
      <c r="AT67" s="290"/>
      <c r="AU67" s="290"/>
      <c r="AV67" s="290"/>
      <c r="AW67" s="290"/>
      <c r="AX67" s="290"/>
      <c r="AY67" s="290"/>
      <c r="AZ67" s="290"/>
      <c r="BA67" s="290"/>
      <c r="BB67" s="290"/>
    </row>
    <row r="68" spans="1:54" ht="18" customHeight="1" x14ac:dyDescent="0.25">
      <c r="A68" s="290"/>
      <c r="B68" s="462" t="s">
        <v>1302</v>
      </c>
      <c r="C68" s="1332"/>
      <c r="D68" s="1332"/>
      <c r="E68" s="1333"/>
      <c r="F68" s="446" t="e">
        <f>VLOOKUP($C68,$AZ$89:$BJ$521,2,FALSE)</f>
        <v>#N/A</v>
      </c>
      <c r="G68" s="446" t="e">
        <f>VLOOKUP($D68,$AZ$89:$BJ$527,2,FALSE)</f>
        <v>#N/A</v>
      </c>
      <c r="H68" s="1819" t="e">
        <f>E68*(G68-F68)</f>
        <v>#N/A</v>
      </c>
      <c r="I68" s="1819"/>
      <c r="J68" s="447"/>
      <c r="K68" s="443"/>
      <c r="L68" s="439">
        <f>IF(E68&gt;0,H68*(44/12),0)</f>
        <v>0</v>
      </c>
      <c r="M68" s="448">
        <f>IF(E68&gt;0,VLOOKUP($C68,$AZ$89:$BJ$521,3,FALSE),0)</f>
        <v>0</v>
      </c>
      <c r="N68" s="28">
        <f t="shared" si="4"/>
        <v>0</v>
      </c>
      <c r="O68" s="290"/>
      <c r="P68" s="290"/>
      <c r="Q68" s="290"/>
      <c r="R68" s="322" t="s">
        <v>734</v>
      </c>
      <c r="S68" s="322" t="s">
        <v>735</v>
      </c>
      <c r="T68" s="324">
        <v>1094798</v>
      </c>
      <c r="U68" s="323">
        <v>193</v>
      </c>
      <c r="V68" s="323">
        <v>41.3</v>
      </c>
      <c r="W68" s="336">
        <v>96.5</v>
      </c>
      <c r="X68" s="324">
        <v>211285876</v>
      </c>
      <c r="Y68" s="324">
        <v>105642938</v>
      </c>
      <c r="Z68" s="324">
        <v>387709583</v>
      </c>
      <c r="AA68" s="290"/>
      <c r="AB68" s="290"/>
      <c r="AC68" s="1805" t="s">
        <v>672</v>
      </c>
      <c r="AD68" s="1805"/>
      <c r="AE68" s="1805"/>
      <c r="AF68" s="1805"/>
      <c r="AG68" s="1805"/>
      <c r="AH68" s="1805"/>
      <c r="AI68" s="1805"/>
      <c r="AJ68" s="1805"/>
      <c r="AK68" s="1805"/>
      <c r="AL68" s="1805"/>
      <c r="AM68" s="1805"/>
      <c r="AN68" s="290"/>
      <c r="AO68" s="290"/>
      <c r="AP68" s="290"/>
      <c r="AQ68" s="290"/>
      <c r="AR68" s="290"/>
      <c r="AS68" s="290"/>
      <c r="AT68" s="290"/>
      <c r="AU68" s="290"/>
      <c r="AV68" s="290"/>
      <c r="AW68" s="290"/>
      <c r="AX68" s="290"/>
      <c r="AY68" s="290"/>
      <c r="AZ68" s="290"/>
      <c r="BA68" s="290"/>
      <c r="BB68" s="290"/>
    </row>
    <row r="69" spans="1:54" ht="18" customHeight="1" x14ac:dyDescent="0.25">
      <c r="A69" s="290"/>
      <c r="B69" s="462" t="s">
        <v>1303</v>
      </c>
      <c r="C69" s="1332"/>
      <c r="D69" s="1332"/>
      <c r="E69" s="1333"/>
      <c r="F69" s="446" t="e">
        <f>VLOOKUP($C69,$AZ$89:$BJ$521,2,FALSE)</f>
        <v>#N/A</v>
      </c>
      <c r="G69" s="446" t="e">
        <f>VLOOKUP($D69,$AZ$89:$BJ$527,2,FALSE)</f>
        <v>#N/A</v>
      </c>
      <c r="H69" s="1819" t="e">
        <f>E69*(G69-F69)</f>
        <v>#N/A</v>
      </c>
      <c r="I69" s="1819"/>
      <c r="J69" s="447"/>
      <c r="K69" s="443"/>
      <c r="L69" s="439">
        <f>IF(E69&gt;0,H69*(44/12),0)</f>
        <v>0</v>
      </c>
      <c r="M69" s="448">
        <f>IF(E69&gt;0,VLOOKUP($C69,$AZ$89:$BJ$521,3,FALSE),0)</f>
        <v>0</v>
      </c>
      <c r="N69" s="28">
        <f t="shared" si="4"/>
        <v>0</v>
      </c>
      <c r="O69" s="290"/>
      <c r="P69" s="290"/>
      <c r="Q69" s="290"/>
      <c r="R69" s="322" t="s">
        <v>734</v>
      </c>
      <c r="S69" s="322" t="s">
        <v>735</v>
      </c>
      <c r="T69" s="324">
        <v>1094798</v>
      </c>
      <c r="U69" s="323">
        <v>193</v>
      </c>
      <c r="V69" s="323">
        <v>41.3</v>
      </c>
      <c r="W69" s="336">
        <v>96.5</v>
      </c>
      <c r="X69" s="324">
        <v>211285876</v>
      </c>
      <c r="Y69" s="324">
        <v>105642938</v>
      </c>
      <c r="Z69" s="324">
        <v>387709583</v>
      </c>
      <c r="AA69" s="290"/>
      <c r="AB69" s="290"/>
      <c r="AC69" s="1805" t="s">
        <v>672</v>
      </c>
      <c r="AD69" s="1805"/>
      <c r="AE69" s="1805"/>
      <c r="AF69" s="1805"/>
      <c r="AG69" s="1805"/>
      <c r="AH69" s="1805"/>
      <c r="AI69" s="1805"/>
      <c r="AJ69" s="1805"/>
      <c r="AK69" s="1805"/>
      <c r="AL69" s="1805"/>
      <c r="AM69" s="1805"/>
      <c r="AN69" s="290"/>
      <c r="AO69" s="290"/>
      <c r="AP69" s="290"/>
      <c r="AQ69" s="290"/>
      <c r="AR69" s="290"/>
      <c r="AS69" s="290"/>
      <c r="AT69" s="290"/>
      <c r="AU69" s="290"/>
      <c r="AV69" s="290"/>
      <c r="AW69" s="290"/>
      <c r="AX69" s="290"/>
      <c r="AY69" s="290"/>
      <c r="AZ69" s="290"/>
      <c r="BA69" s="290"/>
      <c r="BB69" s="290"/>
    </row>
    <row r="70" spans="1:54" ht="18" customHeight="1" x14ac:dyDescent="0.25">
      <c r="A70" s="290"/>
      <c r="B70" s="462" t="s">
        <v>1304</v>
      </c>
      <c r="C70" s="1332"/>
      <c r="D70" s="1332"/>
      <c r="E70" s="1333"/>
      <c r="F70" s="446" t="e">
        <f>VLOOKUP($C70,$AZ$89:$BJ$521,2,FALSE)</f>
        <v>#N/A</v>
      </c>
      <c r="G70" s="446" t="e">
        <f>VLOOKUP($D70,$AZ$89:$BJ$527,2,FALSE)</f>
        <v>#N/A</v>
      </c>
      <c r="H70" s="1819" t="e">
        <f>E70*(G70-F70)</f>
        <v>#N/A</v>
      </c>
      <c r="I70" s="1819"/>
      <c r="J70" s="447"/>
      <c r="K70" s="443"/>
      <c r="L70" s="439">
        <f>IF(E70&gt;0,H70*(44/12),0)</f>
        <v>0</v>
      </c>
      <c r="M70" s="448">
        <f>IF(E70&gt;0,VLOOKUP($C70,$AZ$89:$BJ$521,3,FALSE),0)</f>
        <v>0</v>
      </c>
      <c r="N70" s="28">
        <f t="shared" si="4"/>
        <v>0</v>
      </c>
      <c r="O70" s="290"/>
      <c r="P70" s="290"/>
      <c r="Q70" s="290"/>
      <c r="R70" s="322" t="s">
        <v>734</v>
      </c>
      <c r="S70" s="322" t="s">
        <v>735</v>
      </c>
      <c r="T70" s="324">
        <v>1094798</v>
      </c>
      <c r="U70" s="323">
        <v>193</v>
      </c>
      <c r="V70" s="323">
        <v>41.3</v>
      </c>
      <c r="W70" s="336">
        <v>96.5</v>
      </c>
      <c r="X70" s="324">
        <v>211285876</v>
      </c>
      <c r="Y70" s="324">
        <v>105642938</v>
      </c>
      <c r="Z70" s="324">
        <v>387709583</v>
      </c>
      <c r="AA70" s="290"/>
      <c r="AB70" s="290"/>
      <c r="AC70" s="1805" t="s">
        <v>672</v>
      </c>
      <c r="AD70" s="1805"/>
      <c r="AE70" s="1805"/>
      <c r="AF70" s="1805"/>
      <c r="AG70" s="1805"/>
      <c r="AH70" s="1805"/>
      <c r="AI70" s="1805"/>
      <c r="AJ70" s="1805"/>
      <c r="AK70" s="1805"/>
      <c r="AL70" s="1805"/>
      <c r="AM70" s="1805"/>
      <c r="AN70" s="290"/>
      <c r="AO70" s="290"/>
      <c r="AP70" s="290"/>
      <c r="AQ70" s="290"/>
      <c r="AR70" s="290"/>
      <c r="AS70" s="290"/>
      <c r="AT70" s="290"/>
      <c r="AU70" s="290"/>
      <c r="AV70" s="290"/>
      <c r="AW70" s="290"/>
      <c r="AX70" s="290"/>
      <c r="AY70" s="290"/>
      <c r="AZ70" s="290"/>
      <c r="BA70" s="290"/>
      <c r="BB70" s="290"/>
    </row>
    <row r="71" spans="1:54" ht="18" customHeight="1" x14ac:dyDescent="0.25">
      <c r="A71" s="290"/>
      <c r="B71" s="1812" t="s">
        <v>719</v>
      </c>
      <c r="C71" s="1813"/>
      <c r="D71" s="325"/>
      <c r="E71" s="326">
        <f>SUM(E66:E70)</f>
        <v>0</v>
      </c>
      <c r="F71" s="326"/>
      <c r="G71" s="326"/>
      <c r="H71" s="1815"/>
      <c r="I71" s="1815"/>
      <c r="J71" s="327"/>
      <c r="K71" s="327"/>
      <c r="L71" s="326">
        <f>SUM(L66:L70)</f>
        <v>0</v>
      </c>
      <c r="M71" s="449">
        <f>IF(L71&gt;0,SQRT(SUM(N66:N70))/L71,0)</f>
        <v>0</v>
      </c>
      <c r="N71" s="28">
        <f t="shared" si="4"/>
        <v>0</v>
      </c>
      <c r="O71" s="290"/>
      <c r="P71" s="290"/>
      <c r="Q71" s="290"/>
      <c r="R71" s="322" t="s">
        <v>739</v>
      </c>
      <c r="S71" s="322" t="s">
        <v>740</v>
      </c>
      <c r="T71" s="322">
        <v>606.89599999999996</v>
      </c>
      <c r="U71" s="323">
        <v>213.5</v>
      </c>
      <c r="V71" s="323">
        <v>47.8</v>
      </c>
      <c r="W71" s="336">
        <v>106.8</v>
      </c>
      <c r="X71" s="324">
        <v>129579389</v>
      </c>
      <c r="Y71" s="324">
        <v>64789695</v>
      </c>
      <c r="Z71" s="324">
        <v>237778180</v>
      </c>
      <c r="AA71" s="290"/>
      <c r="AB71" s="290"/>
      <c r="AC71" s="338" t="s">
        <v>741</v>
      </c>
      <c r="AD71" s="298" t="s">
        <v>670</v>
      </c>
      <c r="AE71" s="314">
        <v>1.9</v>
      </c>
      <c r="AF71" s="1816">
        <v>2</v>
      </c>
      <c r="AG71" s="1816"/>
      <c r="AH71" s="1816"/>
      <c r="AI71" s="314">
        <v>1</v>
      </c>
      <c r="AJ71" s="314">
        <v>1</v>
      </c>
      <c r="AK71" s="1816">
        <v>1.4</v>
      </c>
      <c r="AL71" s="1816"/>
      <c r="AM71" s="314">
        <v>0.4</v>
      </c>
      <c r="AN71" s="290"/>
      <c r="AO71" s="290"/>
      <c r="AP71" s="290"/>
      <c r="AQ71" s="290"/>
      <c r="AR71" s="290"/>
      <c r="AS71" s="290"/>
      <c r="AT71" s="290"/>
      <c r="AU71" s="290"/>
      <c r="AV71" s="290"/>
      <c r="AW71" s="290"/>
      <c r="AX71" s="290"/>
      <c r="AY71" s="290"/>
      <c r="AZ71" s="290"/>
      <c r="BA71" s="290"/>
      <c r="BB71" s="290"/>
    </row>
    <row r="72" spans="1:54" ht="39" customHeight="1" x14ac:dyDescent="0.25">
      <c r="A72" s="290"/>
      <c r="B72" s="1856" t="s">
        <v>1305</v>
      </c>
      <c r="C72" s="1857"/>
      <c r="D72" s="1857"/>
      <c r="E72" s="1857"/>
      <c r="F72" s="1857"/>
      <c r="G72" s="1857"/>
      <c r="H72" s="1857"/>
      <c r="I72" s="1857"/>
      <c r="J72" s="1857"/>
      <c r="K72" s="1858"/>
      <c r="L72" s="1112">
        <f>(L21+L31+L41+L51+L61+L71)</f>
        <v>0</v>
      </c>
      <c r="M72" s="1113">
        <f>IF(L72&gt;0,(SQRT(N21+N31+N41+N51+N61+N71))/L72,0)</f>
        <v>0</v>
      </c>
      <c r="N72" s="28">
        <f t="shared" si="4"/>
        <v>0</v>
      </c>
      <c r="O72" s="290"/>
      <c r="P72" s="290"/>
      <c r="Q72" s="290"/>
      <c r="R72" s="343" t="s">
        <v>756</v>
      </c>
      <c r="S72" s="1859" t="s">
        <v>757</v>
      </c>
      <c r="T72" s="1860"/>
      <c r="U72" s="344" t="s">
        <v>758</v>
      </c>
      <c r="V72" s="345" t="s">
        <v>759</v>
      </c>
      <c r="W72" s="346" t="s">
        <v>760</v>
      </c>
      <c r="X72" s="346" t="s">
        <v>761</v>
      </c>
      <c r="Y72" s="346" t="s">
        <v>762</v>
      </c>
      <c r="Z72" s="347" t="s">
        <v>763</v>
      </c>
      <c r="AA72" s="290"/>
      <c r="AB72" s="290"/>
      <c r="AC72" s="1848" t="s">
        <v>764</v>
      </c>
      <c r="AD72" s="1848"/>
      <c r="AE72" s="1848"/>
      <c r="AF72" s="1848"/>
      <c r="AG72" s="1848"/>
      <c r="AH72" s="1848"/>
      <c r="AI72" s="1848"/>
      <c r="AJ72" s="1848"/>
      <c r="AK72" s="1848"/>
      <c r="AL72" s="290"/>
      <c r="AM72" s="290"/>
      <c r="AN72" s="290"/>
      <c r="AO72" s="290"/>
      <c r="AP72" s="290"/>
      <c r="AQ72" s="290"/>
      <c r="AR72" s="290"/>
      <c r="AS72" s="290"/>
      <c r="AT72" s="290"/>
      <c r="AU72" s="290"/>
      <c r="AV72" s="290"/>
      <c r="AW72" s="290"/>
      <c r="AX72" s="290"/>
      <c r="AY72" s="290"/>
      <c r="AZ72" s="290"/>
      <c r="BA72" s="290"/>
      <c r="BB72" s="290"/>
    </row>
    <row r="73" spans="1:54" x14ac:dyDescent="0.25">
      <c r="A73" s="290"/>
      <c r="B73" s="290"/>
      <c r="C73" s="290"/>
      <c r="D73" s="290"/>
      <c r="E73" s="290"/>
      <c r="F73" s="290"/>
      <c r="G73" s="290"/>
      <c r="H73" s="290"/>
      <c r="I73" s="290"/>
      <c r="J73" s="290"/>
      <c r="K73" s="290"/>
      <c r="L73" s="290"/>
      <c r="M73" s="290"/>
      <c r="N73" s="290"/>
      <c r="O73" s="290"/>
      <c r="P73" s="290"/>
      <c r="Q73" s="290"/>
      <c r="R73" s="348" t="s">
        <v>765</v>
      </c>
      <c r="S73" s="1839" t="s">
        <v>716</v>
      </c>
      <c r="T73" s="1840"/>
      <c r="U73" s="349">
        <v>5488.7</v>
      </c>
      <c r="V73" s="350">
        <v>96.2</v>
      </c>
      <c r="W73" s="349">
        <v>527896.1</v>
      </c>
      <c r="X73" s="350">
        <v>48.1</v>
      </c>
      <c r="Y73" s="349">
        <v>263948.09999999998</v>
      </c>
      <c r="Z73" s="349">
        <v>968689.4</v>
      </c>
      <c r="AA73" s="290"/>
      <c r="AB73" s="290"/>
      <c r="AC73" s="1847" t="s">
        <v>766</v>
      </c>
      <c r="AD73" s="1847"/>
      <c r="AE73" s="1847"/>
      <c r="AF73" s="1847"/>
      <c r="AG73" s="1847"/>
      <c r="AH73" s="1847"/>
      <c r="AI73" s="1847"/>
      <c r="AJ73" s="1847"/>
      <c r="AK73" s="1847"/>
      <c r="AL73" s="290"/>
      <c r="AM73" s="290"/>
      <c r="AN73" s="290"/>
      <c r="AO73" s="290"/>
      <c r="AP73" s="290"/>
      <c r="AQ73" s="290"/>
      <c r="AR73" s="290"/>
      <c r="AS73" s="290"/>
      <c r="AT73" s="290"/>
      <c r="AU73" s="290"/>
      <c r="AV73" s="290"/>
      <c r="AW73" s="290"/>
      <c r="AX73" s="290"/>
      <c r="AY73" s="290"/>
      <c r="AZ73" s="290"/>
      <c r="BA73" s="290"/>
      <c r="BB73" s="290"/>
    </row>
    <row r="74" spans="1:54" x14ac:dyDescent="0.25">
      <c r="A74" s="290"/>
      <c r="B74" s="351" t="s">
        <v>656</v>
      </c>
      <c r="C74" s="290"/>
      <c r="D74" s="290"/>
      <c r="E74" s="351" t="s">
        <v>122</v>
      </c>
      <c r="F74" s="351"/>
      <c r="G74" s="351"/>
      <c r="H74" s="290"/>
      <c r="I74" s="290"/>
      <c r="J74" s="290"/>
      <c r="K74" s="290"/>
      <c r="L74" s="290"/>
      <c r="M74" s="351" t="s">
        <v>657</v>
      </c>
      <c r="N74" s="290"/>
      <c r="O74" s="290"/>
      <c r="P74" s="290"/>
      <c r="Q74" s="290"/>
      <c r="R74" s="348" t="s">
        <v>765</v>
      </c>
      <c r="S74" s="1830" t="s">
        <v>720</v>
      </c>
      <c r="T74" s="1831"/>
      <c r="U74" s="352">
        <v>39472439.899999999</v>
      </c>
      <c r="V74" s="353">
        <v>258.89999999999998</v>
      </c>
      <c r="W74" s="352">
        <v>10218406273.9</v>
      </c>
      <c r="X74" s="353">
        <v>129.4</v>
      </c>
      <c r="Y74" s="352">
        <v>5109203136.8999996</v>
      </c>
      <c r="Z74" s="352">
        <v>18750775512.599998</v>
      </c>
      <c r="AA74" s="290"/>
      <c r="AB74" s="290"/>
      <c r="AC74" s="1817" t="s">
        <v>767</v>
      </c>
      <c r="AD74" s="1817"/>
      <c r="AE74" s="1817"/>
      <c r="AF74" s="1817"/>
      <c r="AG74" s="1817"/>
      <c r="AH74" s="1817"/>
      <c r="AI74" s="1817"/>
      <c r="AJ74" s="1817"/>
      <c r="AK74" s="1817"/>
      <c r="AL74" s="290"/>
      <c r="AM74" s="290"/>
      <c r="AN74" s="290"/>
      <c r="AO74" s="290"/>
      <c r="AP74" s="290"/>
      <c r="AQ74" s="290"/>
      <c r="AR74" s="290"/>
      <c r="AS74" s="290"/>
      <c r="AT74" s="290"/>
      <c r="AU74" s="290"/>
      <c r="AV74" s="290"/>
      <c r="AW74" s="290"/>
      <c r="AX74" s="290"/>
      <c r="AY74" s="290"/>
      <c r="AZ74" s="290"/>
      <c r="BA74" s="290"/>
      <c r="BB74" s="290"/>
    </row>
    <row r="75" spans="1:54" x14ac:dyDescent="0.25">
      <c r="A75" s="290"/>
      <c r="B75" s="290"/>
      <c r="C75" s="290"/>
      <c r="D75" s="290"/>
      <c r="E75" s="290"/>
      <c r="F75" s="290"/>
      <c r="G75" s="290"/>
      <c r="H75" s="290"/>
      <c r="I75" s="290"/>
      <c r="J75" s="290"/>
      <c r="K75" s="290"/>
      <c r="L75" s="290"/>
      <c r="M75" s="290"/>
      <c r="N75" s="290"/>
      <c r="O75" s="290"/>
      <c r="P75" s="290"/>
      <c r="Q75" s="290"/>
      <c r="R75" s="348" t="s">
        <v>765</v>
      </c>
      <c r="S75" s="1839" t="s">
        <v>724</v>
      </c>
      <c r="T75" s="1840"/>
      <c r="U75" s="349">
        <v>598747.30000000005</v>
      </c>
      <c r="V75" s="350">
        <v>164.1</v>
      </c>
      <c r="W75" s="349">
        <v>98253243</v>
      </c>
      <c r="X75" s="350">
        <v>82</v>
      </c>
      <c r="Y75" s="349">
        <v>49126621.5</v>
      </c>
      <c r="Z75" s="349">
        <v>180294700.90000001</v>
      </c>
      <c r="AA75" s="290"/>
      <c r="AB75" s="290"/>
      <c r="AC75" s="1849" t="s">
        <v>692</v>
      </c>
      <c r="AD75" s="1849"/>
      <c r="AE75" s="1849"/>
      <c r="AF75" s="1849"/>
      <c r="AG75" s="1849"/>
      <c r="AH75" s="1849"/>
      <c r="AI75" s="1849"/>
      <c r="AJ75" s="1849"/>
      <c r="AK75" s="1849"/>
      <c r="AL75" s="290"/>
      <c r="AM75" s="290"/>
      <c r="AN75" s="290"/>
      <c r="AO75" s="290"/>
      <c r="AP75" s="290"/>
      <c r="AQ75" s="290"/>
      <c r="AR75" s="290"/>
      <c r="AS75" s="290"/>
      <c r="AT75" s="290"/>
      <c r="AU75" s="290"/>
      <c r="AV75" s="290"/>
      <c r="AW75" s="290"/>
      <c r="AX75" s="290"/>
      <c r="AY75" s="290"/>
      <c r="AZ75" s="290"/>
      <c r="BA75" s="290"/>
      <c r="BB75" s="290"/>
    </row>
    <row r="76" spans="1:54" x14ac:dyDescent="0.25">
      <c r="A76" s="290"/>
      <c r="B76" s="355" t="s">
        <v>768</v>
      </c>
      <c r="C76" s="1853" t="s">
        <v>769</v>
      </c>
      <c r="D76" s="1853"/>
      <c r="E76" s="1853"/>
      <c r="F76" s="436"/>
      <c r="G76" s="436"/>
      <c r="H76" s="290"/>
      <c r="I76" s="290"/>
      <c r="J76" s="290"/>
      <c r="K76" s="290"/>
      <c r="L76" s="290"/>
      <c r="M76" s="290"/>
      <c r="N76" s="290"/>
      <c r="O76" s="290"/>
      <c r="P76" s="290"/>
      <c r="Q76" s="290"/>
      <c r="R76" s="348" t="s">
        <v>765</v>
      </c>
      <c r="S76" s="1830" t="s">
        <v>736</v>
      </c>
      <c r="T76" s="1831"/>
      <c r="U76" s="352">
        <v>58123.9</v>
      </c>
      <c r="V76" s="353">
        <v>191.4</v>
      </c>
      <c r="W76" s="352">
        <v>11127457.800000001</v>
      </c>
      <c r="X76" s="353">
        <v>95.7</v>
      </c>
      <c r="Y76" s="352">
        <v>5563728.9000000004</v>
      </c>
      <c r="Z76" s="352">
        <v>20418885</v>
      </c>
      <c r="AA76" s="290"/>
      <c r="AB76" s="290"/>
      <c r="AC76" s="1817"/>
      <c r="AD76" s="306"/>
      <c r="AE76" s="306"/>
      <c r="AF76" s="306"/>
      <c r="AG76" s="1854" t="s">
        <v>665</v>
      </c>
      <c r="AH76" s="1854" t="s">
        <v>722</v>
      </c>
      <c r="AI76" s="306"/>
      <c r="AJ76" s="306"/>
      <c r="AK76" s="306"/>
      <c r="AL76" s="290"/>
      <c r="AM76" s="290"/>
      <c r="AN76" s="290"/>
      <c r="AO76" s="290"/>
      <c r="AP76" s="290"/>
      <c r="AQ76" s="290"/>
      <c r="AR76" s="290"/>
      <c r="AS76" s="290"/>
      <c r="AT76" s="290"/>
      <c r="AU76" s="290"/>
      <c r="AV76" s="290"/>
      <c r="AW76" s="290"/>
      <c r="AX76" s="290"/>
      <c r="AY76" s="290"/>
      <c r="AZ76" s="290"/>
      <c r="BA76" s="290"/>
      <c r="BB76" s="290"/>
    </row>
    <row r="77" spans="1:54" x14ac:dyDescent="0.25">
      <c r="A77" s="290"/>
      <c r="B77" s="356" t="s">
        <v>770</v>
      </c>
      <c r="C77" s="1850" t="s">
        <v>771</v>
      </c>
      <c r="D77" s="1850"/>
      <c r="E77" s="1850"/>
      <c r="F77" s="437"/>
      <c r="G77" s="437"/>
      <c r="H77" s="290"/>
      <c r="I77" s="290"/>
      <c r="J77" s="290"/>
      <c r="K77" s="290"/>
      <c r="L77" s="290"/>
      <c r="M77" s="290"/>
      <c r="N77" s="290"/>
      <c r="O77" s="290"/>
      <c r="P77" s="290"/>
      <c r="Q77" s="290"/>
      <c r="R77" s="348" t="s">
        <v>765</v>
      </c>
      <c r="S77" s="1839" t="s">
        <v>739</v>
      </c>
      <c r="T77" s="1840"/>
      <c r="U77" s="350">
        <v>7.4</v>
      </c>
      <c r="V77" s="350">
        <v>213.5</v>
      </c>
      <c r="W77" s="349">
        <v>1573.1</v>
      </c>
      <c r="X77" s="350">
        <v>106.8</v>
      </c>
      <c r="Y77" s="350">
        <v>786.5</v>
      </c>
      <c r="Z77" s="349">
        <v>2886.6</v>
      </c>
      <c r="AA77" s="290"/>
      <c r="AB77" s="290"/>
      <c r="AC77" s="1817"/>
      <c r="AD77" s="306"/>
      <c r="AE77" s="306"/>
      <c r="AF77" s="299" t="s">
        <v>664</v>
      </c>
      <c r="AG77" s="1854"/>
      <c r="AH77" s="1854"/>
      <c r="AI77" s="299" t="s">
        <v>666</v>
      </c>
      <c r="AJ77" s="335" t="s">
        <v>668</v>
      </c>
      <c r="AK77" s="335" t="s">
        <v>668</v>
      </c>
      <c r="AL77" s="290"/>
      <c r="AM77" s="290"/>
      <c r="AN77" s="290"/>
      <c r="AO77" s="290"/>
      <c r="AP77" s="290"/>
      <c r="AQ77" s="290"/>
      <c r="AR77" s="290"/>
      <c r="AS77" s="290"/>
      <c r="AT77" s="290"/>
      <c r="AU77" s="290"/>
      <c r="AV77" s="290"/>
      <c r="AW77" s="290"/>
      <c r="AX77" s="290"/>
      <c r="AY77" s="290"/>
      <c r="AZ77" s="290"/>
      <c r="BA77" s="290"/>
      <c r="BB77" s="290"/>
    </row>
    <row r="78" spans="1:54" x14ac:dyDescent="0.25">
      <c r="A78" s="290"/>
      <c r="B78" s="356" t="s">
        <v>772</v>
      </c>
      <c r="C78" s="1850" t="s">
        <v>773</v>
      </c>
      <c r="D78" s="1850"/>
      <c r="E78" s="1850"/>
      <c r="F78" s="437"/>
      <c r="G78" s="437"/>
      <c r="H78" s="290"/>
      <c r="I78" s="290"/>
      <c r="J78" s="290"/>
      <c r="K78" s="290"/>
      <c r="L78" s="290"/>
      <c r="M78" s="290"/>
      <c r="N78" s="290"/>
      <c r="O78" s="290"/>
      <c r="P78" s="290"/>
      <c r="Q78" s="290"/>
      <c r="R78" s="348" t="s">
        <v>765</v>
      </c>
      <c r="S78" s="1830" t="s">
        <v>745</v>
      </c>
      <c r="T78" s="1831"/>
      <c r="U78" s="352">
        <v>34129.699999999997</v>
      </c>
      <c r="V78" s="353">
        <v>255.2</v>
      </c>
      <c r="W78" s="352">
        <v>8711575.9000000004</v>
      </c>
      <c r="X78" s="353">
        <v>127.6</v>
      </c>
      <c r="Y78" s="352">
        <v>4355787.9000000004</v>
      </c>
      <c r="Z78" s="352">
        <v>15985741.699999999</v>
      </c>
      <c r="AA78" s="290"/>
      <c r="AB78" s="290"/>
      <c r="AC78" s="1817"/>
      <c r="AD78" s="293" t="s">
        <v>729</v>
      </c>
      <c r="AE78" s="293"/>
      <c r="AF78" s="306"/>
      <c r="AG78" s="1854"/>
      <c r="AH78" s="1854"/>
      <c r="AI78" s="306"/>
      <c r="AJ78" s="335" t="s">
        <v>774</v>
      </c>
      <c r="AK78" s="299" t="s">
        <v>666</v>
      </c>
      <c r="AL78" s="290"/>
      <c r="AM78" s="290"/>
      <c r="AN78" s="290"/>
      <c r="AO78" s="290"/>
      <c r="AP78" s="290"/>
      <c r="AQ78" s="290"/>
      <c r="AR78" s="290"/>
      <c r="AS78" s="290"/>
      <c r="AT78" s="290"/>
      <c r="AU78" s="290"/>
      <c r="AV78" s="290"/>
      <c r="AW78" s="290"/>
      <c r="AX78" s="290"/>
      <c r="AY78" s="290"/>
      <c r="AZ78" s="290"/>
      <c r="BA78" s="290"/>
      <c r="BB78" s="290"/>
    </row>
    <row r="79" spans="1:54" x14ac:dyDescent="0.25">
      <c r="A79" s="290"/>
      <c r="B79" s="357" t="s">
        <v>1347</v>
      </c>
      <c r="C79" s="1850" t="s">
        <v>776</v>
      </c>
      <c r="D79" s="1850"/>
      <c r="E79" s="1850"/>
      <c r="F79" s="437"/>
      <c r="G79" s="437"/>
      <c r="H79" s="290"/>
      <c r="I79" s="290"/>
      <c r="J79" s="290"/>
      <c r="K79" s="290"/>
      <c r="L79" s="290"/>
      <c r="M79" s="290"/>
      <c r="N79" s="290"/>
      <c r="O79" s="290"/>
      <c r="P79" s="290"/>
      <c r="Q79" s="290"/>
      <c r="R79" s="348" t="s">
        <v>765</v>
      </c>
      <c r="S79" s="1832" t="s">
        <v>118</v>
      </c>
      <c r="T79" s="1833"/>
      <c r="U79" s="358">
        <v>40168936.899999999</v>
      </c>
      <c r="V79" s="359">
        <v>257.3</v>
      </c>
      <c r="W79" s="358">
        <v>10337028019.700001</v>
      </c>
      <c r="X79" s="359">
        <v>128.69999999999999</v>
      </c>
      <c r="Y79" s="358">
        <v>5168514009.8999996</v>
      </c>
      <c r="Z79" s="358">
        <v>18968446416.200001</v>
      </c>
      <c r="AA79" s="290"/>
      <c r="AB79" s="290"/>
      <c r="AC79" s="1817"/>
      <c r="AD79" s="306"/>
      <c r="AE79" s="306"/>
      <c r="AF79" s="335" t="s">
        <v>777</v>
      </c>
      <c r="AG79" s="1855" t="s">
        <v>731</v>
      </c>
      <c r="AH79" s="1855"/>
      <c r="AI79" s="335" t="s">
        <v>732</v>
      </c>
      <c r="AJ79" s="335" t="s">
        <v>733</v>
      </c>
      <c r="AK79" s="335" t="s">
        <v>732</v>
      </c>
      <c r="AL79" s="290"/>
      <c r="AM79" s="290"/>
      <c r="AN79" s="290"/>
      <c r="AO79" s="290"/>
      <c r="AP79" s="290"/>
      <c r="AQ79" s="290"/>
      <c r="AR79" s="290"/>
      <c r="AS79" s="290"/>
      <c r="AT79" s="290"/>
      <c r="AU79" s="290"/>
      <c r="AV79" s="290"/>
      <c r="AW79" s="290"/>
      <c r="AX79" s="290"/>
      <c r="AY79" s="290"/>
      <c r="AZ79" s="290"/>
      <c r="BA79" s="290"/>
      <c r="BB79" s="290"/>
    </row>
    <row r="80" spans="1:54" x14ac:dyDescent="0.25">
      <c r="A80" s="290"/>
      <c r="B80" s="357" t="s">
        <v>713</v>
      </c>
      <c r="C80" s="1850" t="s">
        <v>779</v>
      </c>
      <c r="D80" s="1850"/>
      <c r="E80" s="1850"/>
      <c r="F80" s="437"/>
      <c r="G80" s="437"/>
      <c r="H80" s="290"/>
      <c r="I80" s="290"/>
      <c r="J80" s="290"/>
      <c r="K80" s="290"/>
      <c r="L80" s="290"/>
      <c r="M80" s="290"/>
      <c r="N80" s="290"/>
      <c r="O80" s="290"/>
      <c r="P80" s="290"/>
      <c r="Q80" s="290"/>
      <c r="R80" s="360" t="s">
        <v>780</v>
      </c>
      <c r="S80" s="1836" t="s">
        <v>716</v>
      </c>
      <c r="T80" s="1837"/>
      <c r="U80" s="361">
        <v>271188.7</v>
      </c>
      <c r="V80" s="362">
        <v>96.2</v>
      </c>
      <c r="W80" s="361">
        <v>26082774.300000001</v>
      </c>
      <c r="X80" s="362">
        <v>48.1</v>
      </c>
      <c r="Y80" s="361">
        <v>13041387.199999999</v>
      </c>
      <c r="Z80" s="361">
        <v>47861890.799999997</v>
      </c>
      <c r="AA80" s="290"/>
      <c r="AB80" s="290"/>
      <c r="AC80" s="1805" t="s">
        <v>672</v>
      </c>
      <c r="AD80" s="1805"/>
      <c r="AE80" s="1805"/>
      <c r="AF80" s="1805"/>
      <c r="AG80" s="1805"/>
      <c r="AH80" s="1805"/>
      <c r="AI80" s="1805"/>
      <c r="AJ80" s="1805"/>
      <c r="AK80" s="1805"/>
      <c r="AL80" s="290"/>
      <c r="AM80" s="290"/>
      <c r="AN80" s="290"/>
      <c r="AO80" s="290"/>
      <c r="AP80" s="290"/>
      <c r="AQ80" s="290"/>
      <c r="AR80" s="290"/>
      <c r="AS80" s="290"/>
      <c r="AT80" s="290"/>
      <c r="AU80" s="290"/>
      <c r="AV80" s="290"/>
      <c r="AW80" s="290"/>
      <c r="AX80" s="290"/>
      <c r="AY80" s="290"/>
      <c r="AZ80" s="290"/>
      <c r="BA80" s="290"/>
      <c r="BB80" s="290"/>
    </row>
    <row r="81" spans="1:62" ht="49.5" customHeight="1" x14ac:dyDescent="0.25">
      <c r="A81" s="290"/>
      <c r="B81" s="1851" t="s">
        <v>781</v>
      </c>
      <c r="C81" s="1852" t="s">
        <v>782</v>
      </c>
      <c r="D81" s="1852"/>
      <c r="E81" s="1852"/>
      <c r="F81" s="438"/>
      <c r="G81" s="438"/>
      <c r="H81" s="290"/>
      <c r="I81" s="290"/>
      <c r="J81" s="290"/>
      <c r="K81" s="290"/>
      <c r="L81" s="290"/>
      <c r="M81" s="290"/>
      <c r="N81" s="290"/>
      <c r="O81" s="290"/>
      <c r="P81" s="290"/>
      <c r="Q81" s="290"/>
      <c r="R81" s="360" t="s">
        <v>780</v>
      </c>
      <c r="S81" s="1839" t="s">
        <v>720</v>
      </c>
      <c r="T81" s="1840"/>
      <c r="U81" s="349">
        <v>1763221</v>
      </c>
      <c r="V81" s="350">
        <v>258.89999999999998</v>
      </c>
      <c r="W81" s="349">
        <v>456452865</v>
      </c>
      <c r="X81" s="350">
        <v>129.4</v>
      </c>
      <c r="Y81" s="349">
        <v>228226432.5</v>
      </c>
      <c r="Z81" s="349">
        <v>837591007.20000005</v>
      </c>
      <c r="AA81" s="290"/>
      <c r="AB81" s="290"/>
      <c r="AC81" s="1817" t="s">
        <v>695</v>
      </c>
      <c r="AD81" s="1817"/>
      <c r="AE81" s="298" t="s">
        <v>670</v>
      </c>
      <c r="AF81" s="1849">
        <v>18</v>
      </c>
      <c r="AG81" s="299">
        <v>14.5</v>
      </c>
      <c r="AH81" s="299">
        <v>7</v>
      </c>
      <c r="AI81" s="1849">
        <v>5</v>
      </c>
      <c r="AJ81" s="1849">
        <v>14</v>
      </c>
      <c r="AK81" s="314" t="s">
        <v>783</v>
      </c>
      <c r="AL81" s="290"/>
      <c r="AM81" s="290"/>
      <c r="AN81" s="290"/>
      <c r="AO81" s="290"/>
      <c r="AP81" s="290"/>
      <c r="AQ81" s="290"/>
      <c r="AR81" s="290"/>
      <c r="AS81" s="290"/>
      <c r="AT81" s="290"/>
      <c r="AU81" s="290"/>
      <c r="AV81" s="290"/>
      <c r="AW81" s="290"/>
      <c r="AX81" s="290"/>
      <c r="AY81" s="290"/>
      <c r="AZ81" s="290"/>
      <c r="BA81" s="290"/>
      <c r="BB81" s="290"/>
    </row>
    <row r="82" spans="1:62" x14ac:dyDescent="0.25">
      <c r="A82" s="290"/>
      <c r="B82" s="1851"/>
      <c r="C82" s="1852"/>
      <c r="D82" s="1852"/>
      <c r="E82" s="1852"/>
      <c r="F82" s="438"/>
      <c r="G82" s="438"/>
      <c r="H82" s="290"/>
      <c r="I82" s="290"/>
      <c r="J82" s="290"/>
      <c r="K82" s="290"/>
      <c r="L82" s="290"/>
      <c r="M82" s="290"/>
      <c r="N82" s="290"/>
      <c r="O82" s="290"/>
      <c r="P82" s="290"/>
      <c r="Q82" s="290"/>
      <c r="R82" s="360" t="s">
        <v>780</v>
      </c>
      <c r="S82" s="1836" t="s">
        <v>724</v>
      </c>
      <c r="T82" s="1837"/>
      <c r="U82" s="361">
        <v>652129.80000000005</v>
      </c>
      <c r="V82" s="362">
        <v>164.1</v>
      </c>
      <c r="W82" s="361">
        <v>107013198.40000001</v>
      </c>
      <c r="X82" s="362">
        <v>82</v>
      </c>
      <c r="Y82" s="361">
        <v>53506599.200000003</v>
      </c>
      <c r="Z82" s="361">
        <v>196369219.09999999</v>
      </c>
      <c r="AA82" s="290"/>
      <c r="AB82" s="290"/>
      <c r="AC82" s="1817"/>
      <c r="AD82" s="1817"/>
      <c r="AE82" s="303" t="s">
        <v>671</v>
      </c>
      <c r="AF82" s="1849"/>
      <c r="AG82" s="314">
        <v>5</v>
      </c>
      <c r="AH82" s="314">
        <v>4</v>
      </c>
      <c r="AI82" s="1849"/>
      <c r="AJ82" s="1849"/>
      <c r="AK82" s="314"/>
      <c r="AL82" s="290"/>
      <c r="AM82" s="290"/>
      <c r="AN82" s="290"/>
      <c r="AO82" s="290"/>
      <c r="AP82" s="290"/>
      <c r="AQ82" s="290"/>
      <c r="AR82" s="290"/>
      <c r="AS82" s="290"/>
      <c r="AT82" s="290"/>
      <c r="AU82" s="290"/>
      <c r="AV82" s="290"/>
      <c r="AW82" s="290"/>
      <c r="AX82" s="290"/>
      <c r="AY82" s="290"/>
      <c r="AZ82" s="290"/>
      <c r="BA82" s="290"/>
      <c r="BB82" s="290"/>
    </row>
    <row r="83" spans="1:62" hidden="1" x14ac:dyDescent="0.25">
      <c r="A83" s="290"/>
      <c r="B83" s="290"/>
      <c r="C83" s="290"/>
      <c r="D83" s="290"/>
      <c r="E83" s="290"/>
      <c r="F83" s="290"/>
      <c r="G83" s="290"/>
      <c r="H83" s="290"/>
      <c r="I83" s="290"/>
      <c r="J83" s="290"/>
      <c r="K83" s="290"/>
      <c r="L83" s="290"/>
      <c r="M83" s="290"/>
      <c r="N83" s="290"/>
      <c r="O83" s="290"/>
      <c r="P83" s="290"/>
      <c r="Q83" s="290"/>
      <c r="R83" s="360" t="s">
        <v>780</v>
      </c>
      <c r="S83" s="1839" t="s">
        <v>727</v>
      </c>
      <c r="T83" s="1840"/>
      <c r="U83" s="349">
        <v>9356.9</v>
      </c>
      <c r="V83" s="350">
        <v>172.2</v>
      </c>
      <c r="W83" s="349">
        <v>1611386.7</v>
      </c>
      <c r="X83" s="350">
        <v>86.1</v>
      </c>
      <c r="Y83" s="349">
        <v>805693.3</v>
      </c>
      <c r="Z83" s="349">
        <v>2956894.5</v>
      </c>
      <c r="AA83" s="290"/>
      <c r="AB83" s="290"/>
      <c r="AC83" s="1817"/>
      <c r="AD83" s="1817"/>
      <c r="AE83" s="303" t="s">
        <v>673</v>
      </c>
      <c r="AF83" s="1849"/>
      <c r="AG83" s="314">
        <v>19</v>
      </c>
      <c r="AH83" s="314">
        <v>10.3</v>
      </c>
      <c r="AI83" s="1849"/>
      <c r="AJ83" s="1849"/>
      <c r="AK83" s="314"/>
      <c r="AL83" s="290"/>
      <c r="AM83" s="290"/>
      <c r="AN83" s="290"/>
      <c r="AO83" s="290"/>
      <c r="AP83" s="290"/>
      <c r="AQ83" s="290"/>
      <c r="AR83" s="290"/>
      <c r="AS83" s="290"/>
      <c r="AT83" s="290"/>
      <c r="AU83" s="290"/>
      <c r="AV83" s="290"/>
      <c r="AW83" s="290"/>
      <c r="AX83" s="290"/>
      <c r="AY83" s="290"/>
      <c r="AZ83" s="290"/>
      <c r="BA83" s="290"/>
      <c r="BB83" s="290"/>
    </row>
    <row r="84" spans="1:62" s="312" customFormat="1" hidden="1" x14ac:dyDescent="0.25">
      <c r="A84" s="290"/>
      <c r="B84" s="290"/>
      <c r="C84" s="290"/>
      <c r="D84" s="290"/>
      <c r="E84" s="290"/>
      <c r="F84" s="290"/>
      <c r="G84" s="290"/>
      <c r="H84" s="290"/>
      <c r="I84" s="290"/>
      <c r="J84" s="290"/>
      <c r="K84" s="290"/>
      <c r="L84" s="290"/>
      <c r="M84" s="290"/>
      <c r="N84" s="310"/>
      <c r="O84" s="310"/>
      <c r="P84" s="310"/>
      <c r="Q84" s="310"/>
      <c r="R84" s="360" t="s">
        <v>780</v>
      </c>
      <c r="S84" s="1836" t="s">
        <v>734</v>
      </c>
      <c r="T84" s="1837"/>
      <c r="U84" s="361">
        <v>972918.7</v>
      </c>
      <c r="V84" s="362">
        <v>193</v>
      </c>
      <c r="W84" s="361">
        <v>187764270.09999999</v>
      </c>
      <c r="X84" s="362">
        <v>96.5</v>
      </c>
      <c r="Y84" s="361">
        <v>93882135</v>
      </c>
      <c r="Z84" s="361">
        <v>344547435.60000002</v>
      </c>
      <c r="AA84" s="290"/>
      <c r="AB84" s="290"/>
      <c r="AC84" s="1817" t="s">
        <v>698</v>
      </c>
      <c r="AD84" s="1817"/>
      <c r="AE84" s="298" t="s">
        <v>670</v>
      </c>
      <c r="AF84" s="299">
        <v>21</v>
      </c>
      <c r="AG84" s="299">
        <v>16</v>
      </c>
      <c r="AH84" s="299">
        <v>16</v>
      </c>
      <c r="AI84" s="1849">
        <v>16</v>
      </c>
      <c r="AJ84" s="299">
        <v>13</v>
      </c>
      <c r="AK84" s="314" t="s">
        <v>783</v>
      </c>
      <c r="AL84" s="290"/>
      <c r="AM84" s="310"/>
      <c r="AN84" s="310"/>
      <c r="AO84" s="310"/>
      <c r="AP84" s="310"/>
      <c r="AQ84" s="310"/>
      <c r="AR84" s="310"/>
      <c r="AS84" s="310"/>
      <c r="AT84" s="310"/>
      <c r="AU84" s="310"/>
      <c r="AV84" s="310"/>
      <c r="AW84" s="310"/>
      <c r="AX84" s="310"/>
      <c r="AY84" s="310"/>
      <c r="AZ84" s="310"/>
      <c r="BA84" s="310"/>
      <c r="BB84" s="310"/>
    </row>
    <row r="85" spans="1:62" s="312" customFormat="1" hidden="1" x14ac:dyDescent="0.25">
      <c r="A85" s="290"/>
      <c r="B85" s="290"/>
      <c r="C85" s="290"/>
      <c r="D85" s="290"/>
      <c r="E85" s="290"/>
      <c r="F85" s="290"/>
      <c r="G85" s="290"/>
      <c r="H85" s="290"/>
      <c r="I85" s="290"/>
      <c r="J85" s="290"/>
      <c r="K85" s="290"/>
      <c r="L85" s="290"/>
      <c r="M85" s="290"/>
      <c r="N85" s="310"/>
      <c r="O85" s="310"/>
      <c r="P85" s="310"/>
      <c r="Q85" s="310"/>
      <c r="R85" s="360" t="s">
        <v>780</v>
      </c>
      <c r="S85" s="1839" t="s">
        <v>736</v>
      </c>
      <c r="T85" s="1840"/>
      <c r="U85" s="349">
        <v>2384237.4</v>
      </c>
      <c r="V85" s="350">
        <v>191.4</v>
      </c>
      <c r="W85" s="349">
        <v>456447020.60000002</v>
      </c>
      <c r="X85" s="350">
        <v>95.7</v>
      </c>
      <c r="Y85" s="349">
        <v>228223510.30000001</v>
      </c>
      <c r="Z85" s="349">
        <v>837580282.79999995</v>
      </c>
      <c r="AA85" s="310"/>
      <c r="AB85" s="310"/>
      <c r="AC85" s="1817"/>
      <c r="AD85" s="1817"/>
      <c r="AE85" s="303" t="s">
        <v>671</v>
      </c>
      <c r="AF85" s="314">
        <v>6.4</v>
      </c>
      <c r="AG85" s="314">
        <v>6.4</v>
      </c>
      <c r="AH85" s="314">
        <v>6.4</v>
      </c>
      <c r="AI85" s="1849"/>
      <c r="AJ85" s="314">
        <v>8.5</v>
      </c>
      <c r="AK85" s="314"/>
      <c r="AL85" s="310"/>
      <c r="AM85" s="310"/>
      <c r="AN85" s="310"/>
      <c r="AO85" s="310"/>
      <c r="AP85" s="310"/>
      <c r="AQ85" s="310"/>
      <c r="AR85" s="310"/>
      <c r="AS85" s="310"/>
      <c r="AT85" s="310"/>
      <c r="AU85" s="310"/>
      <c r="AV85" s="310"/>
      <c r="AW85" s="310"/>
      <c r="AX85" s="310"/>
      <c r="AY85" s="310"/>
      <c r="AZ85" s="310"/>
      <c r="BA85" s="310"/>
      <c r="BB85" s="310"/>
    </row>
    <row r="86" spans="1:62" s="312" customFormat="1" hidden="1" x14ac:dyDescent="0.25">
      <c r="A86" s="290"/>
      <c r="B86" s="290"/>
      <c r="C86" s="290"/>
      <c r="D86" s="290"/>
      <c r="E86" s="290"/>
      <c r="F86" s="290"/>
      <c r="G86" s="290"/>
      <c r="H86" s="290"/>
      <c r="I86" s="290"/>
      <c r="J86" s="290"/>
      <c r="K86" s="290"/>
      <c r="L86" s="290"/>
      <c r="M86" s="290"/>
      <c r="N86" s="310"/>
      <c r="O86" s="310"/>
      <c r="P86" s="310"/>
      <c r="Q86" s="310"/>
      <c r="R86" s="360" t="s">
        <v>780</v>
      </c>
      <c r="S86" s="1836" t="s">
        <v>739</v>
      </c>
      <c r="T86" s="1837"/>
      <c r="U86" s="361">
        <v>594153.19999999995</v>
      </c>
      <c r="V86" s="362">
        <v>213.5</v>
      </c>
      <c r="W86" s="361">
        <v>126858751.5</v>
      </c>
      <c r="X86" s="362">
        <v>106.8</v>
      </c>
      <c r="Y86" s="361">
        <v>63429375.799999997</v>
      </c>
      <c r="Z86" s="361">
        <v>232785809.09999999</v>
      </c>
      <c r="AA86" s="310"/>
      <c r="AB86" s="310"/>
      <c r="AC86" s="1817"/>
      <c r="AD86" s="1817"/>
      <c r="AE86" s="303" t="s">
        <v>673</v>
      </c>
      <c r="AF86" s="314">
        <v>38.4</v>
      </c>
      <c r="AG86" s="314">
        <v>32</v>
      </c>
      <c r="AH86" s="314">
        <v>32</v>
      </c>
      <c r="AI86" s="1849"/>
      <c r="AJ86" s="314">
        <v>17.5</v>
      </c>
      <c r="AK86" s="314"/>
      <c r="AL86" s="310"/>
      <c r="AM86" s="310"/>
      <c r="AN86" s="310"/>
      <c r="AO86" s="310"/>
      <c r="AP86" s="310"/>
      <c r="AQ86" s="310"/>
      <c r="AR86" s="310"/>
      <c r="AS86" s="310"/>
      <c r="AT86" s="310"/>
      <c r="AU86" s="310"/>
      <c r="AV86" s="310"/>
      <c r="AW86" s="310"/>
      <c r="AX86" s="310"/>
      <c r="AY86" s="310"/>
      <c r="AZ86" s="310"/>
      <c r="BA86" s="310"/>
      <c r="BB86" s="310"/>
    </row>
    <row r="87" spans="1:62" s="312" customFormat="1" hidden="1" x14ac:dyDescent="0.25">
      <c r="A87" s="290"/>
      <c r="B87" s="290"/>
      <c r="C87" s="290"/>
      <c r="D87" s="290"/>
      <c r="E87" s="290"/>
      <c r="F87" s="290"/>
      <c r="G87" s="290"/>
      <c r="H87" s="290"/>
      <c r="I87" s="290"/>
      <c r="J87" s="290"/>
      <c r="K87" s="290"/>
      <c r="L87" s="290"/>
      <c r="M87" s="290"/>
      <c r="N87" s="310"/>
      <c r="O87" s="310"/>
      <c r="P87" s="310"/>
      <c r="Q87" s="310"/>
      <c r="R87" s="360" t="s">
        <v>780</v>
      </c>
      <c r="S87" s="1839" t="s">
        <v>743</v>
      </c>
      <c r="T87" s="1840"/>
      <c r="U87" s="349">
        <v>1550640.1</v>
      </c>
      <c r="V87" s="350">
        <v>257.60000000000002</v>
      </c>
      <c r="W87" s="349">
        <v>399478491.60000002</v>
      </c>
      <c r="X87" s="350">
        <v>128.80000000000001</v>
      </c>
      <c r="Y87" s="349">
        <v>199739245.80000001</v>
      </c>
      <c r="Z87" s="349">
        <v>733043032</v>
      </c>
      <c r="AA87" s="310"/>
      <c r="AB87" s="310"/>
      <c r="AC87" s="1817" t="s">
        <v>701</v>
      </c>
      <c r="AD87" s="1817"/>
      <c r="AE87" s="298" t="s">
        <v>670</v>
      </c>
      <c r="AF87" s="314">
        <v>15</v>
      </c>
      <c r="AG87" s="314">
        <v>8</v>
      </c>
      <c r="AH87" s="314">
        <v>8</v>
      </c>
      <c r="AI87" s="1816" t="s">
        <v>783</v>
      </c>
      <c r="AJ87" s="1816">
        <v>2.2000000000000002</v>
      </c>
      <c r="AK87" s="1816" t="s">
        <v>783</v>
      </c>
      <c r="AL87" s="310"/>
      <c r="AM87" s="310"/>
      <c r="AN87" s="310"/>
      <c r="AO87" s="310"/>
      <c r="AP87" s="310"/>
      <c r="AQ87" s="310"/>
      <c r="AR87" s="310"/>
      <c r="AS87" s="310"/>
      <c r="AT87" s="310"/>
      <c r="AU87" s="310"/>
      <c r="AV87" s="310"/>
      <c r="AW87" s="310"/>
      <c r="AX87" s="310"/>
      <c r="AY87" s="310"/>
      <c r="AZ87" s="310" t="s">
        <v>1221</v>
      </c>
      <c r="BA87" s="310"/>
      <c r="BB87" s="310"/>
    </row>
    <row r="88" spans="1:62" s="312" customFormat="1" hidden="1" x14ac:dyDescent="0.25">
      <c r="A88" s="290"/>
      <c r="B88" s="290"/>
      <c r="C88" s="290"/>
      <c r="D88" s="290"/>
      <c r="E88" s="290"/>
      <c r="F88" s="290"/>
      <c r="G88" s="290"/>
      <c r="H88" s="290"/>
      <c r="I88" s="290"/>
      <c r="J88" s="290"/>
      <c r="K88" s="290"/>
      <c r="L88" s="290"/>
      <c r="M88" s="290"/>
      <c r="N88" s="310"/>
      <c r="O88" s="310"/>
      <c r="P88" s="310"/>
      <c r="Q88" s="310"/>
      <c r="R88" s="360" t="s">
        <v>780</v>
      </c>
      <c r="S88" s="1841" t="s">
        <v>118</v>
      </c>
      <c r="T88" s="1842"/>
      <c r="U88" s="363">
        <v>8197845.7999999998</v>
      </c>
      <c r="V88" s="364">
        <v>214.9</v>
      </c>
      <c r="W88" s="363">
        <v>1761708758.0999999</v>
      </c>
      <c r="X88" s="364">
        <v>107.4</v>
      </c>
      <c r="Y88" s="363">
        <v>880854379.10000002</v>
      </c>
      <c r="Z88" s="363">
        <v>3232735571.1999998</v>
      </c>
      <c r="AA88" s="310"/>
      <c r="AB88" s="310"/>
      <c r="AC88" s="1817"/>
      <c r="AD88" s="1817"/>
      <c r="AE88" s="303" t="s">
        <v>671</v>
      </c>
      <c r="AF88" s="314"/>
      <c r="AG88" s="314">
        <v>3.8</v>
      </c>
      <c r="AH88" s="314">
        <v>3.8</v>
      </c>
      <c r="AI88" s="1816"/>
      <c r="AJ88" s="1816"/>
      <c r="AK88" s="1816"/>
      <c r="AL88" s="310"/>
      <c r="AM88" s="310"/>
      <c r="AN88" s="310"/>
      <c r="AO88" s="310"/>
      <c r="AP88" s="310"/>
      <c r="AQ88" s="310"/>
      <c r="AR88" s="310"/>
      <c r="AS88" s="310"/>
      <c r="AT88" s="310"/>
      <c r="AU88" s="310"/>
      <c r="AV88" s="310"/>
      <c r="AW88" s="310"/>
      <c r="AX88" s="310"/>
      <c r="AY88" s="310"/>
      <c r="AZ88" s="310"/>
      <c r="BA88" s="310"/>
      <c r="BB88" s="310"/>
    </row>
    <row r="89" spans="1:62" s="312" customFormat="1" ht="121.5" hidden="1" customHeight="1" x14ac:dyDescent="0.25">
      <c r="A89" s="290"/>
      <c r="B89" s="290"/>
      <c r="C89" s="290"/>
      <c r="D89" s="290"/>
      <c r="E89" s="290"/>
      <c r="F89" s="290"/>
      <c r="G89" s="290"/>
      <c r="H89" s="290"/>
      <c r="I89" s="290"/>
      <c r="J89" s="290"/>
      <c r="K89" s="290"/>
      <c r="L89" s="290"/>
      <c r="M89" s="290"/>
      <c r="N89" s="310"/>
      <c r="O89" s="310"/>
      <c r="P89" s="310"/>
      <c r="Q89" s="310"/>
      <c r="R89" s="348" t="s">
        <v>784</v>
      </c>
      <c r="S89" s="1839" t="s">
        <v>716</v>
      </c>
      <c r="T89" s="1840"/>
      <c r="U89" s="349">
        <v>423463.4</v>
      </c>
      <c r="V89" s="350">
        <v>96.2</v>
      </c>
      <c r="W89" s="349">
        <v>40728474</v>
      </c>
      <c r="X89" s="350">
        <v>48.1</v>
      </c>
      <c r="Y89" s="349">
        <v>20364237</v>
      </c>
      <c r="Z89" s="349">
        <v>74736749.799999997</v>
      </c>
      <c r="AA89" s="310"/>
      <c r="AB89" s="310"/>
      <c r="AC89" s="1817"/>
      <c r="AD89" s="1817"/>
      <c r="AE89" s="303" t="s">
        <v>673</v>
      </c>
      <c r="AF89" s="314"/>
      <c r="AG89" s="314">
        <v>11.5</v>
      </c>
      <c r="AH89" s="314">
        <v>11.5</v>
      </c>
      <c r="AI89" s="1816"/>
      <c r="AJ89" s="1816"/>
      <c r="AK89" s="1816"/>
      <c r="AL89" s="310"/>
      <c r="AM89" s="310"/>
      <c r="AN89" s="310"/>
      <c r="AO89" s="310"/>
      <c r="AP89" s="310"/>
      <c r="AQ89" s="310"/>
      <c r="AR89" s="310"/>
      <c r="AS89" s="310"/>
      <c r="AT89" s="310"/>
      <c r="AU89" s="310"/>
      <c r="AV89" s="310"/>
      <c r="AW89" s="310"/>
      <c r="AX89" s="310"/>
      <c r="AY89" s="310"/>
      <c r="AZ89" s="440"/>
      <c r="BA89" s="440" t="s">
        <v>1220</v>
      </c>
      <c r="BB89" s="440" t="s">
        <v>1216</v>
      </c>
      <c r="BC89" s="440" t="s">
        <v>1217</v>
      </c>
      <c r="BD89" s="440" t="s">
        <v>1218</v>
      </c>
      <c r="BE89" s="440" t="s">
        <v>1219</v>
      </c>
      <c r="BF89" s="440" t="s">
        <v>1223</v>
      </c>
      <c r="BG89" s="440" t="s">
        <v>1225</v>
      </c>
      <c r="BH89" s="440" t="s">
        <v>1226</v>
      </c>
      <c r="BI89" s="440" t="s">
        <v>120</v>
      </c>
      <c r="BJ89" s="440"/>
    </row>
    <row r="90" spans="1:62" s="312" customFormat="1" hidden="1" x14ac:dyDescent="0.25">
      <c r="A90" s="290"/>
      <c r="B90" s="290"/>
      <c r="C90" s="290"/>
      <c r="D90" s="290"/>
      <c r="E90" s="290"/>
      <c r="F90" s="290"/>
      <c r="G90" s="290"/>
      <c r="H90" s="290"/>
      <c r="I90" s="290"/>
      <c r="J90" s="290"/>
      <c r="K90" s="290"/>
      <c r="L90" s="290"/>
      <c r="M90" s="290"/>
      <c r="N90" s="310"/>
      <c r="O90" s="310"/>
      <c r="P90" s="310"/>
      <c r="Q90" s="310"/>
      <c r="R90" s="348" t="s">
        <v>784</v>
      </c>
      <c r="S90" s="1839" t="s">
        <v>724</v>
      </c>
      <c r="T90" s="1840"/>
      <c r="U90" s="349">
        <v>265714</v>
      </c>
      <c r="V90" s="350">
        <v>164.1</v>
      </c>
      <c r="W90" s="349">
        <v>43603133.700000003</v>
      </c>
      <c r="X90" s="350">
        <v>82</v>
      </c>
      <c r="Y90" s="349">
        <v>21801566.800000001</v>
      </c>
      <c r="Z90" s="349">
        <v>80011750.299999997</v>
      </c>
      <c r="AA90" s="310"/>
      <c r="AB90" s="310"/>
      <c r="AC90" s="1817"/>
      <c r="AD90" s="1817"/>
      <c r="AE90" s="303" t="s">
        <v>671</v>
      </c>
      <c r="AF90" s="314">
        <v>5</v>
      </c>
      <c r="AG90" s="314">
        <v>8</v>
      </c>
      <c r="AH90" s="314">
        <v>3.2</v>
      </c>
      <c r="AI90" s="1816"/>
      <c r="AJ90" s="1816"/>
      <c r="AK90" s="1816"/>
      <c r="AL90" s="310"/>
      <c r="AM90" s="310"/>
      <c r="AN90" s="310"/>
      <c r="AO90" s="310"/>
      <c r="AP90" s="310"/>
      <c r="AQ90" s="310"/>
      <c r="AR90" s="310"/>
      <c r="AS90" s="310"/>
      <c r="AT90" s="310"/>
      <c r="AU90" s="310"/>
      <c r="AV90" s="310"/>
      <c r="AW90" s="310"/>
      <c r="AX90" s="310"/>
      <c r="AY90" s="310"/>
      <c r="AZ90" s="441" t="s">
        <v>1207</v>
      </c>
      <c r="BA90" s="442">
        <v>-0.47</v>
      </c>
      <c r="BB90" s="442">
        <v>300</v>
      </c>
      <c r="BC90" s="442">
        <v>150</v>
      </c>
      <c r="BD90" s="442">
        <v>7</v>
      </c>
      <c r="BE90" s="442">
        <v>15</v>
      </c>
      <c r="BF90" s="442">
        <v>0.37</v>
      </c>
      <c r="BG90" s="442">
        <f>BD90*(1+BF90)*BA90</f>
        <v>-4.5072999999999999</v>
      </c>
      <c r="BH90" s="442">
        <f>BE90*(1+BF90)*BA90</f>
        <v>-9.6585000000000001</v>
      </c>
      <c r="BI90" s="445">
        <f>SQRT((30%*30%)+(6%*6%))</f>
        <v>0.3059411708155671</v>
      </c>
      <c r="BJ90" s="441"/>
    </row>
    <row r="91" spans="1:62" s="312" customFormat="1" hidden="1" x14ac:dyDescent="0.25">
      <c r="A91" s="290"/>
      <c r="B91" s="290"/>
      <c r="C91" s="290"/>
      <c r="D91" s="290"/>
      <c r="E91" s="290"/>
      <c r="F91" s="290"/>
      <c r="G91" s="290"/>
      <c r="H91" s="290"/>
      <c r="I91" s="290"/>
      <c r="J91" s="290"/>
      <c r="K91" s="290"/>
      <c r="L91" s="290"/>
      <c r="M91" s="290"/>
      <c r="N91" s="310"/>
      <c r="O91" s="310"/>
      <c r="P91" s="310"/>
      <c r="Q91" s="310"/>
      <c r="R91" s="348" t="s">
        <v>784</v>
      </c>
      <c r="S91" s="1830" t="s">
        <v>734</v>
      </c>
      <c r="T91" s="1831"/>
      <c r="U91" s="352">
        <v>121879.3</v>
      </c>
      <c r="V91" s="353">
        <v>193</v>
      </c>
      <c r="W91" s="352">
        <v>23521575.199999999</v>
      </c>
      <c r="X91" s="353">
        <v>96.5</v>
      </c>
      <c r="Y91" s="352">
        <v>11760787.6</v>
      </c>
      <c r="Z91" s="352">
        <v>43162090.399999999</v>
      </c>
      <c r="AA91" s="310"/>
      <c r="AB91" s="310"/>
      <c r="AC91" s="1817"/>
      <c r="AD91" s="1817"/>
      <c r="AE91" s="303" t="s">
        <v>673</v>
      </c>
      <c r="AF91" s="314">
        <v>35</v>
      </c>
      <c r="AG91" s="314">
        <v>40</v>
      </c>
      <c r="AH91" s="314">
        <v>11.8</v>
      </c>
      <c r="AI91" s="1816"/>
      <c r="AJ91" s="1816"/>
      <c r="AK91" s="1816"/>
      <c r="AL91" s="310"/>
      <c r="AM91" s="310"/>
      <c r="AN91" s="310"/>
      <c r="AO91" s="310"/>
      <c r="AP91" s="310"/>
      <c r="AQ91" s="310"/>
      <c r="AR91" s="310"/>
      <c r="AS91" s="310"/>
      <c r="AT91" s="310"/>
      <c r="AU91" s="310"/>
      <c r="AV91" s="310"/>
      <c r="AW91" s="310"/>
      <c r="AX91" s="310"/>
      <c r="AY91" s="310"/>
      <c r="AZ91" s="441" t="s">
        <v>1208</v>
      </c>
      <c r="BA91" s="442">
        <v>-0.47</v>
      </c>
      <c r="BB91" s="442">
        <v>180</v>
      </c>
      <c r="BC91" s="442">
        <v>120</v>
      </c>
      <c r="BD91" s="442">
        <v>5</v>
      </c>
      <c r="BE91" s="442">
        <v>10</v>
      </c>
      <c r="BF91" s="442">
        <f>(0.24+0.2)/2</f>
        <v>0.22</v>
      </c>
      <c r="BG91" s="442">
        <f t="shared" ref="BG91:BG98" si="5">BD91*(1+BF91)*BA91</f>
        <v>-2.8669999999999995</v>
      </c>
      <c r="BH91" s="442">
        <f t="shared" ref="BH91:BH98" si="6">BE91*(1+BF91)*BA91</f>
        <v>-5.7339999999999991</v>
      </c>
      <c r="BI91" s="445">
        <f t="shared" ref="BI91:BI98" si="7">SQRT((30%*30%)+(6%*6%))</f>
        <v>0.3059411708155671</v>
      </c>
      <c r="BJ91" s="442"/>
    </row>
    <row r="92" spans="1:62" s="312" customFormat="1" hidden="1" x14ac:dyDescent="0.25">
      <c r="A92" s="290"/>
      <c r="B92" s="290"/>
      <c r="C92" s="290"/>
      <c r="D92" s="290"/>
      <c r="E92" s="290"/>
      <c r="F92" s="290"/>
      <c r="G92" s="290"/>
      <c r="H92" s="290"/>
      <c r="I92" s="290"/>
      <c r="J92" s="290"/>
      <c r="K92" s="290"/>
      <c r="L92" s="290"/>
      <c r="M92" s="290"/>
      <c r="N92" s="310"/>
      <c r="O92" s="310"/>
      <c r="P92" s="310"/>
      <c r="Q92" s="310"/>
      <c r="R92" s="348" t="s">
        <v>784</v>
      </c>
      <c r="S92" s="1839" t="s">
        <v>736</v>
      </c>
      <c r="T92" s="1840"/>
      <c r="U92" s="349">
        <v>44895.9</v>
      </c>
      <c r="V92" s="350">
        <v>191.4</v>
      </c>
      <c r="W92" s="349">
        <v>8595033</v>
      </c>
      <c r="X92" s="350">
        <v>95.7</v>
      </c>
      <c r="Y92" s="349">
        <v>4297516.5</v>
      </c>
      <c r="Z92" s="349">
        <v>15771885.5</v>
      </c>
      <c r="AA92" s="310"/>
      <c r="AB92" s="310"/>
      <c r="AC92" s="1817" t="s">
        <v>785</v>
      </c>
      <c r="AD92" s="1817"/>
      <c r="AE92" s="1817"/>
      <c r="AF92" s="1817"/>
      <c r="AG92" s="1817"/>
      <c r="AH92" s="1817"/>
      <c r="AI92" s="1817"/>
      <c r="AJ92" s="1817"/>
      <c r="AK92" s="1817"/>
      <c r="AL92" s="310"/>
      <c r="AM92" s="310"/>
      <c r="AN92" s="310"/>
      <c r="AO92" s="310"/>
      <c r="AP92" s="310"/>
      <c r="AQ92" s="310"/>
      <c r="AR92" s="310"/>
      <c r="AS92" s="310"/>
      <c r="AT92" s="310"/>
      <c r="AU92" s="310"/>
      <c r="AV92" s="310"/>
      <c r="AW92" s="310"/>
      <c r="AX92" s="310"/>
      <c r="AY92" s="310"/>
      <c r="AZ92" s="441" t="s">
        <v>1209</v>
      </c>
      <c r="BA92" s="442">
        <v>-0.47</v>
      </c>
      <c r="BB92" s="442">
        <v>130</v>
      </c>
      <c r="BC92" s="442">
        <v>60</v>
      </c>
      <c r="BD92" s="442">
        <v>2.4</v>
      </c>
      <c r="BE92" s="442">
        <v>8</v>
      </c>
      <c r="BF92" s="442">
        <f>(0.56+0.28)/2</f>
        <v>0.42000000000000004</v>
      </c>
      <c r="BG92" s="442">
        <f t="shared" si="5"/>
        <v>-1.6017599999999999</v>
      </c>
      <c r="BH92" s="442">
        <f t="shared" si="6"/>
        <v>-5.3391999999999991</v>
      </c>
      <c r="BI92" s="445">
        <f t="shared" si="7"/>
        <v>0.3059411708155671</v>
      </c>
      <c r="BJ92" s="442"/>
    </row>
    <row r="93" spans="1:62" s="312" customFormat="1" hidden="1" x14ac:dyDescent="0.25">
      <c r="A93" s="290"/>
      <c r="B93" s="290"/>
      <c r="C93" s="290"/>
      <c r="D93" s="290"/>
      <c r="E93" s="290"/>
      <c r="F93" s="290"/>
      <c r="G93" s="290"/>
      <c r="H93" s="290"/>
      <c r="I93" s="290"/>
      <c r="J93" s="290"/>
      <c r="K93" s="290"/>
      <c r="L93" s="290"/>
      <c r="M93" s="290"/>
      <c r="N93" s="310"/>
      <c r="O93" s="310"/>
      <c r="P93" s="310"/>
      <c r="Q93" s="310"/>
      <c r="R93" s="348" t="s">
        <v>784</v>
      </c>
      <c r="S93" s="1830" t="s">
        <v>739</v>
      </c>
      <c r="T93" s="1831"/>
      <c r="U93" s="353">
        <v>377.2</v>
      </c>
      <c r="V93" s="353">
        <v>213.5</v>
      </c>
      <c r="W93" s="352">
        <v>80533.3</v>
      </c>
      <c r="X93" s="353">
        <v>106.8</v>
      </c>
      <c r="Y93" s="352">
        <v>40266.6</v>
      </c>
      <c r="Z93" s="352">
        <v>147778.6</v>
      </c>
      <c r="AA93" s="310"/>
      <c r="AB93" s="310"/>
      <c r="AC93" s="1817" t="s">
        <v>786</v>
      </c>
      <c r="AD93" s="1817"/>
      <c r="AE93" s="1817"/>
      <c r="AF93" s="1817"/>
      <c r="AG93" s="1817"/>
      <c r="AH93" s="1817"/>
      <c r="AI93" s="1817"/>
      <c r="AJ93" s="1817"/>
      <c r="AK93" s="1817"/>
      <c r="AL93" s="310"/>
      <c r="AM93" s="310"/>
      <c r="AN93" s="310"/>
      <c r="AO93" s="310"/>
      <c r="AP93" s="310"/>
      <c r="AQ93" s="310"/>
      <c r="AR93" s="310"/>
      <c r="AS93" s="310"/>
      <c r="AT93" s="310"/>
      <c r="AU93" s="310"/>
      <c r="AV93" s="310"/>
      <c r="AW93" s="310"/>
      <c r="AX93" s="310"/>
      <c r="AY93" s="310"/>
      <c r="AZ93" s="441" t="s">
        <v>1210</v>
      </c>
      <c r="BA93" s="442">
        <v>-0.47</v>
      </c>
      <c r="BB93" s="442">
        <v>70</v>
      </c>
      <c r="BC93" s="442">
        <v>30</v>
      </c>
      <c r="BD93" s="442">
        <v>1</v>
      </c>
      <c r="BE93" s="442">
        <v>5</v>
      </c>
      <c r="BF93" s="442">
        <v>0.4</v>
      </c>
      <c r="BG93" s="442">
        <f t="shared" si="5"/>
        <v>-0.65799999999999992</v>
      </c>
      <c r="BH93" s="442">
        <f t="shared" si="6"/>
        <v>-3.29</v>
      </c>
      <c r="BI93" s="445">
        <f t="shared" si="7"/>
        <v>0.3059411708155671</v>
      </c>
      <c r="BJ93" s="442"/>
    </row>
    <row r="94" spans="1:62" s="312" customFormat="1" hidden="1" x14ac:dyDescent="0.25">
      <c r="A94" s="290"/>
      <c r="B94" s="290"/>
      <c r="C94" s="290"/>
      <c r="D94" s="290"/>
      <c r="E94" s="290"/>
      <c r="F94" s="290"/>
      <c r="G94" s="290"/>
      <c r="H94" s="290"/>
      <c r="I94" s="290"/>
      <c r="J94" s="290"/>
      <c r="K94" s="290"/>
      <c r="L94" s="290"/>
      <c r="M94" s="290"/>
      <c r="N94" s="310"/>
      <c r="O94" s="310"/>
      <c r="P94" s="310"/>
      <c r="Q94" s="310"/>
      <c r="R94" s="348" t="s">
        <v>784</v>
      </c>
      <c r="S94" s="1839" t="s">
        <v>743</v>
      </c>
      <c r="T94" s="1840"/>
      <c r="U94" s="349">
        <v>61796.9</v>
      </c>
      <c r="V94" s="350">
        <v>257.60000000000002</v>
      </c>
      <c r="W94" s="349">
        <v>15920233.699999999</v>
      </c>
      <c r="X94" s="350">
        <v>128.80000000000001</v>
      </c>
      <c r="Y94" s="349">
        <v>7960116.7999999998</v>
      </c>
      <c r="Z94" s="349">
        <v>29213628.800000001</v>
      </c>
      <c r="AA94" s="310"/>
      <c r="AB94" s="310"/>
      <c r="AC94" s="1817" t="s">
        <v>787</v>
      </c>
      <c r="AD94" s="1817"/>
      <c r="AE94" s="1817"/>
      <c r="AF94" s="1817"/>
      <c r="AG94" s="1817"/>
      <c r="AH94" s="1817"/>
      <c r="AI94" s="1817"/>
      <c r="AJ94" s="1817"/>
      <c r="AK94" s="1817"/>
      <c r="AL94" s="310"/>
      <c r="AM94" s="310"/>
      <c r="AN94" s="310"/>
      <c r="AO94" s="310"/>
      <c r="AP94" s="310"/>
      <c r="AQ94" s="310"/>
      <c r="AR94" s="310"/>
      <c r="AS94" s="310"/>
      <c r="AT94" s="310"/>
      <c r="AU94" s="310"/>
      <c r="AV94" s="310"/>
      <c r="AW94" s="310"/>
      <c r="AX94" s="310"/>
      <c r="AY94" s="310"/>
      <c r="AZ94" s="441" t="s">
        <v>1211</v>
      </c>
      <c r="BA94" s="442">
        <v>-0.47</v>
      </c>
      <c r="BB94" s="442">
        <v>140</v>
      </c>
      <c r="BC94" s="442">
        <v>90</v>
      </c>
      <c r="BD94" s="442">
        <v>1</v>
      </c>
      <c r="BE94" s="442">
        <v>5</v>
      </c>
      <c r="BF94" s="442">
        <v>0.27</v>
      </c>
      <c r="BG94" s="442">
        <f t="shared" si="5"/>
        <v>-0.59689999999999999</v>
      </c>
      <c r="BH94" s="442">
        <f t="shared" si="6"/>
        <v>-2.9844999999999997</v>
      </c>
      <c r="BI94" s="445">
        <f t="shared" si="7"/>
        <v>0.3059411708155671</v>
      </c>
      <c r="BJ94" s="442"/>
    </row>
    <row r="95" spans="1:62" s="312" customFormat="1" hidden="1" x14ac:dyDescent="0.25">
      <c r="A95" s="290"/>
      <c r="B95" s="290"/>
      <c r="C95" s="290"/>
      <c r="D95" s="290"/>
      <c r="E95" s="290"/>
      <c r="F95" s="290"/>
      <c r="G95" s="290"/>
      <c r="H95" s="290"/>
      <c r="I95" s="290"/>
      <c r="J95" s="290"/>
      <c r="K95" s="290"/>
      <c r="L95" s="290"/>
      <c r="M95" s="290"/>
      <c r="N95" s="310"/>
      <c r="O95" s="310"/>
      <c r="P95" s="310"/>
      <c r="Q95" s="310"/>
      <c r="R95" s="348" t="s">
        <v>784</v>
      </c>
      <c r="S95" s="1830" t="s">
        <v>747</v>
      </c>
      <c r="T95" s="1831"/>
      <c r="U95" s="352">
        <v>9619.1</v>
      </c>
      <c r="V95" s="353">
        <v>125.5</v>
      </c>
      <c r="W95" s="352">
        <v>1206883</v>
      </c>
      <c r="X95" s="353">
        <v>62.7</v>
      </c>
      <c r="Y95" s="352">
        <v>603441.5</v>
      </c>
      <c r="Z95" s="352">
        <v>2214630.2000000002</v>
      </c>
      <c r="AA95" s="310"/>
      <c r="AB95" s="310"/>
      <c r="AC95" s="1817" t="s">
        <v>788</v>
      </c>
      <c r="AD95" s="1817"/>
      <c r="AE95" s="1817"/>
      <c r="AF95" s="1817"/>
      <c r="AG95" s="1817"/>
      <c r="AH95" s="1817"/>
      <c r="AI95" s="1817"/>
      <c r="AJ95" s="1817"/>
      <c r="AK95" s="1817"/>
      <c r="AL95" s="310"/>
      <c r="AM95" s="310"/>
      <c r="AN95" s="310"/>
      <c r="AO95" s="310"/>
      <c r="AP95" s="310"/>
      <c r="AQ95" s="310"/>
      <c r="AR95" s="310"/>
      <c r="AS95" s="310"/>
      <c r="AT95" s="310"/>
      <c r="AU95" s="310"/>
      <c r="AV95" s="310"/>
      <c r="AW95" s="310"/>
      <c r="AX95" s="310"/>
      <c r="AY95" s="310"/>
      <c r="AZ95" s="441" t="s">
        <v>1212</v>
      </c>
      <c r="BA95" s="442">
        <v>-0.47</v>
      </c>
      <c r="BB95" s="442">
        <v>220</v>
      </c>
      <c r="BC95" s="442">
        <v>140</v>
      </c>
      <c r="BD95" s="442">
        <v>5</v>
      </c>
      <c r="BE95" s="442">
        <v>10</v>
      </c>
      <c r="BF95" s="442">
        <f>(0.24+0.2)/2</f>
        <v>0.22</v>
      </c>
      <c r="BG95" s="442">
        <f t="shared" si="5"/>
        <v>-2.8669999999999995</v>
      </c>
      <c r="BH95" s="442">
        <f t="shared" si="6"/>
        <v>-5.7339999999999991</v>
      </c>
      <c r="BI95" s="445">
        <f t="shared" si="7"/>
        <v>0.3059411708155671</v>
      </c>
      <c r="BJ95" s="442"/>
    </row>
    <row r="96" spans="1:62" hidden="1" x14ac:dyDescent="0.25">
      <c r="A96" s="290"/>
      <c r="B96" s="290"/>
      <c r="C96" s="290"/>
      <c r="D96" s="290"/>
      <c r="E96" s="290"/>
      <c r="F96" s="290"/>
      <c r="G96" s="290"/>
      <c r="H96" s="290"/>
      <c r="I96" s="290"/>
      <c r="J96" s="290"/>
      <c r="K96" s="290"/>
      <c r="L96" s="290"/>
      <c r="M96" s="290"/>
      <c r="N96" s="290"/>
      <c r="O96" s="290"/>
      <c r="P96" s="290"/>
      <c r="Q96" s="290"/>
      <c r="R96" s="348" t="s">
        <v>784</v>
      </c>
      <c r="S96" s="1832" t="s">
        <v>118</v>
      </c>
      <c r="T96" s="1833"/>
      <c r="U96" s="358">
        <v>1852093.3</v>
      </c>
      <c r="V96" s="359">
        <v>201.4</v>
      </c>
      <c r="W96" s="358">
        <v>372945796.69999999</v>
      </c>
      <c r="X96" s="359">
        <v>100.7</v>
      </c>
      <c r="Y96" s="358">
        <v>186472898.40000001</v>
      </c>
      <c r="Z96" s="358">
        <v>684355537</v>
      </c>
      <c r="AA96" s="310"/>
      <c r="AB96" s="310"/>
      <c r="AC96" s="1817" t="s">
        <v>789</v>
      </c>
      <c r="AD96" s="1817"/>
      <c r="AE96" s="1817"/>
      <c r="AF96" s="1817"/>
      <c r="AG96" s="1817"/>
      <c r="AH96" s="1817"/>
      <c r="AI96" s="1817"/>
      <c r="AJ96" s="1817"/>
      <c r="AK96" s="1817"/>
      <c r="AL96" s="310"/>
      <c r="AM96" s="290"/>
      <c r="AN96" s="290"/>
      <c r="AO96" s="290"/>
      <c r="AP96" s="290"/>
      <c r="AQ96" s="290"/>
      <c r="AR96" s="290"/>
      <c r="AS96" s="290"/>
      <c r="AT96" s="290"/>
      <c r="AU96" s="290"/>
      <c r="AV96" s="290"/>
      <c r="AW96" s="290"/>
      <c r="AX96" s="290"/>
      <c r="AY96" s="290"/>
      <c r="AZ96" s="441" t="s">
        <v>1213</v>
      </c>
      <c r="BA96" s="442">
        <v>-0.47</v>
      </c>
      <c r="BB96" s="442">
        <v>130</v>
      </c>
      <c r="BC96" s="442">
        <v>60</v>
      </c>
      <c r="BD96" s="442">
        <v>2.4</v>
      </c>
      <c r="BE96" s="442">
        <v>8</v>
      </c>
      <c r="BF96" s="442">
        <f>(0.56+0.28)/2</f>
        <v>0.42000000000000004</v>
      </c>
      <c r="BG96" s="442">
        <f t="shared" si="5"/>
        <v>-1.6017599999999999</v>
      </c>
      <c r="BH96" s="442">
        <f t="shared" si="6"/>
        <v>-5.3391999999999991</v>
      </c>
      <c r="BI96" s="445">
        <f t="shared" si="7"/>
        <v>0.3059411708155671</v>
      </c>
      <c r="BJ96" s="442"/>
    </row>
    <row r="97" spans="1:62" hidden="1" x14ac:dyDescent="0.25">
      <c r="A97" s="290"/>
      <c r="B97" s="290"/>
      <c r="C97" s="290"/>
      <c r="D97" s="290"/>
      <c r="E97" s="290"/>
      <c r="F97" s="290"/>
      <c r="G97" s="290"/>
      <c r="H97" s="290"/>
      <c r="I97" s="290"/>
      <c r="J97" s="290"/>
      <c r="K97" s="290"/>
      <c r="L97" s="290"/>
      <c r="M97" s="290"/>
      <c r="N97" s="290"/>
      <c r="O97" s="290"/>
      <c r="P97" s="290"/>
      <c r="Q97" s="290"/>
      <c r="R97" s="360" t="s">
        <v>790</v>
      </c>
      <c r="S97" s="1836" t="s">
        <v>716</v>
      </c>
      <c r="T97" s="1837"/>
      <c r="U97" s="361">
        <v>16554.7</v>
      </c>
      <c r="V97" s="362">
        <v>96.2</v>
      </c>
      <c r="W97" s="361">
        <v>1592221.6</v>
      </c>
      <c r="X97" s="362">
        <v>48.1</v>
      </c>
      <c r="Y97" s="361">
        <v>796110.8</v>
      </c>
      <c r="Z97" s="361">
        <v>2921726.6</v>
      </c>
      <c r="AA97" s="290"/>
      <c r="AB97" s="290"/>
      <c r="AC97" s="1817" t="s">
        <v>791</v>
      </c>
      <c r="AD97" s="1817"/>
      <c r="AE97" s="1817"/>
      <c r="AF97" s="1817"/>
      <c r="AG97" s="1817"/>
      <c r="AH97" s="1817"/>
      <c r="AI97" s="1817"/>
      <c r="AJ97" s="1817"/>
      <c r="AK97" s="1817"/>
      <c r="AL97" s="290"/>
      <c r="AM97" s="290"/>
      <c r="AN97" s="290"/>
      <c r="AO97" s="290"/>
      <c r="AP97" s="290"/>
      <c r="AQ97" s="290"/>
      <c r="AR97" s="290"/>
      <c r="AS97" s="290"/>
      <c r="AT97" s="290"/>
      <c r="AU97" s="290"/>
      <c r="AV97" s="290"/>
      <c r="AW97" s="290"/>
      <c r="AX97" s="290"/>
      <c r="AY97" s="290"/>
      <c r="AZ97" s="441" t="s">
        <v>1214</v>
      </c>
      <c r="BA97" s="442">
        <v>-0.47</v>
      </c>
      <c r="BB97" s="442">
        <v>70</v>
      </c>
      <c r="BC97" s="442">
        <v>30</v>
      </c>
      <c r="BD97" s="442">
        <v>1</v>
      </c>
      <c r="BE97" s="442">
        <v>5</v>
      </c>
      <c r="BF97" s="442">
        <v>0.32</v>
      </c>
      <c r="BG97" s="442">
        <f t="shared" si="5"/>
        <v>-0.62039999999999995</v>
      </c>
      <c r="BH97" s="442">
        <f t="shared" si="6"/>
        <v>-3.1019999999999999</v>
      </c>
      <c r="BI97" s="445">
        <f t="shared" si="7"/>
        <v>0.3059411708155671</v>
      </c>
      <c r="BJ97" s="442"/>
    </row>
    <row r="98" spans="1:62" hidden="1" x14ac:dyDescent="0.25">
      <c r="A98" s="290"/>
      <c r="B98" s="290"/>
      <c r="C98" s="290"/>
      <c r="D98" s="290"/>
      <c r="E98" s="290"/>
      <c r="F98" s="290"/>
      <c r="G98" s="290"/>
      <c r="H98" s="290"/>
      <c r="I98" s="290"/>
      <c r="J98" s="290"/>
      <c r="K98" s="290"/>
      <c r="L98" s="290"/>
      <c r="M98" s="290"/>
      <c r="N98" s="290"/>
      <c r="O98" s="290"/>
      <c r="P98" s="290"/>
      <c r="Q98" s="290"/>
      <c r="R98" s="360" t="s">
        <v>790</v>
      </c>
      <c r="S98" s="1839" t="s">
        <v>720</v>
      </c>
      <c r="T98" s="1840"/>
      <c r="U98" s="349">
        <v>1031688</v>
      </c>
      <c r="V98" s="350">
        <v>258.89999999999998</v>
      </c>
      <c r="W98" s="349">
        <v>267077677.30000001</v>
      </c>
      <c r="X98" s="350">
        <v>129.4</v>
      </c>
      <c r="Y98" s="349">
        <v>133538838.7</v>
      </c>
      <c r="Z98" s="349">
        <v>490087537.89999998</v>
      </c>
      <c r="AA98" s="290"/>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441" t="s">
        <v>1215</v>
      </c>
      <c r="BA98" s="442">
        <v>-0.47</v>
      </c>
      <c r="BB98" s="442">
        <v>140</v>
      </c>
      <c r="BC98" s="442">
        <v>90</v>
      </c>
      <c r="BD98" s="442">
        <v>1</v>
      </c>
      <c r="BE98" s="442">
        <v>5</v>
      </c>
      <c r="BF98" s="442">
        <v>0.27</v>
      </c>
      <c r="BG98" s="442">
        <f t="shared" si="5"/>
        <v>-0.59689999999999999</v>
      </c>
      <c r="BH98" s="442">
        <f t="shared" si="6"/>
        <v>-2.9844999999999997</v>
      </c>
      <c r="BI98" s="445">
        <f t="shared" si="7"/>
        <v>0.3059411708155671</v>
      </c>
      <c r="BJ98" s="442"/>
    </row>
    <row r="99" spans="1:62" hidden="1" x14ac:dyDescent="0.25">
      <c r="A99" s="290"/>
      <c r="B99" s="290"/>
      <c r="C99" s="290"/>
      <c r="D99" s="290"/>
      <c r="E99" s="290"/>
      <c r="F99" s="290"/>
      <c r="G99" s="290"/>
      <c r="H99" s="290"/>
      <c r="I99" s="290"/>
      <c r="J99" s="290"/>
      <c r="K99" s="290"/>
      <c r="L99" s="290"/>
      <c r="M99" s="290"/>
      <c r="N99" s="290"/>
      <c r="O99" s="290"/>
      <c r="P99" s="290"/>
      <c r="Q99" s="290"/>
      <c r="R99" s="360" t="s">
        <v>790</v>
      </c>
      <c r="S99" s="1836" t="s">
        <v>724</v>
      </c>
      <c r="T99" s="1837"/>
      <c r="U99" s="361">
        <v>3555491.9</v>
      </c>
      <c r="V99" s="362">
        <v>164.1</v>
      </c>
      <c r="W99" s="361">
        <v>583449129.20000005</v>
      </c>
      <c r="X99" s="362">
        <v>82</v>
      </c>
      <c r="Y99" s="361">
        <v>291724564.60000002</v>
      </c>
      <c r="Z99" s="361">
        <v>1070629152</v>
      </c>
      <c r="AA99" s="290"/>
      <c r="AB99" s="290"/>
      <c r="AC99" s="1846" t="s">
        <v>792</v>
      </c>
      <c r="AD99" s="1846"/>
      <c r="AE99" s="1846"/>
      <c r="AF99" s="1846"/>
      <c r="AG99" s="290"/>
      <c r="AH99" s="1848" t="s">
        <v>793</v>
      </c>
      <c r="AI99" s="1848"/>
      <c r="AJ99" s="1848"/>
      <c r="AK99" s="1848"/>
      <c r="AL99" s="1848"/>
      <c r="AM99" s="1848"/>
      <c r="AN99" s="1848"/>
      <c r="AO99" s="1848"/>
      <c r="AP99" s="290"/>
      <c r="AQ99" s="1848" t="s">
        <v>794</v>
      </c>
      <c r="AR99" s="1848"/>
      <c r="AS99" s="1848"/>
      <c r="AT99" s="1848"/>
      <c r="AU99" s="290"/>
      <c r="AV99" s="290"/>
      <c r="AW99" s="290"/>
      <c r="AX99" s="290"/>
      <c r="AY99" s="290"/>
      <c r="AZ99" s="441"/>
      <c r="BA99" s="441"/>
      <c r="BB99" s="441"/>
      <c r="BC99" s="442"/>
      <c r="BD99" s="442"/>
      <c r="BE99" s="442"/>
      <c r="BF99" s="442"/>
      <c r="BG99" s="442"/>
      <c r="BH99" s="442"/>
      <c r="BI99" s="442"/>
      <c r="BJ99" s="442"/>
    </row>
    <row r="100" spans="1:62" ht="45" hidden="1" x14ac:dyDescent="0.25">
      <c r="A100" s="290"/>
      <c r="B100" s="290"/>
      <c r="C100" s="290"/>
      <c r="D100" s="290"/>
      <c r="E100" s="290"/>
      <c r="F100" s="290"/>
      <c r="G100" s="290"/>
      <c r="H100" s="290"/>
      <c r="I100" s="290"/>
      <c r="J100" s="290"/>
      <c r="K100" s="290"/>
      <c r="L100" s="290"/>
      <c r="M100" s="290"/>
      <c r="N100" s="290"/>
      <c r="O100" s="290"/>
      <c r="P100" s="290"/>
      <c r="Q100" s="290"/>
      <c r="R100" s="360" t="s">
        <v>790</v>
      </c>
      <c r="S100" s="1839" t="s">
        <v>727</v>
      </c>
      <c r="T100" s="1840"/>
      <c r="U100" s="349">
        <v>162722.1</v>
      </c>
      <c r="V100" s="350">
        <v>172.2</v>
      </c>
      <c r="W100" s="349">
        <v>28022965.399999999</v>
      </c>
      <c r="X100" s="350">
        <v>86.1</v>
      </c>
      <c r="Y100" s="349">
        <v>14011482.699999999</v>
      </c>
      <c r="Z100" s="349">
        <v>51422141.5</v>
      </c>
      <c r="AA100" s="290"/>
      <c r="AB100" s="290"/>
      <c r="AC100" s="1846" t="s">
        <v>795</v>
      </c>
      <c r="AD100" s="1846"/>
      <c r="AE100" s="1846"/>
      <c r="AF100" s="1846"/>
      <c r="AG100" s="290"/>
      <c r="AH100" s="1805" t="s">
        <v>796</v>
      </c>
      <c r="AI100" s="1805"/>
      <c r="AJ100" s="1805"/>
      <c r="AK100" s="1805"/>
      <c r="AL100" s="1805"/>
      <c r="AM100" s="1805"/>
      <c r="AN100" s="1805"/>
      <c r="AO100" s="1805"/>
      <c r="AP100" s="290"/>
      <c r="AQ100" s="1805" t="s">
        <v>797</v>
      </c>
      <c r="AR100" s="1805"/>
      <c r="AS100" s="1805"/>
      <c r="AT100" s="1805"/>
      <c r="AU100" s="290"/>
      <c r="AV100" s="290"/>
      <c r="AW100" s="290"/>
      <c r="AX100" s="290"/>
      <c r="AY100" s="290"/>
      <c r="AZ100" s="440"/>
      <c r="BA100" s="440" t="s">
        <v>1220</v>
      </c>
      <c r="BB100" s="440" t="s">
        <v>1263</v>
      </c>
      <c r="BC100" s="440" t="s">
        <v>1262</v>
      </c>
      <c r="BD100" s="440" t="s">
        <v>120</v>
      </c>
      <c r="BE100" s="442"/>
      <c r="BF100" s="442"/>
      <c r="BG100" s="442"/>
      <c r="BH100" s="442"/>
      <c r="BI100" s="442"/>
      <c r="BJ100" s="442"/>
    </row>
    <row r="101" spans="1:62" hidden="1" x14ac:dyDescent="0.25">
      <c r="A101" s="290"/>
      <c r="B101" s="290"/>
      <c r="C101" s="290"/>
      <c r="D101" s="290"/>
      <c r="E101" s="290"/>
      <c r="F101" s="290"/>
      <c r="G101" s="290"/>
      <c r="H101" s="290"/>
      <c r="I101" s="290"/>
      <c r="J101" s="290"/>
      <c r="K101" s="290"/>
      <c r="L101" s="290"/>
      <c r="M101" s="290"/>
      <c r="N101" s="290"/>
      <c r="O101" s="290"/>
      <c r="P101" s="290"/>
      <c r="Q101" s="290"/>
      <c r="R101" s="360" t="s">
        <v>790</v>
      </c>
      <c r="S101" s="1836" t="s">
        <v>736</v>
      </c>
      <c r="T101" s="1837"/>
      <c r="U101" s="361">
        <v>21214.5</v>
      </c>
      <c r="V101" s="362">
        <v>191.4</v>
      </c>
      <c r="W101" s="361">
        <v>4061376.9</v>
      </c>
      <c r="X101" s="362">
        <v>95.7</v>
      </c>
      <c r="Y101" s="361">
        <v>2030688.5</v>
      </c>
      <c r="Z101" s="361">
        <v>7452626.5999999996</v>
      </c>
      <c r="AA101" s="290"/>
      <c r="AB101" s="290"/>
      <c r="AC101" s="1846" t="s">
        <v>798</v>
      </c>
      <c r="AD101" s="1846"/>
      <c r="AE101" s="1846"/>
      <c r="AF101" s="365"/>
      <c r="AG101" s="290"/>
      <c r="AH101" s="1847" t="s">
        <v>799</v>
      </c>
      <c r="AI101" s="1847"/>
      <c r="AJ101" s="1847"/>
      <c r="AK101" s="1847"/>
      <c r="AL101" s="1847"/>
      <c r="AM101" s="1847"/>
      <c r="AN101" s="1847"/>
      <c r="AO101" s="1847"/>
      <c r="AP101" s="290"/>
      <c r="AQ101" s="1817" t="s">
        <v>800</v>
      </c>
      <c r="AR101" s="1817"/>
      <c r="AS101" s="1817"/>
      <c r="AT101" s="1817"/>
      <c r="AU101" s="290"/>
      <c r="AV101" s="290"/>
      <c r="AW101" s="290"/>
      <c r="AX101" s="290"/>
      <c r="AY101" s="290"/>
      <c r="AZ101" s="441" t="s">
        <v>1264</v>
      </c>
      <c r="BA101" s="442">
        <v>0.47</v>
      </c>
      <c r="BB101" s="442">
        <v>300</v>
      </c>
      <c r="BC101" s="442">
        <f>BA101*BB101</f>
        <v>141</v>
      </c>
      <c r="BD101" s="445">
        <f>SQRT((30%*30%)+(6%*6%))</f>
        <v>0.3059411708155671</v>
      </c>
      <c r="BE101" s="442"/>
      <c r="BF101" s="442"/>
      <c r="BG101" s="442"/>
      <c r="BH101" s="442"/>
      <c r="BI101" s="442"/>
      <c r="BJ101" s="442"/>
    </row>
    <row r="102" spans="1:62" ht="21" hidden="1" x14ac:dyDescent="0.25">
      <c r="A102" s="290"/>
      <c r="B102" s="290"/>
      <c r="C102" s="290"/>
      <c r="D102" s="290"/>
      <c r="E102" s="290"/>
      <c r="F102" s="290"/>
      <c r="G102" s="290"/>
      <c r="H102" s="290"/>
      <c r="I102" s="290"/>
      <c r="J102" s="290"/>
      <c r="K102" s="290"/>
      <c r="L102" s="290"/>
      <c r="M102" s="290"/>
      <c r="N102" s="290"/>
      <c r="O102" s="290"/>
      <c r="P102" s="290"/>
      <c r="Q102" s="290"/>
      <c r="R102" s="360" t="s">
        <v>790</v>
      </c>
      <c r="S102" s="1839" t="s">
        <v>739</v>
      </c>
      <c r="T102" s="1840"/>
      <c r="U102" s="349">
        <v>12358.2</v>
      </c>
      <c r="V102" s="350">
        <v>213.5</v>
      </c>
      <c r="W102" s="349">
        <v>2638625.5</v>
      </c>
      <c r="X102" s="350">
        <v>106.8</v>
      </c>
      <c r="Y102" s="349">
        <v>1319312.7</v>
      </c>
      <c r="Z102" s="349">
        <v>4841877.7</v>
      </c>
      <c r="AA102" s="290"/>
      <c r="AB102" s="290"/>
      <c r="AC102" s="1843" t="s">
        <v>801</v>
      </c>
      <c r="AD102" s="1843"/>
      <c r="AE102" s="1843"/>
      <c r="AF102" s="365"/>
      <c r="AG102" s="290"/>
      <c r="AH102" s="1844"/>
      <c r="AI102" s="366"/>
      <c r="AJ102" s="1845" t="s">
        <v>802</v>
      </c>
      <c r="AK102" s="366"/>
      <c r="AL102" s="366"/>
      <c r="AM102" s="1835" t="s">
        <v>803</v>
      </c>
      <c r="AN102" s="1835" t="s">
        <v>804</v>
      </c>
      <c r="AO102" s="366"/>
      <c r="AP102" s="290"/>
      <c r="AQ102" s="367" t="s">
        <v>805</v>
      </c>
      <c r="AR102" s="368" t="s">
        <v>806</v>
      </c>
      <c r="AS102" s="291"/>
      <c r="AT102" s="291"/>
      <c r="AU102" s="290"/>
      <c r="AV102" s="290"/>
      <c r="AW102" s="290"/>
      <c r="AX102" s="290"/>
      <c r="AY102" s="290"/>
      <c r="AZ102" s="441" t="s">
        <v>1265</v>
      </c>
      <c r="BA102" s="442">
        <v>0.47</v>
      </c>
      <c r="BB102" s="442">
        <v>180</v>
      </c>
      <c r="BC102" s="442">
        <f t="shared" ref="BC102:BC118" si="8">BA102*BB102</f>
        <v>84.6</v>
      </c>
      <c r="BD102" s="445">
        <f t="shared" ref="BD102:BD118" si="9">SQRT((30%*30%)+(6%*6%))</f>
        <v>0.3059411708155671</v>
      </c>
      <c r="BE102" s="442"/>
      <c r="BF102" s="442"/>
      <c r="BG102" s="442"/>
      <c r="BH102" s="442"/>
      <c r="BI102" s="442"/>
      <c r="BJ102" s="442"/>
    </row>
    <row r="103" spans="1:62" ht="31.5" hidden="1" x14ac:dyDescent="0.25">
      <c r="A103" s="290"/>
      <c r="B103" s="290"/>
      <c r="C103" s="290"/>
      <c r="D103" s="290"/>
      <c r="E103" s="290"/>
      <c r="F103" s="290"/>
      <c r="G103" s="290"/>
      <c r="H103" s="290"/>
      <c r="I103" s="290"/>
      <c r="J103" s="290"/>
      <c r="K103" s="290"/>
      <c r="L103" s="290"/>
      <c r="M103" s="290"/>
      <c r="N103" s="290"/>
      <c r="O103" s="290"/>
      <c r="P103" s="290"/>
      <c r="Q103" s="290"/>
      <c r="R103" s="360" t="s">
        <v>790</v>
      </c>
      <c r="S103" s="1836" t="s">
        <v>745</v>
      </c>
      <c r="T103" s="1837"/>
      <c r="U103" s="361">
        <v>1593042.3</v>
      </c>
      <c r="V103" s="362">
        <v>255.2</v>
      </c>
      <c r="W103" s="361">
        <v>406622426.19999999</v>
      </c>
      <c r="X103" s="362">
        <v>127.6</v>
      </c>
      <c r="Y103" s="361">
        <v>203311213.09999999</v>
      </c>
      <c r="Z103" s="361">
        <v>746152152.10000002</v>
      </c>
      <c r="AA103" s="290"/>
      <c r="AB103" s="290"/>
      <c r="AC103" s="369"/>
      <c r="AD103" s="1838" t="s">
        <v>807</v>
      </c>
      <c r="AE103" s="1838"/>
      <c r="AF103" s="1838"/>
      <c r="AG103" s="290"/>
      <c r="AH103" s="1844"/>
      <c r="AI103" s="370" t="s">
        <v>808</v>
      </c>
      <c r="AJ103" s="1845"/>
      <c r="AK103" s="371" t="s">
        <v>670</v>
      </c>
      <c r="AL103" s="368" t="s">
        <v>809</v>
      </c>
      <c r="AM103" s="1835"/>
      <c r="AN103" s="1835"/>
      <c r="AO103" s="372" t="s">
        <v>810</v>
      </c>
      <c r="AP103" s="290"/>
      <c r="AQ103" s="373" t="s">
        <v>811</v>
      </c>
      <c r="AR103" s="307">
        <v>0.52</v>
      </c>
      <c r="AS103" s="291"/>
      <c r="AT103" s="291"/>
      <c r="AU103" s="290"/>
      <c r="AV103" s="290"/>
      <c r="AW103" s="290"/>
      <c r="AX103" s="290"/>
      <c r="AY103" s="290"/>
      <c r="AZ103" s="441" t="s">
        <v>1266</v>
      </c>
      <c r="BA103" s="442">
        <v>0.47</v>
      </c>
      <c r="BB103" s="442">
        <v>130</v>
      </c>
      <c r="BC103" s="442">
        <f t="shared" si="8"/>
        <v>61.099999999999994</v>
      </c>
      <c r="BD103" s="445">
        <f t="shared" si="9"/>
        <v>0.3059411708155671</v>
      </c>
      <c r="BE103" s="442"/>
      <c r="BF103" s="442"/>
      <c r="BG103" s="442"/>
      <c r="BH103" s="442"/>
      <c r="BI103" s="442"/>
      <c r="BJ103" s="442"/>
    </row>
    <row r="104" spans="1:62" ht="21" hidden="1" x14ac:dyDescent="0.25">
      <c r="A104" s="290"/>
      <c r="B104" s="290"/>
      <c r="C104" s="290"/>
      <c r="D104" s="290"/>
      <c r="E104" s="290"/>
      <c r="F104" s="290"/>
      <c r="G104" s="290"/>
      <c r="H104" s="290"/>
      <c r="I104" s="290"/>
      <c r="J104" s="290"/>
      <c r="K104" s="290"/>
      <c r="L104" s="290"/>
      <c r="M104" s="290"/>
      <c r="N104" s="290"/>
      <c r="O104" s="290"/>
      <c r="P104" s="290"/>
      <c r="Q104" s="290"/>
      <c r="R104" s="360" t="s">
        <v>790</v>
      </c>
      <c r="S104" s="1839" t="s">
        <v>747</v>
      </c>
      <c r="T104" s="1840"/>
      <c r="U104" s="349">
        <v>1041765.9</v>
      </c>
      <c r="V104" s="350">
        <v>125.5</v>
      </c>
      <c r="W104" s="349">
        <v>130707512.3</v>
      </c>
      <c r="X104" s="350">
        <v>62.7</v>
      </c>
      <c r="Y104" s="349">
        <v>65353756.100000001</v>
      </c>
      <c r="Z104" s="349">
        <v>239848285.09999999</v>
      </c>
      <c r="AA104" s="290"/>
      <c r="AB104" s="290"/>
      <c r="AC104" s="374" t="s">
        <v>812</v>
      </c>
      <c r="AD104" s="1838" t="s">
        <v>813</v>
      </c>
      <c r="AE104" s="1838"/>
      <c r="AF104" s="1838"/>
      <c r="AG104" s="290"/>
      <c r="AH104" s="1829" t="s">
        <v>814</v>
      </c>
      <c r="AI104" s="1828" t="s">
        <v>815</v>
      </c>
      <c r="AJ104" s="366"/>
      <c r="AK104" s="366"/>
      <c r="AL104" s="366"/>
      <c r="AM104" s="366"/>
      <c r="AN104" s="366"/>
      <c r="AO104" s="373" t="s">
        <v>816</v>
      </c>
      <c r="AP104" s="290"/>
      <c r="AQ104" s="373" t="s">
        <v>817</v>
      </c>
      <c r="AR104" s="307">
        <v>0.34</v>
      </c>
      <c r="AS104" s="291"/>
      <c r="AT104" s="291"/>
      <c r="AU104" s="290"/>
      <c r="AV104" s="290"/>
      <c r="AW104" s="290"/>
      <c r="AX104" s="290"/>
      <c r="AY104" s="290"/>
      <c r="AZ104" s="441" t="s">
        <v>1267</v>
      </c>
      <c r="BA104" s="442">
        <v>0.47</v>
      </c>
      <c r="BB104" s="442">
        <v>70</v>
      </c>
      <c r="BC104" s="442">
        <f t="shared" si="8"/>
        <v>32.9</v>
      </c>
      <c r="BD104" s="445">
        <f t="shared" si="9"/>
        <v>0.3059411708155671</v>
      </c>
      <c r="BE104" s="442"/>
      <c r="BF104" s="442"/>
      <c r="BG104" s="442"/>
      <c r="BH104" s="442"/>
      <c r="BI104" s="442"/>
      <c r="BJ104" s="442"/>
    </row>
    <row r="105" spans="1:62" ht="21" hidden="1" x14ac:dyDescent="0.25">
      <c r="A105" s="290"/>
      <c r="B105" s="290"/>
      <c r="C105" s="290"/>
      <c r="D105" s="290"/>
      <c r="E105" s="290"/>
      <c r="F105" s="290"/>
      <c r="G105" s="290"/>
      <c r="H105" s="290"/>
      <c r="I105" s="290"/>
      <c r="J105" s="290"/>
      <c r="K105" s="290"/>
      <c r="L105" s="290"/>
      <c r="M105" s="290"/>
      <c r="N105" s="290"/>
      <c r="O105" s="290"/>
      <c r="P105" s="290"/>
      <c r="Q105" s="290"/>
      <c r="R105" s="360" t="s">
        <v>790</v>
      </c>
      <c r="S105" s="1841" t="s">
        <v>118</v>
      </c>
      <c r="T105" s="1842"/>
      <c r="U105" s="363">
        <v>7434837.5999999996</v>
      </c>
      <c r="V105" s="364">
        <v>191.6</v>
      </c>
      <c r="W105" s="363">
        <v>1424171934.4000001</v>
      </c>
      <c r="X105" s="364">
        <v>95.8</v>
      </c>
      <c r="Y105" s="363">
        <v>712085967.20000005</v>
      </c>
      <c r="Z105" s="363">
        <v>2613355499.5999999</v>
      </c>
      <c r="AA105" s="290"/>
      <c r="AB105" s="290"/>
      <c r="AC105" s="376"/>
      <c r="AD105" s="374" t="s">
        <v>818</v>
      </c>
      <c r="AE105" s="374" t="s">
        <v>819</v>
      </c>
      <c r="AF105" s="377" t="s">
        <v>820</v>
      </c>
      <c r="AG105" s="290"/>
      <c r="AH105" s="1829"/>
      <c r="AI105" s="1828"/>
      <c r="AJ105" s="307" t="s">
        <v>821</v>
      </c>
      <c r="AK105" s="378">
        <v>0.42</v>
      </c>
      <c r="AL105" s="378">
        <v>0.22</v>
      </c>
      <c r="AM105" s="378">
        <v>0.14000000000000001</v>
      </c>
      <c r="AN105" s="378">
        <v>0.83</v>
      </c>
      <c r="AO105" s="373">
        <v>71</v>
      </c>
      <c r="AP105" s="290"/>
      <c r="AQ105" s="373" t="s">
        <v>822</v>
      </c>
      <c r="AR105" s="307">
        <v>0.6</v>
      </c>
      <c r="AS105" s="291"/>
      <c r="AT105" s="291"/>
      <c r="AU105" s="290"/>
      <c r="AV105" s="290"/>
      <c r="AW105" s="290"/>
      <c r="AX105" s="290"/>
      <c r="AY105" s="290"/>
      <c r="AZ105" s="441" t="s">
        <v>1268</v>
      </c>
      <c r="BA105" s="442">
        <v>0.47</v>
      </c>
      <c r="BB105" s="442">
        <v>140</v>
      </c>
      <c r="BC105" s="442">
        <f t="shared" si="8"/>
        <v>65.8</v>
      </c>
      <c r="BD105" s="445">
        <f t="shared" si="9"/>
        <v>0.3059411708155671</v>
      </c>
      <c r="BE105" s="442"/>
      <c r="BF105" s="442"/>
      <c r="BG105" s="442"/>
      <c r="BH105" s="442"/>
      <c r="BI105" s="442"/>
      <c r="BJ105" s="442"/>
    </row>
    <row r="106" spans="1:62" ht="21" hidden="1" x14ac:dyDescent="0.25">
      <c r="A106" s="290"/>
      <c r="B106" s="290"/>
      <c r="C106" s="290"/>
      <c r="D106" s="290"/>
      <c r="E106" s="290"/>
      <c r="F106" s="290"/>
      <c r="G106" s="290"/>
      <c r="H106" s="290"/>
      <c r="I106" s="290"/>
      <c r="J106" s="290"/>
      <c r="K106" s="290"/>
      <c r="L106" s="290"/>
      <c r="M106" s="290"/>
      <c r="N106" s="290"/>
      <c r="O106" s="290"/>
      <c r="P106" s="290"/>
      <c r="Q106" s="290"/>
      <c r="R106" s="348" t="s">
        <v>823</v>
      </c>
      <c r="S106" s="1839" t="s">
        <v>716</v>
      </c>
      <c r="T106" s="1840"/>
      <c r="U106" s="349">
        <v>18818.5</v>
      </c>
      <c r="V106" s="350">
        <v>96.2</v>
      </c>
      <c r="W106" s="349">
        <v>1809954.2</v>
      </c>
      <c r="X106" s="350">
        <v>48.1</v>
      </c>
      <c r="Y106" s="349">
        <v>904977.1</v>
      </c>
      <c r="Z106" s="349">
        <v>3321266</v>
      </c>
      <c r="AA106" s="290"/>
      <c r="AB106" s="290"/>
      <c r="AC106" s="379" t="s">
        <v>824</v>
      </c>
      <c r="AD106" s="380">
        <v>14</v>
      </c>
      <c r="AE106" s="381">
        <v>32</v>
      </c>
      <c r="AF106" s="382">
        <v>50</v>
      </c>
      <c r="AG106" s="290"/>
      <c r="AH106" s="1829"/>
      <c r="AI106" s="1828" t="s">
        <v>825</v>
      </c>
      <c r="AJ106" s="366"/>
      <c r="AK106" s="366"/>
      <c r="AL106" s="366"/>
      <c r="AM106" s="366"/>
      <c r="AN106" s="366"/>
      <c r="AO106" s="366"/>
      <c r="AP106" s="290"/>
      <c r="AQ106" s="373" t="s">
        <v>826</v>
      </c>
      <c r="AR106" s="307">
        <v>0.38</v>
      </c>
      <c r="AS106" s="291"/>
      <c r="AT106" s="291"/>
      <c r="AU106" s="290"/>
      <c r="AV106" s="290"/>
      <c r="AW106" s="290"/>
      <c r="AX106" s="290"/>
      <c r="AY106" s="290"/>
      <c r="AZ106" s="441" t="s">
        <v>1269</v>
      </c>
      <c r="BA106" s="442">
        <v>0.47</v>
      </c>
      <c r="BB106" s="442">
        <v>220</v>
      </c>
      <c r="BC106" s="442">
        <f t="shared" si="8"/>
        <v>103.39999999999999</v>
      </c>
      <c r="BD106" s="445">
        <f t="shared" si="9"/>
        <v>0.3059411708155671</v>
      </c>
      <c r="BE106" s="442"/>
      <c r="BF106" s="442"/>
      <c r="BG106" s="442"/>
      <c r="BH106" s="442"/>
      <c r="BI106" s="442"/>
      <c r="BJ106" s="442"/>
    </row>
    <row r="107" spans="1:62" ht="21" hidden="1" x14ac:dyDescent="0.25">
      <c r="A107" s="290"/>
      <c r="B107" s="290"/>
      <c r="C107" s="290"/>
      <c r="D107" s="290"/>
      <c r="E107" s="290"/>
      <c r="F107" s="290"/>
      <c r="G107" s="290"/>
      <c r="H107" s="290"/>
      <c r="I107" s="290"/>
      <c r="J107" s="290"/>
      <c r="K107" s="290"/>
      <c r="L107" s="290"/>
      <c r="M107" s="290"/>
      <c r="N107" s="290"/>
      <c r="O107" s="290"/>
      <c r="P107" s="290"/>
      <c r="Q107" s="290"/>
      <c r="R107" s="348" t="s">
        <v>823</v>
      </c>
      <c r="S107" s="1830" t="s">
        <v>720</v>
      </c>
      <c r="T107" s="1831"/>
      <c r="U107" s="352">
        <v>2185443.7000000002</v>
      </c>
      <c r="V107" s="353">
        <v>258.89999999999998</v>
      </c>
      <c r="W107" s="352">
        <v>565755540.29999995</v>
      </c>
      <c r="X107" s="353">
        <v>129.4</v>
      </c>
      <c r="Y107" s="352">
        <v>282877770.19999999</v>
      </c>
      <c r="Z107" s="352">
        <v>1038161416.5</v>
      </c>
      <c r="AA107" s="290"/>
      <c r="AB107" s="290"/>
      <c r="AC107" s="379" t="s">
        <v>827</v>
      </c>
      <c r="AD107" s="380">
        <v>10</v>
      </c>
      <c r="AE107" s="381">
        <v>25</v>
      </c>
      <c r="AF107" s="382">
        <v>40</v>
      </c>
      <c r="AG107" s="290"/>
      <c r="AH107" s="1829"/>
      <c r="AI107" s="1828"/>
      <c r="AJ107" s="307" t="s">
        <v>828</v>
      </c>
      <c r="AK107" s="378">
        <v>0.24</v>
      </c>
      <c r="AL107" s="378">
        <v>0.03</v>
      </c>
      <c r="AM107" s="378">
        <v>0.22</v>
      </c>
      <c r="AN107" s="378">
        <v>0.33</v>
      </c>
      <c r="AO107" s="373" t="s">
        <v>829</v>
      </c>
      <c r="AP107" s="290"/>
      <c r="AQ107" s="383"/>
      <c r="AR107" s="383"/>
      <c r="AS107" s="291"/>
      <c r="AT107" s="291"/>
      <c r="AU107" s="290"/>
      <c r="AV107" s="290"/>
      <c r="AW107" s="290"/>
      <c r="AX107" s="290"/>
      <c r="AY107" s="290"/>
      <c r="AZ107" s="441" t="s">
        <v>1270</v>
      </c>
      <c r="BA107" s="442">
        <v>0.47</v>
      </c>
      <c r="BB107" s="442">
        <v>130</v>
      </c>
      <c r="BC107" s="442">
        <f t="shared" si="8"/>
        <v>61.099999999999994</v>
      </c>
      <c r="BD107" s="445">
        <f t="shared" si="9"/>
        <v>0.3059411708155671</v>
      </c>
      <c r="BE107" s="442"/>
      <c r="BF107" s="442"/>
      <c r="BG107" s="442"/>
      <c r="BH107" s="442"/>
      <c r="BI107" s="442"/>
      <c r="BJ107" s="442"/>
    </row>
    <row r="108" spans="1:62" ht="31.5" hidden="1" x14ac:dyDescent="0.25">
      <c r="A108" s="290"/>
      <c r="B108" s="290"/>
      <c r="C108" s="290"/>
      <c r="D108" s="290"/>
      <c r="E108" s="290"/>
      <c r="F108" s="290"/>
      <c r="G108" s="290"/>
      <c r="H108" s="290"/>
      <c r="I108" s="290"/>
      <c r="J108" s="290"/>
      <c r="K108" s="290"/>
      <c r="L108" s="290"/>
      <c r="M108" s="290"/>
      <c r="N108" s="290"/>
      <c r="O108" s="290"/>
      <c r="P108" s="290"/>
      <c r="Q108" s="290"/>
      <c r="R108" s="348" t="s">
        <v>823</v>
      </c>
      <c r="S108" s="1839" t="s">
        <v>724</v>
      </c>
      <c r="T108" s="1840"/>
      <c r="U108" s="349">
        <v>5191</v>
      </c>
      <c r="V108" s="350">
        <v>164.1</v>
      </c>
      <c r="W108" s="349">
        <v>851826.2</v>
      </c>
      <c r="X108" s="350">
        <v>82</v>
      </c>
      <c r="Y108" s="349">
        <v>425913.1</v>
      </c>
      <c r="Z108" s="349">
        <v>1563101</v>
      </c>
      <c r="AA108" s="290"/>
      <c r="AB108" s="290"/>
      <c r="AC108" s="379" t="s">
        <v>830</v>
      </c>
      <c r="AD108" s="380">
        <v>15</v>
      </c>
      <c r="AE108" s="381">
        <v>32.5</v>
      </c>
      <c r="AF108" s="382">
        <v>50</v>
      </c>
      <c r="AG108" s="290"/>
      <c r="AH108" s="1829"/>
      <c r="AI108" s="373" t="s">
        <v>831</v>
      </c>
      <c r="AJ108" s="307" t="s">
        <v>828</v>
      </c>
      <c r="AK108" s="378">
        <v>0.27</v>
      </c>
      <c r="AL108" s="378">
        <v>0.01</v>
      </c>
      <c r="AM108" s="378">
        <v>0.27</v>
      </c>
      <c r="AN108" s="378">
        <v>0.28000000000000003</v>
      </c>
      <c r="AO108" s="373">
        <v>65</v>
      </c>
      <c r="AP108" s="290"/>
      <c r="AQ108" s="373" t="s">
        <v>832</v>
      </c>
      <c r="AR108" s="307">
        <v>0.41</v>
      </c>
      <c r="AS108" s="291"/>
      <c r="AT108" s="291"/>
      <c r="AU108" s="290"/>
      <c r="AV108" s="290"/>
      <c r="AW108" s="290"/>
      <c r="AX108" s="290"/>
      <c r="AY108" s="290"/>
      <c r="AZ108" s="441" t="s">
        <v>1271</v>
      </c>
      <c r="BA108" s="442">
        <v>0.47</v>
      </c>
      <c r="BB108" s="442">
        <v>70</v>
      </c>
      <c r="BC108" s="442">
        <f t="shared" si="8"/>
        <v>32.9</v>
      </c>
      <c r="BD108" s="445">
        <f t="shared" si="9"/>
        <v>0.3059411708155671</v>
      </c>
      <c r="BE108" s="442"/>
      <c r="BF108" s="442"/>
      <c r="BG108" s="442"/>
      <c r="BH108" s="442"/>
      <c r="BI108" s="442"/>
      <c r="BJ108" s="442"/>
    </row>
    <row r="109" spans="1:62" ht="31.5" hidden="1" x14ac:dyDescent="0.25">
      <c r="A109" s="290"/>
      <c r="B109" s="290"/>
      <c r="C109" s="290"/>
      <c r="D109" s="290"/>
      <c r="E109" s="290"/>
      <c r="F109" s="290"/>
      <c r="G109" s="290"/>
      <c r="H109" s="290"/>
      <c r="I109" s="290"/>
      <c r="J109" s="290"/>
      <c r="K109" s="290"/>
      <c r="L109" s="290"/>
      <c r="M109" s="290"/>
      <c r="N109" s="310"/>
      <c r="O109" s="310"/>
      <c r="P109" s="310"/>
      <c r="Q109" s="310"/>
      <c r="R109" s="348" t="s">
        <v>823</v>
      </c>
      <c r="S109" s="1830" t="s">
        <v>736</v>
      </c>
      <c r="T109" s="1831"/>
      <c r="U109" s="353">
        <v>546.29999999999995</v>
      </c>
      <c r="V109" s="353">
        <v>191.4</v>
      </c>
      <c r="W109" s="352">
        <v>104576.1</v>
      </c>
      <c r="X109" s="353">
        <v>95.7</v>
      </c>
      <c r="Y109" s="352">
        <v>52288</v>
      </c>
      <c r="Z109" s="352">
        <v>191897.1</v>
      </c>
      <c r="AA109" s="290"/>
      <c r="AB109" s="290"/>
      <c r="AC109" s="379" t="s">
        <v>833</v>
      </c>
      <c r="AD109" s="380">
        <v>10</v>
      </c>
      <c r="AE109" s="381">
        <v>32.5</v>
      </c>
      <c r="AF109" s="382">
        <v>55</v>
      </c>
      <c r="AG109" s="290"/>
      <c r="AH109" s="1829" t="s">
        <v>834</v>
      </c>
      <c r="AI109" s="373" t="s">
        <v>835</v>
      </c>
      <c r="AJ109" s="307" t="s">
        <v>836</v>
      </c>
      <c r="AK109" s="378">
        <v>0.46</v>
      </c>
      <c r="AL109" s="378">
        <v>0.21</v>
      </c>
      <c r="AM109" s="378">
        <v>0.21</v>
      </c>
      <c r="AN109" s="378">
        <v>1.06</v>
      </c>
      <c r="AO109" s="373" t="s">
        <v>837</v>
      </c>
      <c r="AP109" s="310"/>
      <c r="AQ109" s="373" t="s">
        <v>838</v>
      </c>
      <c r="AR109" s="307">
        <v>0.86</v>
      </c>
      <c r="AS109" s="384"/>
      <c r="AT109" s="384"/>
      <c r="AU109" s="310"/>
      <c r="AV109" s="310"/>
      <c r="AW109" s="310"/>
      <c r="AX109" s="310"/>
      <c r="AY109" s="310"/>
      <c r="AZ109" s="441" t="s">
        <v>1272</v>
      </c>
      <c r="BA109" s="442">
        <v>0.47</v>
      </c>
      <c r="BB109" s="442">
        <v>140</v>
      </c>
      <c r="BC109" s="442">
        <f t="shared" si="8"/>
        <v>65.8</v>
      </c>
      <c r="BD109" s="445">
        <f t="shared" si="9"/>
        <v>0.3059411708155671</v>
      </c>
      <c r="BE109" s="442"/>
      <c r="BF109" s="442"/>
      <c r="BG109" s="442"/>
      <c r="BH109" s="442"/>
      <c r="BI109" s="442"/>
      <c r="BJ109" s="442"/>
    </row>
    <row r="110" spans="1:62" ht="33.75" hidden="1" x14ac:dyDescent="0.25">
      <c r="A110" s="290"/>
      <c r="B110" s="290"/>
      <c r="C110" s="290"/>
      <c r="D110" s="290"/>
      <c r="E110" s="290"/>
      <c r="F110" s="290"/>
      <c r="G110" s="290"/>
      <c r="H110" s="290"/>
      <c r="I110" s="290"/>
      <c r="J110" s="290"/>
      <c r="K110" s="290"/>
      <c r="L110" s="290"/>
      <c r="M110" s="290"/>
      <c r="N110" s="310"/>
      <c r="O110" s="310"/>
      <c r="P110" s="310"/>
      <c r="Q110" s="310"/>
      <c r="R110" s="348" t="s">
        <v>823</v>
      </c>
      <c r="S110" s="1832" t="s">
        <v>118</v>
      </c>
      <c r="T110" s="1833"/>
      <c r="U110" s="358">
        <v>2209999.4</v>
      </c>
      <c r="V110" s="359">
        <v>257.2</v>
      </c>
      <c r="W110" s="358">
        <v>568521896.79999995</v>
      </c>
      <c r="X110" s="359">
        <v>128.6</v>
      </c>
      <c r="Y110" s="358">
        <v>284260948.39999998</v>
      </c>
      <c r="Z110" s="358">
        <v>1043237680.6</v>
      </c>
      <c r="AA110" s="310"/>
      <c r="AB110" s="310"/>
      <c r="AC110" s="379" t="s">
        <v>839</v>
      </c>
      <c r="AD110" s="380">
        <v>15</v>
      </c>
      <c r="AE110" s="381">
        <v>22.5</v>
      </c>
      <c r="AF110" s="382">
        <v>30</v>
      </c>
      <c r="AG110" s="310"/>
      <c r="AH110" s="1829"/>
      <c r="AI110" s="373" t="s">
        <v>835</v>
      </c>
      <c r="AJ110" s="378" t="s">
        <v>840</v>
      </c>
      <c r="AK110" s="378">
        <v>0.32</v>
      </c>
      <c r="AL110" s="378">
        <v>0.08</v>
      </c>
      <c r="AM110" s="378">
        <v>0.24</v>
      </c>
      <c r="AN110" s="378">
        <v>0.5</v>
      </c>
      <c r="AO110" s="373" t="s">
        <v>841</v>
      </c>
      <c r="AP110" s="310"/>
      <c r="AQ110" s="373" t="s">
        <v>842</v>
      </c>
      <c r="AR110" s="307">
        <v>0.67</v>
      </c>
      <c r="AS110" s="384"/>
      <c r="AT110" s="384"/>
      <c r="AU110" s="310"/>
      <c r="AV110" s="310"/>
      <c r="AW110" s="310"/>
      <c r="AX110" s="310"/>
      <c r="AY110" s="310"/>
      <c r="AZ110" s="441" t="s">
        <v>1273</v>
      </c>
      <c r="BA110" s="442">
        <v>0.47</v>
      </c>
      <c r="BB110" s="442">
        <v>150</v>
      </c>
      <c r="BC110" s="442">
        <f t="shared" si="8"/>
        <v>70.5</v>
      </c>
      <c r="BD110" s="445">
        <f t="shared" si="9"/>
        <v>0.3059411708155671</v>
      </c>
      <c r="BE110" s="442"/>
      <c r="BF110" s="442"/>
      <c r="BG110" s="442"/>
      <c r="BH110" s="442"/>
      <c r="BI110" s="442"/>
      <c r="BJ110" s="442"/>
    </row>
    <row r="111" spans="1:62" ht="22.5" hidden="1" x14ac:dyDescent="0.25">
      <c r="A111" s="290"/>
      <c r="B111" s="290"/>
      <c r="C111" s="290"/>
      <c r="D111" s="290"/>
      <c r="E111" s="290"/>
      <c r="F111" s="290"/>
      <c r="G111" s="290"/>
      <c r="H111" s="290"/>
      <c r="I111" s="290"/>
      <c r="J111" s="290"/>
      <c r="K111" s="290"/>
      <c r="L111" s="290"/>
      <c r="M111" s="290"/>
      <c r="N111" s="310"/>
      <c r="O111" s="310"/>
      <c r="P111" s="310"/>
      <c r="Q111" s="310"/>
      <c r="R111" s="1834" t="s">
        <v>750</v>
      </c>
      <c r="S111" s="1834"/>
      <c r="T111" s="1834"/>
      <c r="U111" s="1834"/>
      <c r="V111" s="1834"/>
      <c r="W111" s="1834"/>
      <c r="X111" s="1834"/>
      <c r="Y111" s="1834"/>
      <c r="Z111" s="1834"/>
      <c r="AA111" s="310"/>
      <c r="AB111" s="310"/>
      <c r="AC111" s="379" t="s">
        <v>843</v>
      </c>
      <c r="AD111" s="380">
        <v>20</v>
      </c>
      <c r="AE111" s="381">
        <v>40</v>
      </c>
      <c r="AF111" s="382">
        <v>60</v>
      </c>
      <c r="AG111" s="310"/>
      <c r="AH111" s="1829"/>
      <c r="AI111" s="366"/>
      <c r="AJ111" s="366"/>
      <c r="AK111" s="366"/>
      <c r="AL111" s="366"/>
      <c r="AM111" s="366"/>
      <c r="AN111" s="366"/>
      <c r="AO111" s="373" t="s">
        <v>844</v>
      </c>
      <c r="AP111" s="310"/>
      <c r="AQ111" s="373" t="s">
        <v>845</v>
      </c>
      <c r="AR111" s="307">
        <v>0.62</v>
      </c>
      <c r="AS111" s="384"/>
      <c r="AT111" s="384"/>
      <c r="AU111" s="310"/>
      <c r="AV111" s="310"/>
      <c r="AW111" s="310"/>
      <c r="AX111" s="310"/>
      <c r="AY111" s="310"/>
      <c r="AZ111" s="441" t="s">
        <v>1274</v>
      </c>
      <c r="BA111" s="442">
        <v>0.47</v>
      </c>
      <c r="BB111" s="442">
        <v>120</v>
      </c>
      <c r="BC111" s="442">
        <f t="shared" si="8"/>
        <v>56.4</v>
      </c>
      <c r="BD111" s="445">
        <f t="shared" si="9"/>
        <v>0.3059411708155671</v>
      </c>
      <c r="BE111" s="442"/>
      <c r="BF111" s="442"/>
      <c r="BG111" s="442"/>
      <c r="BH111" s="442"/>
      <c r="BI111" s="442"/>
      <c r="BJ111" s="442"/>
    </row>
    <row r="112" spans="1:62" s="312" customFormat="1" ht="31.5" hidden="1" x14ac:dyDescent="0.25">
      <c r="A112" s="290"/>
      <c r="B112" s="290"/>
      <c r="C112" s="290"/>
      <c r="D112" s="290"/>
      <c r="E112" s="290"/>
      <c r="F112" s="290"/>
      <c r="G112" s="290"/>
      <c r="H112" s="290"/>
      <c r="I112" s="290"/>
      <c r="J112" s="290"/>
      <c r="K112" s="290"/>
      <c r="L112" s="290"/>
      <c r="M112" s="290"/>
      <c r="N112" s="310"/>
      <c r="O112" s="310"/>
      <c r="P112" s="310"/>
      <c r="Q112" s="310"/>
      <c r="R112" s="310"/>
      <c r="S112" s="310"/>
      <c r="T112" s="310"/>
      <c r="U112" s="310"/>
      <c r="V112" s="310"/>
      <c r="W112" s="310"/>
      <c r="X112" s="310"/>
      <c r="Y112" s="310"/>
      <c r="Z112" s="310"/>
      <c r="AA112" s="310"/>
      <c r="AB112" s="310"/>
      <c r="AC112" s="379" t="s">
        <v>846</v>
      </c>
      <c r="AD112" s="380">
        <v>10</v>
      </c>
      <c r="AE112" s="381">
        <v>25</v>
      </c>
      <c r="AF112" s="382">
        <v>40</v>
      </c>
      <c r="AG112" s="310"/>
      <c r="AH112" s="1829"/>
      <c r="AI112" s="373" t="s">
        <v>835</v>
      </c>
      <c r="AJ112" s="307" t="s">
        <v>847</v>
      </c>
      <c r="AK112" s="378">
        <v>0.23</v>
      </c>
      <c r="AL112" s="378">
        <v>0.09</v>
      </c>
      <c r="AM112" s="378">
        <v>0.12</v>
      </c>
      <c r="AN112" s="378">
        <v>0.49</v>
      </c>
      <c r="AO112" s="373" t="s">
        <v>848</v>
      </c>
      <c r="AP112" s="310"/>
      <c r="AQ112" s="373" t="s">
        <v>849</v>
      </c>
      <c r="AR112" s="307">
        <v>0.38</v>
      </c>
      <c r="AS112" s="384"/>
      <c r="AT112" s="384"/>
      <c r="AU112" s="310"/>
      <c r="AV112" s="310"/>
      <c r="AW112" s="310"/>
      <c r="AX112" s="310"/>
      <c r="AY112" s="310"/>
      <c r="AZ112" s="441" t="s">
        <v>1275</v>
      </c>
      <c r="BA112" s="442">
        <v>0.47</v>
      </c>
      <c r="BB112" s="442">
        <v>60</v>
      </c>
      <c r="BC112" s="442">
        <f t="shared" si="8"/>
        <v>28.2</v>
      </c>
      <c r="BD112" s="445">
        <f t="shared" si="9"/>
        <v>0.3059411708155671</v>
      </c>
      <c r="BE112" s="442"/>
      <c r="BF112" s="442"/>
      <c r="BG112" s="442"/>
      <c r="BH112" s="442"/>
      <c r="BI112" s="442"/>
      <c r="BJ112" s="442"/>
    </row>
    <row r="113" spans="1:62" s="312" customFormat="1" ht="45" hidden="1" x14ac:dyDescent="0.25">
      <c r="A113" s="290"/>
      <c r="B113" s="290"/>
      <c r="C113" s="290"/>
      <c r="D113" s="290"/>
      <c r="E113" s="290"/>
      <c r="F113" s="290"/>
      <c r="G113" s="290"/>
      <c r="H113" s="290"/>
      <c r="I113" s="290"/>
      <c r="J113" s="290"/>
      <c r="K113" s="290"/>
      <c r="L113" s="290"/>
      <c r="M113" s="290"/>
      <c r="N113" s="310"/>
      <c r="O113" s="310"/>
      <c r="P113" s="310"/>
      <c r="Q113" s="310"/>
      <c r="R113" s="310"/>
      <c r="S113" s="310"/>
      <c r="T113" s="310"/>
      <c r="U113" s="310"/>
      <c r="V113" s="310"/>
      <c r="W113" s="310"/>
      <c r="X113" s="310"/>
      <c r="Y113" s="310"/>
      <c r="Z113" s="310"/>
      <c r="AA113" s="310"/>
      <c r="AB113" s="310"/>
      <c r="AC113" s="379" t="s">
        <v>850</v>
      </c>
      <c r="AD113" s="380">
        <v>10</v>
      </c>
      <c r="AE113" s="381">
        <v>19</v>
      </c>
      <c r="AF113" s="382">
        <v>28</v>
      </c>
      <c r="AG113" s="310"/>
      <c r="AH113" s="1829" t="s">
        <v>851</v>
      </c>
      <c r="AI113" s="373" t="s">
        <v>852</v>
      </c>
      <c r="AJ113" s="307" t="s">
        <v>853</v>
      </c>
      <c r="AK113" s="378">
        <v>0.35</v>
      </c>
      <c r="AL113" s="378">
        <v>0.25</v>
      </c>
      <c r="AM113" s="378">
        <v>0.2</v>
      </c>
      <c r="AN113" s="378">
        <v>1.1599999999999999</v>
      </c>
      <c r="AO113" s="373" t="s">
        <v>854</v>
      </c>
      <c r="AP113" s="310"/>
      <c r="AQ113" s="373" t="s">
        <v>855</v>
      </c>
      <c r="AR113" s="307">
        <v>0.36</v>
      </c>
      <c r="AS113" s="384"/>
      <c r="AT113" s="384"/>
      <c r="AU113" s="310"/>
      <c r="AV113" s="310"/>
      <c r="AW113" s="310"/>
      <c r="AX113" s="310"/>
      <c r="AY113" s="310"/>
      <c r="AZ113" s="441" t="s">
        <v>1276</v>
      </c>
      <c r="BA113" s="442">
        <v>0.47</v>
      </c>
      <c r="BB113" s="442">
        <v>30</v>
      </c>
      <c r="BC113" s="442">
        <f t="shared" si="8"/>
        <v>14.1</v>
      </c>
      <c r="BD113" s="445">
        <f t="shared" si="9"/>
        <v>0.3059411708155671</v>
      </c>
      <c r="BE113" s="442"/>
      <c r="BF113" s="442"/>
      <c r="BG113" s="442"/>
      <c r="BH113" s="442"/>
      <c r="BI113" s="442"/>
      <c r="BJ113" s="442"/>
    </row>
    <row r="114" spans="1:62" s="312" customFormat="1" ht="56.25" hidden="1" x14ac:dyDescent="0.25">
      <c r="A114" s="290"/>
      <c r="B114" s="290"/>
      <c r="C114" s="290"/>
      <c r="D114" s="290"/>
      <c r="E114" s="290"/>
      <c r="F114" s="290"/>
      <c r="G114" s="290"/>
      <c r="H114" s="290"/>
      <c r="I114" s="290"/>
      <c r="J114" s="290"/>
      <c r="K114" s="290"/>
      <c r="L114" s="290"/>
      <c r="M114" s="290"/>
      <c r="N114" s="310"/>
      <c r="O114" s="310"/>
      <c r="P114" s="310"/>
      <c r="Q114" s="310"/>
      <c r="R114" s="310"/>
      <c r="S114" s="310"/>
      <c r="T114" s="310"/>
      <c r="U114" s="310"/>
      <c r="V114" s="310"/>
      <c r="W114" s="310"/>
      <c r="X114" s="310"/>
      <c r="Y114" s="310"/>
      <c r="Z114" s="310"/>
      <c r="AA114" s="310"/>
      <c r="AB114" s="310"/>
      <c r="AC114" s="379" t="s">
        <v>856</v>
      </c>
      <c r="AD114" s="380">
        <v>20</v>
      </c>
      <c r="AE114" s="381">
        <v>35</v>
      </c>
      <c r="AF114" s="385">
        <v>50</v>
      </c>
      <c r="AG114" s="310"/>
      <c r="AH114" s="1829"/>
      <c r="AI114" s="373" t="s">
        <v>857</v>
      </c>
      <c r="AJ114" s="307" t="s">
        <v>836</v>
      </c>
      <c r="AK114" s="378">
        <v>0.45</v>
      </c>
      <c r="AL114" s="378">
        <v>0.15</v>
      </c>
      <c r="AM114" s="378">
        <v>0.28999999999999998</v>
      </c>
      <c r="AN114" s="378">
        <v>0.81</v>
      </c>
      <c r="AO114" s="373" t="s">
        <v>858</v>
      </c>
      <c r="AP114" s="310"/>
      <c r="AQ114" s="373" t="s">
        <v>859</v>
      </c>
      <c r="AR114" s="307">
        <v>0.7</v>
      </c>
      <c r="AS114" s="384"/>
      <c r="AT114" s="384"/>
      <c r="AU114" s="310"/>
      <c r="AV114" s="310"/>
      <c r="AW114" s="310"/>
      <c r="AX114" s="310"/>
      <c r="AY114" s="310"/>
      <c r="AZ114" s="441" t="s">
        <v>1277</v>
      </c>
      <c r="BA114" s="442">
        <v>0.47</v>
      </c>
      <c r="BB114" s="442">
        <v>90</v>
      </c>
      <c r="BC114" s="442">
        <f t="shared" si="8"/>
        <v>42.3</v>
      </c>
      <c r="BD114" s="445">
        <f t="shared" si="9"/>
        <v>0.3059411708155671</v>
      </c>
      <c r="BE114" s="442"/>
      <c r="BF114" s="442"/>
      <c r="BG114" s="442"/>
      <c r="BH114" s="442"/>
      <c r="BI114" s="442"/>
      <c r="BJ114" s="442"/>
    </row>
    <row r="115" spans="1:62" s="312" customFormat="1" ht="22.5" hidden="1" x14ac:dyDescent="0.25">
      <c r="A115" s="290"/>
      <c r="B115" s="290"/>
      <c r="C115" s="290"/>
      <c r="D115" s="290"/>
      <c r="E115" s="290"/>
      <c r="F115" s="290"/>
      <c r="G115" s="290"/>
      <c r="H115" s="290"/>
      <c r="I115" s="290"/>
      <c r="J115" s="290"/>
      <c r="K115" s="290"/>
      <c r="L115" s="290"/>
      <c r="M115" s="290"/>
      <c r="N115" s="310"/>
      <c r="O115" s="310"/>
      <c r="P115" s="310"/>
      <c r="Q115" s="310"/>
      <c r="R115" s="310"/>
      <c r="S115" s="310"/>
      <c r="T115" s="310"/>
      <c r="U115" s="310"/>
      <c r="V115" s="310"/>
      <c r="W115" s="310"/>
      <c r="X115" s="310"/>
      <c r="Y115" s="310"/>
      <c r="Z115" s="310"/>
      <c r="AA115" s="310"/>
      <c r="AB115" s="310"/>
      <c r="AC115" s="379" t="s">
        <v>860</v>
      </c>
      <c r="AD115" s="380">
        <v>8</v>
      </c>
      <c r="AE115" s="381">
        <v>24</v>
      </c>
      <c r="AF115" s="382">
        <v>40</v>
      </c>
      <c r="AG115" s="310"/>
      <c r="AH115" s="1829"/>
      <c r="AI115" s="373" t="s">
        <v>857</v>
      </c>
      <c r="AJ115" s="378" t="s">
        <v>840</v>
      </c>
      <c r="AK115" s="378">
        <v>0.35</v>
      </c>
      <c r="AL115" s="378">
        <v>0.23</v>
      </c>
      <c r="AM115" s="378">
        <v>0.15</v>
      </c>
      <c r="AN115" s="378">
        <v>0.81</v>
      </c>
      <c r="AO115" s="373" t="s">
        <v>861</v>
      </c>
      <c r="AP115" s="310"/>
      <c r="AQ115" s="373" t="s">
        <v>862</v>
      </c>
      <c r="AR115" s="383"/>
      <c r="AS115" s="384"/>
      <c r="AT115" s="384"/>
      <c r="AU115" s="310"/>
      <c r="AV115" s="310"/>
      <c r="AW115" s="310"/>
      <c r="AX115" s="310"/>
      <c r="AY115" s="310"/>
      <c r="AZ115" s="441" t="s">
        <v>1278</v>
      </c>
      <c r="BA115" s="442">
        <v>0.47</v>
      </c>
      <c r="BB115" s="442">
        <v>140</v>
      </c>
      <c r="BC115" s="442">
        <f t="shared" si="8"/>
        <v>65.8</v>
      </c>
      <c r="BD115" s="445">
        <f t="shared" si="9"/>
        <v>0.3059411708155671</v>
      </c>
    </row>
    <row r="116" spans="1:62" s="312" customFormat="1" ht="31.5" hidden="1" x14ac:dyDescent="0.25">
      <c r="A116" s="290"/>
      <c r="B116" s="290"/>
      <c r="C116" s="290"/>
      <c r="D116" s="290"/>
      <c r="E116" s="290"/>
      <c r="F116" s="290"/>
      <c r="G116" s="290"/>
      <c r="H116" s="290"/>
      <c r="I116" s="290"/>
      <c r="J116" s="290"/>
      <c r="K116" s="290"/>
      <c r="L116" s="290"/>
      <c r="M116" s="290"/>
      <c r="N116" s="310"/>
      <c r="O116" s="310"/>
      <c r="P116" s="310"/>
      <c r="Q116" s="310"/>
      <c r="R116" s="310"/>
      <c r="S116" s="310"/>
      <c r="T116" s="310"/>
      <c r="U116" s="310"/>
      <c r="V116" s="310"/>
      <c r="W116" s="310"/>
      <c r="X116" s="310"/>
      <c r="Y116" s="310"/>
      <c r="Z116" s="310"/>
      <c r="AA116" s="310"/>
      <c r="AB116" s="310"/>
      <c r="AC116" s="379" t="s">
        <v>863</v>
      </c>
      <c r="AD116" s="380">
        <v>12</v>
      </c>
      <c r="AE116" s="381">
        <v>23.5</v>
      </c>
      <c r="AF116" s="382">
        <v>35</v>
      </c>
      <c r="AG116" s="310"/>
      <c r="AH116" s="1829"/>
      <c r="AI116" s="373" t="s">
        <v>864</v>
      </c>
      <c r="AJ116" s="307" t="s">
        <v>847</v>
      </c>
      <c r="AK116" s="378">
        <v>0.2</v>
      </c>
      <c r="AL116" s="378">
        <v>0.08</v>
      </c>
      <c r="AM116" s="378">
        <v>0.1</v>
      </c>
      <c r="AN116" s="378">
        <v>0.33</v>
      </c>
      <c r="AO116" s="373" t="s">
        <v>865</v>
      </c>
      <c r="AP116" s="310"/>
      <c r="AQ116" s="373" t="s">
        <v>866</v>
      </c>
      <c r="AR116" s="307">
        <v>0.75</v>
      </c>
      <c r="AS116" s="384"/>
      <c r="AT116" s="384"/>
      <c r="AU116" s="310"/>
      <c r="AV116" s="310"/>
      <c r="AW116" s="310"/>
      <c r="AX116" s="310"/>
      <c r="AY116" s="310"/>
      <c r="AZ116" s="441" t="s">
        <v>1279</v>
      </c>
      <c r="BA116" s="442">
        <v>0.47</v>
      </c>
      <c r="BB116" s="442">
        <v>60</v>
      </c>
      <c r="BC116" s="442">
        <f t="shared" si="8"/>
        <v>28.2</v>
      </c>
      <c r="BD116" s="445">
        <f t="shared" si="9"/>
        <v>0.3059411708155671</v>
      </c>
    </row>
    <row r="117" spans="1:62" s="312" customFormat="1" ht="31.5" hidden="1" x14ac:dyDescent="0.25">
      <c r="A117" s="290"/>
      <c r="B117" s="290"/>
      <c r="C117" s="290"/>
      <c r="D117" s="290"/>
      <c r="E117" s="290"/>
      <c r="F117" s="290"/>
      <c r="G117" s="290"/>
      <c r="H117" s="290"/>
      <c r="I117" s="290"/>
      <c r="J117" s="290"/>
      <c r="K117" s="290"/>
      <c r="L117" s="290"/>
      <c r="M117" s="290"/>
      <c r="N117" s="310"/>
      <c r="O117" s="310"/>
      <c r="P117" s="310"/>
      <c r="Q117" s="310"/>
      <c r="R117" s="310"/>
      <c r="S117" s="310"/>
      <c r="T117" s="310"/>
      <c r="U117" s="310"/>
      <c r="V117" s="310"/>
      <c r="W117" s="310"/>
      <c r="X117" s="310"/>
      <c r="Y117" s="310"/>
      <c r="Z117" s="310"/>
      <c r="AA117" s="310"/>
      <c r="AB117" s="310"/>
      <c r="AC117" s="379" t="s">
        <v>867</v>
      </c>
      <c r="AD117" s="380">
        <v>10</v>
      </c>
      <c r="AE117" s="381">
        <v>25</v>
      </c>
      <c r="AF117" s="382">
        <v>40</v>
      </c>
      <c r="AG117" s="310"/>
      <c r="AH117" s="1829"/>
      <c r="AI117" s="373" t="s">
        <v>868</v>
      </c>
      <c r="AJ117" s="307" t="s">
        <v>869</v>
      </c>
      <c r="AK117" s="378">
        <v>0.43</v>
      </c>
      <c r="AL117" s="378">
        <v>0.24</v>
      </c>
      <c r="AM117" s="378">
        <v>0.12</v>
      </c>
      <c r="AN117" s="378">
        <v>0.93</v>
      </c>
      <c r="AO117" s="373" t="s">
        <v>870</v>
      </c>
      <c r="AP117" s="310"/>
      <c r="AQ117" s="373" t="s">
        <v>871</v>
      </c>
      <c r="AR117" s="307">
        <v>0.73</v>
      </c>
      <c r="AS117" s="384"/>
      <c r="AT117" s="384"/>
      <c r="AU117" s="310"/>
      <c r="AV117" s="310"/>
      <c r="AW117" s="310"/>
      <c r="AX117" s="310"/>
      <c r="AY117" s="310"/>
      <c r="AZ117" s="441" t="s">
        <v>1280</v>
      </c>
      <c r="BA117" s="442">
        <v>0.47</v>
      </c>
      <c r="BB117" s="442">
        <v>30</v>
      </c>
      <c r="BC117" s="442">
        <f t="shared" si="8"/>
        <v>14.1</v>
      </c>
      <c r="BD117" s="445">
        <f t="shared" si="9"/>
        <v>0.3059411708155671</v>
      </c>
    </row>
    <row r="118" spans="1:62" s="312" customFormat="1" ht="22.5" hidden="1" x14ac:dyDescent="0.25">
      <c r="A118" s="290"/>
      <c r="B118" s="290"/>
      <c r="C118" s="290"/>
      <c r="D118" s="290"/>
      <c r="E118" s="290"/>
      <c r="F118" s="290"/>
      <c r="G118" s="290"/>
      <c r="H118" s="290"/>
      <c r="I118" s="290"/>
      <c r="J118" s="290"/>
      <c r="K118" s="290"/>
      <c r="L118" s="290"/>
      <c r="M118" s="290"/>
      <c r="N118" s="310"/>
      <c r="O118" s="310"/>
      <c r="P118" s="310"/>
      <c r="Q118" s="310"/>
      <c r="R118" s="310"/>
      <c r="S118" s="310"/>
      <c r="T118" s="310"/>
      <c r="U118" s="310"/>
      <c r="V118" s="310"/>
      <c r="W118" s="310"/>
      <c r="X118" s="310"/>
      <c r="Y118" s="310"/>
      <c r="Z118" s="310"/>
      <c r="AA118" s="310"/>
      <c r="AB118" s="310"/>
      <c r="AC118" s="379" t="s">
        <v>872</v>
      </c>
      <c r="AD118" s="380">
        <v>8</v>
      </c>
      <c r="AE118" s="381">
        <v>16</v>
      </c>
      <c r="AF118" s="382">
        <v>24</v>
      </c>
      <c r="AG118" s="310"/>
      <c r="AH118" s="1829"/>
      <c r="AI118" s="366"/>
      <c r="AJ118" s="366"/>
      <c r="AK118" s="366"/>
      <c r="AL118" s="366"/>
      <c r="AM118" s="366"/>
      <c r="AN118" s="366"/>
      <c r="AO118" s="373" t="s">
        <v>873</v>
      </c>
      <c r="AP118" s="310"/>
      <c r="AQ118" s="373" t="s">
        <v>874</v>
      </c>
      <c r="AR118" s="378" t="s">
        <v>875</v>
      </c>
      <c r="AS118" s="384"/>
      <c r="AT118" s="384"/>
      <c r="AU118" s="310"/>
      <c r="AV118" s="310"/>
      <c r="AW118" s="310"/>
      <c r="AX118" s="310"/>
      <c r="AY118" s="310"/>
      <c r="AZ118" s="441" t="s">
        <v>1281</v>
      </c>
      <c r="BA118" s="442">
        <v>0.47</v>
      </c>
      <c r="BB118" s="442">
        <v>90</v>
      </c>
      <c r="BC118" s="442">
        <f t="shared" si="8"/>
        <v>42.3</v>
      </c>
      <c r="BD118" s="445">
        <f t="shared" si="9"/>
        <v>0.3059411708155671</v>
      </c>
    </row>
    <row r="119" spans="1:62" s="312" customFormat="1" ht="33.75" hidden="1" x14ac:dyDescent="0.25">
      <c r="A119" s="290"/>
      <c r="B119" s="290"/>
      <c r="C119" s="290"/>
      <c r="D119" s="290"/>
      <c r="E119" s="290"/>
      <c r="F119" s="290"/>
      <c r="G119" s="290"/>
      <c r="H119" s="290"/>
      <c r="I119" s="290"/>
      <c r="J119" s="290"/>
      <c r="K119" s="290"/>
      <c r="L119" s="290"/>
      <c r="M119" s="290"/>
      <c r="N119" s="310"/>
      <c r="O119" s="310"/>
      <c r="P119" s="310"/>
      <c r="Q119" s="310"/>
      <c r="R119" s="310"/>
      <c r="S119" s="310"/>
      <c r="T119" s="310"/>
      <c r="U119" s="310"/>
      <c r="V119" s="310"/>
      <c r="W119" s="310"/>
      <c r="X119" s="310"/>
      <c r="Y119" s="310"/>
      <c r="Z119" s="310"/>
      <c r="AA119" s="310"/>
      <c r="AB119" s="310"/>
      <c r="AC119" s="379" t="s">
        <v>876</v>
      </c>
      <c r="AD119" s="380">
        <v>10</v>
      </c>
      <c r="AE119" s="381">
        <v>14</v>
      </c>
      <c r="AF119" s="382">
        <v>18</v>
      </c>
      <c r="AG119" s="310"/>
      <c r="AH119" s="1829"/>
      <c r="AI119" s="373" t="s">
        <v>868</v>
      </c>
      <c r="AJ119" s="378" t="s">
        <v>877</v>
      </c>
      <c r="AK119" s="378">
        <v>0.26</v>
      </c>
      <c r="AL119" s="378">
        <v>0.1</v>
      </c>
      <c r="AM119" s="378">
        <v>0.13</v>
      </c>
      <c r="AN119" s="378">
        <v>0.52</v>
      </c>
      <c r="AO119" s="373" t="s">
        <v>878</v>
      </c>
      <c r="AP119" s="310"/>
      <c r="AQ119" s="373" t="s">
        <v>879</v>
      </c>
      <c r="AR119" s="307">
        <v>0.61</v>
      </c>
      <c r="AS119" s="384"/>
      <c r="AT119" s="384"/>
      <c r="AU119" s="310"/>
      <c r="AV119" s="310"/>
      <c r="AW119" s="310"/>
      <c r="AX119" s="310"/>
      <c r="AY119" s="310"/>
      <c r="AZ119" s="310"/>
      <c r="BA119" s="310"/>
      <c r="BB119" s="310"/>
    </row>
    <row r="120" spans="1:62" s="312" customFormat="1" ht="60" hidden="1" x14ac:dyDescent="0.25">
      <c r="A120" s="290"/>
      <c r="B120" s="290"/>
      <c r="C120" s="290"/>
      <c r="D120" s="290"/>
      <c r="E120" s="290"/>
      <c r="F120" s="290"/>
      <c r="G120" s="290"/>
      <c r="H120" s="290"/>
      <c r="I120" s="290"/>
      <c r="J120" s="290"/>
      <c r="K120" s="290"/>
      <c r="L120" s="290"/>
      <c r="M120" s="290"/>
      <c r="N120" s="310"/>
      <c r="O120" s="310"/>
      <c r="P120" s="310"/>
      <c r="Q120" s="310"/>
      <c r="R120" s="310"/>
      <c r="S120" s="310"/>
      <c r="T120" s="310"/>
      <c r="U120" s="310"/>
      <c r="V120" s="310"/>
      <c r="W120" s="310"/>
      <c r="X120" s="310"/>
      <c r="Y120" s="310"/>
      <c r="Z120" s="310"/>
      <c r="AA120" s="310"/>
      <c r="AB120" s="310"/>
      <c r="AC120" s="379"/>
      <c r="AD120" s="380"/>
      <c r="AE120" s="381"/>
      <c r="AF120" s="382"/>
      <c r="AG120" s="310"/>
      <c r="AH120" s="1829"/>
      <c r="AI120" s="373"/>
      <c r="AJ120" s="378"/>
      <c r="AK120" s="378"/>
      <c r="AL120" s="378"/>
      <c r="AM120" s="378"/>
      <c r="AN120" s="378"/>
      <c r="AO120" s="373"/>
      <c r="AP120" s="310"/>
      <c r="AQ120" s="373"/>
      <c r="AR120" s="307"/>
      <c r="AS120" s="384"/>
      <c r="AT120" s="384"/>
      <c r="AU120" s="310"/>
      <c r="AV120" s="310"/>
      <c r="AW120" s="310"/>
      <c r="AX120" s="310"/>
      <c r="AY120" s="310"/>
      <c r="AZ120" s="440" t="s">
        <v>1287</v>
      </c>
      <c r="BA120" s="440" t="s">
        <v>1288</v>
      </c>
      <c r="BB120" s="440" t="s">
        <v>120</v>
      </c>
    </row>
    <row r="121" spans="1:62" s="312" customFormat="1" hidden="1" x14ac:dyDescent="0.25">
      <c r="A121" s="290"/>
      <c r="B121" s="290"/>
      <c r="C121" s="290"/>
      <c r="D121" s="290"/>
      <c r="E121" s="290"/>
      <c r="F121" s="290"/>
      <c r="G121" s="290"/>
      <c r="H121" s="290"/>
      <c r="I121" s="290"/>
      <c r="J121" s="290"/>
      <c r="K121" s="290"/>
      <c r="L121" s="290"/>
      <c r="M121" s="290"/>
      <c r="N121" s="310"/>
      <c r="O121" s="310"/>
      <c r="P121" s="310"/>
      <c r="Q121" s="310"/>
      <c r="R121" s="310"/>
      <c r="S121" s="310"/>
      <c r="T121" s="310"/>
      <c r="U121" s="310"/>
      <c r="V121" s="310"/>
      <c r="W121" s="310"/>
      <c r="X121" s="310"/>
      <c r="Y121" s="310"/>
      <c r="Z121" s="310"/>
      <c r="AA121" s="310"/>
      <c r="AB121" s="310"/>
      <c r="AC121" s="379"/>
      <c r="AD121" s="380"/>
      <c r="AE121" s="381"/>
      <c r="AF121" s="382"/>
      <c r="AG121" s="310"/>
      <c r="AH121" s="1829"/>
      <c r="AI121" s="373"/>
      <c r="AJ121" s="378"/>
      <c r="AK121" s="378"/>
      <c r="AL121" s="378"/>
      <c r="AM121" s="378"/>
      <c r="AN121" s="378"/>
      <c r="AO121" s="373"/>
      <c r="AP121" s="310"/>
      <c r="AQ121" s="373"/>
      <c r="AR121" s="307"/>
      <c r="AS121" s="384"/>
      <c r="AT121" s="384"/>
      <c r="AU121" s="310"/>
      <c r="AV121" s="310"/>
      <c r="AW121" s="310"/>
      <c r="AX121" s="310"/>
      <c r="AY121" s="310"/>
      <c r="AZ121" s="310" t="s">
        <v>1289</v>
      </c>
      <c r="BA121" s="310">
        <v>5</v>
      </c>
      <c r="BB121" s="445">
        <v>0.75</v>
      </c>
    </row>
    <row r="122" spans="1:62" s="312" customFormat="1" hidden="1" x14ac:dyDescent="0.25">
      <c r="A122" s="290"/>
      <c r="B122" s="290"/>
      <c r="C122" s="290"/>
      <c r="D122" s="290"/>
      <c r="E122" s="290"/>
      <c r="F122" s="290"/>
      <c r="G122" s="290"/>
      <c r="H122" s="290"/>
      <c r="I122" s="290"/>
      <c r="J122" s="290"/>
      <c r="K122" s="290"/>
      <c r="L122" s="290"/>
      <c r="M122" s="290"/>
      <c r="N122" s="310"/>
      <c r="O122" s="310"/>
      <c r="P122" s="310"/>
      <c r="Q122" s="310"/>
      <c r="R122" s="310"/>
      <c r="S122" s="310"/>
      <c r="T122" s="310"/>
      <c r="U122" s="310"/>
      <c r="V122" s="310"/>
      <c r="W122" s="310"/>
      <c r="X122" s="310"/>
      <c r="Y122" s="310"/>
      <c r="Z122" s="310"/>
      <c r="AA122" s="310"/>
      <c r="AB122" s="310"/>
      <c r="AC122" s="379"/>
      <c r="AD122" s="380"/>
      <c r="AE122" s="381"/>
      <c r="AF122" s="382"/>
      <c r="AG122" s="310"/>
      <c r="AH122" s="1829"/>
      <c r="AI122" s="373"/>
      <c r="AJ122" s="378"/>
      <c r="AK122" s="378"/>
      <c r="AL122" s="378"/>
      <c r="AM122" s="378"/>
      <c r="AN122" s="378"/>
      <c r="AO122" s="373"/>
      <c r="AP122" s="310"/>
      <c r="AQ122" s="373"/>
      <c r="AR122" s="307"/>
      <c r="AS122" s="384"/>
      <c r="AT122" s="384"/>
      <c r="AU122" s="310"/>
      <c r="AV122" s="310"/>
      <c r="AW122" s="310"/>
      <c r="AX122" s="310"/>
      <c r="AY122" s="310"/>
      <c r="AZ122" s="310" t="s">
        <v>1290</v>
      </c>
      <c r="BA122" s="310">
        <v>2.1</v>
      </c>
      <c r="BB122" s="445">
        <v>0.75</v>
      </c>
    </row>
    <row r="123" spans="1:62" s="312" customFormat="1" hidden="1" x14ac:dyDescent="0.25">
      <c r="A123" s="290"/>
      <c r="B123" s="290"/>
      <c r="C123" s="290"/>
      <c r="D123" s="290"/>
      <c r="E123" s="290"/>
      <c r="F123" s="290"/>
      <c r="G123" s="290"/>
      <c r="H123" s="290"/>
      <c r="I123" s="290"/>
      <c r="J123" s="290"/>
      <c r="K123" s="290"/>
      <c r="L123" s="290"/>
      <c r="M123" s="290"/>
      <c r="N123" s="310"/>
      <c r="O123" s="310"/>
      <c r="P123" s="310"/>
      <c r="Q123" s="310"/>
      <c r="R123" s="310"/>
      <c r="S123" s="310"/>
      <c r="T123" s="310"/>
      <c r="U123" s="310"/>
      <c r="V123" s="310"/>
      <c r="W123" s="310"/>
      <c r="X123" s="310"/>
      <c r="Y123" s="310"/>
      <c r="Z123" s="310"/>
      <c r="AA123" s="310"/>
      <c r="AB123" s="310"/>
      <c r="AC123" s="379"/>
      <c r="AD123" s="380"/>
      <c r="AE123" s="381"/>
      <c r="AF123" s="382"/>
      <c r="AG123" s="310"/>
      <c r="AH123" s="1829"/>
      <c r="AI123" s="373"/>
      <c r="AJ123" s="378"/>
      <c r="AK123" s="378"/>
      <c r="AL123" s="378"/>
      <c r="AM123" s="378"/>
      <c r="AN123" s="378"/>
      <c r="AO123" s="373"/>
      <c r="AP123" s="310"/>
      <c r="AQ123" s="373"/>
      <c r="AR123" s="307"/>
      <c r="AS123" s="384"/>
      <c r="AT123" s="384"/>
      <c r="AU123" s="310"/>
      <c r="AV123" s="310"/>
      <c r="AW123" s="310"/>
      <c r="AX123" s="310"/>
      <c r="AY123" s="310"/>
      <c r="AZ123" s="310" t="s">
        <v>1291</v>
      </c>
      <c r="BA123" s="310">
        <v>2.6</v>
      </c>
      <c r="BB123" s="445">
        <v>0.75</v>
      </c>
    </row>
    <row r="124" spans="1:62" s="312" customFormat="1" hidden="1" x14ac:dyDescent="0.25">
      <c r="A124" s="290"/>
      <c r="B124" s="290"/>
      <c r="C124" s="290"/>
      <c r="D124" s="290"/>
      <c r="E124" s="290"/>
      <c r="F124" s="290"/>
      <c r="G124" s="290"/>
      <c r="H124" s="290"/>
      <c r="I124" s="290"/>
      <c r="J124" s="290"/>
      <c r="K124" s="290"/>
      <c r="L124" s="290"/>
      <c r="M124" s="290"/>
      <c r="N124" s="310"/>
      <c r="O124" s="310"/>
      <c r="P124" s="310"/>
      <c r="Q124" s="310"/>
      <c r="R124" s="310"/>
      <c r="S124" s="310"/>
      <c r="T124" s="310"/>
      <c r="U124" s="310"/>
      <c r="V124" s="310"/>
      <c r="W124" s="310"/>
      <c r="X124" s="310"/>
      <c r="Y124" s="310"/>
      <c r="Z124" s="310"/>
      <c r="AA124" s="310"/>
      <c r="AB124" s="310"/>
      <c r="AC124" s="379"/>
      <c r="AD124" s="380"/>
      <c r="AE124" s="381"/>
      <c r="AF124" s="382"/>
      <c r="AG124" s="310"/>
      <c r="AH124" s="1829"/>
      <c r="AI124" s="373"/>
      <c r="AJ124" s="378"/>
      <c r="AK124" s="378"/>
      <c r="AL124" s="378"/>
      <c r="AM124" s="378"/>
      <c r="AN124" s="378"/>
      <c r="AO124" s="373"/>
      <c r="AP124" s="310"/>
      <c r="AQ124" s="373"/>
      <c r="AR124" s="307"/>
      <c r="AS124" s="384"/>
      <c r="AT124" s="384"/>
      <c r="AU124" s="310"/>
      <c r="AV124" s="310"/>
      <c r="AW124" s="310"/>
      <c r="AX124" s="310"/>
      <c r="AY124" s="310"/>
      <c r="AZ124" s="310" t="s">
        <v>1292</v>
      </c>
      <c r="BA124" s="310">
        <v>10</v>
      </c>
      <c r="BB124" s="445">
        <v>0.75</v>
      </c>
    </row>
    <row r="125" spans="1:62" s="312" customFormat="1" hidden="1" x14ac:dyDescent="0.25">
      <c r="A125" s="290"/>
      <c r="B125" s="290"/>
      <c r="C125" s="290"/>
      <c r="D125" s="290"/>
      <c r="E125" s="290"/>
      <c r="F125" s="290"/>
      <c r="G125" s="290"/>
      <c r="H125" s="290"/>
      <c r="I125" s="290"/>
      <c r="J125" s="290"/>
      <c r="K125" s="290"/>
      <c r="L125" s="290"/>
      <c r="M125" s="290"/>
      <c r="N125" s="310"/>
      <c r="O125" s="310"/>
      <c r="P125" s="310"/>
      <c r="Q125" s="310"/>
      <c r="R125" s="310"/>
      <c r="S125" s="310"/>
      <c r="T125" s="310"/>
      <c r="U125" s="310"/>
      <c r="V125" s="310"/>
      <c r="W125" s="310"/>
      <c r="X125" s="310"/>
      <c r="Y125" s="310"/>
      <c r="Z125" s="310"/>
      <c r="AA125" s="310"/>
      <c r="AB125" s="310"/>
      <c r="AC125" s="379"/>
      <c r="AD125" s="380"/>
      <c r="AE125" s="381"/>
      <c r="AF125" s="382"/>
      <c r="AG125" s="310"/>
      <c r="AH125" s="1829"/>
      <c r="AI125" s="373"/>
      <c r="AJ125" s="378"/>
      <c r="AK125" s="378"/>
      <c r="AL125" s="378"/>
      <c r="AM125" s="378"/>
      <c r="AN125" s="378"/>
      <c r="AO125" s="373"/>
      <c r="AP125" s="310"/>
      <c r="AQ125" s="373"/>
      <c r="AR125" s="307"/>
      <c r="AS125" s="384"/>
      <c r="AT125" s="384"/>
      <c r="AU125" s="310"/>
      <c r="AV125" s="310"/>
      <c r="AW125" s="310"/>
      <c r="AX125" s="310"/>
      <c r="AY125" s="310"/>
      <c r="AZ125" s="310"/>
      <c r="BA125" s="310"/>
      <c r="BB125" s="310"/>
    </row>
    <row r="126" spans="1:62" s="312" customFormat="1" ht="31.5" hidden="1" x14ac:dyDescent="0.25">
      <c r="A126" s="290"/>
      <c r="B126" s="290"/>
      <c r="C126" s="290"/>
      <c r="D126" s="290"/>
      <c r="E126" s="290"/>
      <c r="F126" s="290"/>
      <c r="G126" s="290"/>
      <c r="H126" s="290"/>
      <c r="I126" s="290"/>
      <c r="J126" s="290"/>
      <c r="K126" s="290"/>
      <c r="L126" s="290"/>
      <c r="M126" s="290"/>
      <c r="N126" s="310"/>
      <c r="O126" s="310"/>
      <c r="P126" s="310"/>
      <c r="Q126" s="310"/>
      <c r="R126" s="310"/>
      <c r="S126" s="310"/>
      <c r="T126" s="310"/>
      <c r="U126" s="310"/>
      <c r="V126" s="310"/>
      <c r="W126" s="310"/>
      <c r="X126" s="310"/>
      <c r="Y126" s="310"/>
      <c r="Z126" s="310"/>
      <c r="AA126" s="310"/>
      <c r="AB126" s="310"/>
      <c r="AC126" s="379" t="s">
        <v>880</v>
      </c>
      <c r="AD126" s="380">
        <v>12</v>
      </c>
      <c r="AE126" s="381">
        <v>31</v>
      </c>
      <c r="AF126" s="382">
        <v>50</v>
      </c>
      <c r="AG126" s="310"/>
      <c r="AH126" s="1829"/>
      <c r="AI126" s="373" t="s">
        <v>868</v>
      </c>
      <c r="AJ126" s="307" t="s">
        <v>847</v>
      </c>
      <c r="AK126" s="378">
        <v>0.24</v>
      </c>
      <c r="AL126" s="378">
        <v>0.05</v>
      </c>
      <c r="AM126" s="378">
        <v>0.17</v>
      </c>
      <c r="AN126" s="378">
        <v>0.3</v>
      </c>
      <c r="AO126" s="373" t="s">
        <v>881</v>
      </c>
      <c r="AP126" s="310"/>
      <c r="AQ126" s="373" t="s">
        <v>882</v>
      </c>
      <c r="AR126" s="307">
        <v>0.57999999999999996</v>
      </c>
      <c r="AS126" s="384"/>
      <c r="AT126" s="384"/>
      <c r="AU126" s="310"/>
      <c r="AV126" s="310"/>
      <c r="AW126" s="310"/>
      <c r="AX126" s="310"/>
      <c r="AY126" s="310"/>
      <c r="AZ126" s="310"/>
      <c r="BA126" s="310"/>
      <c r="BB126" s="310"/>
    </row>
    <row r="127" spans="1:62" s="312" customFormat="1" ht="60" hidden="1" x14ac:dyDescent="0.25">
      <c r="A127" s="290"/>
      <c r="B127" s="290"/>
      <c r="C127" s="290"/>
      <c r="D127" s="290"/>
      <c r="E127" s="290"/>
      <c r="F127" s="290"/>
      <c r="G127" s="290"/>
      <c r="H127" s="290"/>
      <c r="I127" s="290"/>
      <c r="J127" s="290"/>
      <c r="K127" s="290"/>
      <c r="L127" s="290"/>
      <c r="M127" s="290"/>
      <c r="N127" s="310"/>
      <c r="O127" s="310"/>
      <c r="P127" s="310"/>
      <c r="Q127" s="310"/>
      <c r="R127" s="310"/>
      <c r="S127" s="310"/>
      <c r="T127" s="310"/>
      <c r="U127" s="310"/>
      <c r="V127" s="310"/>
      <c r="W127" s="310"/>
      <c r="X127" s="310"/>
      <c r="Y127" s="310"/>
      <c r="Z127" s="310"/>
      <c r="AA127" s="310"/>
      <c r="AB127" s="310"/>
      <c r="AC127" s="379"/>
      <c r="AD127" s="380"/>
      <c r="AE127" s="381"/>
      <c r="AF127" s="382"/>
      <c r="AG127" s="310"/>
      <c r="AH127" s="375"/>
      <c r="AI127" s="373"/>
      <c r="AJ127" s="307"/>
      <c r="AK127" s="378"/>
      <c r="AL127" s="378"/>
      <c r="AM127" s="378"/>
      <c r="AN127" s="378"/>
      <c r="AO127" s="373"/>
      <c r="AP127" s="310"/>
      <c r="AQ127" s="373"/>
      <c r="AR127" s="307"/>
      <c r="AS127" s="384"/>
      <c r="AT127" s="384"/>
      <c r="AU127" s="310"/>
      <c r="AV127" s="310"/>
      <c r="AW127" s="310"/>
      <c r="AX127" s="310"/>
      <c r="AY127" s="310"/>
      <c r="AZ127" s="440" t="s">
        <v>1306</v>
      </c>
      <c r="BA127" s="440" t="s">
        <v>1288</v>
      </c>
      <c r="BB127" s="440" t="s">
        <v>120</v>
      </c>
    </row>
    <row r="128" spans="1:62" s="312" customFormat="1" hidden="1" x14ac:dyDescent="0.25">
      <c r="A128" s="290"/>
      <c r="B128" s="290"/>
      <c r="C128" s="290"/>
      <c r="D128" s="290"/>
      <c r="E128" s="290"/>
      <c r="F128" s="290"/>
      <c r="G128" s="290"/>
      <c r="H128" s="290"/>
      <c r="I128" s="290"/>
      <c r="J128" s="290"/>
      <c r="K128" s="290"/>
      <c r="L128" s="290"/>
      <c r="M128" s="290"/>
      <c r="N128" s="310"/>
      <c r="O128" s="310"/>
      <c r="P128" s="310"/>
      <c r="Q128" s="310"/>
      <c r="R128" s="310"/>
      <c r="S128" s="310"/>
      <c r="T128" s="310"/>
      <c r="U128" s="310"/>
      <c r="V128" s="310"/>
      <c r="W128" s="310"/>
      <c r="X128" s="310"/>
      <c r="Y128" s="310"/>
      <c r="Z128" s="310"/>
      <c r="AA128" s="310"/>
      <c r="AB128" s="310"/>
      <c r="AC128" s="379"/>
      <c r="AD128" s="380"/>
      <c r="AE128" s="381"/>
      <c r="AF128" s="382"/>
      <c r="AG128" s="310"/>
      <c r="AH128" s="375"/>
      <c r="AI128" s="373"/>
      <c r="AJ128" s="307"/>
      <c r="AK128" s="378"/>
      <c r="AL128" s="378"/>
      <c r="AM128" s="378"/>
      <c r="AN128" s="378"/>
      <c r="AO128" s="373"/>
      <c r="AP128" s="310"/>
      <c r="AQ128" s="373"/>
      <c r="AR128" s="307"/>
      <c r="AS128" s="384"/>
      <c r="AT128" s="384"/>
      <c r="AU128" s="310"/>
      <c r="AV128" s="310"/>
      <c r="AW128" s="310"/>
      <c r="AX128" s="310"/>
      <c r="AY128" s="310"/>
      <c r="AZ128" s="310" t="s">
        <v>1307</v>
      </c>
      <c r="BA128" s="310">
        <v>2.2999999999999998</v>
      </c>
      <c r="BB128" s="445">
        <v>0.75</v>
      </c>
    </row>
    <row r="129" spans="1:55" s="312" customFormat="1" hidden="1" x14ac:dyDescent="0.25">
      <c r="A129" s="290"/>
      <c r="B129" s="290"/>
      <c r="C129" s="290"/>
      <c r="D129" s="290"/>
      <c r="E129" s="290"/>
      <c r="F129" s="290"/>
      <c r="G129" s="290"/>
      <c r="H129" s="290"/>
      <c r="I129" s="290"/>
      <c r="J129" s="290"/>
      <c r="K129" s="290"/>
      <c r="L129" s="290"/>
      <c r="M129" s="290"/>
      <c r="N129" s="310"/>
      <c r="O129" s="310"/>
      <c r="P129" s="310"/>
      <c r="Q129" s="310"/>
      <c r="R129" s="310"/>
      <c r="S129" s="310"/>
      <c r="T129" s="310"/>
      <c r="U129" s="310"/>
      <c r="V129" s="310"/>
      <c r="W129" s="310"/>
      <c r="X129" s="310"/>
      <c r="Y129" s="310"/>
      <c r="Z129" s="310"/>
      <c r="AA129" s="310"/>
      <c r="AB129" s="310"/>
      <c r="AC129" s="379"/>
      <c r="AD129" s="380"/>
      <c r="AE129" s="381"/>
      <c r="AF129" s="382"/>
      <c r="AG129" s="310"/>
      <c r="AH129" s="375"/>
      <c r="AI129" s="373"/>
      <c r="AJ129" s="307"/>
      <c r="AK129" s="378"/>
      <c r="AL129" s="378"/>
      <c r="AM129" s="378"/>
      <c r="AN129" s="378"/>
      <c r="AO129" s="373"/>
      <c r="AP129" s="310"/>
      <c r="AQ129" s="373"/>
      <c r="AR129" s="307"/>
      <c r="AS129" s="384"/>
      <c r="AT129" s="384"/>
      <c r="AU129" s="310"/>
      <c r="AV129" s="310"/>
      <c r="AW129" s="310"/>
      <c r="AX129" s="310"/>
      <c r="AY129" s="310"/>
      <c r="AZ129" s="310" t="s">
        <v>1308</v>
      </c>
      <c r="BA129" s="310">
        <v>6.2</v>
      </c>
      <c r="BB129" s="445">
        <v>0.75</v>
      </c>
    </row>
    <row r="130" spans="1:55" s="312" customFormat="1" hidden="1" x14ac:dyDescent="0.25">
      <c r="A130" s="290"/>
      <c r="B130" s="290"/>
      <c r="C130" s="290"/>
      <c r="D130" s="290"/>
      <c r="E130" s="290"/>
      <c r="F130" s="290"/>
      <c r="G130" s="290"/>
      <c r="H130" s="290"/>
      <c r="I130" s="290"/>
      <c r="J130" s="290"/>
      <c r="K130" s="290"/>
      <c r="L130" s="290"/>
      <c r="M130" s="290"/>
      <c r="N130" s="310"/>
      <c r="O130" s="310"/>
      <c r="P130" s="310"/>
      <c r="Q130" s="310"/>
      <c r="R130" s="310"/>
      <c r="S130" s="310"/>
      <c r="T130" s="310"/>
      <c r="U130" s="310"/>
      <c r="V130" s="310"/>
      <c r="W130" s="310"/>
      <c r="X130" s="310"/>
      <c r="Y130" s="310"/>
      <c r="Z130" s="310"/>
      <c r="AA130" s="310"/>
      <c r="AB130" s="310"/>
      <c r="AC130" s="379"/>
      <c r="AD130" s="380"/>
      <c r="AE130" s="381"/>
      <c r="AF130" s="382"/>
      <c r="AG130" s="310"/>
      <c r="AH130" s="375"/>
      <c r="AI130" s="373"/>
      <c r="AJ130" s="307"/>
      <c r="AK130" s="378"/>
      <c r="AL130" s="378"/>
      <c r="AM130" s="378"/>
      <c r="AN130" s="378"/>
      <c r="AO130" s="373"/>
      <c r="AP130" s="310"/>
      <c r="AQ130" s="373"/>
      <c r="AR130" s="307"/>
      <c r="AS130" s="384"/>
      <c r="AT130" s="384"/>
      <c r="AU130" s="310"/>
      <c r="AV130" s="310"/>
      <c r="AW130" s="310"/>
      <c r="AX130" s="310"/>
      <c r="AY130" s="310"/>
      <c r="AZ130" s="310"/>
      <c r="BA130" s="310"/>
      <c r="BB130" s="310"/>
    </row>
    <row r="131" spans="1:55" s="312" customFormat="1" ht="60" hidden="1" x14ac:dyDescent="0.25">
      <c r="A131" s="290"/>
      <c r="B131" s="290"/>
      <c r="C131" s="290"/>
      <c r="D131" s="290"/>
      <c r="E131" s="290"/>
      <c r="F131" s="290"/>
      <c r="G131" s="290"/>
      <c r="H131" s="290"/>
      <c r="I131" s="290"/>
      <c r="J131" s="290"/>
      <c r="K131" s="290"/>
      <c r="L131" s="290"/>
      <c r="M131" s="290"/>
      <c r="N131" s="310"/>
      <c r="O131" s="310"/>
      <c r="P131" s="310"/>
      <c r="Q131" s="310"/>
      <c r="R131" s="310"/>
      <c r="S131" s="310"/>
      <c r="T131" s="310"/>
      <c r="U131" s="310"/>
      <c r="V131" s="310"/>
      <c r="W131" s="310"/>
      <c r="X131" s="310"/>
      <c r="Y131" s="310"/>
      <c r="Z131" s="310"/>
      <c r="AA131" s="310"/>
      <c r="AB131" s="310"/>
      <c r="AC131" s="379" t="s">
        <v>883</v>
      </c>
      <c r="AD131" s="380">
        <v>7</v>
      </c>
      <c r="AE131" s="381">
        <v>18.5</v>
      </c>
      <c r="AF131" s="382">
        <v>30</v>
      </c>
      <c r="AG131" s="310"/>
      <c r="AH131" s="1829" t="s">
        <v>884</v>
      </c>
      <c r="AI131" s="373" t="s">
        <v>885</v>
      </c>
      <c r="AJ131" s="307" t="s">
        <v>828</v>
      </c>
      <c r="AK131" s="378">
        <v>3.95</v>
      </c>
      <c r="AL131" s="378">
        <v>2.97</v>
      </c>
      <c r="AM131" s="378">
        <v>1.92</v>
      </c>
      <c r="AN131" s="378">
        <v>10.51</v>
      </c>
      <c r="AO131" s="373" t="s">
        <v>886</v>
      </c>
      <c r="AP131" s="310"/>
      <c r="AQ131" s="373" t="s">
        <v>887</v>
      </c>
      <c r="AR131" s="307">
        <v>0.61</v>
      </c>
      <c r="AS131" s="384"/>
      <c r="AT131" s="384"/>
      <c r="AU131" s="310"/>
      <c r="AV131" s="310"/>
      <c r="AW131" s="310"/>
      <c r="AX131" s="310"/>
      <c r="AY131" s="310"/>
      <c r="AZ131" s="440" t="s">
        <v>1324</v>
      </c>
      <c r="BA131" s="440" t="s">
        <v>1288</v>
      </c>
      <c r="BB131" s="440" t="s">
        <v>120</v>
      </c>
      <c r="BC131" s="440"/>
    </row>
    <row r="132" spans="1:55" s="312" customFormat="1" ht="22.5" hidden="1" x14ac:dyDescent="0.25">
      <c r="A132" s="290"/>
      <c r="B132" s="290"/>
      <c r="C132" s="290"/>
      <c r="D132" s="290"/>
      <c r="E132" s="290"/>
      <c r="F132" s="290"/>
      <c r="G132" s="290"/>
      <c r="H132" s="290"/>
      <c r="I132" s="290"/>
      <c r="J132" s="290"/>
      <c r="K132" s="290"/>
      <c r="L132" s="290"/>
      <c r="M132" s="290"/>
      <c r="N132" s="310"/>
      <c r="O132" s="310"/>
      <c r="P132" s="310"/>
      <c r="Q132" s="310"/>
      <c r="R132" s="310"/>
      <c r="S132" s="310"/>
      <c r="T132" s="310"/>
      <c r="U132" s="310"/>
      <c r="V132" s="310"/>
      <c r="W132" s="310"/>
      <c r="X132" s="310"/>
      <c r="Y132" s="310"/>
      <c r="Z132" s="310"/>
      <c r="AA132" s="310"/>
      <c r="AB132" s="310"/>
      <c r="AC132" s="379" t="s">
        <v>888</v>
      </c>
      <c r="AD132" s="380">
        <v>6</v>
      </c>
      <c r="AE132" s="381">
        <v>12</v>
      </c>
      <c r="AF132" s="382">
        <v>18</v>
      </c>
      <c r="AG132" s="310"/>
      <c r="AH132" s="1829"/>
      <c r="AI132" s="1828" t="s">
        <v>889</v>
      </c>
      <c r="AJ132" s="366"/>
      <c r="AK132" s="366"/>
      <c r="AL132" s="366"/>
      <c r="AM132" s="366"/>
      <c r="AN132" s="366"/>
      <c r="AO132" s="366"/>
      <c r="AP132" s="310"/>
      <c r="AQ132" s="373" t="s">
        <v>890</v>
      </c>
      <c r="AR132" s="378" t="s">
        <v>891</v>
      </c>
      <c r="AS132" s="384"/>
      <c r="AT132" s="384"/>
      <c r="AU132" s="310"/>
      <c r="AV132" s="310"/>
      <c r="AW132" s="310"/>
      <c r="AX132" s="310"/>
      <c r="AY132" s="310"/>
      <c r="AZ132" s="441" t="s">
        <v>1318</v>
      </c>
      <c r="BA132" s="310">
        <v>0</v>
      </c>
      <c r="BB132" s="445">
        <v>0.5</v>
      </c>
      <c r="BC132" s="442"/>
    </row>
    <row r="133" spans="1:55" s="312" customFormat="1" ht="33.75" hidden="1" x14ac:dyDescent="0.25">
      <c r="A133" s="290"/>
      <c r="B133" s="290"/>
      <c r="C133" s="290"/>
      <c r="D133" s="290"/>
      <c r="E133" s="290"/>
      <c r="F133" s="290"/>
      <c r="G133" s="290"/>
      <c r="H133" s="290"/>
      <c r="I133" s="290"/>
      <c r="J133" s="290"/>
      <c r="K133" s="290"/>
      <c r="L133" s="290"/>
      <c r="M133" s="290"/>
      <c r="N133" s="310"/>
      <c r="O133" s="310"/>
      <c r="P133" s="310"/>
      <c r="Q133" s="310"/>
      <c r="R133" s="310"/>
      <c r="S133" s="310"/>
      <c r="T133" s="310"/>
      <c r="U133" s="310"/>
      <c r="V133" s="310"/>
      <c r="W133" s="310"/>
      <c r="X133" s="310"/>
      <c r="Y133" s="310"/>
      <c r="Z133" s="310"/>
      <c r="AA133" s="310"/>
      <c r="AB133" s="310"/>
      <c r="AC133" s="379" t="s">
        <v>892</v>
      </c>
      <c r="AD133" s="380">
        <v>6</v>
      </c>
      <c r="AE133" s="381">
        <v>13</v>
      </c>
      <c r="AF133" s="382">
        <v>20</v>
      </c>
      <c r="AG133" s="310"/>
      <c r="AH133" s="1829"/>
      <c r="AI133" s="1828"/>
      <c r="AJ133" s="307" t="s">
        <v>828</v>
      </c>
      <c r="AK133" s="378">
        <v>1.58</v>
      </c>
      <c r="AL133" s="378">
        <v>1.02</v>
      </c>
      <c r="AM133" s="378">
        <v>0.59</v>
      </c>
      <c r="AN133" s="378">
        <v>3.11</v>
      </c>
      <c r="AO133" s="373" t="s">
        <v>893</v>
      </c>
      <c r="AP133" s="310"/>
      <c r="AQ133" s="373" t="s">
        <v>894</v>
      </c>
      <c r="AR133" s="307">
        <v>0.32</v>
      </c>
      <c r="AS133" s="384"/>
      <c r="AT133" s="384"/>
      <c r="AU133" s="310"/>
      <c r="AV133" s="310"/>
      <c r="AW133" s="310"/>
      <c r="AX133" s="310"/>
      <c r="AY133" s="310"/>
      <c r="AZ133" s="441" t="s">
        <v>1319</v>
      </c>
      <c r="BA133" s="442">
        <v>0</v>
      </c>
      <c r="BB133" s="445">
        <v>0.5</v>
      </c>
      <c r="BC133" s="442"/>
    </row>
    <row r="134" spans="1:55" s="312" customFormat="1" ht="33.75" hidden="1" x14ac:dyDescent="0.25">
      <c r="A134" s="290"/>
      <c r="B134" s="290"/>
      <c r="C134" s="290"/>
      <c r="D134" s="290"/>
      <c r="E134" s="290"/>
      <c r="F134" s="290"/>
      <c r="G134" s="290"/>
      <c r="H134" s="290"/>
      <c r="I134" s="290"/>
      <c r="J134" s="290"/>
      <c r="K134" s="290"/>
      <c r="L134" s="290"/>
      <c r="M134" s="290"/>
      <c r="N134" s="310"/>
      <c r="O134" s="310"/>
      <c r="P134" s="310"/>
      <c r="Q134" s="310"/>
      <c r="R134" s="310"/>
      <c r="S134" s="310"/>
      <c r="T134" s="310"/>
      <c r="U134" s="310"/>
      <c r="V134" s="310"/>
      <c r="W134" s="310"/>
      <c r="X134" s="310"/>
      <c r="Y134" s="310"/>
      <c r="Z134" s="310"/>
      <c r="AA134" s="310"/>
      <c r="AB134" s="310"/>
      <c r="AC134" s="379" t="s">
        <v>895</v>
      </c>
      <c r="AD134" s="380">
        <v>7</v>
      </c>
      <c r="AE134" s="381">
        <v>9</v>
      </c>
      <c r="AF134" s="382">
        <v>11</v>
      </c>
      <c r="AG134" s="310"/>
      <c r="AH134" s="1829"/>
      <c r="AI134" s="373" t="s">
        <v>896</v>
      </c>
      <c r="AJ134" s="307" t="s">
        <v>828</v>
      </c>
      <c r="AK134" s="378">
        <v>2.8</v>
      </c>
      <c r="AL134" s="378">
        <v>1.33</v>
      </c>
      <c r="AM134" s="378">
        <v>1.43</v>
      </c>
      <c r="AN134" s="378">
        <v>4.92</v>
      </c>
      <c r="AO134" s="373" t="s">
        <v>897</v>
      </c>
      <c r="AP134" s="310"/>
      <c r="AQ134" s="373" t="s">
        <v>898</v>
      </c>
      <c r="AR134" s="307">
        <v>0.39</v>
      </c>
      <c r="AS134" s="384"/>
      <c r="AT134" s="384"/>
      <c r="AU134" s="310"/>
      <c r="AV134" s="310"/>
      <c r="AW134" s="310"/>
      <c r="AX134" s="310"/>
      <c r="AY134" s="310"/>
      <c r="AZ134" s="441" t="s">
        <v>1325</v>
      </c>
      <c r="BA134" s="442">
        <v>0</v>
      </c>
      <c r="BB134" s="445">
        <v>0.5</v>
      </c>
      <c r="BC134" s="442"/>
    </row>
    <row r="135" spans="1:55" s="312" customFormat="1" ht="22.5" hidden="1" x14ac:dyDescent="0.25">
      <c r="A135" s="290"/>
      <c r="B135" s="290"/>
      <c r="C135" s="290"/>
      <c r="D135" s="290"/>
      <c r="E135" s="290"/>
      <c r="F135" s="290"/>
      <c r="G135" s="290"/>
      <c r="H135" s="290"/>
      <c r="I135" s="290"/>
      <c r="J135" s="290"/>
      <c r="K135" s="290"/>
      <c r="L135" s="290"/>
      <c r="M135" s="290"/>
      <c r="N135" s="310"/>
      <c r="O135" s="310"/>
      <c r="P135" s="310"/>
      <c r="Q135" s="310"/>
      <c r="R135" s="310"/>
      <c r="S135" s="310"/>
      <c r="T135" s="310"/>
      <c r="U135" s="310"/>
      <c r="V135" s="310"/>
      <c r="W135" s="310"/>
      <c r="X135" s="310"/>
      <c r="Y135" s="310"/>
      <c r="Z135" s="310"/>
      <c r="AA135" s="310"/>
      <c r="AB135" s="310"/>
      <c r="AC135" s="379" t="s">
        <v>899</v>
      </c>
      <c r="AD135" s="380">
        <v>8</v>
      </c>
      <c r="AE135" s="381">
        <v>24</v>
      </c>
      <c r="AF135" s="382">
        <v>40</v>
      </c>
      <c r="AG135" s="310"/>
      <c r="AH135" s="1829" t="s">
        <v>900</v>
      </c>
      <c r="AI135" s="366"/>
      <c r="AJ135" s="366"/>
      <c r="AK135" s="366"/>
      <c r="AL135" s="366"/>
      <c r="AM135" s="366"/>
      <c r="AN135" s="366"/>
      <c r="AO135" s="373" t="s">
        <v>901</v>
      </c>
      <c r="AP135" s="310"/>
      <c r="AQ135" s="373" t="s">
        <v>902</v>
      </c>
      <c r="AR135" s="307">
        <v>0.52</v>
      </c>
      <c r="AS135" s="384"/>
      <c r="AT135" s="384"/>
      <c r="AU135" s="310"/>
      <c r="AV135" s="310"/>
      <c r="AW135" s="310"/>
      <c r="AX135" s="310"/>
      <c r="AY135" s="310"/>
      <c r="AZ135" s="441" t="s">
        <v>1328</v>
      </c>
      <c r="BA135" s="442">
        <v>0</v>
      </c>
      <c r="BB135" s="445">
        <v>0.5</v>
      </c>
      <c r="BC135" s="442"/>
    </row>
    <row r="136" spans="1:55" s="312" customFormat="1" ht="22.5" hidden="1" x14ac:dyDescent="0.25">
      <c r="A136" s="290"/>
      <c r="B136" s="290"/>
      <c r="C136" s="290"/>
      <c r="D136" s="290"/>
      <c r="E136" s="290"/>
      <c r="F136" s="290"/>
      <c r="G136" s="290"/>
      <c r="H136" s="290"/>
      <c r="I136" s="290"/>
      <c r="J136" s="290"/>
      <c r="K136" s="290"/>
      <c r="L136" s="290"/>
      <c r="M136" s="290"/>
      <c r="N136" s="310"/>
      <c r="O136" s="310"/>
      <c r="P136" s="310"/>
      <c r="Q136" s="310"/>
      <c r="R136" s="310"/>
      <c r="S136" s="310"/>
      <c r="T136" s="310"/>
      <c r="U136" s="310"/>
      <c r="V136" s="310"/>
      <c r="W136" s="310"/>
      <c r="X136" s="310"/>
      <c r="Y136" s="310"/>
      <c r="Z136" s="310"/>
      <c r="AA136" s="310"/>
      <c r="AB136" s="310"/>
      <c r="AC136" s="379" t="s">
        <v>903</v>
      </c>
      <c r="AD136" s="380">
        <v>10</v>
      </c>
      <c r="AE136" s="381">
        <v>15</v>
      </c>
      <c r="AF136" s="382">
        <v>20</v>
      </c>
      <c r="AG136" s="310"/>
      <c r="AH136" s="1829"/>
      <c r="AI136" s="373" t="s">
        <v>904</v>
      </c>
      <c r="AJ136" s="307" t="s">
        <v>828</v>
      </c>
      <c r="AK136" s="378">
        <v>0.48</v>
      </c>
      <c r="AL136" s="378">
        <v>0.19</v>
      </c>
      <c r="AM136" s="378">
        <v>0.26</v>
      </c>
      <c r="AN136" s="378">
        <v>1.01</v>
      </c>
      <c r="AO136" s="373" t="s">
        <v>905</v>
      </c>
      <c r="AP136" s="310"/>
      <c r="AQ136" s="373" t="s">
        <v>906</v>
      </c>
      <c r="AR136" s="307">
        <v>0.74</v>
      </c>
      <c r="AS136" s="384"/>
      <c r="AT136" s="384"/>
      <c r="AU136" s="310"/>
      <c r="AV136" s="310"/>
      <c r="AW136" s="310"/>
      <c r="AX136" s="310"/>
      <c r="AY136" s="310"/>
      <c r="AZ136" s="441" t="s">
        <v>1329</v>
      </c>
      <c r="BA136" s="442">
        <v>0</v>
      </c>
      <c r="BB136" s="445">
        <v>0.5</v>
      </c>
      <c r="BC136" s="442"/>
    </row>
    <row r="137" spans="1:55" s="312" customFormat="1" ht="33.75" hidden="1" x14ac:dyDescent="0.25">
      <c r="A137" s="290"/>
      <c r="B137" s="290"/>
      <c r="C137" s="290"/>
      <c r="D137" s="290"/>
      <c r="E137" s="290"/>
      <c r="F137" s="290"/>
      <c r="G137" s="290"/>
      <c r="H137" s="290"/>
      <c r="I137" s="290"/>
      <c r="J137" s="290"/>
      <c r="K137" s="290"/>
      <c r="L137" s="290"/>
      <c r="M137" s="290"/>
      <c r="N137" s="310"/>
      <c r="O137" s="310"/>
      <c r="P137" s="310"/>
      <c r="Q137" s="310"/>
      <c r="R137" s="310"/>
      <c r="S137" s="310"/>
      <c r="T137" s="310"/>
      <c r="U137" s="310"/>
      <c r="V137" s="310"/>
      <c r="W137" s="310"/>
      <c r="X137" s="310"/>
      <c r="Y137" s="310"/>
      <c r="Z137" s="310"/>
      <c r="AA137" s="310"/>
      <c r="AB137" s="310"/>
      <c r="AC137" s="379" t="s">
        <v>907</v>
      </c>
      <c r="AD137" s="380">
        <v>30</v>
      </c>
      <c r="AE137" s="381">
        <v>42.5</v>
      </c>
      <c r="AF137" s="382">
        <v>55</v>
      </c>
      <c r="AG137" s="310"/>
      <c r="AH137" s="1829"/>
      <c r="AI137" s="366"/>
      <c r="AJ137" s="366"/>
      <c r="AK137" s="366"/>
      <c r="AL137" s="366"/>
      <c r="AM137" s="366"/>
      <c r="AN137" s="366"/>
      <c r="AO137" s="373" t="s">
        <v>908</v>
      </c>
      <c r="AP137" s="310"/>
      <c r="AQ137" s="1826" t="s">
        <v>909</v>
      </c>
      <c r="AR137" s="1828" t="s">
        <v>910</v>
      </c>
      <c r="AS137" s="384"/>
      <c r="AT137" s="384"/>
      <c r="AU137" s="310"/>
      <c r="AV137" s="310"/>
      <c r="AW137" s="310"/>
      <c r="AX137" s="310"/>
      <c r="AY137" s="310"/>
      <c r="AZ137" s="441" t="s">
        <v>1330</v>
      </c>
      <c r="BA137" s="442">
        <v>0</v>
      </c>
      <c r="BB137" s="445">
        <v>0.5</v>
      </c>
      <c r="BC137" s="442"/>
    </row>
    <row r="138" spans="1:55" s="312" customFormat="1" ht="33.75" hidden="1" x14ac:dyDescent="0.25">
      <c r="A138" s="290"/>
      <c r="B138" s="290"/>
      <c r="C138" s="290"/>
      <c r="D138" s="290"/>
      <c r="E138" s="290"/>
      <c r="F138" s="290"/>
      <c r="G138" s="290"/>
      <c r="H138" s="290"/>
      <c r="I138" s="290"/>
      <c r="J138" s="290"/>
      <c r="K138" s="290"/>
      <c r="L138" s="290"/>
      <c r="M138" s="290"/>
      <c r="N138" s="310"/>
      <c r="O138" s="310"/>
      <c r="P138" s="310"/>
      <c r="Q138" s="310"/>
      <c r="R138" s="310"/>
      <c r="S138" s="310"/>
      <c r="T138" s="310"/>
      <c r="U138" s="310"/>
      <c r="V138" s="310"/>
      <c r="W138" s="310"/>
      <c r="X138" s="310"/>
      <c r="Y138" s="310"/>
      <c r="Z138" s="310"/>
      <c r="AA138" s="310"/>
      <c r="AB138" s="310"/>
      <c r="AC138" s="379" t="s">
        <v>911</v>
      </c>
      <c r="AD138" s="380">
        <v>6</v>
      </c>
      <c r="AE138" s="381">
        <v>13</v>
      </c>
      <c r="AF138" s="382">
        <v>20</v>
      </c>
      <c r="AG138" s="310"/>
      <c r="AH138" s="1829"/>
      <c r="AI138" s="373" t="s">
        <v>912</v>
      </c>
      <c r="AJ138" s="307" t="s">
        <v>828</v>
      </c>
      <c r="AK138" s="378">
        <v>2.83</v>
      </c>
      <c r="AL138" s="378">
        <v>2.04</v>
      </c>
      <c r="AM138" s="378">
        <v>0.34</v>
      </c>
      <c r="AN138" s="378">
        <v>6.49</v>
      </c>
      <c r="AO138" s="373" t="s">
        <v>913</v>
      </c>
      <c r="AP138" s="310"/>
      <c r="AQ138" s="1826"/>
      <c r="AR138" s="1828"/>
      <c r="AS138" s="384"/>
      <c r="AT138" s="384"/>
      <c r="AU138" s="310"/>
      <c r="AV138" s="310"/>
      <c r="AW138" s="310"/>
      <c r="AX138" s="310"/>
      <c r="AY138" s="310"/>
      <c r="AZ138" s="441"/>
      <c r="BA138" s="442"/>
      <c r="BB138" s="442"/>
      <c r="BC138" s="442"/>
    </row>
    <row r="139" spans="1:55" s="312" customFormat="1" ht="22.5" hidden="1" x14ac:dyDescent="0.25">
      <c r="A139" s="290"/>
      <c r="B139" s="290"/>
      <c r="C139" s="290"/>
      <c r="D139" s="290"/>
      <c r="E139" s="290"/>
      <c r="F139" s="290"/>
      <c r="G139" s="290"/>
      <c r="H139" s="290"/>
      <c r="I139" s="290"/>
      <c r="J139" s="290"/>
      <c r="K139" s="290"/>
      <c r="L139" s="290"/>
      <c r="M139" s="290"/>
      <c r="N139" s="310"/>
      <c r="O139" s="310"/>
      <c r="P139" s="310"/>
      <c r="Q139" s="310"/>
      <c r="R139" s="310"/>
      <c r="S139" s="310"/>
      <c r="T139" s="310"/>
      <c r="U139" s="310"/>
      <c r="V139" s="310"/>
      <c r="W139" s="310"/>
      <c r="X139" s="310"/>
      <c r="Y139" s="310"/>
      <c r="Z139" s="310"/>
      <c r="AA139" s="310"/>
      <c r="AB139" s="310"/>
      <c r="AC139" s="379" t="s">
        <v>914</v>
      </c>
      <c r="AD139" s="380">
        <v>14</v>
      </c>
      <c r="AE139" s="381">
        <v>19.5</v>
      </c>
      <c r="AF139" s="382">
        <v>25</v>
      </c>
      <c r="AG139" s="310"/>
      <c r="AH139" s="1829"/>
      <c r="AI139" s="373" t="s">
        <v>915</v>
      </c>
      <c r="AJ139" s="307" t="s">
        <v>828</v>
      </c>
      <c r="AK139" s="378">
        <v>1.04</v>
      </c>
      <c r="AL139" s="378">
        <v>0.21</v>
      </c>
      <c r="AM139" s="378">
        <v>0.74</v>
      </c>
      <c r="AN139" s="378">
        <v>1.23</v>
      </c>
      <c r="AO139" s="373" t="s">
        <v>916</v>
      </c>
      <c r="AP139" s="310"/>
      <c r="AQ139" s="373" t="s">
        <v>917</v>
      </c>
      <c r="AR139" s="378" t="s">
        <v>918</v>
      </c>
      <c r="AS139" s="384"/>
      <c r="AT139" s="384"/>
      <c r="AU139" s="310"/>
      <c r="AV139" s="310"/>
      <c r="AW139" s="310"/>
      <c r="AX139" s="310"/>
      <c r="AY139" s="310"/>
      <c r="AZ139" s="441"/>
      <c r="BA139" s="442"/>
      <c r="BB139" s="442"/>
      <c r="BC139" s="442"/>
    </row>
    <row r="140" spans="1:55" s="312" customFormat="1" ht="22.5" hidden="1" x14ac:dyDescent="0.25">
      <c r="A140" s="290"/>
      <c r="B140" s="290"/>
      <c r="C140" s="290"/>
      <c r="D140" s="290"/>
      <c r="E140" s="290"/>
      <c r="F140" s="290"/>
      <c r="G140" s="290"/>
      <c r="H140" s="290"/>
      <c r="I140" s="290"/>
      <c r="J140" s="290"/>
      <c r="K140" s="290"/>
      <c r="L140" s="290"/>
      <c r="M140" s="290"/>
      <c r="N140" s="310"/>
      <c r="O140" s="310"/>
      <c r="P140" s="310"/>
      <c r="Q140" s="310"/>
      <c r="R140" s="310"/>
      <c r="S140" s="310"/>
      <c r="T140" s="310"/>
      <c r="U140" s="310"/>
      <c r="V140" s="310"/>
      <c r="W140" s="310"/>
      <c r="X140" s="310"/>
      <c r="Y140" s="310"/>
      <c r="Z140" s="310"/>
      <c r="AA140" s="310"/>
      <c r="AB140" s="310"/>
      <c r="AC140" s="379" t="s">
        <v>919</v>
      </c>
      <c r="AD140" s="380">
        <v>10</v>
      </c>
      <c r="AE140" s="381">
        <v>12</v>
      </c>
      <c r="AF140" s="382">
        <v>14</v>
      </c>
      <c r="AG140" s="310"/>
      <c r="AH140" s="1826" t="s">
        <v>920</v>
      </c>
      <c r="AI140" s="1826"/>
      <c r="AJ140" s="1826"/>
      <c r="AK140" s="1826"/>
      <c r="AL140" s="1826"/>
      <c r="AM140" s="1826"/>
      <c r="AN140" s="1826"/>
      <c r="AO140" s="1826"/>
      <c r="AP140" s="310"/>
      <c r="AQ140" s="373" t="s">
        <v>921</v>
      </c>
      <c r="AR140" s="307">
        <v>0.54</v>
      </c>
      <c r="AS140" s="384"/>
      <c r="AT140" s="384"/>
      <c r="AU140" s="310"/>
      <c r="AV140" s="310"/>
      <c r="AW140" s="310"/>
      <c r="AX140" s="310"/>
      <c r="AY140" s="310"/>
      <c r="AZ140" s="441"/>
      <c r="BA140" s="442"/>
      <c r="BB140" s="442"/>
      <c r="BC140" s="442"/>
    </row>
    <row r="141" spans="1:55" s="312" customFormat="1" ht="22.5" hidden="1" x14ac:dyDescent="0.25">
      <c r="A141" s="290"/>
      <c r="B141" s="290"/>
      <c r="C141" s="290"/>
      <c r="D141" s="290"/>
      <c r="E141" s="290"/>
      <c r="F141" s="290"/>
      <c r="G141" s="290"/>
      <c r="H141" s="290"/>
      <c r="I141" s="290"/>
      <c r="J141" s="290"/>
      <c r="K141" s="290"/>
      <c r="L141" s="290"/>
      <c r="M141" s="290"/>
      <c r="N141" s="310"/>
      <c r="O141" s="310"/>
      <c r="P141" s="310"/>
      <c r="Q141" s="310"/>
      <c r="R141" s="310"/>
      <c r="S141" s="310"/>
      <c r="T141" s="310"/>
      <c r="U141" s="310"/>
      <c r="V141" s="310"/>
      <c r="W141" s="310"/>
      <c r="X141" s="310"/>
      <c r="Y141" s="310"/>
      <c r="Z141" s="310"/>
      <c r="AA141" s="310"/>
      <c r="AB141" s="310"/>
      <c r="AC141" s="379" t="s">
        <v>922</v>
      </c>
      <c r="AD141" s="380">
        <v>8</v>
      </c>
      <c r="AE141" s="381">
        <v>12.5</v>
      </c>
      <c r="AF141" s="382">
        <v>17</v>
      </c>
      <c r="AG141" s="310"/>
      <c r="AH141" s="310"/>
      <c r="AI141" s="310"/>
      <c r="AJ141" s="310"/>
      <c r="AK141" s="310"/>
      <c r="AL141" s="310"/>
      <c r="AM141" s="310"/>
      <c r="AN141" s="310"/>
      <c r="AO141" s="310"/>
      <c r="AP141" s="310"/>
      <c r="AQ141" s="373" t="s">
        <v>923</v>
      </c>
      <c r="AR141" s="378" t="s">
        <v>924</v>
      </c>
      <c r="AS141" s="384"/>
      <c r="AT141" s="384"/>
      <c r="AU141" s="310"/>
      <c r="AV141" s="310"/>
      <c r="AW141" s="310"/>
      <c r="AX141" s="310"/>
      <c r="AY141" s="310"/>
      <c r="AZ141" s="441"/>
      <c r="BA141" s="442"/>
      <c r="BB141" s="442"/>
      <c r="BC141" s="442"/>
    </row>
    <row r="142" spans="1:55" s="312" customFormat="1" ht="22.5" hidden="1" x14ac:dyDescent="0.25">
      <c r="A142" s="290"/>
      <c r="B142" s="290"/>
      <c r="C142" s="290"/>
      <c r="D142" s="290"/>
      <c r="E142" s="290"/>
      <c r="F142" s="290"/>
      <c r="G142" s="290"/>
      <c r="H142" s="290"/>
      <c r="I142" s="290"/>
      <c r="J142" s="290"/>
      <c r="K142" s="290"/>
      <c r="L142" s="290"/>
      <c r="M142" s="290"/>
      <c r="N142" s="310"/>
      <c r="O142" s="310"/>
      <c r="P142" s="310"/>
      <c r="Q142" s="310"/>
      <c r="R142" s="310"/>
      <c r="S142" s="310"/>
      <c r="T142" s="310"/>
      <c r="U142" s="310"/>
      <c r="V142" s="310"/>
      <c r="W142" s="310"/>
      <c r="X142" s="310"/>
      <c r="Y142" s="310"/>
      <c r="Z142" s="310"/>
      <c r="AA142" s="310"/>
      <c r="AB142" s="310"/>
      <c r="AC142" s="379" t="s">
        <v>925</v>
      </c>
      <c r="AD142" s="380">
        <v>5</v>
      </c>
      <c r="AE142" s="381">
        <v>6.5</v>
      </c>
      <c r="AF142" s="382">
        <v>8</v>
      </c>
      <c r="AG142" s="310"/>
      <c r="AH142" s="310"/>
      <c r="AI142" s="310"/>
      <c r="AJ142" s="310"/>
      <c r="AK142" s="310"/>
      <c r="AL142" s="310"/>
      <c r="AM142" s="310"/>
      <c r="AN142" s="310"/>
      <c r="AO142" s="310"/>
      <c r="AP142" s="310"/>
      <c r="AQ142" s="373" t="s">
        <v>926</v>
      </c>
      <c r="AR142" s="307">
        <v>0.93</v>
      </c>
      <c r="AS142" s="384"/>
      <c r="AT142" s="384"/>
      <c r="AU142" s="310"/>
      <c r="AV142" s="310"/>
      <c r="AW142" s="310"/>
      <c r="AX142" s="310"/>
      <c r="AY142" s="310"/>
      <c r="AZ142" s="441"/>
      <c r="BA142" s="442"/>
      <c r="BB142" s="442"/>
      <c r="BC142" s="442"/>
    </row>
    <row r="143" spans="1:55" s="312" customFormat="1" ht="21" x14ac:dyDescent="0.25">
      <c r="A143" s="290"/>
      <c r="B143" s="290"/>
      <c r="C143" s="290"/>
      <c r="D143" s="290"/>
      <c r="E143" s="290"/>
      <c r="F143" s="290"/>
      <c r="G143" s="290"/>
      <c r="H143" s="290"/>
      <c r="I143" s="290"/>
      <c r="J143" s="290"/>
      <c r="K143" s="290"/>
      <c r="L143" s="290"/>
      <c r="M143" s="290"/>
      <c r="N143" s="310"/>
      <c r="O143" s="310"/>
      <c r="P143" s="310"/>
      <c r="Q143" s="310"/>
      <c r="R143" s="310"/>
      <c r="S143" s="310"/>
      <c r="T143" s="310"/>
      <c r="U143" s="310"/>
      <c r="V143" s="310"/>
      <c r="W143" s="310"/>
      <c r="X143" s="310"/>
      <c r="Y143" s="310"/>
      <c r="Z143" s="310"/>
      <c r="AA143" s="310"/>
      <c r="AB143" s="310"/>
      <c r="AC143" s="1827" t="s">
        <v>927</v>
      </c>
      <c r="AD143" s="1827"/>
      <c r="AE143" s="1827"/>
      <c r="AF143" s="386"/>
      <c r="AG143" s="310"/>
      <c r="AH143" s="310"/>
      <c r="AI143" s="310"/>
      <c r="AJ143" s="310"/>
      <c r="AK143" s="310"/>
      <c r="AL143" s="310"/>
      <c r="AM143" s="310"/>
      <c r="AN143" s="310"/>
      <c r="AO143" s="310"/>
      <c r="AP143" s="310"/>
      <c r="AQ143" s="373" t="s">
        <v>928</v>
      </c>
      <c r="AR143" s="307">
        <v>1</v>
      </c>
      <c r="AS143" s="384"/>
      <c r="AT143" s="384"/>
      <c r="AU143" s="310"/>
      <c r="AV143" s="310"/>
      <c r="AW143" s="310"/>
      <c r="AX143" s="310"/>
      <c r="AY143" s="310"/>
      <c r="AZ143" s="441"/>
      <c r="BA143" s="442"/>
      <c r="BB143" s="442"/>
      <c r="BC143" s="442"/>
    </row>
    <row r="144" spans="1:55" s="312" customFormat="1" ht="21" x14ac:dyDescent="0.25">
      <c r="A144" s="290"/>
      <c r="B144" s="290"/>
      <c r="C144" s="290"/>
      <c r="D144" s="290"/>
      <c r="E144" s="290"/>
      <c r="F144" s="290"/>
      <c r="G144" s="290"/>
      <c r="H144" s="290"/>
      <c r="I144" s="290"/>
      <c r="J144" s="290"/>
      <c r="K144" s="290"/>
      <c r="L144" s="290"/>
      <c r="M144" s="290"/>
      <c r="N144" s="310"/>
      <c r="O144" s="310"/>
      <c r="P144" s="310"/>
      <c r="Q144" s="310"/>
      <c r="R144" s="310"/>
      <c r="S144" s="310"/>
      <c r="T144" s="310"/>
      <c r="U144" s="310"/>
      <c r="V144" s="310"/>
      <c r="W144" s="310"/>
      <c r="X144" s="310"/>
      <c r="Y144" s="310"/>
      <c r="Z144" s="310"/>
      <c r="AA144" s="310"/>
      <c r="AB144" s="310"/>
      <c r="AC144" s="310"/>
      <c r="AD144" s="310"/>
      <c r="AE144" s="310"/>
      <c r="AF144" s="310"/>
      <c r="AG144" s="310"/>
      <c r="AH144" s="310"/>
      <c r="AI144" s="310"/>
      <c r="AJ144" s="310"/>
      <c r="AK144" s="310"/>
      <c r="AL144" s="310"/>
      <c r="AM144" s="310"/>
      <c r="AN144" s="310"/>
      <c r="AO144" s="310"/>
      <c r="AP144" s="310"/>
      <c r="AQ144" s="373" t="s">
        <v>929</v>
      </c>
      <c r="AR144" s="378" t="s">
        <v>930</v>
      </c>
      <c r="AS144" s="384"/>
      <c r="AT144" s="384"/>
      <c r="AU144" s="310"/>
      <c r="AV144" s="310"/>
      <c r="AW144" s="310"/>
      <c r="AX144" s="310"/>
      <c r="AY144" s="310"/>
      <c r="AZ144" s="441"/>
      <c r="BA144" s="442"/>
      <c r="BB144" s="442"/>
      <c r="BC144" s="442"/>
    </row>
    <row r="145" spans="1:55" s="312" customFormat="1" ht="21" x14ac:dyDescent="0.25">
      <c r="A145" s="290"/>
      <c r="B145" s="290"/>
      <c r="C145" s="290"/>
      <c r="D145" s="290"/>
      <c r="E145" s="290"/>
      <c r="F145" s="290"/>
      <c r="G145" s="290"/>
      <c r="H145" s="290"/>
      <c r="I145" s="290"/>
      <c r="J145" s="290"/>
      <c r="K145" s="290"/>
      <c r="L145" s="290"/>
      <c r="M145" s="29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c r="AJ145" s="310"/>
      <c r="AK145" s="310"/>
      <c r="AL145" s="310"/>
      <c r="AM145" s="310"/>
      <c r="AN145" s="310"/>
      <c r="AO145" s="310"/>
      <c r="AP145" s="310"/>
      <c r="AQ145" s="373" t="s">
        <v>931</v>
      </c>
      <c r="AR145" s="307">
        <v>0.64</v>
      </c>
      <c r="AS145" s="384"/>
      <c r="AT145" s="384"/>
      <c r="AU145" s="310"/>
      <c r="AV145" s="310"/>
      <c r="AW145" s="310"/>
      <c r="AX145" s="310"/>
      <c r="AY145" s="310"/>
      <c r="AZ145" s="441"/>
      <c r="BA145" s="442"/>
      <c r="BB145" s="442"/>
      <c r="BC145" s="442"/>
    </row>
    <row r="146" spans="1:55" s="312" customFormat="1" ht="21" x14ac:dyDescent="0.25">
      <c r="A146" s="290"/>
      <c r="B146" s="290"/>
      <c r="C146" s="290"/>
      <c r="D146" s="290"/>
      <c r="E146" s="290"/>
      <c r="F146" s="290"/>
      <c r="G146" s="290"/>
      <c r="H146" s="290"/>
      <c r="I146" s="290"/>
      <c r="J146" s="290"/>
      <c r="K146" s="290"/>
      <c r="L146" s="290"/>
      <c r="M146" s="290"/>
      <c r="N146" s="310"/>
      <c r="O146" s="310"/>
      <c r="P146" s="310"/>
      <c r="Q146" s="310"/>
      <c r="R146" s="310"/>
      <c r="S146" s="310"/>
      <c r="T146" s="310"/>
      <c r="U146" s="310"/>
      <c r="V146" s="310"/>
      <c r="W146" s="310"/>
      <c r="X146" s="310"/>
      <c r="Y146" s="310"/>
      <c r="Z146" s="310"/>
      <c r="AA146" s="310"/>
      <c r="AB146" s="310"/>
      <c r="AC146" s="310"/>
      <c r="AD146" s="310"/>
      <c r="AE146" s="310"/>
      <c r="AF146" s="310"/>
      <c r="AG146" s="310"/>
      <c r="AH146" s="310"/>
      <c r="AI146" s="310"/>
      <c r="AJ146" s="310"/>
      <c r="AK146" s="310"/>
      <c r="AL146" s="310"/>
      <c r="AM146" s="310"/>
      <c r="AN146" s="310"/>
      <c r="AO146" s="310"/>
      <c r="AP146" s="310"/>
      <c r="AQ146" s="373" t="s">
        <v>932</v>
      </c>
      <c r="AR146" s="307">
        <v>0.55000000000000004</v>
      </c>
      <c r="AS146" s="384"/>
      <c r="AT146" s="384"/>
      <c r="AU146" s="310"/>
      <c r="AV146" s="310"/>
      <c r="AW146" s="310"/>
      <c r="AX146" s="310"/>
      <c r="AY146" s="310"/>
      <c r="AZ146" s="441"/>
      <c r="BA146" s="442"/>
      <c r="BB146" s="442"/>
      <c r="BC146" s="442"/>
    </row>
    <row r="147" spans="1:55" s="312" customFormat="1" ht="21" x14ac:dyDescent="0.25">
      <c r="A147" s="290"/>
      <c r="B147" s="290"/>
      <c r="C147" s="290"/>
      <c r="D147" s="290"/>
      <c r="E147" s="290"/>
      <c r="F147" s="290"/>
      <c r="G147" s="290"/>
      <c r="H147" s="290"/>
      <c r="I147" s="290"/>
      <c r="J147" s="290"/>
      <c r="K147" s="290"/>
      <c r="L147" s="290"/>
      <c r="M147" s="290"/>
      <c r="N147" s="310"/>
      <c r="O147" s="310"/>
      <c r="P147" s="310"/>
      <c r="Q147" s="310"/>
      <c r="R147" s="310"/>
      <c r="S147" s="310"/>
      <c r="T147" s="310"/>
      <c r="U147" s="310"/>
      <c r="V147" s="310"/>
      <c r="W147" s="310"/>
      <c r="X147" s="310"/>
      <c r="Y147" s="310"/>
      <c r="Z147" s="310"/>
      <c r="AA147" s="310"/>
      <c r="AB147" s="310"/>
      <c r="AC147" s="310"/>
      <c r="AD147" s="310"/>
      <c r="AE147" s="310"/>
      <c r="AF147" s="310"/>
      <c r="AG147" s="310"/>
      <c r="AH147" s="310"/>
      <c r="AI147" s="310"/>
      <c r="AJ147" s="310"/>
      <c r="AK147" s="310"/>
      <c r="AL147" s="310"/>
      <c r="AM147" s="310"/>
      <c r="AN147" s="310"/>
      <c r="AO147" s="310"/>
      <c r="AP147" s="310"/>
      <c r="AQ147" s="373" t="s">
        <v>933</v>
      </c>
      <c r="AR147" s="307">
        <v>1.05</v>
      </c>
      <c r="AS147" s="384"/>
      <c r="AT147" s="384"/>
      <c r="AU147" s="310"/>
      <c r="AV147" s="310"/>
      <c r="AW147" s="310"/>
      <c r="AX147" s="310"/>
      <c r="AY147" s="310"/>
      <c r="AZ147" s="441"/>
      <c r="BA147" s="442"/>
      <c r="BB147" s="442"/>
      <c r="BC147" s="442"/>
    </row>
    <row r="148" spans="1:55" s="312" customFormat="1" x14ac:dyDescent="0.25">
      <c r="A148" s="290"/>
      <c r="B148" s="290"/>
      <c r="C148" s="290"/>
      <c r="D148" s="290"/>
      <c r="E148" s="290"/>
      <c r="F148" s="290"/>
      <c r="G148" s="290"/>
      <c r="H148" s="290"/>
      <c r="I148" s="290"/>
      <c r="J148" s="290"/>
      <c r="K148" s="290"/>
      <c r="L148" s="290"/>
      <c r="M148" s="290"/>
      <c r="N148" s="310"/>
      <c r="O148" s="310"/>
      <c r="P148" s="310"/>
      <c r="Q148" s="310"/>
      <c r="R148" s="310"/>
      <c r="S148" s="310"/>
      <c r="T148" s="310"/>
      <c r="U148" s="310"/>
      <c r="V148" s="310"/>
      <c r="W148" s="310"/>
      <c r="X148" s="310"/>
      <c r="Y148" s="310"/>
      <c r="Z148" s="310"/>
      <c r="AA148" s="310"/>
      <c r="AB148" s="310"/>
      <c r="AC148" s="310"/>
      <c r="AD148" s="310"/>
      <c r="AE148" s="310"/>
      <c r="AF148" s="310"/>
      <c r="AG148" s="310"/>
      <c r="AH148" s="310"/>
      <c r="AI148" s="310"/>
      <c r="AJ148" s="310"/>
      <c r="AK148" s="310"/>
      <c r="AL148" s="310"/>
      <c r="AM148" s="310"/>
      <c r="AN148" s="310"/>
      <c r="AO148" s="310"/>
      <c r="AP148" s="310"/>
      <c r="AQ148" s="383"/>
      <c r="AR148" s="383"/>
      <c r="AS148" s="384"/>
      <c r="AT148" s="384"/>
      <c r="AU148" s="310"/>
      <c r="AV148" s="310"/>
      <c r="AW148" s="310"/>
      <c r="AX148" s="310"/>
      <c r="AY148" s="310"/>
      <c r="AZ148" s="441"/>
      <c r="BA148" s="442"/>
      <c r="BB148" s="442"/>
      <c r="BC148" s="442"/>
    </row>
    <row r="149" spans="1:55" s="312" customFormat="1" ht="21" x14ac:dyDescent="0.25">
      <c r="A149" s="290"/>
      <c r="B149" s="290"/>
      <c r="C149" s="290"/>
      <c r="D149" s="290"/>
      <c r="E149" s="290"/>
      <c r="F149" s="290"/>
      <c r="G149" s="290"/>
      <c r="H149" s="290"/>
      <c r="I149" s="290"/>
      <c r="J149" s="290"/>
      <c r="K149" s="290"/>
      <c r="L149" s="290"/>
      <c r="M149" s="290"/>
      <c r="N149" s="310"/>
      <c r="O149" s="310"/>
      <c r="P149" s="310"/>
      <c r="Q149" s="310"/>
      <c r="R149" s="310"/>
      <c r="S149" s="310"/>
      <c r="T149" s="310"/>
      <c r="U149" s="310"/>
      <c r="V149" s="310"/>
      <c r="W149" s="310"/>
      <c r="X149" s="310"/>
      <c r="Y149" s="310"/>
      <c r="Z149" s="310"/>
      <c r="AA149" s="310"/>
      <c r="AB149" s="310"/>
      <c r="AC149" s="310"/>
      <c r="AD149" s="310"/>
      <c r="AE149" s="310"/>
      <c r="AF149" s="310"/>
      <c r="AG149" s="310"/>
      <c r="AH149" s="310"/>
      <c r="AI149" s="310"/>
      <c r="AJ149" s="310"/>
      <c r="AK149" s="310"/>
      <c r="AL149" s="310"/>
      <c r="AM149" s="310"/>
      <c r="AN149" s="310"/>
      <c r="AO149" s="310"/>
      <c r="AP149" s="310"/>
      <c r="AQ149" s="373" t="s">
        <v>934</v>
      </c>
      <c r="AR149" s="307">
        <v>0.65</v>
      </c>
      <c r="AS149" s="384"/>
      <c r="AT149" s="384"/>
      <c r="AU149" s="310"/>
      <c r="AV149" s="310"/>
      <c r="AW149" s="310"/>
      <c r="AX149" s="310"/>
      <c r="AY149" s="310"/>
      <c r="AZ149" s="441"/>
      <c r="BA149" s="442"/>
      <c r="BB149" s="442"/>
      <c r="BC149" s="442"/>
    </row>
    <row r="150" spans="1:55" s="312" customFormat="1" x14ac:dyDescent="0.25">
      <c r="A150" s="290"/>
      <c r="B150" s="290"/>
      <c r="C150" s="290"/>
      <c r="D150" s="290"/>
      <c r="E150" s="290"/>
      <c r="F150" s="290"/>
      <c r="G150" s="290"/>
      <c r="H150" s="290"/>
      <c r="I150" s="290"/>
      <c r="J150" s="290"/>
      <c r="K150" s="290"/>
      <c r="L150" s="290"/>
      <c r="M150" s="290"/>
      <c r="N150" s="310"/>
      <c r="O150" s="310"/>
      <c r="P150" s="310"/>
      <c r="Q150" s="310"/>
      <c r="R150" s="310"/>
      <c r="S150" s="310"/>
      <c r="T150" s="310"/>
      <c r="U150" s="310"/>
      <c r="V150" s="310"/>
      <c r="W150" s="310"/>
      <c r="X150" s="310"/>
      <c r="Y150" s="310"/>
      <c r="Z150" s="310"/>
      <c r="AA150" s="310"/>
      <c r="AB150" s="310"/>
      <c r="AC150" s="310"/>
      <c r="AD150" s="310"/>
      <c r="AE150" s="310"/>
      <c r="AF150" s="310"/>
      <c r="AG150" s="310"/>
      <c r="AH150" s="310"/>
      <c r="AI150" s="310"/>
      <c r="AJ150" s="310"/>
      <c r="AK150" s="310"/>
      <c r="AL150" s="310"/>
      <c r="AM150" s="310"/>
      <c r="AN150" s="310"/>
      <c r="AO150" s="310"/>
      <c r="AP150" s="310"/>
      <c r="AQ150" s="1826" t="s">
        <v>935</v>
      </c>
      <c r="AR150" s="383"/>
      <c r="AS150" s="384"/>
      <c r="AT150" s="384"/>
      <c r="AU150" s="310"/>
      <c r="AV150" s="310"/>
      <c r="AW150" s="310"/>
      <c r="AX150" s="310"/>
      <c r="AY150" s="310"/>
      <c r="AZ150" s="310"/>
      <c r="BA150" s="310"/>
      <c r="BB150" s="310"/>
    </row>
    <row r="151" spans="1:55" s="312" customFormat="1" x14ac:dyDescent="0.25">
      <c r="A151" s="290"/>
      <c r="B151" s="290"/>
      <c r="C151" s="290"/>
      <c r="D151" s="290"/>
      <c r="E151" s="290"/>
      <c r="F151" s="290"/>
      <c r="G151" s="290"/>
      <c r="H151" s="290"/>
      <c r="I151" s="290"/>
      <c r="J151" s="290"/>
      <c r="K151" s="290"/>
      <c r="L151" s="290"/>
      <c r="M151" s="290"/>
      <c r="N151" s="310"/>
      <c r="O151" s="310"/>
      <c r="P151" s="310"/>
      <c r="Q151" s="310"/>
      <c r="R151" s="310"/>
      <c r="S151" s="310"/>
      <c r="T151" s="310"/>
      <c r="U151" s="310"/>
      <c r="V151" s="310"/>
      <c r="W151" s="310"/>
      <c r="X151" s="310"/>
      <c r="Y151" s="310"/>
      <c r="Z151" s="310"/>
      <c r="AA151" s="310"/>
      <c r="AB151" s="310"/>
      <c r="AC151" s="310"/>
      <c r="AD151" s="310"/>
      <c r="AE151" s="310"/>
      <c r="AF151" s="310"/>
      <c r="AG151" s="310"/>
      <c r="AH151" s="310"/>
      <c r="AI151" s="310"/>
      <c r="AJ151" s="310"/>
      <c r="AK151" s="310"/>
      <c r="AL151" s="310"/>
      <c r="AM151" s="310"/>
      <c r="AN151" s="310"/>
      <c r="AO151" s="310"/>
      <c r="AP151" s="310"/>
      <c r="AQ151" s="1826"/>
      <c r="AR151" s="378" t="s">
        <v>936</v>
      </c>
      <c r="AS151" s="384"/>
      <c r="AT151" s="384"/>
      <c r="AU151" s="310"/>
      <c r="AV151" s="310"/>
      <c r="AW151" s="310"/>
      <c r="AX151" s="310"/>
      <c r="AY151" s="310"/>
      <c r="AZ151" s="310"/>
      <c r="BA151" s="310"/>
      <c r="BB151" s="310"/>
    </row>
    <row r="152" spans="1:55" s="312" customFormat="1" x14ac:dyDescent="0.25">
      <c r="A152" s="290"/>
      <c r="B152" s="290"/>
      <c r="C152" s="290"/>
      <c r="D152" s="290"/>
      <c r="E152" s="290"/>
      <c r="F152" s="290"/>
      <c r="G152" s="290"/>
      <c r="H152" s="290"/>
      <c r="I152" s="290"/>
      <c r="J152" s="290"/>
      <c r="K152" s="290"/>
      <c r="L152" s="290"/>
      <c r="M152" s="290"/>
      <c r="N152" s="310"/>
      <c r="O152" s="310"/>
      <c r="P152" s="310"/>
      <c r="Q152" s="310"/>
      <c r="R152" s="310"/>
      <c r="S152" s="310"/>
      <c r="T152" s="310"/>
      <c r="U152" s="310"/>
      <c r="V152" s="310"/>
      <c r="W152" s="310"/>
      <c r="X152" s="310"/>
      <c r="Y152" s="310"/>
      <c r="Z152" s="310"/>
      <c r="AA152" s="310"/>
      <c r="AB152" s="310"/>
      <c r="AC152" s="310"/>
      <c r="AD152" s="310"/>
      <c r="AE152" s="310"/>
      <c r="AF152" s="310"/>
      <c r="AG152" s="310"/>
      <c r="AH152" s="310"/>
      <c r="AI152" s="310"/>
      <c r="AJ152" s="310"/>
      <c r="AK152" s="310"/>
      <c r="AL152" s="310"/>
      <c r="AM152" s="310"/>
      <c r="AN152" s="310"/>
      <c r="AO152" s="310"/>
      <c r="AP152" s="310"/>
      <c r="AQ152" s="373" t="s">
        <v>937</v>
      </c>
      <c r="AR152" s="307">
        <v>0.47</v>
      </c>
      <c r="AS152" s="384"/>
      <c r="AT152" s="384"/>
      <c r="AU152" s="310"/>
      <c r="AV152" s="310"/>
      <c r="AW152" s="310"/>
      <c r="AX152" s="310"/>
      <c r="AY152" s="310"/>
      <c r="AZ152" s="310"/>
      <c r="BA152" s="310"/>
      <c r="BB152" s="310"/>
    </row>
    <row r="153" spans="1:55" s="312" customFormat="1" ht="21" x14ac:dyDescent="0.25">
      <c r="A153" s="290"/>
      <c r="B153" s="290"/>
      <c r="C153" s="290"/>
      <c r="D153" s="290"/>
      <c r="E153" s="290"/>
      <c r="F153" s="290"/>
      <c r="G153" s="290"/>
      <c r="H153" s="290"/>
      <c r="I153" s="290"/>
      <c r="J153" s="290"/>
      <c r="K153" s="290"/>
      <c r="L153" s="290"/>
      <c r="M153" s="290"/>
      <c r="N153" s="310"/>
      <c r="O153" s="310"/>
      <c r="P153" s="310"/>
      <c r="Q153" s="310"/>
      <c r="R153" s="310"/>
      <c r="S153" s="310"/>
      <c r="T153" s="310"/>
      <c r="U153" s="310"/>
      <c r="V153" s="310"/>
      <c r="W153" s="310"/>
      <c r="X153" s="310"/>
      <c r="Y153" s="310"/>
      <c r="Z153" s="310"/>
      <c r="AA153" s="310"/>
      <c r="AB153" s="310"/>
      <c r="AC153" s="310"/>
      <c r="AD153" s="310"/>
      <c r="AE153" s="310"/>
      <c r="AF153" s="310"/>
      <c r="AG153" s="310"/>
      <c r="AH153" s="310"/>
      <c r="AI153" s="310"/>
      <c r="AJ153" s="310"/>
      <c r="AK153" s="310"/>
      <c r="AL153" s="310"/>
      <c r="AM153" s="310"/>
      <c r="AN153" s="310"/>
      <c r="AO153" s="310"/>
      <c r="AP153" s="310"/>
      <c r="AQ153" s="373" t="s">
        <v>938</v>
      </c>
      <c r="AR153" s="378" t="s">
        <v>939</v>
      </c>
      <c r="AS153" s="384"/>
      <c r="AT153" s="384"/>
      <c r="AU153" s="310"/>
      <c r="AV153" s="310"/>
      <c r="AW153" s="310"/>
      <c r="AX153" s="310"/>
      <c r="AY153" s="310"/>
      <c r="AZ153" s="310"/>
      <c r="BA153" s="310"/>
      <c r="BB153" s="310"/>
    </row>
    <row r="154" spans="1:55" s="312" customFormat="1" x14ac:dyDescent="0.25">
      <c r="A154" s="290"/>
      <c r="B154" s="290"/>
      <c r="C154" s="290"/>
      <c r="D154" s="290"/>
      <c r="E154" s="290"/>
      <c r="F154" s="290"/>
      <c r="G154" s="290"/>
      <c r="H154" s="290"/>
      <c r="I154" s="290"/>
      <c r="J154" s="290"/>
      <c r="K154" s="290"/>
      <c r="L154" s="290"/>
      <c r="M154" s="290"/>
      <c r="N154" s="310"/>
      <c r="O154" s="310"/>
      <c r="P154" s="310"/>
      <c r="Q154" s="310"/>
      <c r="R154" s="310"/>
      <c r="S154" s="310"/>
      <c r="T154" s="310"/>
      <c r="U154" s="310"/>
      <c r="V154" s="310"/>
      <c r="W154" s="310"/>
      <c r="X154" s="310"/>
      <c r="Y154" s="310"/>
      <c r="Z154" s="310"/>
      <c r="AA154" s="310"/>
      <c r="AB154" s="310"/>
      <c r="AC154" s="310"/>
      <c r="AD154" s="310"/>
      <c r="AE154" s="310"/>
      <c r="AF154" s="310"/>
      <c r="AG154" s="310"/>
      <c r="AH154" s="310"/>
      <c r="AI154" s="310"/>
      <c r="AJ154" s="310"/>
      <c r="AK154" s="310"/>
      <c r="AL154" s="310"/>
      <c r="AM154" s="310"/>
      <c r="AN154" s="310"/>
      <c r="AO154" s="310"/>
      <c r="AP154" s="310"/>
      <c r="AQ154" s="373" t="s">
        <v>940</v>
      </c>
      <c r="AR154" s="307">
        <v>0.62</v>
      </c>
      <c r="AS154" s="384"/>
      <c r="AT154" s="384"/>
      <c r="AU154" s="310"/>
      <c r="AV154" s="310"/>
      <c r="AW154" s="310"/>
      <c r="AX154" s="310"/>
      <c r="AY154" s="310"/>
      <c r="AZ154" s="310"/>
      <c r="BA154" s="310"/>
      <c r="BB154" s="310"/>
    </row>
    <row r="155" spans="1:55" s="312" customFormat="1" ht="21" x14ac:dyDescent="0.25">
      <c r="A155" s="290"/>
      <c r="B155" s="290"/>
      <c r="C155" s="290"/>
      <c r="D155" s="290"/>
      <c r="E155" s="290"/>
      <c r="F155" s="290"/>
      <c r="G155" s="290"/>
      <c r="H155" s="290"/>
      <c r="I155" s="290"/>
      <c r="J155" s="290"/>
      <c r="K155" s="290"/>
      <c r="L155" s="290"/>
      <c r="M155" s="290"/>
      <c r="N155" s="310"/>
      <c r="O155" s="310"/>
      <c r="P155" s="310"/>
      <c r="Q155" s="310"/>
      <c r="R155" s="310"/>
      <c r="S155" s="310"/>
      <c r="T155" s="310"/>
      <c r="U155" s="310"/>
      <c r="V155" s="310"/>
      <c r="W155" s="310"/>
      <c r="X155" s="310"/>
      <c r="Y155" s="310"/>
      <c r="Z155" s="310"/>
      <c r="AA155" s="310"/>
      <c r="AB155" s="310"/>
      <c r="AC155" s="310"/>
      <c r="AD155" s="310"/>
      <c r="AE155" s="310"/>
      <c r="AF155" s="310"/>
      <c r="AG155" s="310"/>
      <c r="AH155" s="310"/>
      <c r="AI155" s="310"/>
      <c r="AJ155" s="310"/>
      <c r="AK155" s="310"/>
      <c r="AL155" s="310"/>
      <c r="AM155" s="310"/>
      <c r="AN155" s="310"/>
      <c r="AO155" s="310"/>
      <c r="AP155" s="310"/>
      <c r="AQ155" s="373" t="s">
        <v>941</v>
      </c>
      <c r="AR155" s="307">
        <v>0.71</v>
      </c>
      <c r="AS155" s="384"/>
      <c r="AT155" s="384"/>
      <c r="AU155" s="310"/>
      <c r="AV155" s="310"/>
      <c r="AW155" s="310"/>
      <c r="AX155" s="310"/>
      <c r="AY155" s="310"/>
      <c r="AZ155" s="310"/>
      <c r="BA155" s="310"/>
      <c r="BB155" s="310"/>
    </row>
    <row r="156" spans="1:55" s="312" customFormat="1" ht="21" x14ac:dyDescent="0.25">
      <c r="A156" s="290"/>
      <c r="B156" s="290"/>
      <c r="C156" s="290"/>
      <c r="D156" s="290"/>
      <c r="E156" s="290"/>
      <c r="F156" s="290"/>
      <c r="G156" s="290"/>
      <c r="H156" s="290"/>
      <c r="I156" s="290"/>
      <c r="J156" s="290"/>
      <c r="K156" s="290"/>
      <c r="L156" s="290"/>
      <c r="M156" s="290"/>
      <c r="N156" s="310"/>
      <c r="O156" s="310"/>
      <c r="P156" s="310"/>
      <c r="Q156" s="310"/>
      <c r="R156" s="310"/>
      <c r="S156" s="310"/>
      <c r="T156" s="310"/>
      <c r="U156" s="310"/>
      <c r="V156" s="310"/>
      <c r="W156" s="310"/>
      <c r="X156" s="310"/>
      <c r="Y156" s="310"/>
      <c r="Z156" s="310"/>
      <c r="AA156" s="310"/>
      <c r="AB156" s="310"/>
      <c r="AC156" s="310"/>
      <c r="AD156" s="310"/>
      <c r="AE156" s="310"/>
      <c r="AF156" s="310"/>
      <c r="AG156" s="310"/>
      <c r="AH156" s="310"/>
      <c r="AI156" s="310"/>
      <c r="AJ156" s="310"/>
      <c r="AK156" s="310"/>
      <c r="AL156" s="310"/>
      <c r="AM156" s="310"/>
      <c r="AN156" s="310"/>
      <c r="AO156" s="310"/>
      <c r="AP156" s="310"/>
      <c r="AQ156" s="373" t="s">
        <v>892</v>
      </c>
      <c r="AR156" s="307">
        <v>0.81</v>
      </c>
      <c r="AS156" s="384"/>
      <c r="AT156" s="384"/>
      <c r="AU156" s="310"/>
      <c r="AV156" s="310"/>
      <c r="AW156" s="310"/>
      <c r="AX156" s="310"/>
      <c r="AY156" s="310"/>
      <c r="AZ156" s="310"/>
      <c r="BA156" s="310"/>
      <c r="BB156" s="310"/>
    </row>
    <row r="157" spans="1:55" s="312" customFormat="1" ht="21" x14ac:dyDescent="0.25">
      <c r="A157" s="290"/>
      <c r="B157" s="290"/>
      <c r="C157" s="290"/>
      <c r="D157" s="290"/>
      <c r="E157" s="290"/>
      <c r="F157" s="290"/>
      <c r="G157" s="290"/>
      <c r="H157" s="290"/>
      <c r="I157" s="290"/>
      <c r="J157" s="290"/>
      <c r="K157" s="290"/>
      <c r="L157" s="290"/>
      <c r="M157" s="290"/>
      <c r="N157" s="310"/>
      <c r="O157" s="310"/>
      <c r="P157" s="310"/>
      <c r="Q157" s="310"/>
      <c r="R157" s="310"/>
      <c r="S157" s="310"/>
      <c r="T157" s="310"/>
      <c r="U157" s="310"/>
      <c r="V157" s="310"/>
      <c r="W157" s="310"/>
      <c r="X157" s="310"/>
      <c r="Y157" s="310"/>
      <c r="Z157" s="310"/>
      <c r="AA157" s="310"/>
      <c r="AB157" s="310"/>
      <c r="AC157" s="310"/>
      <c r="AD157" s="310"/>
      <c r="AE157" s="310"/>
      <c r="AF157" s="310"/>
      <c r="AG157" s="310"/>
      <c r="AH157" s="310"/>
      <c r="AI157" s="310"/>
      <c r="AJ157" s="310"/>
      <c r="AK157" s="310"/>
      <c r="AL157" s="310"/>
      <c r="AM157" s="310"/>
      <c r="AN157" s="310"/>
      <c r="AO157" s="310"/>
      <c r="AP157" s="310"/>
      <c r="AQ157" s="373" t="s">
        <v>942</v>
      </c>
      <c r="AR157" s="307">
        <v>0.55000000000000004</v>
      </c>
      <c r="AS157" s="384"/>
      <c r="AT157" s="384"/>
      <c r="AU157" s="310"/>
      <c r="AV157" s="310"/>
      <c r="AW157" s="310"/>
      <c r="AX157" s="310"/>
      <c r="AY157" s="310"/>
      <c r="AZ157" s="310"/>
      <c r="BA157" s="310"/>
      <c r="BB157" s="310"/>
    </row>
    <row r="158" spans="1:55" s="312" customFormat="1" ht="21" x14ac:dyDescent="0.25">
      <c r="A158" s="290"/>
      <c r="B158" s="290"/>
      <c r="C158" s="290"/>
      <c r="D158" s="290"/>
      <c r="E158" s="290"/>
      <c r="F158" s="290"/>
      <c r="G158" s="290"/>
      <c r="H158" s="290"/>
      <c r="I158" s="290"/>
      <c r="J158" s="290"/>
      <c r="K158" s="290"/>
      <c r="L158" s="290"/>
      <c r="M158" s="290"/>
      <c r="N158" s="310"/>
      <c r="O158" s="310"/>
      <c r="P158" s="310"/>
      <c r="Q158" s="310"/>
      <c r="R158" s="310"/>
      <c r="S158" s="310"/>
      <c r="T158" s="310"/>
      <c r="U158" s="310"/>
      <c r="V158" s="310"/>
      <c r="W158" s="310"/>
      <c r="X158" s="310"/>
      <c r="Y158" s="310"/>
      <c r="Z158" s="310"/>
      <c r="AA158" s="310"/>
      <c r="AB158" s="310"/>
      <c r="AC158" s="310"/>
      <c r="AD158" s="310"/>
      <c r="AE158" s="310"/>
      <c r="AF158" s="310"/>
      <c r="AG158" s="310"/>
      <c r="AH158" s="310"/>
      <c r="AI158" s="310"/>
      <c r="AJ158" s="310"/>
      <c r="AK158" s="310"/>
      <c r="AL158" s="310"/>
      <c r="AM158" s="310"/>
      <c r="AN158" s="310"/>
      <c r="AO158" s="310"/>
      <c r="AP158" s="310"/>
      <c r="AQ158" s="373" t="s">
        <v>943</v>
      </c>
      <c r="AR158" s="307">
        <v>0.36</v>
      </c>
      <c r="AS158" s="384"/>
      <c r="AT158" s="384"/>
      <c r="AU158" s="310"/>
      <c r="AV158" s="310"/>
      <c r="AW158" s="310"/>
      <c r="AX158" s="310"/>
      <c r="AY158" s="310"/>
      <c r="AZ158" s="310"/>
      <c r="BA158" s="310"/>
      <c r="BB158" s="310"/>
    </row>
    <row r="159" spans="1:55" s="312" customFormat="1" ht="21" x14ac:dyDescent="0.25">
      <c r="A159" s="290"/>
      <c r="B159" s="290"/>
      <c r="C159" s="290"/>
      <c r="D159" s="290"/>
      <c r="E159" s="290"/>
      <c r="F159" s="290"/>
      <c r="G159" s="290"/>
      <c r="H159" s="290"/>
      <c r="I159" s="290"/>
      <c r="J159" s="290"/>
      <c r="K159" s="290"/>
      <c r="L159" s="290"/>
      <c r="M159" s="290"/>
      <c r="N159" s="310"/>
      <c r="O159" s="310"/>
      <c r="P159" s="310"/>
      <c r="Q159" s="310"/>
      <c r="R159" s="310"/>
      <c r="S159" s="310"/>
      <c r="T159" s="310"/>
      <c r="U159" s="310"/>
      <c r="V159" s="310"/>
      <c r="W159" s="310"/>
      <c r="X159" s="310"/>
      <c r="Y159" s="310"/>
      <c r="Z159" s="310"/>
      <c r="AA159" s="310"/>
      <c r="AB159" s="310"/>
      <c r="AC159" s="310"/>
      <c r="AD159" s="310"/>
      <c r="AE159" s="310"/>
      <c r="AF159" s="310"/>
      <c r="AG159" s="310"/>
      <c r="AH159" s="310"/>
      <c r="AI159" s="310"/>
      <c r="AJ159" s="310"/>
      <c r="AK159" s="310"/>
      <c r="AL159" s="310"/>
      <c r="AM159" s="310"/>
      <c r="AN159" s="310"/>
      <c r="AO159" s="310"/>
      <c r="AP159" s="310"/>
      <c r="AQ159" s="373" t="s">
        <v>944</v>
      </c>
      <c r="AR159" s="378" t="s">
        <v>945</v>
      </c>
      <c r="AS159" s="384"/>
      <c r="AT159" s="384"/>
      <c r="AU159" s="310"/>
      <c r="AV159" s="310"/>
      <c r="AW159" s="310"/>
      <c r="AX159" s="310"/>
      <c r="AY159" s="310"/>
      <c r="AZ159" s="310"/>
      <c r="BA159" s="310"/>
      <c r="BB159" s="310"/>
    </row>
    <row r="160" spans="1:55" s="312" customFormat="1" x14ac:dyDescent="0.25">
      <c r="A160" s="290"/>
      <c r="B160" s="290"/>
      <c r="C160" s="290"/>
      <c r="D160" s="290"/>
      <c r="E160" s="290"/>
      <c r="F160" s="290"/>
      <c r="G160" s="290"/>
      <c r="H160" s="290"/>
      <c r="I160" s="290"/>
      <c r="J160" s="290"/>
      <c r="K160" s="290"/>
      <c r="L160" s="290"/>
      <c r="M160" s="290"/>
      <c r="N160" s="310"/>
      <c r="O160" s="310"/>
      <c r="P160" s="310"/>
      <c r="Q160" s="310"/>
      <c r="R160" s="310"/>
      <c r="S160" s="310"/>
      <c r="T160" s="310"/>
      <c r="U160" s="310"/>
      <c r="V160" s="310"/>
      <c r="W160" s="310"/>
      <c r="X160" s="310"/>
      <c r="Y160" s="310"/>
      <c r="Z160" s="310"/>
      <c r="AA160" s="310"/>
      <c r="AB160" s="310"/>
      <c r="AC160" s="310"/>
      <c r="AD160" s="310"/>
      <c r="AE160" s="310"/>
      <c r="AF160" s="310"/>
      <c r="AG160" s="310"/>
      <c r="AH160" s="310"/>
      <c r="AI160" s="310"/>
      <c r="AJ160" s="310"/>
      <c r="AK160" s="310"/>
      <c r="AL160" s="310"/>
      <c r="AM160" s="310"/>
      <c r="AN160" s="310"/>
      <c r="AO160" s="310"/>
      <c r="AP160" s="310"/>
      <c r="AQ160" s="383"/>
      <c r="AR160" s="1828" t="s">
        <v>946</v>
      </c>
      <c r="AS160" s="384"/>
      <c r="AT160" s="384"/>
      <c r="AU160" s="310"/>
      <c r="AV160" s="310"/>
      <c r="AW160" s="310"/>
      <c r="AX160" s="310"/>
      <c r="AY160" s="310"/>
      <c r="AZ160" s="310"/>
      <c r="BA160" s="310"/>
      <c r="BB160" s="310"/>
    </row>
    <row r="161" spans="1:54" s="312" customFormat="1" ht="31.5" x14ac:dyDescent="0.25">
      <c r="A161" s="290"/>
      <c r="B161" s="290"/>
      <c r="C161" s="290"/>
      <c r="D161" s="290"/>
      <c r="E161" s="290"/>
      <c r="F161" s="290"/>
      <c r="G161" s="290"/>
      <c r="H161" s="290"/>
      <c r="I161" s="290"/>
      <c r="J161" s="290"/>
      <c r="K161" s="290"/>
      <c r="L161" s="290"/>
      <c r="M161" s="290"/>
      <c r="N161" s="310"/>
      <c r="O161" s="310"/>
      <c r="P161" s="310"/>
      <c r="Q161" s="310"/>
      <c r="R161" s="310"/>
      <c r="S161" s="310"/>
      <c r="T161" s="310"/>
      <c r="U161" s="310"/>
      <c r="V161" s="310"/>
      <c r="W161" s="310"/>
      <c r="X161" s="310"/>
      <c r="Y161" s="310"/>
      <c r="Z161" s="310"/>
      <c r="AA161" s="310"/>
      <c r="AB161" s="310"/>
      <c r="AC161" s="310"/>
      <c r="AD161" s="310"/>
      <c r="AE161" s="310"/>
      <c r="AF161" s="310"/>
      <c r="AG161" s="310"/>
      <c r="AH161" s="310"/>
      <c r="AI161" s="310"/>
      <c r="AJ161" s="310"/>
      <c r="AK161" s="310"/>
      <c r="AL161" s="310"/>
      <c r="AM161" s="310"/>
      <c r="AN161" s="310"/>
      <c r="AO161" s="310"/>
      <c r="AP161" s="310"/>
      <c r="AQ161" s="373" t="s">
        <v>947</v>
      </c>
      <c r="AR161" s="1828"/>
      <c r="AS161" s="384"/>
      <c r="AT161" s="384"/>
      <c r="AU161" s="310"/>
      <c r="AV161" s="310"/>
      <c r="AW161" s="310"/>
      <c r="AX161" s="310"/>
      <c r="AY161" s="310"/>
      <c r="AZ161" s="310"/>
      <c r="BA161" s="310"/>
      <c r="BB161" s="310"/>
    </row>
    <row r="162" spans="1:54" s="312" customFormat="1" ht="21" x14ac:dyDescent="0.25">
      <c r="A162" s="290"/>
      <c r="B162" s="290"/>
      <c r="C162" s="290"/>
      <c r="D162" s="290"/>
      <c r="E162" s="290"/>
      <c r="F162" s="290"/>
      <c r="G162" s="290"/>
      <c r="H162" s="290"/>
      <c r="I162" s="290"/>
      <c r="J162" s="290"/>
      <c r="K162" s="290"/>
      <c r="L162" s="290"/>
      <c r="M162" s="290"/>
      <c r="N162" s="310"/>
      <c r="O162" s="310"/>
      <c r="P162" s="310"/>
      <c r="Q162" s="310"/>
      <c r="R162" s="310"/>
      <c r="S162" s="310"/>
      <c r="T162" s="310"/>
      <c r="U162" s="310"/>
      <c r="V162" s="310"/>
      <c r="W162" s="310"/>
      <c r="X162" s="310"/>
      <c r="Y162" s="310"/>
      <c r="Z162" s="310"/>
      <c r="AA162" s="310"/>
      <c r="AB162" s="310"/>
      <c r="AC162" s="310"/>
      <c r="AD162" s="310"/>
      <c r="AE162" s="310"/>
      <c r="AF162" s="310"/>
      <c r="AG162" s="310"/>
      <c r="AH162" s="310"/>
      <c r="AI162" s="310"/>
      <c r="AJ162" s="310"/>
      <c r="AK162" s="310"/>
      <c r="AL162" s="310"/>
      <c r="AM162" s="310"/>
      <c r="AN162" s="310"/>
      <c r="AO162" s="310"/>
      <c r="AP162" s="310"/>
      <c r="AQ162" s="383"/>
      <c r="AR162" s="373" t="s">
        <v>948</v>
      </c>
      <c r="AS162" s="384"/>
      <c r="AT162" s="384"/>
      <c r="AU162" s="310"/>
      <c r="AV162" s="310"/>
      <c r="AW162" s="310"/>
      <c r="AX162" s="310"/>
      <c r="AY162" s="310"/>
      <c r="AZ162" s="310"/>
      <c r="BA162" s="310"/>
      <c r="BB162" s="310"/>
    </row>
    <row r="163" spans="1:54" s="312" customFormat="1" ht="21" x14ac:dyDescent="0.25">
      <c r="A163" s="290"/>
      <c r="B163" s="290"/>
      <c r="C163" s="290"/>
      <c r="D163" s="290"/>
      <c r="E163" s="290"/>
      <c r="F163" s="290"/>
      <c r="G163" s="290"/>
      <c r="H163" s="290"/>
      <c r="I163" s="290"/>
      <c r="J163" s="290"/>
      <c r="K163" s="290"/>
      <c r="L163" s="290"/>
      <c r="M163" s="290"/>
      <c r="N163" s="310"/>
      <c r="O163" s="310"/>
      <c r="P163" s="310"/>
      <c r="Q163" s="310"/>
      <c r="R163" s="310"/>
      <c r="S163" s="310"/>
      <c r="T163" s="310"/>
      <c r="U163" s="310"/>
      <c r="V163" s="310"/>
      <c r="W163" s="310"/>
      <c r="X163" s="310"/>
      <c r="Y163" s="310"/>
      <c r="Z163" s="310"/>
      <c r="AA163" s="310"/>
      <c r="AB163" s="310"/>
      <c r="AC163" s="310"/>
      <c r="AD163" s="310"/>
      <c r="AE163" s="310"/>
      <c r="AF163" s="310"/>
      <c r="AG163" s="310"/>
      <c r="AH163" s="310"/>
      <c r="AI163" s="310"/>
      <c r="AJ163" s="310"/>
      <c r="AK163" s="310"/>
      <c r="AL163" s="310"/>
      <c r="AM163" s="310"/>
      <c r="AN163" s="310"/>
      <c r="AO163" s="310"/>
      <c r="AP163" s="310"/>
      <c r="AQ163" s="373" t="s">
        <v>949</v>
      </c>
      <c r="AR163" s="307" t="s">
        <v>950</v>
      </c>
      <c r="AS163" s="384"/>
      <c r="AT163" s="384"/>
      <c r="AU163" s="310"/>
      <c r="AV163" s="310"/>
      <c r="AW163" s="310"/>
      <c r="AX163" s="310"/>
      <c r="AY163" s="310"/>
      <c r="AZ163" s="310"/>
      <c r="BA163" s="310"/>
      <c r="BB163" s="310"/>
    </row>
    <row r="164" spans="1:54" s="312" customFormat="1" ht="21" x14ac:dyDescent="0.25">
      <c r="A164" s="290"/>
      <c r="B164" s="290"/>
      <c r="C164" s="290"/>
      <c r="D164" s="290"/>
      <c r="E164" s="290"/>
      <c r="F164" s="290"/>
      <c r="G164" s="290"/>
      <c r="H164" s="290"/>
      <c r="I164" s="290"/>
      <c r="J164" s="290"/>
      <c r="K164" s="290"/>
      <c r="L164" s="290"/>
      <c r="M164" s="290"/>
      <c r="N164" s="310"/>
      <c r="O164" s="310"/>
      <c r="P164" s="310"/>
      <c r="Q164" s="310"/>
      <c r="R164" s="310"/>
      <c r="S164" s="310"/>
      <c r="T164" s="310"/>
      <c r="U164" s="310"/>
      <c r="V164" s="310"/>
      <c r="W164" s="310"/>
      <c r="X164" s="310"/>
      <c r="Y164" s="310"/>
      <c r="Z164" s="310"/>
      <c r="AA164" s="310"/>
      <c r="AB164" s="310"/>
      <c r="AC164" s="310"/>
      <c r="AD164" s="310"/>
      <c r="AE164" s="310"/>
      <c r="AF164" s="310"/>
      <c r="AG164" s="310"/>
      <c r="AH164" s="310"/>
      <c r="AI164" s="310"/>
      <c r="AJ164" s="310"/>
      <c r="AK164" s="310"/>
      <c r="AL164" s="310"/>
      <c r="AM164" s="310"/>
      <c r="AN164" s="310"/>
      <c r="AO164" s="310"/>
      <c r="AP164" s="310"/>
      <c r="AQ164" s="373" t="s">
        <v>951</v>
      </c>
      <c r="AR164" s="307" t="s">
        <v>952</v>
      </c>
      <c r="AS164" s="384"/>
      <c r="AT164" s="384"/>
      <c r="AU164" s="310"/>
      <c r="AV164" s="310"/>
      <c r="AW164" s="310"/>
      <c r="AX164" s="310"/>
      <c r="AY164" s="310"/>
      <c r="AZ164" s="310"/>
      <c r="BA164" s="310"/>
      <c r="BB164" s="310"/>
    </row>
    <row r="165" spans="1:54" s="312" customFormat="1" ht="21" x14ac:dyDescent="0.25">
      <c r="A165" s="290"/>
      <c r="B165" s="290"/>
      <c r="C165" s="290"/>
      <c r="D165" s="290"/>
      <c r="E165" s="290"/>
      <c r="F165" s="290"/>
      <c r="G165" s="290"/>
      <c r="H165" s="290"/>
      <c r="I165" s="290"/>
      <c r="J165" s="290"/>
      <c r="K165" s="290"/>
      <c r="L165" s="290"/>
      <c r="M165" s="290"/>
      <c r="N165" s="310"/>
      <c r="O165" s="310"/>
      <c r="P165" s="310"/>
      <c r="Q165" s="310"/>
      <c r="R165" s="310"/>
      <c r="S165" s="310"/>
      <c r="T165" s="310"/>
      <c r="U165" s="310"/>
      <c r="V165" s="310"/>
      <c r="W165" s="310"/>
      <c r="X165" s="310"/>
      <c r="Y165" s="310"/>
      <c r="Z165" s="310"/>
      <c r="AA165" s="310"/>
      <c r="AB165" s="310"/>
      <c r="AC165" s="310"/>
      <c r="AD165" s="310"/>
      <c r="AE165" s="310"/>
      <c r="AF165" s="310"/>
      <c r="AG165" s="310"/>
      <c r="AH165" s="310"/>
      <c r="AI165" s="310"/>
      <c r="AJ165" s="310"/>
      <c r="AK165" s="310"/>
      <c r="AL165" s="310"/>
      <c r="AM165" s="310"/>
      <c r="AN165" s="310"/>
      <c r="AO165" s="310"/>
      <c r="AP165" s="310"/>
      <c r="AQ165" s="373" t="s">
        <v>953</v>
      </c>
      <c r="AR165" s="307" t="s">
        <v>954</v>
      </c>
      <c r="AS165" s="384"/>
      <c r="AT165" s="384"/>
      <c r="AU165" s="310"/>
      <c r="AV165" s="310"/>
      <c r="AW165" s="310"/>
      <c r="AX165" s="310"/>
      <c r="AY165" s="310"/>
      <c r="AZ165" s="310"/>
      <c r="BA165" s="310"/>
      <c r="BB165" s="310"/>
    </row>
    <row r="166" spans="1:54" s="312" customFormat="1" x14ac:dyDescent="0.25">
      <c r="A166" s="290"/>
      <c r="B166" s="290"/>
      <c r="C166" s="290"/>
      <c r="D166" s="290"/>
      <c r="E166" s="290"/>
      <c r="F166" s="290"/>
      <c r="G166" s="290"/>
      <c r="H166" s="290"/>
      <c r="I166" s="290"/>
      <c r="J166" s="290"/>
      <c r="K166" s="290"/>
      <c r="L166" s="290"/>
      <c r="M166" s="290"/>
      <c r="N166" s="310"/>
      <c r="O166" s="310"/>
      <c r="P166" s="310"/>
      <c r="Q166" s="310"/>
      <c r="R166" s="310"/>
      <c r="S166" s="310"/>
      <c r="T166" s="310"/>
      <c r="U166" s="310"/>
      <c r="V166" s="310"/>
      <c r="W166" s="310"/>
      <c r="X166" s="310"/>
      <c r="Y166" s="310"/>
      <c r="Z166" s="310"/>
      <c r="AA166" s="310"/>
      <c r="AB166" s="310"/>
      <c r="AC166" s="310"/>
      <c r="AD166" s="310"/>
      <c r="AE166" s="310"/>
      <c r="AF166" s="310"/>
      <c r="AG166" s="310"/>
      <c r="AH166" s="310"/>
      <c r="AI166" s="310"/>
      <c r="AJ166" s="310"/>
      <c r="AK166" s="310"/>
      <c r="AL166" s="310"/>
      <c r="AM166" s="310"/>
      <c r="AN166" s="310"/>
      <c r="AO166" s="310"/>
      <c r="AP166" s="310"/>
      <c r="AQ166" s="1826" t="s">
        <v>955</v>
      </c>
      <c r="AR166" s="383"/>
      <c r="AS166" s="384"/>
      <c r="AT166" s="384"/>
      <c r="AU166" s="310"/>
      <c r="AV166" s="310"/>
      <c r="AW166" s="310"/>
      <c r="AX166" s="310"/>
      <c r="AY166" s="310"/>
      <c r="AZ166" s="310"/>
      <c r="BA166" s="310"/>
      <c r="BB166" s="310"/>
    </row>
    <row r="167" spans="1:54" s="312" customFormat="1" x14ac:dyDescent="0.25">
      <c r="A167" s="290"/>
      <c r="B167" s="290"/>
      <c r="C167" s="290"/>
      <c r="D167" s="290"/>
      <c r="E167" s="290"/>
      <c r="F167" s="290"/>
      <c r="G167" s="290"/>
      <c r="H167" s="290"/>
      <c r="I167" s="290"/>
      <c r="J167" s="290"/>
      <c r="K167" s="290"/>
      <c r="L167" s="290"/>
      <c r="M167" s="290"/>
      <c r="N167" s="310"/>
      <c r="O167" s="310"/>
      <c r="P167" s="310"/>
      <c r="Q167" s="310"/>
      <c r="R167" s="310"/>
      <c r="S167" s="310"/>
      <c r="T167" s="310"/>
      <c r="U167" s="310"/>
      <c r="V167" s="310"/>
      <c r="W167" s="310"/>
      <c r="X167" s="310"/>
      <c r="Y167" s="310"/>
      <c r="Z167" s="310"/>
      <c r="AA167" s="310"/>
      <c r="AB167" s="310"/>
      <c r="AC167" s="310"/>
      <c r="AD167" s="310"/>
      <c r="AE167" s="310"/>
      <c r="AF167" s="310"/>
      <c r="AG167" s="310"/>
      <c r="AH167" s="310"/>
      <c r="AI167" s="310"/>
      <c r="AJ167" s="310"/>
      <c r="AK167" s="310"/>
      <c r="AL167" s="310"/>
      <c r="AM167" s="310"/>
      <c r="AN167" s="310"/>
      <c r="AO167" s="310"/>
      <c r="AP167" s="310"/>
      <c r="AQ167" s="1826"/>
      <c r="AR167" s="307" t="s">
        <v>956</v>
      </c>
      <c r="AS167" s="384"/>
      <c r="AT167" s="384"/>
      <c r="AU167" s="310"/>
      <c r="AV167" s="310"/>
      <c r="AW167" s="310"/>
      <c r="AX167" s="310"/>
      <c r="AY167" s="310"/>
      <c r="AZ167" s="310"/>
      <c r="BA167" s="310"/>
      <c r="BB167" s="310"/>
    </row>
    <row r="168" spans="1:54" s="312" customFormat="1" ht="21" x14ac:dyDescent="0.25">
      <c r="A168" s="290"/>
      <c r="B168" s="290"/>
      <c r="C168" s="290"/>
      <c r="D168" s="290"/>
      <c r="E168" s="290"/>
      <c r="F168" s="290"/>
      <c r="G168" s="290"/>
      <c r="H168" s="290"/>
      <c r="I168" s="290"/>
      <c r="J168" s="290"/>
      <c r="K168" s="290"/>
      <c r="L168" s="290"/>
      <c r="M168" s="290"/>
      <c r="N168" s="310"/>
      <c r="O168" s="310"/>
      <c r="P168" s="310"/>
      <c r="Q168" s="310"/>
      <c r="R168" s="310"/>
      <c r="S168" s="310"/>
      <c r="T168" s="310"/>
      <c r="U168" s="310"/>
      <c r="V168" s="310"/>
      <c r="W168" s="310"/>
      <c r="X168" s="310"/>
      <c r="Y168" s="310"/>
      <c r="Z168" s="310"/>
      <c r="AA168" s="310"/>
      <c r="AB168" s="310"/>
      <c r="AC168" s="310"/>
      <c r="AD168" s="310"/>
      <c r="AE168" s="310"/>
      <c r="AF168" s="310"/>
      <c r="AG168" s="310"/>
      <c r="AH168" s="310"/>
      <c r="AI168" s="310"/>
      <c r="AJ168" s="310"/>
      <c r="AK168" s="310"/>
      <c r="AL168" s="310"/>
      <c r="AM168" s="310"/>
      <c r="AN168" s="310"/>
      <c r="AO168" s="310"/>
      <c r="AP168" s="310"/>
      <c r="AQ168" s="373" t="s">
        <v>957</v>
      </c>
      <c r="AR168" s="378" t="s">
        <v>958</v>
      </c>
      <c r="AS168" s="384"/>
      <c r="AT168" s="384"/>
      <c r="AU168" s="310"/>
      <c r="AV168" s="310"/>
      <c r="AW168" s="310"/>
      <c r="AX168" s="310"/>
      <c r="AY168" s="310"/>
      <c r="AZ168" s="310"/>
      <c r="BA168" s="310"/>
      <c r="BB168" s="310"/>
    </row>
    <row r="169" spans="1:54" s="312" customFormat="1" ht="21" x14ac:dyDescent="0.25">
      <c r="A169" s="290"/>
      <c r="B169" s="290"/>
      <c r="C169" s="290"/>
      <c r="D169" s="290"/>
      <c r="E169" s="290"/>
      <c r="F169" s="290"/>
      <c r="G169" s="290"/>
      <c r="H169" s="290"/>
      <c r="I169" s="290"/>
      <c r="J169" s="290"/>
      <c r="K169" s="290"/>
      <c r="L169" s="290"/>
      <c r="M169" s="290"/>
      <c r="N169" s="310"/>
      <c r="O169" s="310"/>
      <c r="P169" s="310"/>
      <c r="Q169" s="310"/>
      <c r="R169" s="310"/>
      <c r="S169" s="310"/>
      <c r="T169" s="310"/>
      <c r="U169" s="310"/>
      <c r="V169" s="310"/>
      <c r="W169" s="310"/>
      <c r="X169" s="310"/>
      <c r="Y169" s="310"/>
      <c r="Z169" s="310"/>
      <c r="AA169" s="310"/>
      <c r="AB169" s="310"/>
      <c r="AC169" s="310"/>
      <c r="AD169" s="310"/>
      <c r="AE169" s="310"/>
      <c r="AF169" s="310"/>
      <c r="AG169" s="310"/>
      <c r="AH169" s="310"/>
      <c r="AI169" s="310"/>
      <c r="AJ169" s="310"/>
      <c r="AK169" s="310"/>
      <c r="AL169" s="310"/>
      <c r="AM169" s="310"/>
      <c r="AN169" s="310"/>
      <c r="AO169" s="310"/>
      <c r="AP169" s="310"/>
      <c r="AQ169" s="373" t="s">
        <v>959</v>
      </c>
      <c r="AR169" s="378" t="s">
        <v>960</v>
      </c>
      <c r="AS169" s="384"/>
      <c r="AT169" s="384"/>
      <c r="AU169" s="310"/>
      <c r="AV169" s="310"/>
      <c r="AW169" s="310"/>
      <c r="AX169" s="310"/>
      <c r="AY169" s="310"/>
      <c r="AZ169" s="310"/>
      <c r="BA169" s="310"/>
      <c r="BB169" s="310"/>
    </row>
    <row r="170" spans="1:54" s="312" customFormat="1" x14ac:dyDescent="0.25">
      <c r="A170" s="290"/>
      <c r="B170" s="290"/>
      <c r="C170" s="290"/>
      <c r="D170" s="290"/>
      <c r="E170" s="290"/>
      <c r="F170" s="290"/>
      <c r="G170" s="290"/>
      <c r="H170" s="290"/>
      <c r="I170" s="290"/>
      <c r="J170" s="290"/>
      <c r="K170" s="290"/>
      <c r="L170" s="290"/>
      <c r="M170" s="290"/>
      <c r="N170" s="310"/>
      <c r="O170" s="310"/>
      <c r="P170" s="310"/>
      <c r="Q170" s="310"/>
      <c r="R170" s="310"/>
      <c r="S170" s="310"/>
      <c r="T170" s="310"/>
      <c r="U170" s="310"/>
      <c r="V170" s="310"/>
      <c r="W170" s="310"/>
      <c r="X170" s="310"/>
      <c r="Y170" s="310"/>
      <c r="Z170" s="310"/>
      <c r="AA170" s="310"/>
      <c r="AB170" s="310"/>
      <c r="AC170" s="310"/>
      <c r="AD170" s="310"/>
      <c r="AE170" s="310"/>
      <c r="AF170" s="310"/>
      <c r="AG170" s="310"/>
      <c r="AH170" s="310"/>
      <c r="AI170" s="310"/>
      <c r="AJ170" s="310"/>
      <c r="AK170" s="310"/>
      <c r="AL170" s="310"/>
      <c r="AM170" s="310"/>
      <c r="AN170" s="310"/>
      <c r="AO170" s="310"/>
      <c r="AP170" s="310"/>
      <c r="AQ170" s="373" t="s">
        <v>961</v>
      </c>
      <c r="AR170" s="307" t="s">
        <v>962</v>
      </c>
      <c r="AS170" s="384"/>
      <c r="AT170" s="384"/>
      <c r="AU170" s="310"/>
      <c r="AV170" s="310"/>
      <c r="AW170" s="310"/>
      <c r="AX170" s="310"/>
      <c r="AY170" s="310"/>
      <c r="AZ170" s="310"/>
      <c r="BA170" s="310"/>
      <c r="BB170" s="310"/>
    </row>
    <row r="171" spans="1:54" s="312" customFormat="1" x14ac:dyDescent="0.25">
      <c r="A171" s="290"/>
      <c r="B171" s="290"/>
      <c r="C171" s="290"/>
      <c r="D171" s="290"/>
      <c r="E171" s="290"/>
      <c r="F171" s="290"/>
      <c r="G171" s="290"/>
      <c r="H171" s="290"/>
      <c r="I171" s="290"/>
      <c r="J171" s="290"/>
      <c r="K171" s="290"/>
      <c r="L171" s="290"/>
      <c r="M171" s="290"/>
      <c r="N171" s="310"/>
      <c r="O171" s="310"/>
      <c r="P171" s="310"/>
      <c r="Q171" s="310"/>
      <c r="R171" s="310"/>
      <c r="S171" s="310"/>
      <c r="T171" s="310"/>
      <c r="U171" s="310"/>
      <c r="V171" s="310"/>
      <c r="W171" s="310"/>
      <c r="X171" s="310"/>
      <c r="Y171" s="310"/>
      <c r="Z171" s="310"/>
      <c r="AA171" s="310"/>
      <c r="AB171" s="310"/>
      <c r="AC171" s="310"/>
      <c r="AD171" s="310"/>
      <c r="AE171" s="310"/>
      <c r="AF171" s="310"/>
      <c r="AG171" s="310"/>
      <c r="AH171" s="310"/>
      <c r="AI171" s="310"/>
      <c r="AJ171" s="310"/>
      <c r="AK171" s="310"/>
      <c r="AL171" s="310"/>
      <c r="AM171" s="310"/>
      <c r="AN171" s="310"/>
      <c r="AO171" s="310"/>
      <c r="AP171" s="310"/>
      <c r="AQ171" s="1826" t="s">
        <v>963</v>
      </c>
      <c r="AR171" s="383"/>
      <c r="AS171" s="384"/>
      <c r="AT171" s="384"/>
      <c r="AU171" s="310"/>
      <c r="AV171" s="310"/>
      <c r="AW171" s="310"/>
      <c r="AX171" s="310"/>
      <c r="AY171" s="310"/>
      <c r="AZ171" s="310"/>
      <c r="BA171" s="310"/>
      <c r="BB171" s="310"/>
    </row>
    <row r="172" spans="1:54" s="312" customFormat="1" x14ac:dyDescent="0.25">
      <c r="A172" s="290"/>
      <c r="B172" s="290"/>
      <c r="C172" s="290"/>
      <c r="D172" s="290"/>
      <c r="E172" s="290"/>
      <c r="F172" s="290"/>
      <c r="G172" s="290"/>
      <c r="H172" s="290"/>
      <c r="I172" s="290"/>
      <c r="J172" s="290"/>
      <c r="K172" s="290"/>
      <c r="L172" s="290"/>
      <c r="M172" s="290"/>
      <c r="N172" s="310"/>
      <c r="O172" s="310"/>
      <c r="P172" s="310"/>
      <c r="Q172" s="310"/>
      <c r="R172" s="310"/>
      <c r="S172" s="310"/>
      <c r="T172" s="310"/>
      <c r="U172" s="310"/>
      <c r="V172" s="310"/>
      <c r="W172" s="310"/>
      <c r="X172" s="310"/>
      <c r="Y172" s="310"/>
      <c r="Z172" s="310"/>
      <c r="AA172" s="310"/>
      <c r="AB172" s="310"/>
      <c r="AC172" s="310"/>
      <c r="AD172" s="310"/>
      <c r="AE172" s="310"/>
      <c r="AF172" s="310"/>
      <c r="AG172" s="310"/>
      <c r="AH172" s="310"/>
      <c r="AI172" s="310"/>
      <c r="AJ172" s="310"/>
      <c r="AK172" s="310"/>
      <c r="AL172" s="310"/>
      <c r="AM172" s="310"/>
      <c r="AN172" s="310"/>
      <c r="AO172" s="310"/>
      <c r="AP172" s="310"/>
      <c r="AQ172" s="1826"/>
      <c r="AR172" s="307" t="s">
        <v>964</v>
      </c>
      <c r="AS172" s="384"/>
      <c r="AT172" s="384"/>
      <c r="AU172" s="310"/>
      <c r="AV172" s="310"/>
      <c r="AW172" s="310"/>
      <c r="AX172" s="310"/>
      <c r="AY172" s="310"/>
      <c r="AZ172" s="310"/>
      <c r="BA172" s="310"/>
      <c r="BB172" s="310"/>
    </row>
    <row r="173" spans="1:54" s="312" customFormat="1" ht="21" x14ac:dyDescent="0.25">
      <c r="A173" s="290"/>
      <c r="B173" s="290"/>
      <c r="C173" s="290"/>
      <c r="D173" s="290"/>
      <c r="E173" s="290"/>
      <c r="F173" s="290"/>
      <c r="G173" s="290"/>
      <c r="H173" s="290"/>
      <c r="I173" s="290"/>
      <c r="J173" s="290"/>
      <c r="K173" s="290"/>
      <c r="L173" s="290"/>
      <c r="M173" s="290"/>
      <c r="N173" s="310"/>
      <c r="O173" s="310"/>
      <c r="P173" s="310"/>
      <c r="Q173" s="310"/>
      <c r="R173" s="310"/>
      <c r="S173" s="310"/>
      <c r="T173" s="310"/>
      <c r="U173" s="310"/>
      <c r="V173" s="310"/>
      <c r="W173" s="310"/>
      <c r="X173" s="310"/>
      <c r="Y173" s="310"/>
      <c r="Z173" s="310"/>
      <c r="AA173" s="310"/>
      <c r="AB173" s="310"/>
      <c r="AC173" s="310"/>
      <c r="AD173" s="310"/>
      <c r="AE173" s="310"/>
      <c r="AF173" s="310"/>
      <c r="AG173" s="310"/>
      <c r="AH173" s="310"/>
      <c r="AI173" s="310"/>
      <c r="AJ173" s="310"/>
      <c r="AK173" s="310"/>
      <c r="AL173" s="310"/>
      <c r="AM173" s="310"/>
      <c r="AN173" s="310"/>
      <c r="AO173" s="310"/>
      <c r="AP173" s="310"/>
      <c r="AQ173" s="373" t="s">
        <v>965</v>
      </c>
      <c r="AR173" s="378" t="s">
        <v>966</v>
      </c>
      <c r="AS173" s="384"/>
      <c r="AT173" s="384"/>
      <c r="AU173" s="310"/>
      <c r="AV173" s="310"/>
      <c r="AW173" s="310"/>
      <c r="AX173" s="310"/>
      <c r="AY173" s="310"/>
      <c r="AZ173" s="310"/>
      <c r="BA173" s="310"/>
      <c r="BB173" s="310"/>
    </row>
    <row r="174" spans="1:54" s="312" customFormat="1" x14ac:dyDescent="0.25">
      <c r="A174" s="290"/>
      <c r="B174" s="290"/>
      <c r="C174" s="290"/>
      <c r="D174" s="290"/>
      <c r="E174" s="290"/>
      <c r="F174" s="290"/>
      <c r="G174" s="290"/>
      <c r="H174" s="290"/>
      <c r="I174" s="290"/>
      <c r="J174" s="290"/>
      <c r="K174" s="290"/>
      <c r="L174" s="290"/>
      <c r="M174" s="290"/>
      <c r="N174" s="310"/>
      <c r="O174" s="310"/>
      <c r="P174" s="310"/>
      <c r="Q174" s="310"/>
      <c r="R174" s="310"/>
      <c r="S174" s="310"/>
      <c r="T174" s="310"/>
      <c r="U174" s="310"/>
      <c r="V174" s="310"/>
      <c r="W174" s="310"/>
      <c r="X174" s="310"/>
      <c r="Y174" s="310"/>
      <c r="Z174" s="310"/>
      <c r="AA174" s="310"/>
      <c r="AB174" s="310"/>
      <c r="AC174" s="310"/>
      <c r="AD174" s="310"/>
      <c r="AE174" s="310"/>
      <c r="AF174" s="310"/>
      <c r="AG174" s="310"/>
      <c r="AH174" s="310"/>
      <c r="AI174" s="310"/>
      <c r="AJ174" s="310"/>
      <c r="AK174" s="310"/>
      <c r="AL174" s="310"/>
      <c r="AM174" s="310"/>
      <c r="AN174" s="310"/>
      <c r="AO174" s="310"/>
      <c r="AP174" s="310"/>
      <c r="AQ174" s="1826" t="s">
        <v>967</v>
      </c>
      <c r="AR174" s="383"/>
      <c r="AS174" s="384"/>
      <c r="AT174" s="384"/>
      <c r="AU174" s="310"/>
      <c r="AV174" s="310"/>
      <c r="AW174" s="310"/>
      <c r="AX174" s="310"/>
      <c r="AY174" s="310"/>
      <c r="AZ174" s="310"/>
      <c r="BA174" s="310"/>
      <c r="BB174" s="310"/>
    </row>
    <row r="175" spans="1:54" s="312" customFormat="1" x14ac:dyDescent="0.25">
      <c r="A175" s="290"/>
      <c r="B175" s="290"/>
      <c r="C175" s="290"/>
      <c r="D175" s="290"/>
      <c r="E175" s="290"/>
      <c r="F175" s="290"/>
      <c r="G175" s="290"/>
      <c r="H175" s="290"/>
      <c r="I175" s="290"/>
      <c r="J175" s="290"/>
      <c r="K175" s="290"/>
      <c r="L175" s="290"/>
      <c r="M175" s="290"/>
      <c r="N175" s="310"/>
      <c r="O175" s="310"/>
      <c r="P175" s="310"/>
      <c r="Q175" s="310"/>
      <c r="R175" s="310"/>
      <c r="S175" s="310"/>
      <c r="T175" s="310"/>
      <c r="U175" s="310"/>
      <c r="V175" s="310"/>
      <c r="W175" s="310"/>
      <c r="X175" s="310"/>
      <c r="Y175" s="310"/>
      <c r="Z175" s="310"/>
      <c r="AA175" s="310"/>
      <c r="AB175" s="310"/>
      <c r="AC175" s="310"/>
      <c r="AD175" s="310"/>
      <c r="AE175" s="310"/>
      <c r="AF175" s="310"/>
      <c r="AG175" s="310"/>
      <c r="AH175" s="310"/>
      <c r="AI175" s="310"/>
      <c r="AJ175" s="310"/>
      <c r="AK175" s="310"/>
      <c r="AL175" s="310"/>
      <c r="AM175" s="310"/>
      <c r="AN175" s="310"/>
      <c r="AO175" s="310"/>
      <c r="AP175" s="310"/>
      <c r="AQ175" s="1826"/>
      <c r="AR175" s="307" t="s">
        <v>968</v>
      </c>
      <c r="AS175" s="384"/>
      <c r="AT175" s="384"/>
      <c r="AU175" s="310"/>
      <c r="AV175" s="310"/>
      <c r="AW175" s="310"/>
      <c r="AX175" s="310"/>
      <c r="AY175" s="310"/>
      <c r="AZ175" s="310"/>
      <c r="BA175" s="310"/>
      <c r="BB175" s="310"/>
    </row>
    <row r="176" spans="1:54" s="312" customFormat="1" x14ac:dyDescent="0.25">
      <c r="A176" s="290"/>
      <c r="B176" s="290"/>
      <c r="C176" s="290"/>
      <c r="D176" s="290"/>
      <c r="E176" s="290"/>
      <c r="F176" s="290"/>
      <c r="G176" s="290"/>
      <c r="H176" s="290"/>
      <c r="I176" s="290"/>
      <c r="J176" s="290"/>
      <c r="K176" s="290"/>
      <c r="L176" s="290"/>
      <c r="M176" s="290"/>
      <c r="N176" s="310"/>
      <c r="O176" s="310"/>
      <c r="P176" s="310"/>
      <c r="Q176" s="310"/>
      <c r="R176" s="310"/>
      <c r="S176" s="310"/>
      <c r="T176" s="310"/>
      <c r="U176" s="310"/>
      <c r="V176" s="310"/>
      <c r="W176" s="310"/>
      <c r="X176" s="310"/>
      <c r="Y176" s="310"/>
      <c r="Z176" s="310"/>
      <c r="AA176" s="310"/>
      <c r="AB176" s="310"/>
      <c r="AC176" s="310"/>
      <c r="AD176" s="310"/>
      <c r="AE176" s="310"/>
      <c r="AF176" s="310"/>
      <c r="AG176" s="310"/>
      <c r="AH176" s="310"/>
      <c r="AI176" s="310"/>
      <c r="AJ176" s="310"/>
      <c r="AK176" s="310"/>
      <c r="AL176" s="310"/>
      <c r="AM176" s="310"/>
      <c r="AN176" s="310"/>
      <c r="AO176" s="310"/>
      <c r="AP176" s="310"/>
      <c r="AQ176" s="1826" t="s">
        <v>969</v>
      </c>
      <c r="AR176" s="383"/>
      <c r="AS176" s="384"/>
      <c r="AT176" s="384"/>
      <c r="AU176" s="310"/>
      <c r="AV176" s="310"/>
      <c r="AW176" s="310"/>
      <c r="AX176" s="310"/>
      <c r="AY176" s="310"/>
      <c r="AZ176" s="310"/>
      <c r="BA176" s="310"/>
      <c r="BB176" s="310"/>
    </row>
    <row r="177" spans="1:54" s="312" customFormat="1" x14ac:dyDescent="0.25">
      <c r="A177" s="290"/>
      <c r="B177" s="290"/>
      <c r="C177" s="290"/>
      <c r="D177" s="290"/>
      <c r="E177" s="290"/>
      <c r="F177" s="290"/>
      <c r="G177" s="290"/>
      <c r="H177" s="290"/>
      <c r="I177" s="290"/>
      <c r="J177" s="290"/>
      <c r="K177" s="290"/>
      <c r="L177" s="290"/>
      <c r="M177" s="290"/>
      <c r="N177" s="310"/>
      <c r="O177" s="310"/>
      <c r="P177" s="310"/>
      <c r="Q177" s="310"/>
      <c r="R177" s="310"/>
      <c r="S177" s="310"/>
      <c r="T177" s="310"/>
      <c r="U177" s="310"/>
      <c r="V177" s="310"/>
      <c r="W177" s="310"/>
      <c r="X177" s="310"/>
      <c r="Y177" s="310"/>
      <c r="Z177" s="310"/>
      <c r="AA177" s="310"/>
      <c r="AB177" s="310"/>
      <c r="AC177" s="310"/>
      <c r="AD177" s="310"/>
      <c r="AE177" s="310"/>
      <c r="AF177" s="310"/>
      <c r="AG177" s="310"/>
      <c r="AH177" s="310"/>
      <c r="AI177" s="310"/>
      <c r="AJ177" s="310"/>
      <c r="AK177" s="310"/>
      <c r="AL177" s="310"/>
      <c r="AM177" s="310"/>
      <c r="AN177" s="310"/>
      <c r="AO177" s="310"/>
      <c r="AP177" s="310"/>
      <c r="AQ177" s="1826"/>
      <c r="AR177" s="307" t="s">
        <v>970</v>
      </c>
      <c r="AS177" s="384"/>
      <c r="AT177" s="384"/>
      <c r="AU177" s="310"/>
      <c r="AV177" s="310"/>
      <c r="AW177" s="310"/>
      <c r="AX177" s="310"/>
      <c r="AY177" s="310"/>
      <c r="AZ177" s="310"/>
      <c r="BA177" s="310"/>
      <c r="BB177" s="310"/>
    </row>
    <row r="178" spans="1:54" s="312" customFormat="1" x14ac:dyDescent="0.25">
      <c r="A178" s="290"/>
      <c r="B178" s="290"/>
      <c r="C178" s="290"/>
      <c r="D178" s="290"/>
      <c r="E178" s="290"/>
      <c r="F178" s="290"/>
      <c r="G178" s="290"/>
      <c r="H178" s="290"/>
      <c r="I178" s="290"/>
      <c r="J178" s="290"/>
      <c r="K178" s="290"/>
      <c r="L178" s="290"/>
      <c r="M178" s="290"/>
      <c r="N178" s="310"/>
      <c r="O178" s="310"/>
      <c r="P178" s="310"/>
      <c r="Q178" s="310"/>
      <c r="R178" s="310"/>
      <c r="S178" s="310"/>
      <c r="T178" s="310"/>
      <c r="U178" s="310"/>
      <c r="V178" s="310"/>
      <c r="W178" s="310"/>
      <c r="X178" s="310"/>
      <c r="Y178" s="310"/>
      <c r="Z178" s="310"/>
      <c r="AA178" s="310"/>
      <c r="AB178" s="310"/>
      <c r="AC178" s="310"/>
      <c r="AD178" s="310"/>
      <c r="AE178" s="310"/>
      <c r="AF178" s="310"/>
      <c r="AG178" s="310"/>
      <c r="AH178" s="310"/>
      <c r="AI178" s="310"/>
      <c r="AJ178" s="310"/>
      <c r="AK178" s="310"/>
      <c r="AL178" s="310"/>
      <c r="AM178" s="310"/>
      <c r="AN178" s="310"/>
      <c r="AO178" s="310"/>
      <c r="AP178" s="310"/>
      <c r="AQ178" s="373" t="s">
        <v>971</v>
      </c>
      <c r="AR178" s="307" t="s">
        <v>972</v>
      </c>
      <c r="AS178" s="384"/>
      <c r="AT178" s="384"/>
      <c r="AU178" s="310"/>
      <c r="AV178" s="310"/>
      <c r="AW178" s="310"/>
      <c r="AX178" s="310"/>
      <c r="AY178" s="310"/>
      <c r="AZ178" s="310"/>
      <c r="BA178" s="310"/>
      <c r="BB178" s="310"/>
    </row>
    <row r="179" spans="1:54" s="312" customFormat="1" ht="21" x14ac:dyDescent="0.25">
      <c r="A179" s="290"/>
      <c r="B179" s="290"/>
      <c r="C179" s="290"/>
      <c r="D179" s="290"/>
      <c r="E179" s="290"/>
      <c r="F179" s="290"/>
      <c r="G179" s="290"/>
      <c r="H179" s="290"/>
      <c r="I179" s="290"/>
      <c r="J179" s="290"/>
      <c r="K179" s="290"/>
      <c r="L179" s="290"/>
      <c r="M179" s="290"/>
      <c r="N179" s="310"/>
      <c r="O179" s="310"/>
      <c r="P179" s="310"/>
      <c r="Q179" s="310"/>
      <c r="R179" s="310"/>
      <c r="S179" s="310"/>
      <c r="T179" s="310"/>
      <c r="U179" s="310"/>
      <c r="V179" s="310"/>
      <c r="W179" s="310"/>
      <c r="X179" s="310"/>
      <c r="Y179" s="310"/>
      <c r="Z179" s="310"/>
      <c r="AA179" s="310"/>
      <c r="AB179" s="310"/>
      <c r="AC179" s="310"/>
      <c r="AD179" s="310"/>
      <c r="AE179" s="310"/>
      <c r="AF179" s="310"/>
      <c r="AG179" s="310"/>
      <c r="AH179" s="310"/>
      <c r="AI179" s="310"/>
      <c r="AJ179" s="310"/>
      <c r="AK179" s="310"/>
      <c r="AL179" s="310"/>
      <c r="AM179" s="310"/>
      <c r="AN179" s="310"/>
      <c r="AO179" s="310"/>
      <c r="AP179" s="310"/>
      <c r="AQ179" s="373" t="s">
        <v>973</v>
      </c>
      <c r="AR179" s="378" t="s">
        <v>974</v>
      </c>
      <c r="AS179" s="384"/>
      <c r="AT179" s="384"/>
      <c r="AU179" s="310"/>
      <c r="AV179" s="310"/>
      <c r="AW179" s="310"/>
      <c r="AX179" s="310"/>
      <c r="AY179" s="310"/>
      <c r="AZ179" s="310"/>
      <c r="BA179" s="310"/>
      <c r="BB179" s="310"/>
    </row>
    <row r="180" spans="1:54" s="312" customFormat="1" ht="21" x14ac:dyDescent="0.25">
      <c r="A180" s="290"/>
      <c r="B180" s="290"/>
      <c r="C180" s="290"/>
      <c r="D180" s="290"/>
      <c r="E180" s="290"/>
      <c r="F180" s="290"/>
      <c r="G180" s="290"/>
      <c r="H180" s="290"/>
      <c r="I180" s="290"/>
      <c r="J180" s="290"/>
      <c r="K180" s="290"/>
      <c r="L180" s="290"/>
      <c r="M180" s="290"/>
      <c r="N180" s="310"/>
      <c r="O180" s="310"/>
      <c r="P180" s="310"/>
      <c r="Q180" s="310"/>
      <c r="R180" s="310"/>
      <c r="S180" s="310"/>
      <c r="T180" s="310"/>
      <c r="U180" s="310"/>
      <c r="V180" s="310"/>
      <c r="W180" s="310"/>
      <c r="X180" s="310"/>
      <c r="Y180" s="310"/>
      <c r="Z180" s="310"/>
      <c r="AA180" s="310"/>
      <c r="AB180" s="310"/>
      <c r="AC180" s="310"/>
      <c r="AD180" s="310"/>
      <c r="AE180" s="310"/>
      <c r="AF180" s="310"/>
      <c r="AG180" s="310"/>
      <c r="AH180" s="310"/>
      <c r="AI180" s="310"/>
      <c r="AJ180" s="310"/>
      <c r="AK180" s="310"/>
      <c r="AL180" s="310"/>
      <c r="AM180" s="310"/>
      <c r="AN180" s="310"/>
      <c r="AO180" s="310"/>
      <c r="AP180" s="310"/>
      <c r="AQ180" s="373" t="s">
        <v>975</v>
      </c>
      <c r="AR180" s="307" t="s">
        <v>976</v>
      </c>
      <c r="AS180" s="384"/>
      <c r="AT180" s="384"/>
      <c r="AU180" s="310"/>
      <c r="AV180" s="310"/>
      <c r="AW180" s="310"/>
      <c r="AX180" s="310"/>
      <c r="AY180" s="310"/>
      <c r="AZ180" s="310"/>
      <c r="BA180" s="310"/>
      <c r="BB180" s="310"/>
    </row>
    <row r="181" spans="1:54" s="312" customFormat="1" ht="31.5" x14ac:dyDescent="0.25">
      <c r="A181" s="290"/>
      <c r="B181" s="290"/>
      <c r="C181" s="290"/>
      <c r="D181" s="290"/>
      <c r="E181" s="290"/>
      <c r="F181" s="290"/>
      <c r="G181" s="290"/>
      <c r="H181" s="290"/>
      <c r="I181" s="290"/>
      <c r="J181" s="290"/>
      <c r="K181" s="290"/>
      <c r="L181" s="290"/>
      <c r="M181" s="290"/>
      <c r="N181" s="310"/>
      <c r="O181" s="310"/>
      <c r="P181" s="310"/>
      <c r="Q181" s="310"/>
      <c r="R181" s="310"/>
      <c r="S181" s="310"/>
      <c r="T181" s="310"/>
      <c r="U181" s="310"/>
      <c r="V181" s="310"/>
      <c r="W181" s="310"/>
      <c r="X181" s="310"/>
      <c r="Y181" s="310"/>
      <c r="Z181" s="310"/>
      <c r="AA181" s="310"/>
      <c r="AB181" s="310"/>
      <c r="AC181" s="310"/>
      <c r="AD181" s="310"/>
      <c r="AE181" s="310"/>
      <c r="AF181" s="310"/>
      <c r="AG181" s="310"/>
      <c r="AH181" s="310"/>
      <c r="AI181" s="310"/>
      <c r="AJ181" s="310"/>
      <c r="AK181" s="310"/>
      <c r="AL181" s="310"/>
      <c r="AM181" s="310"/>
      <c r="AN181" s="310"/>
      <c r="AO181" s="310"/>
      <c r="AP181" s="310"/>
      <c r="AQ181" s="373" t="s">
        <v>977</v>
      </c>
      <c r="AR181" s="307" t="s">
        <v>970</v>
      </c>
      <c r="AS181" s="384"/>
      <c r="AT181" s="384"/>
      <c r="AU181" s="310"/>
      <c r="AV181" s="310"/>
      <c r="AW181" s="310"/>
      <c r="AX181" s="310"/>
      <c r="AY181" s="310"/>
      <c r="AZ181" s="310"/>
      <c r="BA181" s="310"/>
      <c r="BB181" s="310"/>
    </row>
    <row r="182" spans="1:54" s="312" customFormat="1" ht="21" x14ac:dyDescent="0.25">
      <c r="A182" s="290"/>
      <c r="B182" s="290"/>
      <c r="C182" s="290"/>
      <c r="D182" s="290"/>
      <c r="E182" s="290"/>
      <c r="F182" s="290"/>
      <c r="G182" s="290"/>
      <c r="H182" s="290"/>
      <c r="I182" s="290"/>
      <c r="J182" s="290"/>
      <c r="K182" s="290"/>
      <c r="L182" s="290"/>
      <c r="M182" s="290"/>
      <c r="N182" s="310"/>
      <c r="O182" s="310"/>
      <c r="P182" s="310"/>
      <c r="Q182" s="310"/>
      <c r="R182" s="310"/>
      <c r="S182" s="310"/>
      <c r="T182" s="310"/>
      <c r="U182" s="310"/>
      <c r="V182" s="310"/>
      <c r="W182" s="310"/>
      <c r="X182" s="310"/>
      <c r="Y182" s="310"/>
      <c r="Z182" s="310"/>
      <c r="AA182" s="310"/>
      <c r="AB182" s="310"/>
      <c r="AC182" s="310"/>
      <c r="AD182" s="310"/>
      <c r="AE182" s="310"/>
      <c r="AF182" s="310"/>
      <c r="AG182" s="310"/>
      <c r="AH182" s="310"/>
      <c r="AI182" s="310"/>
      <c r="AJ182" s="310"/>
      <c r="AK182" s="310"/>
      <c r="AL182" s="310"/>
      <c r="AM182" s="310"/>
      <c r="AN182" s="310"/>
      <c r="AO182" s="310"/>
      <c r="AP182" s="310"/>
      <c r="AQ182" s="373" t="s">
        <v>899</v>
      </c>
      <c r="AR182" s="378" t="s">
        <v>978</v>
      </c>
      <c r="AS182" s="384"/>
      <c r="AT182" s="384"/>
      <c r="AU182" s="310"/>
      <c r="AV182" s="310"/>
      <c r="AW182" s="310"/>
      <c r="AX182" s="310"/>
      <c r="AY182" s="310"/>
      <c r="AZ182" s="310"/>
      <c r="BA182" s="310"/>
      <c r="BB182" s="310"/>
    </row>
    <row r="183" spans="1:54" s="312" customFormat="1" ht="21" x14ac:dyDescent="0.25">
      <c r="A183" s="290"/>
      <c r="B183" s="290"/>
      <c r="C183" s="290"/>
      <c r="D183" s="290"/>
      <c r="E183" s="290"/>
      <c r="F183" s="290"/>
      <c r="G183" s="290"/>
      <c r="H183" s="290"/>
      <c r="I183" s="290"/>
      <c r="J183" s="290"/>
      <c r="K183" s="290"/>
      <c r="L183" s="290"/>
      <c r="M183" s="290"/>
      <c r="N183" s="310"/>
      <c r="O183" s="310"/>
      <c r="P183" s="310"/>
      <c r="Q183" s="310"/>
      <c r="R183" s="310"/>
      <c r="S183" s="310"/>
      <c r="T183" s="310"/>
      <c r="U183" s="310"/>
      <c r="V183" s="310"/>
      <c r="W183" s="310"/>
      <c r="X183" s="310"/>
      <c r="Y183" s="310"/>
      <c r="Z183" s="310"/>
      <c r="AA183" s="310"/>
      <c r="AB183" s="310"/>
      <c r="AC183" s="310"/>
      <c r="AD183" s="310"/>
      <c r="AE183" s="310"/>
      <c r="AF183" s="310"/>
      <c r="AG183" s="310"/>
      <c r="AH183" s="310"/>
      <c r="AI183" s="310"/>
      <c r="AJ183" s="310"/>
      <c r="AK183" s="310"/>
      <c r="AL183" s="310"/>
      <c r="AM183" s="310"/>
      <c r="AN183" s="310"/>
      <c r="AO183" s="310"/>
      <c r="AP183" s="310"/>
      <c r="AQ183" s="373" t="s">
        <v>979</v>
      </c>
      <c r="AR183" s="307" t="s">
        <v>980</v>
      </c>
      <c r="AS183" s="384"/>
      <c r="AT183" s="384"/>
      <c r="AU183" s="310"/>
      <c r="AV183" s="310"/>
      <c r="AW183" s="310"/>
      <c r="AX183" s="310"/>
      <c r="AY183" s="310"/>
      <c r="AZ183" s="310"/>
      <c r="BA183" s="310"/>
      <c r="BB183" s="310"/>
    </row>
    <row r="184" spans="1:54" s="312" customFormat="1" x14ac:dyDescent="0.25">
      <c r="A184" s="290"/>
      <c r="B184" s="290"/>
      <c r="C184" s="290"/>
      <c r="D184" s="290"/>
      <c r="E184" s="290"/>
      <c r="F184" s="290"/>
      <c r="G184" s="290"/>
      <c r="H184" s="290"/>
      <c r="I184" s="290"/>
      <c r="J184" s="290"/>
      <c r="K184" s="290"/>
      <c r="L184" s="290"/>
      <c r="M184" s="290"/>
      <c r="N184" s="310"/>
      <c r="O184" s="310"/>
      <c r="P184" s="310"/>
      <c r="Q184" s="310"/>
      <c r="R184" s="310"/>
      <c r="S184" s="310"/>
      <c r="T184" s="310"/>
      <c r="U184" s="310"/>
      <c r="V184" s="310"/>
      <c r="W184" s="310"/>
      <c r="X184" s="310"/>
      <c r="Y184" s="310"/>
      <c r="Z184" s="310"/>
      <c r="AA184" s="310"/>
      <c r="AB184" s="310"/>
      <c r="AC184" s="310"/>
      <c r="AD184" s="310"/>
      <c r="AE184" s="310"/>
      <c r="AF184" s="310"/>
      <c r="AG184" s="310"/>
      <c r="AH184" s="310"/>
      <c r="AI184" s="310"/>
      <c r="AJ184" s="310"/>
      <c r="AK184" s="310"/>
      <c r="AL184" s="310"/>
      <c r="AM184" s="310"/>
      <c r="AN184" s="310"/>
      <c r="AO184" s="310"/>
      <c r="AP184" s="310"/>
      <c r="AQ184" s="383"/>
      <c r="AR184" s="383"/>
      <c r="AS184" s="384"/>
      <c r="AT184" s="384"/>
      <c r="AU184" s="310"/>
      <c r="AV184" s="310"/>
      <c r="AW184" s="310"/>
      <c r="AX184" s="310"/>
      <c r="AY184" s="310"/>
      <c r="AZ184" s="310"/>
      <c r="BA184" s="310"/>
      <c r="BB184" s="310"/>
    </row>
    <row r="185" spans="1:54" s="312" customFormat="1" ht="21" x14ac:dyDescent="0.25">
      <c r="A185" s="290"/>
      <c r="B185" s="290"/>
      <c r="C185" s="290"/>
      <c r="D185" s="290"/>
      <c r="E185" s="290"/>
      <c r="F185" s="290"/>
      <c r="G185" s="290"/>
      <c r="H185" s="290"/>
      <c r="I185" s="290"/>
      <c r="J185" s="290"/>
      <c r="K185" s="290"/>
      <c r="L185" s="290"/>
      <c r="M185" s="290"/>
      <c r="N185" s="310"/>
      <c r="O185" s="310"/>
      <c r="P185" s="310"/>
      <c r="Q185" s="310"/>
      <c r="R185" s="310"/>
      <c r="S185" s="310"/>
      <c r="T185" s="310"/>
      <c r="U185" s="310"/>
      <c r="V185" s="310"/>
      <c r="W185" s="310"/>
      <c r="X185" s="310"/>
      <c r="Y185" s="310"/>
      <c r="Z185" s="310"/>
      <c r="AA185" s="310"/>
      <c r="AB185" s="310"/>
      <c r="AC185" s="310"/>
      <c r="AD185" s="310"/>
      <c r="AE185" s="310"/>
      <c r="AF185" s="310"/>
      <c r="AG185" s="310"/>
      <c r="AH185" s="310"/>
      <c r="AI185" s="310"/>
      <c r="AJ185" s="310"/>
      <c r="AK185" s="310"/>
      <c r="AL185" s="310"/>
      <c r="AM185" s="310"/>
      <c r="AN185" s="310"/>
      <c r="AO185" s="310"/>
      <c r="AP185" s="310"/>
      <c r="AQ185" s="373" t="s">
        <v>981</v>
      </c>
      <c r="AR185" s="307" t="s">
        <v>982</v>
      </c>
      <c r="AS185" s="384"/>
      <c r="AT185" s="384"/>
      <c r="AU185" s="310"/>
      <c r="AV185" s="310"/>
      <c r="AW185" s="310"/>
      <c r="AX185" s="310"/>
      <c r="AY185" s="310"/>
      <c r="AZ185" s="310"/>
      <c r="BA185" s="310"/>
      <c r="BB185" s="310"/>
    </row>
    <row r="186" spans="1:54" s="312" customFormat="1" ht="21" x14ac:dyDescent="0.25">
      <c r="A186" s="290"/>
      <c r="B186" s="290"/>
      <c r="C186" s="290"/>
      <c r="D186" s="290"/>
      <c r="E186" s="290"/>
      <c r="F186" s="290"/>
      <c r="G186" s="290"/>
      <c r="H186" s="290"/>
      <c r="I186" s="290"/>
      <c r="J186" s="290"/>
      <c r="K186" s="290"/>
      <c r="L186" s="290"/>
      <c r="M186" s="290"/>
      <c r="N186" s="310"/>
      <c r="O186" s="310"/>
      <c r="P186" s="310"/>
      <c r="Q186" s="310"/>
      <c r="R186" s="310"/>
      <c r="S186" s="310"/>
      <c r="T186" s="310"/>
      <c r="U186" s="310"/>
      <c r="V186" s="310"/>
      <c r="W186" s="310"/>
      <c r="X186" s="310"/>
      <c r="Y186" s="310"/>
      <c r="Z186" s="310"/>
      <c r="AA186" s="310"/>
      <c r="AB186" s="310"/>
      <c r="AC186" s="310"/>
      <c r="AD186" s="310"/>
      <c r="AE186" s="310"/>
      <c r="AF186" s="310"/>
      <c r="AG186" s="310"/>
      <c r="AH186" s="310"/>
      <c r="AI186" s="310"/>
      <c r="AJ186" s="310"/>
      <c r="AK186" s="310"/>
      <c r="AL186" s="310"/>
      <c r="AM186" s="310"/>
      <c r="AN186" s="310"/>
      <c r="AO186" s="310"/>
      <c r="AP186" s="310"/>
      <c r="AQ186" s="373" t="s">
        <v>983</v>
      </c>
      <c r="AR186" s="378" t="s">
        <v>984</v>
      </c>
      <c r="AS186" s="384"/>
      <c r="AT186" s="384"/>
      <c r="AU186" s="310"/>
      <c r="AV186" s="310"/>
      <c r="AW186" s="310"/>
      <c r="AX186" s="310"/>
      <c r="AY186" s="310"/>
      <c r="AZ186" s="310"/>
      <c r="BA186" s="310"/>
      <c r="BB186" s="310"/>
    </row>
    <row r="187" spans="1:54" s="312" customFormat="1" ht="21" x14ac:dyDescent="0.25">
      <c r="A187" s="290"/>
      <c r="B187" s="290"/>
      <c r="C187" s="290"/>
      <c r="D187" s="290"/>
      <c r="E187" s="290"/>
      <c r="F187" s="290"/>
      <c r="G187" s="290"/>
      <c r="H187" s="290"/>
      <c r="I187" s="290"/>
      <c r="J187" s="290"/>
      <c r="K187" s="290"/>
      <c r="L187" s="290"/>
      <c r="M187" s="290"/>
      <c r="N187" s="310"/>
      <c r="O187" s="310"/>
      <c r="P187" s="310"/>
      <c r="Q187" s="310"/>
      <c r="R187" s="310"/>
      <c r="S187" s="310"/>
      <c r="T187" s="310"/>
      <c r="U187" s="310"/>
      <c r="V187" s="310"/>
      <c r="W187" s="310"/>
      <c r="X187" s="310"/>
      <c r="Y187" s="310"/>
      <c r="Z187" s="310"/>
      <c r="AA187" s="310"/>
      <c r="AB187" s="310"/>
      <c r="AC187" s="310"/>
      <c r="AD187" s="310"/>
      <c r="AE187" s="310"/>
      <c r="AF187" s="310"/>
      <c r="AG187" s="310"/>
      <c r="AH187" s="310"/>
      <c r="AI187" s="310"/>
      <c r="AJ187" s="310"/>
      <c r="AK187" s="310"/>
      <c r="AL187" s="310"/>
      <c r="AM187" s="310"/>
      <c r="AN187" s="310"/>
      <c r="AO187" s="310"/>
      <c r="AP187" s="310"/>
      <c r="AQ187" s="373" t="s">
        <v>985</v>
      </c>
      <c r="AR187" s="307" t="s">
        <v>986</v>
      </c>
      <c r="AS187" s="384"/>
      <c r="AT187" s="384"/>
      <c r="AU187" s="310"/>
      <c r="AV187" s="310"/>
      <c r="AW187" s="310"/>
      <c r="AX187" s="310"/>
      <c r="AY187" s="310"/>
      <c r="AZ187" s="310"/>
      <c r="BA187" s="310"/>
      <c r="BB187" s="310"/>
    </row>
    <row r="188" spans="1:54" s="312" customFormat="1" ht="21" x14ac:dyDescent="0.25">
      <c r="A188" s="290"/>
      <c r="B188" s="290"/>
      <c r="C188" s="290"/>
      <c r="D188" s="290"/>
      <c r="E188" s="290"/>
      <c r="F188" s="290"/>
      <c r="G188" s="290"/>
      <c r="H188" s="290"/>
      <c r="I188" s="290"/>
      <c r="J188" s="290"/>
      <c r="K188" s="290"/>
      <c r="L188" s="290"/>
      <c r="M188" s="290"/>
      <c r="N188" s="310"/>
      <c r="O188" s="310"/>
      <c r="P188" s="310"/>
      <c r="Q188" s="310"/>
      <c r="R188" s="310"/>
      <c r="S188" s="310"/>
      <c r="T188" s="310"/>
      <c r="U188" s="310"/>
      <c r="V188" s="310"/>
      <c r="W188" s="310"/>
      <c r="X188" s="310"/>
      <c r="Y188" s="310"/>
      <c r="Z188" s="310"/>
      <c r="AA188" s="310"/>
      <c r="AB188" s="310"/>
      <c r="AC188" s="310"/>
      <c r="AD188" s="310"/>
      <c r="AE188" s="310"/>
      <c r="AF188" s="310"/>
      <c r="AG188" s="310"/>
      <c r="AH188" s="310"/>
      <c r="AI188" s="310"/>
      <c r="AJ188" s="310"/>
      <c r="AK188" s="310"/>
      <c r="AL188" s="310"/>
      <c r="AM188" s="310"/>
      <c r="AN188" s="310"/>
      <c r="AO188" s="310"/>
      <c r="AP188" s="310"/>
      <c r="AQ188" s="373" t="s">
        <v>987</v>
      </c>
      <c r="AR188" s="307" t="s">
        <v>988</v>
      </c>
      <c r="AS188" s="384"/>
      <c r="AT188" s="384"/>
      <c r="AU188" s="310"/>
      <c r="AV188" s="310"/>
      <c r="AW188" s="310"/>
      <c r="AX188" s="310"/>
      <c r="AY188" s="310"/>
      <c r="AZ188" s="310"/>
      <c r="BA188" s="310"/>
      <c r="BB188" s="310"/>
    </row>
    <row r="189" spans="1:54" s="312" customFormat="1" ht="21" x14ac:dyDescent="0.25">
      <c r="A189" s="290"/>
      <c r="B189" s="290"/>
      <c r="C189" s="290"/>
      <c r="D189" s="290"/>
      <c r="E189" s="290"/>
      <c r="F189" s="290"/>
      <c r="G189" s="290"/>
      <c r="H189" s="290"/>
      <c r="I189" s="290"/>
      <c r="J189" s="290"/>
      <c r="K189" s="290"/>
      <c r="L189" s="290"/>
      <c r="M189" s="290"/>
      <c r="N189" s="310"/>
      <c r="O189" s="310"/>
      <c r="P189" s="310"/>
      <c r="Q189" s="310"/>
      <c r="R189" s="310"/>
      <c r="S189" s="310"/>
      <c r="T189" s="310"/>
      <c r="U189" s="310"/>
      <c r="V189" s="310"/>
      <c r="W189" s="310"/>
      <c r="X189" s="310"/>
      <c r="Y189" s="310"/>
      <c r="Z189" s="310"/>
      <c r="AA189" s="310"/>
      <c r="AB189" s="310"/>
      <c r="AC189" s="310"/>
      <c r="AD189" s="310"/>
      <c r="AE189" s="310"/>
      <c r="AF189" s="310"/>
      <c r="AG189" s="310"/>
      <c r="AH189" s="310"/>
      <c r="AI189" s="310"/>
      <c r="AJ189" s="310"/>
      <c r="AK189" s="310"/>
      <c r="AL189" s="310"/>
      <c r="AM189" s="310"/>
      <c r="AN189" s="310"/>
      <c r="AO189" s="310"/>
      <c r="AP189" s="310"/>
      <c r="AQ189" s="373" t="s">
        <v>989</v>
      </c>
      <c r="AR189" s="307" t="s">
        <v>990</v>
      </c>
      <c r="AS189" s="384"/>
      <c r="AT189" s="384"/>
      <c r="AU189" s="310"/>
      <c r="AV189" s="310"/>
      <c r="AW189" s="310"/>
      <c r="AX189" s="310"/>
      <c r="AY189" s="310"/>
      <c r="AZ189" s="310"/>
      <c r="BA189" s="310"/>
      <c r="BB189" s="310"/>
    </row>
    <row r="190" spans="1:54" s="312" customFormat="1" ht="21" x14ac:dyDescent="0.25">
      <c r="A190" s="290"/>
      <c r="B190" s="290"/>
      <c r="C190" s="290"/>
      <c r="D190" s="290"/>
      <c r="E190" s="290"/>
      <c r="F190" s="290"/>
      <c r="G190" s="290"/>
      <c r="H190" s="290"/>
      <c r="I190" s="290"/>
      <c r="J190" s="290"/>
      <c r="K190" s="290"/>
      <c r="L190" s="290"/>
      <c r="M190" s="290"/>
      <c r="N190" s="310"/>
      <c r="O190" s="310"/>
      <c r="P190" s="310"/>
      <c r="Q190" s="310"/>
      <c r="R190" s="310"/>
      <c r="S190" s="310"/>
      <c r="T190" s="310"/>
      <c r="U190" s="310"/>
      <c r="V190" s="310"/>
      <c r="W190" s="310"/>
      <c r="X190" s="310"/>
      <c r="Y190" s="310"/>
      <c r="Z190" s="310"/>
      <c r="AA190" s="310"/>
      <c r="AB190" s="310"/>
      <c r="AC190" s="310"/>
      <c r="AD190" s="310"/>
      <c r="AE190" s="310"/>
      <c r="AF190" s="310"/>
      <c r="AG190" s="310"/>
      <c r="AH190" s="310"/>
      <c r="AI190" s="310"/>
      <c r="AJ190" s="310"/>
      <c r="AK190" s="310"/>
      <c r="AL190" s="310"/>
      <c r="AM190" s="310"/>
      <c r="AN190" s="310"/>
      <c r="AO190" s="310"/>
      <c r="AP190" s="310"/>
      <c r="AQ190" s="373" t="s">
        <v>991</v>
      </c>
      <c r="AR190" s="307" t="s">
        <v>992</v>
      </c>
      <c r="AS190" s="384"/>
      <c r="AT190" s="384"/>
      <c r="AU190" s="310"/>
      <c r="AV190" s="310"/>
      <c r="AW190" s="310"/>
      <c r="AX190" s="310"/>
      <c r="AY190" s="310"/>
      <c r="AZ190" s="310"/>
      <c r="BA190" s="310"/>
      <c r="BB190" s="310"/>
    </row>
    <row r="191" spans="1:54" s="312" customFormat="1" ht="21" x14ac:dyDescent="0.25">
      <c r="A191" s="290"/>
      <c r="B191" s="290"/>
      <c r="C191" s="290"/>
      <c r="D191" s="290"/>
      <c r="E191" s="290"/>
      <c r="F191" s="290"/>
      <c r="G191" s="290"/>
      <c r="H191" s="290"/>
      <c r="I191" s="290"/>
      <c r="J191" s="290"/>
      <c r="K191" s="290"/>
      <c r="L191" s="290"/>
      <c r="M191" s="290"/>
      <c r="N191" s="310"/>
      <c r="O191" s="310"/>
      <c r="P191" s="310"/>
      <c r="Q191" s="310"/>
      <c r="R191" s="310"/>
      <c r="S191" s="310"/>
      <c r="T191" s="310"/>
      <c r="U191" s="310"/>
      <c r="V191" s="310"/>
      <c r="W191" s="310"/>
      <c r="X191" s="310"/>
      <c r="Y191" s="310"/>
      <c r="Z191" s="310"/>
      <c r="AA191" s="310"/>
      <c r="AB191" s="310"/>
      <c r="AC191" s="310"/>
      <c r="AD191" s="310"/>
      <c r="AE191" s="310"/>
      <c r="AF191" s="310"/>
      <c r="AG191" s="310"/>
      <c r="AH191" s="310"/>
      <c r="AI191" s="310"/>
      <c r="AJ191" s="310"/>
      <c r="AK191" s="310"/>
      <c r="AL191" s="310"/>
      <c r="AM191" s="310"/>
      <c r="AN191" s="310"/>
      <c r="AO191" s="310"/>
      <c r="AP191" s="310"/>
      <c r="AQ191" s="373" t="s">
        <v>993</v>
      </c>
      <c r="AR191" s="378" t="s">
        <v>994</v>
      </c>
      <c r="AS191" s="384"/>
      <c r="AT191" s="384"/>
      <c r="AU191" s="310"/>
      <c r="AV191" s="310"/>
      <c r="AW191" s="310"/>
      <c r="AX191" s="310"/>
      <c r="AY191" s="310"/>
      <c r="AZ191" s="310"/>
      <c r="BA191" s="310"/>
      <c r="BB191" s="310"/>
    </row>
    <row r="192" spans="1:54" s="312" customFormat="1" ht="21" x14ac:dyDescent="0.25">
      <c r="A192" s="290"/>
      <c r="B192" s="290"/>
      <c r="C192" s="290"/>
      <c r="D192" s="290"/>
      <c r="E192" s="290"/>
      <c r="F192" s="290"/>
      <c r="G192" s="290"/>
      <c r="H192" s="290"/>
      <c r="I192" s="290"/>
      <c r="J192" s="290"/>
      <c r="K192" s="290"/>
      <c r="L192" s="290"/>
      <c r="M192" s="290"/>
      <c r="N192" s="310"/>
      <c r="O192" s="310"/>
      <c r="P192" s="310"/>
      <c r="Q192" s="310"/>
      <c r="R192" s="310"/>
      <c r="S192" s="310"/>
      <c r="T192" s="310"/>
      <c r="U192" s="310"/>
      <c r="V192" s="310"/>
      <c r="W192" s="310"/>
      <c r="X192" s="310"/>
      <c r="Y192" s="310"/>
      <c r="Z192" s="310"/>
      <c r="AA192" s="310"/>
      <c r="AB192" s="310"/>
      <c r="AC192" s="310"/>
      <c r="AD192" s="310"/>
      <c r="AE192" s="310"/>
      <c r="AF192" s="310"/>
      <c r="AG192" s="310"/>
      <c r="AH192" s="310"/>
      <c r="AI192" s="310"/>
      <c r="AJ192" s="310"/>
      <c r="AK192" s="310"/>
      <c r="AL192" s="310"/>
      <c r="AM192" s="310"/>
      <c r="AN192" s="310"/>
      <c r="AO192" s="310"/>
      <c r="AP192" s="310"/>
      <c r="AQ192" s="373" t="s">
        <v>995</v>
      </c>
      <c r="AR192" s="307" t="s">
        <v>996</v>
      </c>
      <c r="AS192" s="384"/>
      <c r="AT192" s="384"/>
      <c r="AU192" s="310"/>
      <c r="AV192" s="310"/>
      <c r="AW192" s="310"/>
      <c r="AX192" s="310"/>
      <c r="AY192" s="310"/>
      <c r="AZ192" s="310"/>
      <c r="BA192" s="310"/>
      <c r="BB192" s="310"/>
    </row>
    <row r="193" spans="1:54" s="312" customFormat="1" ht="21" x14ac:dyDescent="0.25">
      <c r="A193" s="290"/>
      <c r="B193" s="290"/>
      <c r="C193" s="290"/>
      <c r="D193" s="290"/>
      <c r="E193" s="290"/>
      <c r="F193" s="290"/>
      <c r="G193" s="290"/>
      <c r="H193" s="290"/>
      <c r="I193" s="290"/>
      <c r="J193" s="290"/>
      <c r="K193" s="290"/>
      <c r="L193" s="290"/>
      <c r="M193" s="290"/>
      <c r="N193" s="310"/>
      <c r="O193" s="310"/>
      <c r="P193" s="310"/>
      <c r="Q193" s="310"/>
      <c r="R193" s="310"/>
      <c r="S193" s="310"/>
      <c r="T193" s="310"/>
      <c r="U193" s="310"/>
      <c r="V193" s="310"/>
      <c r="W193" s="310"/>
      <c r="X193" s="310"/>
      <c r="Y193" s="310"/>
      <c r="Z193" s="310"/>
      <c r="AA193" s="310"/>
      <c r="AB193" s="310"/>
      <c r="AC193" s="310"/>
      <c r="AD193" s="310"/>
      <c r="AE193" s="310"/>
      <c r="AF193" s="310"/>
      <c r="AG193" s="310"/>
      <c r="AH193" s="310"/>
      <c r="AI193" s="310"/>
      <c r="AJ193" s="310"/>
      <c r="AK193" s="310"/>
      <c r="AL193" s="310"/>
      <c r="AM193" s="310"/>
      <c r="AN193" s="310"/>
      <c r="AO193" s="310"/>
      <c r="AP193" s="310"/>
      <c r="AQ193" s="373" t="s">
        <v>997</v>
      </c>
      <c r="AR193" s="307" t="s">
        <v>968</v>
      </c>
      <c r="AS193" s="384"/>
      <c r="AT193" s="384"/>
      <c r="AU193" s="310"/>
      <c r="AV193" s="310"/>
      <c r="AW193" s="310"/>
      <c r="AX193" s="310"/>
      <c r="AY193" s="310"/>
      <c r="AZ193" s="310"/>
      <c r="BA193" s="310"/>
      <c r="BB193" s="310"/>
    </row>
    <row r="194" spans="1:54" s="312" customFormat="1" ht="21" x14ac:dyDescent="0.25">
      <c r="A194" s="290"/>
      <c r="B194" s="290"/>
      <c r="C194" s="290"/>
      <c r="D194" s="290"/>
      <c r="E194" s="290"/>
      <c r="F194" s="290"/>
      <c r="G194" s="290"/>
      <c r="H194" s="290"/>
      <c r="I194" s="290"/>
      <c r="J194" s="290"/>
      <c r="K194" s="290"/>
      <c r="L194" s="290"/>
      <c r="M194" s="290"/>
      <c r="N194" s="310"/>
      <c r="O194" s="310"/>
      <c r="P194" s="310"/>
      <c r="Q194" s="310"/>
      <c r="R194" s="310"/>
      <c r="S194" s="310"/>
      <c r="T194" s="310"/>
      <c r="U194" s="310"/>
      <c r="V194" s="310"/>
      <c r="W194" s="310"/>
      <c r="X194" s="310"/>
      <c r="Y194" s="310"/>
      <c r="Z194" s="310"/>
      <c r="AA194" s="310"/>
      <c r="AB194" s="310"/>
      <c r="AC194" s="310"/>
      <c r="AD194" s="310"/>
      <c r="AE194" s="310"/>
      <c r="AF194" s="310"/>
      <c r="AG194" s="310"/>
      <c r="AH194" s="310"/>
      <c r="AI194" s="310"/>
      <c r="AJ194" s="310"/>
      <c r="AK194" s="310"/>
      <c r="AL194" s="310"/>
      <c r="AM194" s="310"/>
      <c r="AN194" s="310"/>
      <c r="AO194" s="310"/>
      <c r="AP194" s="310"/>
      <c r="AQ194" s="373" t="s">
        <v>998</v>
      </c>
      <c r="AR194" s="307" t="s">
        <v>999</v>
      </c>
      <c r="AS194" s="384"/>
      <c r="AT194" s="384"/>
      <c r="AU194" s="310"/>
      <c r="AV194" s="310"/>
      <c r="AW194" s="310"/>
      <c r="AX194" s="310"/>
      <c r="AY194" s="310"/>
      <c r="AZ194" s="310"/>
      <c r="BA194" s="310"/>
      <c r="BB194" s="310"/>
    </row>
    <row r="195" spans="1:54" s="312" customFormat="1" ht="21" x14ac:dyDescent="0.25">
      <c r="A195" s="290"/>
      <c r="B195" s="290"/>
      <c r="C195" s="290"/>
      <c r="D195" s="290"/>
      <c r="E195" s="290"/>
      <c r="F195" s="290"/>
      <c r="G195" s="290"/>
      <c r="H195" s="290"/>
      <c r="I195" s="290"/>
      <c r="J195" s="290"/>
      <c r="K195" s="290"/>
      <c r="L195" s="290"/>
      <c r="M195" s="290"/>
      <c r="N195" s="310"/>
      <c r="O195" s="310"/>
      <c r="P195" s="310"/>
      <c r="Q195" s="310"/>
      <c r="R195" s="310"/>
      <c r="S195" s="310"/>
      <c r="T195" s="310"/>
      <c r="U195" s="310"/>
      <c r="V195" s="310"/>
      <c r="W195" s="310"/>
      <c r="X195" s="310"/>
      <c r="Y195" s="310"/>
      <c r="Z195" s="310"/>
      <c r="AA195" s="310"/>
      <c r="AB195" s="310"/>
      <c r="AC195" s="310"/>
      <c r="AD195" s="310"/>
      <c r="AE195" s="310"/>
      <c r="AF195" s="310"/>
      <c r="AG195" s="310"/>
      <c r="AH195" s="310"/>
      <c r="AI195" s="310"/>
      <c r="AJ195" s="310"/>
      <c r="AK195" s="310"/>
      <c r="AL195" s="310"/>
      <c r="AM195" s="310"/>
      <c r="AN195" s="310"/>
      <c r="AO195" s="310"/>
      <c r="AP195" s="310"/>
      <c r="AQ195" s="373" t="s">
        <v>1000</v>
      </c>
      <c r="AR195" s="373" t="s">
        <v>1001</v>
      </c>
      <c r="AS195" s="384"/>
      <c r="AT195" s="384"/>
      <c r="AU195" s="310"/>
      <c r="AV195" s="310"/>
      <c r="AW195" s="310"/>
      <c r="AX195" s="310"/>
      <c r="AY195" s="310"/>
      <c r="AZ195" s="310"/>
      <c r="BA195" s="310"/>
      <c r="BB195" s="310"/>
    </row>
    <row r="196" spans="1:54" s="312" customFormat="1" ht="21" x14ac:dyDescent="0.25">
      <c r="A196" s="290"/>
      <c r="B196" s="290"/>
      <c r="C196" s="290"/>
      <c r="D196" s="290"/>
      <c r="E196" s="290"/>
      <c r="F196" s="290"/>
      <c r="G196" s="290"/>
      <c r="H196" s="290"/>
      <c r="I196" s="290"/>
      <c r="J196" s="290"/>
      <c r="K196" s="290"/>
      <c r="L196" s="290"/>
      <c r="M196" s="290"/>
      <c r="N196" s="310"/>
      <c r="O196" s="310"/>
      <c r="P196" s="310"/>
      <c r="Q196" s="310"/>
      <c r="R196" s="310"/>
      <c r="S196" s="310"/>
      <c r="T196" s="310"/>
      <c r="U196" s="310"/>
      <c r="V196" s="310"/>
      <c r="W196" s="310"/>
      <c r="X196" s="310"/>
      <c r="Y196" s="310"/>
      <c r="Z196" s="310"/>
      <c r="AA196" s="310"/>
      <c r="AB196" s="310"/>
      <c r="AC196" s="310"/>
      <c r="AD196" s="310"/>
      <c r="AE196" s="310"/>
      <c r="AF196" s="310"/>
      <c r="AG196" s="310"/>
      <c r="AH196" s="310"/>
      <c r="AI196" s="310"/>
      <c r="AJ196" s="310"/>
      <c r="AK196" s="310"/>
      <c r="AL196" s="310"/>
      <c r="AM196" s="310"/>
      <c r="AN196" s="310"/>
      <c r="AO196" s="310"/>
      <c r="AP196" s="310"/>
      <c r="AQ196" s="373" t="s">
        <v>1002</v>
      </c>
      <c r="AR196" s="373" t="s">
        <v>1003</v>
      </c>
      <c r="AS196" s="384"/>
      <c r="AT196" s="384"/>
      <c r="AU196" s="310"/>
      <c r="AV196" s="310"/>
      <c r="AW196" s="310"/>
      <c r="AX196" s="310"/>
      <c r="AY196" s="310"/>
      <c r="AZ196" s="310"/>
      <c r="BA196" s="310"/>
      <c r="BB196" s="310"/>
    </row>
    <row r="197" spans="1:54" s="312" customFormat="1" ht="21" x14ac:dyDescent="0.25">
      <c r="A197" s="290"/>
      <c r="B197" s="290"/>
      <c r="C197" s="290"/>
      <c r="D197" s="290"/>
      <c r="E197" s="290"/>
      <c r="F197" s="290"/>
      <c r="G197" s="290"/>
      <c r="H197" s="290"/>
      <c r="I197" s="290"/>
      <c r="J197" s="290"/>
      <c r="K197" s="290"/>
      <c r="L197" s="290"/>
      <c r="M197" s="290"/>
      <c r="N197" s="310"/>
      <c r="O197" s="310"/>
      <c r="P197" s="310"/>
      <c r="Q197" s="310"/>
      <c r="R197" s="310"/>
      <c r="S197" s="310"/>
      <c r="T197" s="310"/>
      <c r="U197" s="310"/>
      <c r="V197" s="310"/>
      <c r="W197" s="310"/>
      <c r="X197" s="310"/>
      <c r="Y197" s="310"/>
      <c r="Z197" s="310"/>
      <c r="AA197" s="310"/>
      <c r="AB197" s="310"/>
      <c r="AC197" s="310"/>
      <c r="AD197" s="310"/>
      <c r="AE197" s="310"/>
      <c r="AF197" s="310"/>
      <c r="AG197" s="310"/>
      <c r="AH197" s="310"/>
      <c r="AI197" s="310"/>
      <c r="AJ197" s="310"/>
      <c r="AK197" s="310"/>
      <c r="AL197" s="310"/>
      <c r="AM197" s="310"/>
      <c r="AN197" s="310"/>
      <c r="AO197" s="310"/>
      <c r="AP197" s="310"/>
      <c r="AQ197" s="373" t="s">
        <v>1004</v>
      </c>
      <c r="AR197" s="307" t="s">
        <v>1005</v>
      </c>
      <c r="AS197" s="384"/>
      <c r="AT197" s="384"/>
      <c r="AU197" s="310"/>
      <c r="AV197" s="310"/>
      <c r="AW197" s="310"/>
      <c r="AX197" s="310"/>
      <c r="AY197" s="310"/>
      <c r="AZ197" s="310"/>
      <c r="BA197" s="310"/>
      <c r="BB197" s="310"/>
    </row>
    <row r="198" spans="1:54" s="312" customFormat="1" ht="21" x14ac:dyDescent="0.25">
      <c r="A198" s="290"/>
      <c r="B198" s="290"/>
      <c r="C198" s="290"/>
      <c r="D198" s="290"/>
      <c r="E198" s="290"/>
      <c r="F198" s="290"/>
      <c r="G198" s="290"/>
      <c r="H198" s="290"/>
      <c r="I198" s="290"/>
      <c r="J198" s="290"/>
      <c r="K198" s="290"/>
      <c r="L198" s="290"/>
      <c r="M198" s="290"/>
      <c r="N198" s="310"/>
      <c r="O198" s="310"/>
      <c r="P198" s="310"/>
      <c r="Q198" s="310"/>
      <c r="R198" s="310"/>
      <c r="S198" s="310"/>
      <c r="T198" s="310"/>
      <c r="U198" s="310"/>
      <c r="V198" s="310"/>
      <c r="W198" s="310"/>
      <c r="X198" s="310"/>
      <c r="Y198" s="310"/>
      <c r="Z198" s="310"/>
      <c r="AA198" s="310"/>
      <c r="AB198" s="310"/>
      <c r="AC198" s="310"/>
      <c r="AD198" s="310"/>
      <c r="AE198" s="310"/>
      <c r="AF198" s="310"/>
      <c r="AG198" s="310"/>
      <c r="AH198" s="310"/>
      <c r="AI198" s="310"/>
      <c r="AJ198" s="310"/>
      <c r="AK198" s="310"/>
      <c r="AL198" s="310"/>
      <c r="AM198" s="310"/>
      <c r="AN198" s="310"/>
      <c r="AO198" s="310"/>
      <c r="AP198" s="310"/>
      <c r="AQ198" s="373" t="s">
        <v>1006</v>
      </c>
      <c r="AR198" s="307" t="s">
        <v>1007</v>
      </c>
      <c r="AS198" s="384"/>
      <c r="AT198" s="384"/>
      <c r="AU198" s="310"/>
      <c r="AV198" s="310"/>
      <c r="AW198" s="310"/>
      <c r="AX198" s="310"/>
      <c r="AY198" s="310"/>
      <c r="AZ198" s="310"/>
      <c r="BA198" s="310"/>
      <c r="BB198" s="310"/>
    </row>
    <row r="199" spans="1:54" s="312" customFormat="1" ht="21" x14ac:dyDescent="0.25">
      <c r="A199" s="290"/>
      <c r="B199" s="290"/>
      <c r="C199" s="290"/>
      <c r="D199" s="290"/>
      <c r="E199" s="290"/>
      <c r="F199" s="290"/>
      <c r="G199" s="290"/>
      <c r="H199" s="290"/>
      <c r="I199" s="290"/>
      <c r="J199" s="290"/>
      <c r="K199" s="290"/>
      <c r="L199" s="290"/>
      <c r="M199" s="290"/>
      <c r="N199" s="310"/>
      <c r="O199" s="310"/>
      <c r="P199" s="310"/>
      <c r="Q199" s="310"/>
      <c r="R199" s="310"/>
      <c r="S199" s="310"/>
      <c r="T199" s="310"/>
      <c r="U199" s="310"/>
      <c r="V199" s="310"/>
      <c r="W199" s="310"/>
      <c r="X199" s="310"/>
      <c r="Y199" s="310"/>
      <c r="Z199" s="310"/>
      <c r="AA199" s="310"/>
      <c r="AB199" s="310"/>
      <c r="AC199" s="310"/>
      <c r="AD199" s="310"/>
      <c r="AE199" s="310"/>
      <c r="AF199" s="310"/>
      <c r="AG199" s="310"/>
      <c r="AH199" s="310"/>
      <c r="AI199" s="310"/>
      <c r="AJ199" s="310"/>
      <c r="AK199" s="310"/>
      <c r="AL199" s="310"/>
      <c r="AM199" s="310"/>
      <c r="AN199" s="310"/>
      <c r="AO199" s="310"/>
      <c r="AP199" s="310"/>
      <c r="AQ199" s="373" t="s">
        <v>1008</v>
      </c>
      <c r="AR199" s="307" t="s">
        <v>954</v>
      </c>
      <c r="AS199" s="384"/>
      <c r="AT199" s="384"/>
      <c r="AU199" s="310"/>
      <c r="AV199" s="310"/>
      <c r="AW199" s="310"/>
      <c r="AX199" s="310"/>
      <c r="AY199" s="310"/>
      <c r="AZ199" s="310"/>
      <c r="BA199" s="310"/>
      <c r="BB199" s="310"/>
    </row>
    <row r="200" spans="1:54" s="312" customFormat="1" ht="21" x14ac:dyDescent="0.25">
      <c r="A200" s="290"/>
      <c r="B200" s="290"/>
      <c r="C200" s="290"/>
      <c r="D200" s="290"/>
      <c r="E200" s="290"/>
      <c r="F200" s="290"/>
      <c r="G200" s="290"/>
      <c r="H200" s="290"/>
      <c r="I200" s="290"/>
      <c r="J200" s="290"/>
      <c r="K200" s="290"/>
      <c r="L200" s="290"/>
      <c r="M200" s="290"/>
      <c r="N200" s="310"/>
      <c r="O200" s="310"/>
      <c r="P200" s="310"/>
      <c r="Q200" s="310"/>
      <c r="R200" s="310"/>
      <c r="S200" s="310"/>
      <c r="T200" s="310"/>
      <c r="U200" s="310"/>
      <c r="V200" s="310"/>
      <c r="W200" s="310"/>
      <c r="X200" s="310"/>
      <c r="Y200" s="310"/>
      <c r="Z200" s="310"/>
      <c r="AA200" s="310"/>
      <c r="AB200" s="310"/>
      <c r="AC200" s="310"/>
      <c r="AD200" s="310"/>
      <c r="AE200" s="310"/>
      <c r="AF200" s="310"/>
      <c r="AG200" s="310"/>
      <c r="AH200" s="310"/>
      <c r="AI200" s="310"/>
      <c r="AJ200" s="310"/>
      <c r="AK200" s="310"/>
      <c r="AL200" s="310"/>
      <c r="AM200" s="310"/>
      <c r="AN200" s="310"/>
      <c r="AO200" s="310"/>
      <c r="AP200" s="310"/>
      <c r="AQ200" s="373" t="s">
        <v>1009</v>
      </c>
      <c r="AR200" s="307" t="s">
        <v>1010</v>
      </c>
      <c r="AS200" s="384"/>
      <c r="AT200" s="384"/>
      <c r="AU200" s="310"/>
      <c r="AV200" s="310"/>
      <c r="AW200" s="310"/>
      <c r="AX200" s="310"/>
      <c r="AY200" s="310"/>
      <c r="AZ200" s="310"/>
      <c r="BA200" s="310"/>
      <c r="BB200" s="310"/>
    </row>
    <row r="201" spans="1:54" s="312" customFormat="1" x14ac:dyDescent="0.25">
      <c r="A201" s="290"/>
      <c r="B201" s="290"/>
      <c r="C201" s="290"/>
      <c r="D201" s="290"/>
      <c r="E201" s="290"/>
      <c r="F201" s="290"/>
      <c r="G201" s="290"/>
      <c r="H201" s="290"/>
      <c r="I201" s="290"/>
      <c r="J201" s="290"/>
      <c r="K201" s="290"/>
      <c r="L201" s="290"/>
      <c r="M201" s="290"/>
      <c r="N201" s="310"/>
      <c r="O201" s="310"/>
      <c r="P201" s="310"/>
      <c r="Q201" s="310"/>
      <c r="R201" s="310"/>
      <c r="S201" s="310"/>
      <c r="T201" s="310"/>
      <c r="U201" s="310"/>
      <c r="V201" s="310"/>
      <c r="W201" s="310"/>
      <c r="X201" s="310"/>
      <c r="Y201" s="310"/>
      <c r="Z201" s="310"/>
      <c r="AA201" s="310"/>
      <c r="AB201" s="310"/>
      <c r="AC201" s="310"/>
      <c r="AD201" s="310"/>
      <c r="AE201" s="310"/>
      <c r="AF201" s="310"/>
      <c r="AG201" s="310"/>
      <c r="AH201" s="310"/>
      <c r="AI201" s="310"/>
      <c r="AJ201" s="310"/>
      <c r="AK201" s="310"/>
      <c r="AL201" s="310"/>
      <c r="AM201" s="310"/>
      <c r="AN201" s="310"/>
      <c r="AO201" s="310"/>
      <c r="AP201" s="310"/>
      <c r="AQ201" s="1826" t="s">
        <v>1011</v>
      </c>
      <c r="AR201" s="383"/>
      <c r="AS201" s="384"/>
      <c r="AT201" s="384"/>
      <c r="AU201" s="310"/>
      <c r="AV201" s="310"/>
      <c r="AW201" s="310"/>
      <c r="AX201" s="310"/>
      <c r="AY201" s="310"/>
      <c r="AZ201" s="310"/>
      <c r="BA201" s="310"/>
      <c r="BB201" s="310"/>
    </row>
    <row r="202" spans="1:54" s="312" customFormat="1" x14ac:dyDescent="0.25">
      <c r="A202" s="290"/>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290"/>
      <c r="AE202" s="290"/>
      <c r="AF202" s="290"/>
      <c r="AG202" s="290"/>
      <c r="AH202" s="290"/>
      <c r="AI202" s="290"/>
      <c r="AJ202" s="290"/>
      <c r="AK202" s="290"/>
      <c r="AL202" s="290"/>
      <c r="AM202" s="290"/>
      <c r="AN202" s="290"/>
      <c r="AO202" s="290"/>
      <c r="AP202" s="290"/>
      <c r="AQ202" s="1826"/>
      <c r="AR202" s="307" t="s">
        <v>988</v>
      </c>
      <c r="AS202" s="291"/>
      <c r="AT202" s="291"/>
      <c r="AU202" s="290"/>
      <c r="AV202" s="290"/>
      <c r="AW202" s="290"/>
      <c r="AX202" s="290"/>
      <c r="AY202" s="290"/>
      <c r="AZ202" s="290"/>
      <c r="BA202" s="290"/>
      <c r="BB202" s="290"/>
    </row>
    <row r="203" spans="1:54" s="312" customFormat="1" x14ac:dyDescent="0.25">
      <c r="A203" s="290"/>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290"/>
      <c r="AE203" s="290"/>
      <c r="AF203" s="290"/>
      <c r="AG203" s="290"/>
      <c r="AH203" s="290"/>
      <c r="AI203" s="290"/>
      <c r="AJ203" s="290"/>
      <c r="AK203" s="290"/>
      <c r="AL203" s="290"/>
      <c r="AM203" s="290"/>
      <c r="AN203" s="290"/>
      <c r="AO203" s="290"/>
      <c r="AP203" s="290"/>
      <c r="AQ203" s="373" t="s">
        <v>1012</v>
      </c>
      <c r="AR203" s="307" t="s">
        <v>1013</v>
      </c>
      <c r="AS203" s="291"/>
      <c r="AT203" s="291"/>
      <c r="AU203" s="290"/>
      <c r="AV203" s="290"/>
      <c r="AW203" s="290"/>
      <c r="AX203" s="290"/>
      <c r="AY203" s="290"/>
      <c r="AZ203" s="290"/>
      <c r="BA203" s="290"/>
      <c r="BB203" s="290"/>
    </row>
    <row r="204" spans="1:54" s="312" customFormat="1" ht="21" x14ac:dyDescent="0.25">
      <c r="A204" s="290"/>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c r="AD204" s="290"/>
      <c r="AE204" s="290"/>
      <c r="AF204" s="290"/>
      <c r="AG204" s="290"/>
      <c r="AH204" s="290"/>
      <c r="AI204" s="290"/>
      <c r="AJ204" s="290"/>
      <c r="AK204" s="290"/>
      <c r="AL204" s="290"/>
      <c r="AM204" s="290"/>
      <c r="AN204" s="290"/>
      <c r="AO204" s="290"/>
      <c r="AP204" s="290"/>
      <c r="AQ204" s="373" t="s">
        <v>1014</v>
      </c>
      <c r="AR204" s="307" t="s">
        <v>1015</v>
      </c>
      <c r="AS204" s="291"/>
      <c r="AT204" s="291"/>
      <c r="AU204" s="290"/>
      <c r="AV204" s="290"/>
      <c r="AW204" s="290"/>
      <c r="AX204" s="290"/>
      <c r="AY204" s="290"/>
      <c r="AZ204" s="290"/>
      <c r="BA204" s="290"/>
      <c r="BB204" s="290"/>
    </row>
    <row r="205" spans="1:54" ht="21" x14ac:dyDescent="0.25">
      <c r="A205" s="290"/>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c r="AD205" s="290"/>
      <c r="AE205" s="290"/>
      <c r="AF205" s="290"/>
      <c r="AG205" s="290"/>
      <c r="AH205" s="290"/>
      <c r="AI205" s="290"/>
      <c r="AJ205" s="290"/>
      <c r="AK205" s="290"/>
      <c r="AL205" s="290"/>
      <c r="AM205" s="290"/>
      <c r="AN205" s="290"/>
      <c r="AO205" s="290"/>
      <c r="AP205" s="290"/>
      <c r="AQ205" s="373" t="s">
        <v>1016</v>
      </c>
      <c r="AR205" s="378" t="s">
        <v>1017</v>
      </c>
      <c r="AS205" s="291"/>
      <c r="AT205" s="291"/>
      <c r="AU205" s="290"/>
      <c r="AV205" s="290"/>
      <c r="AW205" s="290"/>
      <c r="AX205" s="290"/>
      <c r="AY205" s="290"/>
      <c r="AZ205" s="290"/>
      <c r="BA205" s="290"/>
      <c r="BB205" s="290"/>
    </row>
    <row r="206" spans="1:54" x14ac:dyDescent="0.25">
      <c r="A206" s="290"/>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290"/>
      <c r="AF206" s="290"/>
      <c r="AG206" s="290"/>
      <c r="AH206" s="290"/>
      <c r="AI206" s="290"/>
      <c r="AJ206" s="290"/>
      <c r="AK206" s="290"/>
      <c r="AL206" s="290"/>
      <c r="AM206" s="290"/>
      <c r="AN206" s="290"/>
      <c r="AO206" s="290"/>
      <c r="AP206" s="290"/>
      <c r="AQ206" s="383"/>
      <c r="AR206" s="383"/>
      <c r="AS206" s="291"/>
      <c r="AT206" s="291"/>
      <c r="AU206" s="290"/>
      <c r="AV206" s="290"/>
      <c r="AW206" s="290"/>
      <c r="AX206" s="290"/>
      <c r="AY206" s="290"/>
      <c r="AZ206" s="290"/>
      <c r="BA206" s="290"/>
      <c r="BB206" s="290"/>
    </row>
    <row r="207" spans="1:54" x14ac:dyDescent="0.25">
      <c r="A207" s="290"/>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290"/>
      <c r="AF207" s="290"/>
      <c r="AG207" s="290"/>
      <c r="AH207" s="290"/>
      <c r="AI207" s="290"/>
      <c r="AJ207" s="290"/>
      <c r="AK207" s="290"/>
      <c r="AL207" s="290"/>
      <c r="AM207" s="290"/>
      <c r="AN207" s="290"/>
      <c r="AO207" s="290"/>
      <c r="AP207" s="290"/>
      <c r="AQ207" s="373" t="s">
        <v>1018</v>
      </c>
      <c r="AR207" s="307" t="s">
        <v>1019</v>
      </c>
      <c r="AS207" s="291"/>
      <c r="AT207" s="291"/>
      <c r="AU207" s="290"/>
      <c r="AV207" s="290"/>
      <c r="AW207" s="290"/>
      <c r="AX207" s="290"/>
      <c r="AY207" s="290"/>
      <c r="AZ207" s="290"/>
      <c r="BA207" s="290"/>
      <c r="BB207" s="290"/>
    </row>
    <row r="208" spans="1:54" x14ac:dyDescent="0.25">
      <c r="A208" s="290"/>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90"/>
      <c r="AE208" s="290"/>
      <c r="AF208" s="290"/>
      <c r="AG208" s="290"/>
      <c r="AH208" s="290"/>
      <c r="AI208" s="290"/>
      <c r="AJ208" s="290"/>
      <c r="AK208" s="290"/>
      <c r="AL208" s="290"/>
      <c r="AM208" s="290"/>
      <c r="AN208" s="290"/>
      <c r="AO208" s="290"/>
      <c r="AP208" s="290"/>
      <c r="AQ208" s="383"/>
      <c r="AR208" s="383"/>
      <c r="AS208" s="291"/>
      <c r="AT208" s="291"/>
      <c r="AU208" s="290"/>
      <c r="AV208" s="290"/>
      <c r="AW208" s="290"/>
      <c r="AX208" s="290"/>
      <c r="AY208" s="290"/>
      <c r="AZ208" s="290"/>
      <c r="BA208" s="290"/>
      <c r="BB208" s="290"/>
    </row>
    <row r="209" spans="1:54" ht="21" x14ac:dyDescent="0.25">
      <c r="A209" s="290"/>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290"/>
      <c r="AE209" s="290"/>
      <c r="AF209" s="290"/>
      <c r="AG209" s="290"/>
      <c r="AH209" s="290"/>
      <c r="AI209" s="290"/>
      <c r="AJ209" s="290"/>
      <c r="AK209" s="290"/>
      <c r="AL209" s="290"/>
      <c r="AM209" s="290"/>
      <c r="AN209" s="290"/>
      <c r="AO209" s="290"/>
      <c r="AP209" s="290"/>
      <c r="AQ209" s="373" t="s">
        <v>1020</v>
      </c>
      <c r="AR209" s="373" t="s">
        <v>1021</v>
      </c>
      <c r="AS209" s="291"/>
      <c r="AT209" s="291"/>
      <c r="AU209" s="290"/>
      <c r="AV209" s="290"/>
      <c r="AW209" s="290"/>
      <c r="AX209" s="290"/>
      <c r="AY209" s="290"/>
      <c r="AZ209" s="290"/>
      <c r="BA209" s="290"/>
      <c r="BB209" s="290"/>
    </row>
    <row r="210" spans="1:54" ht="21" x14ac:dyDescent="0.25">
      <c r="A210" s="290"/>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c r="AF210" s="290"/>
      <c r="AG210" s="290"/>
      <c r="AH210" s="290"/>
      <c r="AI210" s="290"/>
      <c r="AJ210" s="290"/>
      <c r="AK210" s="290"/>
      <c r="AL210" s="290"/>
      <c r="AM210" s="290"/>
      <c r="AN210" s="290"/>
      <c r="AO210" s="290"/>
      <c r="AP210" s="290"/>
      <c r="AQ210" s="373" t="s">
        <v>1022</v>
      </c>
      <c r="AR210" s="307" t="s">
        <v>982</v>
      </c>
      <c r="AS210" s="291"/>
      <c r="AT210" s="291"/>
      <c r="AU210" s="290"/>
      <c r="AV210" s="290"/>
      <c r="AW210" s="290"/>
      <c r="AX210" s="290"/>
      <c r="AY210" s="290"/>
      <c r="AZ210" s="290"/>
      <c r="BA210" s="290"/>
      <c r="BB210" s="290"/>
    </row>
    <row r="211" spans="1:54" ht="21" x14ac:dyDescent="0.25">
      <c r="A211" s="290"/>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290"/>
      <c r="AE211" s="290"/>
      <c r="AF211" s="290"/>
      <c r="AG211" s="290"/>
      <c r="AH211" s="290"/>
      <c r="AI211" s="290"/>
      <c r="AJ211" s="290"/>
      <c r="AK211" s="290"/>
      <c r="AL211" s="290"/>
      <c r="AM211" s="290"/>
      <c r="AN211" s="290"/>
      <c r="AO211" s="290"/>
      <c r="AP211" s="290"/>
      <c r="AQ211" s="373" t="s">
        <v>1023</v>
      </c>
      <c r="AR211" s="307" t="s">
        <v>1024</v>
      </c>
      <c r="AS211" s="291"/>
      <c r="AT211" s="291"/>
      <c r="AU211" s="290"/>
      <c r="AV211" s="290"/>
      <c r="AW211" s="290"/>
      <c r="AX211" s="290"/>
      <c r="AY211" s="290"/>
      <c r="AZ211" s="290"/>
      <c r="BA211" s="290"/>
      <c r="BB211" s="290"/>
    </row>
    <row r="212" spans="1:54" ht="21" x14ac:dyDescent="0.25">
      <c r="A212" s="290"/>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290"/>
      <c r="AE212" s="290"/>
      <c r="AF212" s="290"/>
      <c r="AG212" s="290"/>
      <c r="AH212" s="290"/>
      <c r="AI212" s="290"/>
      <c r="AJ212" s="290"/>
      <c r="AK212" s="290"/>
      <c r="AL212" s="290"/>
      <c r="AM212" s="290"/>
      <c r="AN212" s="290"/>
      <c r="AO212" s="290"/>
      <c r="AP212" s="290"/>
      <c r="AQ212" s="373" t="s">
        <v>1025</v>
      </c>
      <c r="AR212" s="378" t="s">
        <v>1026</v>
      </c>
      <c r="AS212" s="291"/>
      <c r="AT212" s="291"/>
      <c r="AU212" s="290"/>
      <c r="AV212" s="290"/>
      <c r="AW212" s="290"/>
      <c r="AX212" s="290"/>
      <c r="AY212" s="290"/>
      <c r="AZ212" s="290"/>
      <c r="BA212" s="290"/>
      <c r="BB212" s="290"/>
    </row>
    <row r="213" spans="1:54" x14ac:dyDescent="0.25">
      <c r="A213" s="290"/>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290"/>
      <c r="AE213" s="290"/>
      <c r="AF213" s="290"/>
      <c r="AG213" s="290"/>
      <c r="AH213" s="290"/>
      <c r="AI213" s="290"/>
      <c r="AJ213" s="290"/>
      <c r="AK213" s="290"/>
      <c r="AL213" s="290"/>
      <c r="AM213" s="290"/>
      <c r="AN213" s="290"/>
      <c r="AO213" s="290"/>
      <c r="AP213" s="290"/>
      <c r="AQ213" s="383"/>
      <c r="AR213" s="383"/>
      <c r="AS213" s="291"/>
      <c r="AT213" s="291"/>
      <c r="AU213" s="290"/>
      <c r="AV213" s="290"/>
      <c r="AW213" s="290"/>
      <c r="AX213" s="290"/>
      <c r="AY213" s="290"/>
      <c r="AZ213" s="290"/>
      <c r="BA213" s="290"/>
      <c r="BB213" s="290"/>
    </row>
    <row r="214" spans="1:54" x14ac:dyDescent="0.25">
      <c r="A214" s="290"/>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X214" s="290"/>
      <c r="Y214" s="290"/>
      <c r="Z214" s="290"/>
      <c r="AA214" s="290"/>
      <c r="AB214" s="290"/>
      <c r="AC214" s="290"/>
      <c r="AD214" s="290"/>
      <c r="AE214" s="290"/>
      <c r="AF214" s="290"/>
      <c r="AG214" s="290"/>
      <c r="AH214" s="290"/>
      <c r="AI214" s="290"/>
      <c r="AJ214" s="290"/>
      <c r="AK214" s="290"/>
      <c r="AL214" s="290"/>
      <c r="AM214" s="290"/>
      <c r="AN214" s="290"/>
      <c r="AO214" s="290"/>
      <c r="AP214" s="290"/>
      <c r="AQ214" s="373" t="s">
        <v>1027</v>
      </c>
      <c r="AR214" s="307" t="s">
        <v>1005</v>
      </c>
      <c r="AS214" s="291"/>
      <c r="AT214" s="291"/>
      <c r="AU214" s="290"/>
      <c r="AV214" s="290"/>
      <c r="AW214" s="290"/>
      <c r="AX214" s="290"/>
      <c r="AY214" s="290"/>
      <c r="AZ214" s="290"/>
      <c r="BA214" s="290"/>
      <c r="BB214" s="290"/>
    </row>
    <row r="215" spans="1:54" x14ac:dyDescent="0.25">
      <c r="A215" s="290"/>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c r="AE215" s="290"/>
      <c r="AF215" s="290"/>
      <c r="AG215" s="290"/>
      <c r="AH215" s="290"/>
      <c r="AI215" s="290"/>
      <c r="AJ215" s="290"/>
      <c r="AK215" s="290"/>
      <c r="AL215" s="290"/>
      <c r="AM215" s="290"/>
      <c r="AN215" s="290"/>
      <c r="AO215" s="290"/>
      <c r="AP215" s="290"/>
      <c r="AQ215" s="373" t="s">
        <v>1028</v>
      </c>
      <c r="AR215" s="307" t="s">
        <v>1029</v>
      </c>
      <c r="AS215" s="291"/>
      <c r="AT215" s="291"/>
      <c r="AU215" s="290"/>
      <c r="AV215" s="290"/>
      <c r="AW215" s="290"/>
      <c r="AX215" s="290"/>
      <c r="AY215" s="290"/>
      <c r="AZ215" s="290"/>
      <c r="BA215" s="290"/>
      <c r="BB215" s="290"/>
    </row>
    <row r="216" spans="1:54" x14ac:dyDescent="0.25">
      <c r="A216" s="290"/>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c r="AE216" s="290"/>
      <c r="AF216" s="290"/>
      <c r="AG216" s="290"/>
      <c r="AH216" s="290"/>
      <c r="AI216" s="290"/>
      <c r="AJ216" s="290"/>
      <c r="AK216" s="290"/>
      <c r="AL216" s="290"/>
      <c r="AM216" s="290"/>
      <c r="AN216" s="290"/>
      <c r="AO216" s="290"/>
      <c r="AP216" s="290"/>
      <c r="AQ216" s="373" t="s">
        <v>1030</v>
      </c>
      <c r="AR216" s="307" t="s">
        <v>1031</v>
      </c>
      <c r="AS216" s="291"/>
      <c r="AT216" s="291"/>
      <c r="AU216" s="290"/>
      <c r="AV216" s="290"/>
      <c r="AW216" s="290"/>
      <c r="AX216" s="290"/>
      <c r="AY216" s="290"/>
      <c r="AZ216" s="290"/>
      <c r="BA216" s="290"/>
      <c r="BB216" s="290"/>
    </row>
    <row r="217" spans="1:54" ht="21" x14ac:dyDescent="0.25">
      <c r="A217" s="290"/>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90"/>
      <c r="AE217" s="290"/>
      <c r="AF217" s="290"/>
      <c r="AG217" s="290"/>
      <c r="AH217" s="290"/>
      <c r="AI217" s="290"/>
      <c r="AJ217" s="290"/>
      <c r="AK217" s="290"/>
      <c r="AL217" s="290"/>
      <c r="AM217" s="290"/>
      <c r="AN217" s="290"/>
      <c r="AO217" s="290"/>
      <c r="AP217" s="290"/>
      <c r="AQ217" s="373" t="s">
        <v>1032</v>
      </c>
      <c r="AR217" s="378" t="s">
        <v>1033</v>
      </c>
      <c r="AS217" s="291"/>
      <c r="AT217" s="291"/>
      <c r="AU217" s="290"/>
      <c r="AV217" s="290"/>
      <c r="AW217" s="290"/>
      <c r="AX217" s="290"/>
      <c r="AY217" s="290"/>
      <c r="AZ217" s="290"/>
      <c r="BA217" s="290"/>
      <c r="BB217" s="290"/>
    </row>
    <row r="218" spans="1:54" ht="21" x14ac:dyDescent="0.25">
      <c r="A218" s="290"/>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90"/>
      <c r="AE218" s="290"/>
      <c r="AF218" s="290"/>
      <c r="AG218" s="290"/>
      <c r="AH218" s="290"/>
      <c r="AI218" s="290"/>
      <c r="AJ218" s="290"/>
      <c r="AK218" s="290"/>
      <c r="AL218" s="290"/>
      <c r="AM218" s="290"/>
      <c r="AN218" s="290"/>
      <c r="AO218" s="290"/>
      <c r="AP218" s="290"/>
      <c r="AQ218" s="373" t="s">
        <v>1034</v>
      </c>
      <c r="AR218" s="307" t="s">
        <v>1035</v>
      </c>
      <c r="AS218" s="291"/>
      <c r="AT218" s="291"/>
      <c r="AU218" s="290"/>
      <c r="AV218" s="290"/>
      <c r="AW218" s="290"/>
      <c r="AX218" s="290"/>
      <c r="AY218" s="290"/>
      <c r="AZ218" s="290"/>
      <c r="BA218" s="290"/>
      <c r="BB218" s="290"/>
    </row>
    <row r="219" spans="1:54" x14ac:dyDescent="0.25">
      <c r="A219" s="290"/>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90"/>
      <c r="AE219" s="290"/>
      <c r="AF219" s="290"/>
      <c r="AG219" s="290"/>
      <c r="AH219" s="290"/>
      <c r="AI219" s="290"/>
      <c r="AJ219" s="290"/>
      <c r="AK219" s="290"/>
      <c r="AL219" s="290"/>
      <c r="AM219" s="290"/>
      <c r="AN219" s="290"/>
      <c r="AO219" s="290"/>
      <c r="AP219" s="290"/>
      <c r="AQ219" s="373" t="s">
        <v>1036</v>
      </c>
      <c r="AR219" s="307" t="s">
        <v>1035</v>
      </c>
      <c r="AS219" s="291"/>
      <c r="AT219" s="291"/>
      <c r="AU219" s="290"/>
      <c r="AV219" s="290"/>
      <c r="AW219" s="290"/>
      <c r="AX219" s="290"/>
      <c r="AY219" s="290"/>
      <c r="AZ219" s="290"/>
      <c r="BA219" s="290"/>
      <c r="BB219" s="290"/>
    </row>
    <row r="220" spans="1:54" ht="21" x14ac:dyDescent="0.25">
      <c r="A220" s="290"/>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c r="AE220" s="290"/>
      <c r="AF220" s="290"/>
      <c r="AG220" s="290"/>
      <c r="AH220" s="290"/>
      <c r="AI220" s="290"/>
      <c r="AJ220" s="290"/>
      <c r="AK220" s="290"/>
      <c r="AL220" s="290"/>
      <c r="AM220" s="290"/>
      <c r="AN220" s="290"/>
      <c r="AO220" s="290"/>
      <c r="AP220" s="290"/>
      <c r="AQ220" s="373" t="s">
        <v>1037</v>
      </c>
      <c r="AR220" s="307" t="s">
        <v>1038</v>
      </c>
      <c r="AS220" s="291"/>
      <c r="AT220" s="291"/>
      <c r="AU220" s="290"/>
      <c r="AV220" s="290"/>
      <c r="AW220" s="290"/>
      <c r="AX220" s="290"/>
      <c r="AY220" s="290"/>
      <c r="AZ220" s="290"/>
      <c r="BA220" s="290"/>
      <c r="BB220" s="290"/>
    </row>
    <row r="221" spans="1:54" ht="21" x14ac:dyDescent="0.25">
      <c r="A221" s="290"/>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290"/>
      <c r="AE221" s="290"/>
      <c r="AF221" s="290"/>
      <c r="AG221" s="290"/>
      <c r="AH221" s="290"/>
      <c r="AI221" s="290"/>
      <c r="AJ221" s="290"/>
      <c r="AK221" s="290"/>
      <c r="AL221" s="290"/>
      <c r="AM221" s="290"/>
      <c r="AN221" s="290"/>
      <c r="AO221" s="290"/>
      <c r="AP221" s="290"/>
      <c r="AQ221" s="373" t="s">
        <v>1039</v>
      </c>
      <c r="AR221" s="378" t="s">
        <v>1040</v>
      </c>
      <c r="AS221" s="291"/>
      <c r="AT221" s="291"/>
      <c r="AU221" s="290"/>
      <c r="AV221" s="290"/>
      <c r="AW221" s="290"/>
      <c r="AX221" s="290"/>
      <c r="AY221" s="290"/>
      <c r="AZ221" s="290"/>
      <c r="BA221" s="290"/>
      <c r="BB221" s="290"/>
    </row>
    <row r="222" spans="1:54" ht="21" x14ac:dyDescent="0.25">
      <c r="A222" s="290"/>
      <c r="B222" s="290"/>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c r="AA222" s="290"/>
      <c r="AB222" s="290"/>
      <c r="AC222" s="290"/>
      <c r="AD222" s="290"/>
      <c r="AE222" s="290"/>
      <c r="AF222" s="290"/>
      <c r="AG222" s="290"/>
      <c r="AH222" s="290"/>
      <c r="AI222" s="290"/>
      <c r="AJ222" s="290"/>
      <c r="AK222" s="290"/>
      <c r="AL222" s="290"/>
      <c r="AM222" s="290"/>
      <c r="AN222" s="290"/>
      <c r="AO222" s="290"/>
      <c r="AP222" s="290"/>
      <c r="AQ222" s="373" t="s">
        <v>1041</v>
      </c>
      <c r="AR222" s="307" t="s">
        <v>952</v>
      </c>
      <c r="AS222" s="291"/>
      <c r="AT222" s="291"/>
      <c r="AU222" s="290"/>
      <c r="AV222" s="290"/>
      <c r="AW222" s="290"/>
      <c r="AX222" s="290"/>
      <c r="AY222" s="290"/>
      <c r="AZ222" s="290"/>
      <c r="BA222" s="290"/>
      <c r="BB222" s="290"/>
    </row>
    <row r="223" spans="1:54" ht="21" x14ac:dyDescent="0.25">
      <c r="A223" s="290"/>
      <c r="B223" s="290"/>
      <c r="C223" s="290"/>
      <c r="D223" s="290"/>
      <c r="E223" s="290"/>
      <c r="F223" s="290"/>
      <c r="G223" s="290"/>
      <c r="H223" s="290"/>
      <c r="I223" s="290"/>
      <c r="J223" s="290"/>
      <c r="K223" s="290"/>
      <c r="L223" s="290"/>
      <c r="M223" s="290"/>
      <c r="N223" s="290"/>
      <c r="O223" s="290"/>
      <c r="P223" s="290"/>
      <c r="Q223" s="290"/>
      <c r="R223" s="290"/>
      <c r="S223" s="290"/>
      <c r="T223" s="290"/>
      <c r="U223" s="290"/>
      <c r="V223" s="290"/>
      <c r="W223" s="290"/>
      <c r="X223" s="290"/>
      <c r="Y223" s="290"/>
      <c r="Z223" s="290"/>
      <c r="AA223" s="290"/>
      <c r="AB223" s="290"/>
      <c r="AC223" s="290"/>
      <c r="AD223" s="290"/>
      <c r="AE223" s="290"/>
      <c r="AF223" s="290"/>
      <c r="AG223" s="290"/>
      <c r="AH223" s="290"/>
      <c r="AI223" s="290"/>
      <c r="AJ223" s="290"/>
      <c r="AK223" s="290"/>
      <c r="AL223" s="290"/>
      <c r="AM223" s="290"/>
      <c r="AN223" s="290"/>
      <c r="AO223" s="290"/>
      <c r="AP223" s="290"/>
      <c r="AQ223" s="373" t="s">
        <v>1042</v>
      </c>
      <c r="AR223" s="378" t="s">
        <v>1043</v>
      </c>
      <c r="AS223" s="291"/>
      <c r="AT223" s="291"/>
      <c r="AU223" s="290"/>
      <c r="AV223" s="290"/>
      <c r="AW223" s="290"/>
      <c r="AX223" s="290"/>
      <c r="AY223" s="290"/>
      <c r="AZ223" s="290"/>
      <c r="BA223" s="290"/>
      <c r="BB223" s="290"/>
    </row>
    <row r="224" spans="1:54" x14ac:dyDescent="0.25">
      <c r="A224" s="290"/>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c r="AE224" s="290"/>
      <c r="AF224" s="290"/>
      <c r="AG224" s="290"/>
      <c r="AH224" s="290"/>
      <c r="AI224" s="290"/>
      <c r="AJ224" s="290"/>
      <c r="AK224" s="290"/>
      <c r="AL224" s="290"/>
      <c r="AM224" s="290"/>
      <c r="AN224" s="290"/>
      <c r="AO224" s="290"/>
      <c r="AP224" s="290"/>
      <c r="AQ224" s="373" t="s">
        <v>1044</v>
      </c>
      <c r="AR224" s="307" t="s">
        <v>1045</v>
      </c>
      <c r="AS224" s="291"/>
      <c r="AT224" s="291"/>
      <c r="AU224" s="290"/>
      <c r="AV224" s="290"/>
      <c r="AW224" s="290"/>
      <c r="AX224" s="290"/>
      <c r="AY224" s="290"/>
      <c r="AZ224" s="290"/>
      <c r="BA224" s="290"/>
      <c r="BB224" s="290"/>
    </row>
    <row r="225" spans="1:54" ht="21" x14ac:dyDescent="0.25">
      <c r="A225" s="290"/>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290"/>
      <c r="AF225" s="290"/>
      <c r="AG225" s="290"/>
      <c r="AH225" s="290"/>
      <c r="AI225" s="290"/>
      <c r="AJ225" s="290"/>
      <c r="AK225" s="290"/>
      <c r="AL225" s="290"/>
      <c r="AM225" s="290"/>
      <c r="AN225" s="290"/>
      <c r="AO225" s="290"/>
      <c r="AP225" s="290"/>
      <c r="AQ225" s="373" t="s">
        <v>1046</v>
      </c>
      <c r="AR225" s="378" t="s">
        <v>1047</v>
      </c>
      <c r="AS225" s="291"/>
      <c r="AT225" s="291"/>
      <c r="AU225" s="290"/>
      <c r="AV225" s="290"/>
      <c r="AW225" s="290"/>
      <c r="AX225" s="290"/>
      <c r="AY225" s="290"/>
      <c r="AZ225" s="290"/>
      <c r="BA225" s="290"/>
      <c r="BB225" s="290"/>
    </row>
    <row r="226" spans="1:54" ht="21" x14ac:dyDescent="0.25">
      <c r="A226" s="290"/>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c r="AA226" s="290"/>
      <c r="AB226" s="290"/>
      <c r="AC226" s="290"/>
      <c r="AD226" s="290"/>
      <c r="AE226" s="290"/>
      <c r="AF226" s="290"/>
      <c r="AG226" s="290"/>
      <c r="AH226" s="290"/>
      <c r="AI226" s="290"/>
      <c r="AJ226" s="290"/>
      <c r="AK226" s="290"/>
      <c r="AL226" s="290"/>
      <c r="AM226" s="290"/>
      <c r="AN226" s="290"/>
      <c r="AO226" s="290"/>
      <c r="AP226" s="290"/>
      <c r="AQ226" s="373" t="s">
        <v>1048</v>
      </c>
      <c r="AR226" s="307" t="s">
        <v>1049</v>
      </c>
      <c r="AS226" s="291"/>
      <c r="AT226" s="291"/>
      <c r="AU226" s="290"/>
      <c r="AV226" s="290"/>
      <c r="AW226" s="290"/>
      <c r="AX226" s="290"/>
      <c r="AY226" s="290"/>
      <c r="AZ226" s="290"/>
      <c r="BA226" s="290"/>
      <c r="BB226" s="290"/>
    </row>
    <row r="227" spans="1:54" ht="21" x14ac:dyDescent="0.25">
      <c r="A227" s="290"/>
      <c r="B227" s="290"/>
      <c r="C227" s="290"/>
      <c r="D227" s="290"/>
      <c r="E227" s="290"/>
      <c r="F227" s="290"/>
      <c r="G227" s="290"/>
      <c r="H227" s="290"/>
      <c r="I227" s="290"/>
      <c r="J227" s="290"/>
      <c r="K227" s="290"/>
      <c r="L227" s="290"/>
      <c r="M227" s="290"/>
      <c r="N227" s="290"/>
      <c r="O227" s="290"/>
      <c r="P227" s="290"/>
      <c r="Q227" s="290"/>
      <c r="R227" s="290"/>
      <c r="S227" s="290"/>
      <c r="T227" s="290"/>
      <c r="U227" s="290"/>
      <c r="V227" s="290"/>
      <c r="W227" s="290"/>
      <c r="X227" s="290"/>
      <c r="Y227" s="290"/>
      <c r="Z227" s="290"/>
      <c r="AA227" s="290"/>
      <c r="AB227" s="290"/>
      <c r="AC227" s="290"/>
      <c r="AD227" s="290"/>
      <c r="AE227" s="290"/>
      <c r="AF227" s="290"/>
      <c r="AG227" s="290"/>
      <c r="AH227" s="290"/>
      <c r="AI227" s="290"/>
      <c r="AJ227" s="290"/>
      <c r="AK227" s="290"/>
      <c r="AL227" s="290"/>
      <c r="AM227" s="290"/>
      <c r="AN227" s="290"/>
      <c r="AO227" s="290"/>
      <c r="AP227" s="290"/>
      <c r="AQ227" s="373" t="s">
        <v>1050</v>
      </c>
      <c r="AR227" s="307" t="s">
        <v>1051</v>
      </c>
      <c r="AS227" s="291"/>
      <c r="AT227" s="291"/>
      <c r="AU227" s="290"/>
      <c r="AV227" s="290"/>
      <c r="AW227" s="290"/>
      <c r="AX227" s="290"/>
      <c r="AY227" s="290"/>
      <c r="AZ227" s="290"/>
      <c r="BA227" s="290"/>
      <c r="BB227" s="290"/>
    </row>
    <row r="228" spans="1:54" ht="21" x14ac:dyDescent="0.25">
      <c r="A228" s="290"/>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c r="AF228" s="290"/>
      <c r="AG228" s="290"/>
      <c r="AH228" s="290"/>
      <c r="AI228" s="290"/>
      <c r="AJ228" s="290"/>
      <c r="AK228" s="290"/>
      <c r="AL228" s="290"/>
      <c r="AM228" s="290"/>
      <c r="AN228" s="290"/>
      <c r="AO228" s="290"/>
      <c r="AP228" s="290"/>
      <c r="AQ228" s="373" t="s">
        <v>1052</v>
      </c>
      <c r="AR228" s="378" t="s">
        <v>1053</v>
      </c>
      <c r="AS228" s="291"/>
      <c r="AT228" s="291"/>
      <c r="AU228" s="290"/>
      <c r="AV228" s="290"/>
      <c r="AW228" s="290"/>
      <c r="AX228" s="290"/>
      <c r="AY228" s="290"/>
      <c r="AZ228" s="290"/>
      <c r="BA228" s="290"/>
      <c r="BB228" s="290"/>
    </row>
    <row r="229" spans="1:54" x14ac:dyDescent="0.25">
      <c r="A229" s="290"/>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c r="AE229" s="290"/>
      <c r="AF229" s="290"/>
      <c r="AG229" s="290"/>
      <c r="AH229" s="290"/>
      <c r="AI229" s="290"/>
      <c r="AJ229" s="290"/>
      <c r="AK229" s="290"/>
      <c r="AL229" s="290"/>
      <c r="AM229" s="290"/>
      <c r="AN229" s="290"/>
      <c r="AO229" s="290"/>
      <c r="AP229" s="290"/>
      <c r="AQ229" s="383"/>
      <c r="AR229" s="383"/>
      <c r="AS229" s="291"/>
      <c r="AT229" s="291"/>
      <c r="AU229" s="290"/>
      <c r="AV229" s="290"/>
      <c r="AW229" s="290"/>
      <c r="AX229" s="290"/>
      <c r="AY229" s="290"/>
      <c r="AZ229" s="290"/>
      <c r="BA229" s="290"/>
      <c r="BB229" s="290"/>
    </row>
    <row r="230" spans="1:54" ht="21" x14ac:dyDescent="0.25">
      <c r="A230" s="290"/>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c r="AA230" s="290"/>
      <c r="AB230" s="290"/>
      <c r="AC230" s="290"/>
      <c r="AD230" s="290"/>
      <c r="AE230" s="290"/>
      <c r="AF230" s="290"/>
      <c r="AG230" s="290"/>
      <c r="AH230" s="290"/>
      <c r="AI230" s="290"/>
      <c r="AJ230" s="290"/>
      <c r="AK230" s="290"/>
      <c r="AL230" s="290"/>
      <c r="AM230" s="290"/>
      <c r="AN230" s="290"/>
      <c r="AO230" s="290"/>
      <c r="AP230" s="290"/>
      <c r="AQ230" s="373" t="s">
        <v>1054</v>
      </c>
      <c r="AR230" s="307" t="s">
        <v>968</v>
      </c>
      <c r="AS230" s="291"/>
      <c r="AT230" s="291"/>
      <c r="AU230" s="290"/>
      <c r="AV230" s="290"/>
      <c r="AW230" s="290"/>
      <c r="AX230" s="290"/>
      <c r="AY230" s="290"/>
      <c r="AZ230" s="290"/>
      <c r="BA230" s="290"/>
      <c r="BB230" s="290"/>
    </row>
    <row r="231" spans="1:54" x14ac:dyDescent="0.25">
      <c r="A231" s="290"/>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90"/>
      <c r="AE231" s="290"/>
      <c r="AF231" s="290"/>
      <c r="AG231" s="290"/>
      <c r="AH231" s="290"/>
      <c r="AI231" s="290"/>
      <c r="AJ231" s="290"/>
      <c r="AK231" s="290"/>
      <c r="AL231" s="290"/>
      <c r="AM231" s="290"/>
      <c r="AN231" s="290"/>
      <c r="AO231" s="290"/>
      <c r="AP231" s="290"/>
      <c r="AQ231" s="383"/>
      <c r="AR231" s="383"/>
      <c r="AS231" s="291"/>
      <c r="AT231" s="291"/>
      <c r="AU231" s="290"/>
      <c r="AV231" s="290"/>
      <c r="AW231" s="290"/>
      <c r="AX231" s="290"/>
      <c r="AY231" s="290"/>
      <c r="AZ231" s="290"/>
      <c r="BA231" s="290"/>
      <c r="BB231" s="290"/>
    </row>
    <row r="232" spans="1:54" ht="21" x14ac:dyDescent="0.25">
      <c r="A232" s="290"/>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290"/>
      <c r="AE232" s="290"/>
      <c r="AF232" s="290"/>
      <c r="AG232" s="290"/>
      <c r="AH232" s="290"/>
      <c r="AI232" s="290"/>
      <c r="AJ232" s="290"/>
      <c r="AK232" s="290"/>
      <c r="AL232" s="290"/>
      <c r="AM232" s="290"/>
      <c r="AN232" s="290"/>
      <c r="AO232" s="290"/>
      <c r="AP232" s="290"/>
      <c r="AQ232" s="373" t="s">
        <v>1055</v>
      </c>
      <c r="AR232" s="378" t="s">
        <v>1056</v>
      </c>
      <c r="AS232" s="291"/>
      <c r="AT232" s="291"/>
      <c r="AU232" s="290"/>
      <c r="AV232" s="290"/>
      <c r="AW232" s="290"/>
      <c r="AX232" s="290"/>
      <c r="AY232" s="290"/>
      <c r="AZ232" s="290"/>
      <c r="BA232" s="290"/>
      <c r="BB232" s="290"/>
    </row>
    <row r="233" spans="1:54" x14ac:dyDescent="0.25">
      <c r="A233" s="290"/>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c r="AE233" s="290"/>
      <c r="AF233" s="290"/>
      <c r="AG233" s="290"/>
      <c r="AH233" s="290"/>
      <c r="AI233" s="290"/>
      <c r="AJ233" s="290"/>
      <c r="AK233" s="290"/>
      <c r="AL233" s="290"/>
      <c r="AM233" s="290"/>
      <c r="AN233" s="290"/>
      <c r="AO233" s="290"/>
      <c r="AP233" s="290"/>
      <c r="AQ233" s="383"/>
      <c r="AR233" s="383"/>
      <c r="AS233" s="291"/>
      <c r="AT233" s="291"/>
      <c r="AU233" s="290"/>
      <c r="AV233" s="290"/>
      <c r="AW233" s="290"/>
      <c r="AX233" s="290"/>
      <c r="AY233" s="290"/>
      <c r="AZ233" s="290"/>
      <c r="BA233" s="290"/>
      <c r="BB233" s="290"/>
    </row>
    <row r="234" spans="1:54" ht="21" x14ac:dyDescent="0.25">
      <c r="A234" s="290"/>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90"/>
      <c r="AE234" s="290"/>
      <c r="AF234" s="290"/>
      <c r="AG234" s="290"/>
      <c r="AH234" s="290"/>
      <c r="AI234" s="290"/>
      <c r="AJ234" s="290"/>
      <c r="AK234" s="290"/>
      <c r="AL234" s="290"/>
      <c r="AM234" s="290"/>
      <c r="AN234" s="290"/>
      <c r="AO234" s="290"/>
      <c r="AP234" s="290"/>
      <c r="AQ234" s="373" t="s">
        <v>1057</v>
      </c>
      <c r="AR234" s="307" t="s">
        <v>972</v>
      </c>
      <c r="AS234" s="291"/>
      <c r="AT234" s="291"/>
      <c r="AU234" s="290"/>
      <c r="AV234" s="290"/>
      <c r="AW234" s="290"/>
      <c r="AX234" s="290"/>
      <c r="AY234" s="290"/>
      <c r="AZ234" s="290"/>
      <c r="BA234" s="290"/>
      <c r="BB234" s="290"/>
    </row>
    <row r="235" spans="1:54" ht="21" x14ac:dyDescent="0.25">
      <c r="A235" s="290"/>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90"/>
      <c r="AE235" s="290"/>
      <c r="AF235" s="290"/>
      <c r="AG235" s="290"/>
      <c r="AH235" s="290"/>
      <c r="AI235" s="290"/>
      <c r="AJ235" s="290"/>
      <c r="AK235" s="290"/>
      <c r="AL235" s="290"/>
      <c r="AM235" s="290"/>
      <c r="AN235" s="290"/>
      <c r="AO235" s="290"/>
      <c r="AP235" s="290"/>
      <c r="AQ235" s="373" t="s">
        <v>1058</v>
      </c>
      <c r="AR235" s="373" t="s">
        <v>1059</v>
      </c>
      <c r="AS235" s="291"/>
      <c r="AT235" s="291"/>
      <c r="AU235" s="290"/>
      <c r="AV235" s="290"/>
      <c r="AW235" s="290"/>
      <c r="AX235" s="290"/>
      <c r="AY235" s="290"/>
      <c r="AZ235" s="290"/>
      <c r="BA235" s="290"/>
      <c r="BB235" s="290"/>
    </row>
    <row r="236" spans="1:54" ht="31.5" x14ac:dyDescent="0.25">
      <c r="A236" s="290"/>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c r="AA236" s="290"/>
      <c r="AB236" s="290"/>
      <c r="AC236" s="290"/>
      <c r="AD236" s="290"/>
      <c r="AE236" s="290"/>
      <c r="AF236" s="290"/>
      <c r="AG236" s="290"/>
      <c r="AH236" s="290"/>
      <c r="AI236" s="290"/>
      <c r="AJ236" s="290"/>
      <c r="AK236" s="290"/>
      <c r="AL236" s="290"/>
      <c r="AM236" s="290"/>
      <c r="AN236" s="290"/>
      <c r="AO236" s="290"/>
      <c r="AP236" s="290"/>
      <c r="AQ236" s="373" t="s">
        <v>1060</v>
      </c>
      <c r="AR236" s="378" t="s">
        <v>1061</v>
      </c>
      <c r="AS236" s="291"/>
      <c r="AT236" s="291"/>
      <c r="AU236" s="290"/>
      <c r="AV236" s="290"/>
      <c r="AW236" s="290"/>
      <c r="AX236" s="290"/>
      <c r="AY236" s="290"/>
      <c r="AZ236" s="290"/>
      <c r="BA236" s="290"/>
      <c r="BB236" s="290"/>
    </row>
    <row r="237" spans="1:54" ht="21" x14ac:dyDescent="0.25">
      <c r="A237" s="290"/>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c r="AA237" s="290"/>
      <c r="AB237" s="290"/>
      <c r="AC237" s="290"/>
      <c r="AD237" s="290"/>
      <c r="AE237" s="290"/>
      <c r="AF237" s="290"/>
      <c r="AG237" s="290"/>
      <c r="AH237" s="290"/>
      <c r="AI237" s="290"/>
      <c r="AJ237" s="290"/>
      <c r="AK237" s="290"/>
      <c r="AL237" s="290"/>
      <c r="AM237" s="290"/>
      <c r="AN237" s="290"/>
      <c r="AO237" s="290"/>
      <c r="AP237" s="290"/>
      <c r="AQ237" s="373" t="s">
        <v>1062</v>
      </c>
      <c r="AR237" s="307" t="s">
        <v>1007</v>
      </c>
      <c r="AS237" s="291"/>
      <c r="AT237" s="291"/>
      <c r="AU237" s="290"/>
      <c r="AV237" s="290"/>
      <c r="AW237" s="290"/>
      <c r="AX237" s="290"/>
      <c r="AY237" s="290"/>
      <c r="AZ237" s="290"/>
      <c r="BA237" s="290"/>
      <c r="BB237" s="290"/>
    </row>
    <row r="238" spans="1:54" ht="21" x14ac:dyDescent="0.25">
      <c r="A238" s="290"/>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c r="AA238" s="290"/>
      <c r="AB238" s="290"/>
      <c r="AC238" s="290"/>
      <c r="AD238" s="290"/>
      <c r="AE238" s="290"/>
      <c r="AF238" s="290"/>
      <c r="AG238" s="290"/>
      <c r="AH238" s="290"/>
      <c r="AI238" s="290"/>
      <c r="AJ238" s="290"/>
      <c r="AK238" s="290"/>
      <c r="AL238" s="290"/>
      <c r="AM238" s="290"/>
      <c r="AN238" s="290"/>
      <c r="AO238" s="290"/>
      <c r="AP238" s="290"/>
      <c r="AQ238" s="373" t="s">
        <v>1063</v>
      </c>
      <c r="AR238" s="307" t="s">
        <v>962</v>
      </c>
      <c r="AS238" s="291"/>
      <c r="AT238" s="291"/>
      <c r="AU238" s="290"/>
      <c r="AV238" s="290"/>
      <c r="AW238" s="290"/>
      <c r="AX238" s="290"/>
      <c r="AY238" s="290"/>
      <c r="AZ238" s="290"/>
      <c r="BA238" s="290"/>
      <c r="BB238" s="290"/>
    </row>
    <row r="239" spans="1:54" x14ac:dyDescent="0.25">
      <c r="A239" s="290"/>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c r="AA239" s="290"/>
      <c r="AB239" s="290"/>
      <c r="AC239" s="290"/>
      <c r="AD239" s="290"/>
      <c r="AE239" s="290"/>
      <c r="AF239" s="290"/>
      <c r="AG239" s="290"/>
      <c r="AH239" s="290"/>
      <c r="AI239" s="290"/>
      <c r="AJ239" s="290"/>
      <c r="AK239" s="290"/>
      <c r="AL239" s="290"/>
      <c r="AM239" s="290"/>
      <c r="AN239" s="290"/>
      <c r="AO239" s="290"/>
      <c r="AP239" s="290"/>
      <c r="AQ239" s="383"/>
      <c r="AR239" s="383"/>
      <c r="AS239" s="291"/>
      <c r="AT239" s="291"/>
      <c r="AU239" s="290"/>
      <c r="AV239" s="290"/>
      <c r="AW239" s="290"/>
      <c r="AX239" s="290"/>
      <c r="AY239" s="290"/>
      <c r="AZ239" s="290"/>
      <c r="BA239" s="290"/>
      <c r="BB239" s="290"/>
    </row>
    <row r="240" spans="1:54" ht="21" x14ac:dyDescent="0.25">
      <c r="A240" s="290"/>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c r="AA240" s="290"/>
      <c r="AB240" s="290"/>
      <c r="AC240" s="290"/>
      <c r="AD240" s="290"/>
      <c r="AE240" s="290"/>
      <c r="AF240" s="290"/>
      <c r="AG240" s="290"/>
      <c r="AH240" s="290"/>
      <c r="AI240" s="290"/>
      <c r="AJ240" s="290"/>
      <c r="AK240" s="290"/>
      <c r="AL240" s="290"/>
      <c r="AM240" s="290"/>
      <c r="AN240" s="290"/>
      <c r="AO240" s="290"/>
      <c r="AP240" s="290"/>
      <c r="AQ240" s="373" t="s">
        <v>1064</v>
      </c>
      <c r="AR240" s="307" t="s">
        <v>1065</v>
      </c>
      <c r="AS240" s="291"/>
      <c r="AT240" s="291"/>
      <c r="AU240" s="290"/>
      <c r="AV240" s="290"/>
      <c r="AW240" s="290"/>
      <c r="AX240" s="290"/>
      <c r="AY240" s="290"/>
      <c r="AZ240" s="290"/>
      <c r="BA240" s="290"/>
      <c r="BB240" s="290"/>
    </row>
    <row r="241" spans="1:54" ht="21" x14ac:dyDescent="0.25">
      <c r="A241" s="290"/>
      <c r="B241" s="290"/>
      <c r="C241" s="290"/>
      <c r="D241" s="290"/>
      <c r="E241" s="290"/>
      <c r="F241" s="290"/>
      <c r="G241" s="290"/>
      <c r="H241" s="290"/>
      <c r="I241" s="290"/>
      <c r="J241" s="290"/>
      <c r="K241" s="290"/>
      <c r="L241" s="290"/>
      <c r="M241" s="290"/>
      <c r="N241" s="290"/>
      <c r="O241" s="290"/>
      <c r="P241" s="290"/>
      <c r="Q241" s="290"/>
      <c r="R241" s="290"/>
      <c r="S241" s="290"/>
      <c r="T241" s="290"/>
      <c r="U241" s="290"/>
      <c r="V241" s="290"/>
      <c r="W241" s="290"/>
      <c r="X241" s="290"/>
      <c r="Y241" s="290"/>
      <c r="Z241" s="290"/>
      <c r="AA241" s="290"/>
      <c r="AB241" s="290"/>
      <c r="AC241" s="290"/>
      <c r="AD241" s="290"/>
      <c r="AE241" s="290"/>
      <c r="AF241" s="290"/>
      <c r="AG241" s="290"/>
      <c r="AH241" s="290"/>
      <c r="AI241" s="290"/>
      <c r="AJ241" s="290"/>
      <c r="AK241" s="290"/>
      <c r="AL241" s="290"/>
      <c r="AM241" s="290"/>
      <c r="AN241" s="290"/>
      <c r="AO241" s="290"/>
      <c r="AP241" s="290"/>
      <c r="AQ241" s="383"/>
      <c r="AR241" s="373" t="s">
        <v>1066</v>
      </c>
      <c r="AS241" s="291"/>
      <c r="AT241" s="291"/>
      <c r="AU241" s="290"/>
      <c r="AV241" s="290"/>
      <c r="AW241" s="290"/>
      <c r="AX241" s="290"/>
      <c r="AY241" s="290"/>
      <c r="AZ241" s="290"/>
      <c r="BA241" s="290"/>
      <c r="BB241" s="290"/>
    </row>
    <row r="242" spans="1:54" x14ac:dyDescent="0.25">
      <c r="A242" s="290"/>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c r="AE242" s="290"/>
      <c r="AF242" s="290"/>
      <c r="AG242" s="290"/>
      <c r="AH242" s="290"/>
      <c r="AI242" s="290"/>
      <c r="AJ242" s="290"/>
      <c r="AK242" s="290"/>
      <c r="AL242" s="290"/>
      <c r="AM242" s="290"/>
      <c r="AN242" s="290"/>
      <c r="AO242" s="290"/>
      <c r="AP242" s="290"/>
      <c r="AQ242" s="373" t="s">
        <v>1067</v>
      </c>
      <c r="AR242" s="307" t="s">
        <v>1068</v>
      </c>
      <c r="AS242" s="291"/>
      <c r="AT242" s="291"/>
      <c r="AU242" s="290"/>
      <c r="AV242" s="290"/>
      <c r="AW242" s="290"/>
      <c r="AX242" s="290"/>
      <c r="AY242" s="290"/>
      <c r="AZ242" s="290"/>
      <c r="BA242" s="290"/>
      <c r="BB242" s="290"/>
    </row>
    <row r="243" spans="1:54" ht="21" x14ac:dyDescent="0.25">
      <c r="A243" s="290"/>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c r="AA243" s="290"/>
      <c r="AB243" s="290"/>
      <c r="AC243" s="290"/>
      <c r="AD243" s="290"/>
      <c r="AE243" s="290"/>
      <c r="AF243" s="290"/>
      <c r="AG243" s="290"/>
      <c r="AH243" s="290"/>
      <c r="AI243" s="290"/>
      <c r="AJ243" s="290"/>
      <c r="AK243" s="290"/>
      <c r="AL243" s="290"/>
      <c r="AM243" s="290"/>
      <c r="AN243" s="290"/>
      <c r="AO243" s="290"/>
      <c r="AP243" s="290"/>
      <c r="AQ243" s="373" t="s">
        <v>1069</v>
      </c>
      <c r="AR243" s="307" t="s">
        <v>1070</v>
      </c>
      <c r="AS243" s="291"/>
      <c r="AT243" s="291"/>
      <c r="AU243" s="290"/>
      <c r="AV243" s="290"/>
      <c r="AW243" s="290"/>
      <c r="AX243" s="290"/>
      <c r="AY243" s="290"/>
      <c r="AZ243" s="290"/>
      <c r="BA243" s="290"/>
      <c r="BB243" s="290"/>
    </row>
    <row r="244" spans="1:54" ht="21" x14ac:dyDescent="0.25">
      <c r="A244" s="290"/>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c r="AE244" s="290"/>
      <c r="AF244" s="290"/>
      <c r="AG244" s="290"/>
      <c r="AH244" s="290"/>
      <c r="AI244" s="290"/>
      <c r="AJ244" s="290"/>
      <c r="AK244" s="290"/>
      <c r="AL244" s="290"/>
      <c r="AM244" s="290"/>
      <c r="AN244" s="290"/>
      <c r="AO244" s="290"/>
      <c r="AP244" s="290"/>
      <c r="AQ244" s="373" t="s">
        <v>1071</v>
      </c>
      <c r="AR244" s="307" t="s">
        <v>1072</v>
      </c>
      <c r="AS244" s="291"/>
      <c r="AT244" s="291"/>
      <c r="AU244" s="290"/>
      <c r="AV244" s="290"/>
      <c r="AW244" s="290"/>
      <c r="AX244" s="290"/>
      <c r="AY244" s="290"/>
      <c r="AZ244" s="290"/>
      <c r="BA244" s="290"/>
      <c r="BB244" s="290"/>
    </row>
    <row r="245" spans="1:54" x14ac:dyDescent="0.25">
      <c r="A245" s="290"/>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90"/>
      <c r="AE245" s="290"/>
      <c r="AF245" s="290"/>
      <c r="AG245" s="290"/>
      <c r="AH245" s="290"/>
      <c r="AI245" s="290"/>
      <c r="AJ245" s="290"/>
      <c r="AK245" s="290"/>
      <c r="AL245" s="290"/>
      <c r="AM245" s="290"/>
      <c r="AN245" s="290"/>
      <c r="AO245" s="290"/>
      <c r="AP245" s="290"/>
      <c r="AQ245" s="383"/>
      <c r="AR245" s="383"/>
      <c r="AS245" s="291"/>
      <c r="AT245" s="291"/>
      <c r="AU245" s="290"/>
      <c r="AV245" s="290"/>
      <c r="AW245" s="290"/>
      <c r="AX245" s="290"/>
      <c r="AY245" s="290"/>
      <c r="AZ245" s="290"/>
      <c r="BA245" s="290"/>
      <c r="BB245" s="290"/>
    </row>
    <row r="246" spans="1:54" ht="21" x14ac:dyDescent="0.25">
      <c r="A246" s="290"/>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290"/>
      <c r="AE246" s="290"/>
      <c r="AF246" s="290"/>
      <c r="AG246" s="290"/>
      <c r="AH246" s="290"/>
      <c r="AI246" s="290"/>
      <c r="AJ246" s="290"/>
      <c r="AK246" s="290"/>
      <c r="AL246" s="290"/>
      <c r="AM246" s="290"/>
      <c r="AN246" s="290"/>
      <c r="AO246" s="290"/>
      <c r="AP246" s="290"/>
      <c r="AQ246" s="373" t="s">
        <v>1073</v>
      </c>
      <c r="AR246" s="307" t="s">
        <v>1010</v>
      </c>
      <c r="AS246" s="291"/>
      <c r="AT246" s="291"/>
      <c r="AU246" s="290"/>
      <c r="AV246" s="290"/>
      <c r="AW246" s="290"/>
      <c r="AX246" s="290"/>
      <c r="AY246" s="290"/>
      <c r="AZ246" s="290"/>
      <c r="BA246" s="290"/>
      <c r="BB246" s="290"/>
    </row>
    <row r="247" spans="1:54" ht="21" x14ac:dyDescent="0.25">
      <c r="A247" s="290"/>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290"/>
      <c r="AE247" s="290"/>
      <c r="AF247" s="290"/>
      <c r="AG247" s="290"/>
      <c r="AH247" s="290"/>
      <c r="AI247" s="290"/>
      <c r="AJ247" s="290"/>
      <c r="AK247" s="290"/>
      <c r="AL247" s="290"/>
      <c r="AM247" s="290"/>
      <c r="AN247" s="290"/>
      <c r="AO247" s="290"/>
      <c r="AP247" s="290"/>
      <c r="AQ247" s="373" t="s">
        <v>1074</v>
      </c>
      <c r="AR247" s="307" t="s">
        <v>1024</v>
      </c>
      <c r="AS247" s="291"/>
      <c r="AT247" s="291"/>
      <c r="AU247" s="290"/>
      <c r="AV247" s="290"/>
      <c r="AW247" s="290"/>
      <c r="AX247" s="290"/>
      <c r="AY247" s="290"/>
      <c r="AZ247" s="290"/>
      <c r="BA247" s="290"/>
      <c r="BB247" s="290"/>
    </row>
    <row r="248" spans="1:54" ht="21" x14ac:dyDescent="0.25">
      <c r="A248" s="290"/>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290"/>
      <c r="AE248" s="290"/>
      <c r="AF248" s="290"/>
      <c r="AG248" s="290"/>
      <c r="AH248" s="290"/>
      <c r="AI248" s="290"/>
      <c r="AJ248" s="290"/>
      <c r="AK248" s="290"/>
      <c r="AL248" s="290"/>
      <c r="AM248" s="290"/>
      <c r="AN248" s="290"/>
      <c r="AO248" s="290"/>
      <c r="AP248" s="290"/>
      <c r="AQ248" s="373" t="s">
        <v>1075</v>
      </c>
      <c r="AR248" s="307" t="s">
        <v>1076</v>
      </c>
      <c r="AS248" s="291"/>
      <c r="AT248" s="291"/>
      <c r="AU248" s="290"/>
      <c r="AV248" s="290"/>
      <c r="AW248" s="290"/>
      <c r="AX248" s="290"/>
      <c r="AY248" s="290"/>
      <c r="AZ248" s="290"/>
      <c r="BA248" s="290"/>
      <c r="BB248" s="290"/>
    </row>
    <row r="249" spans="1:54" ht="21" x14ac:dyDescent="0.25">
      <c r="A249" s="290"/>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c r="AE249" s="290"/>
      <c r="AF249" s="290"/>
      <c r="AG249" s="290"/>
      <c r="AH249" s="290"/>
      <c r="AI249" s="290"/>
      <c r="AJ249" s="290"/>
      <c r="AK249" s="290"/>
      <c r="AL249" s="290"/>
      <c r="AM249" s="290"/>
      <c r="AN249" s="290"/>
      <c r="AO249" s="290"/>
      <c r="AP249" s="290"/>
      <c r="AQ249" s="373" t="s">
        <v>1077</v>
      </c>
      <c r="AR249" s="307" t="s">
        <v>1078</v>
      </c>
      <c r="AS249" s="291"/>
      <c r="AT249" s="291"/>
      <c r="AU249" s="290"/>
      <c r="AV249" s="290"/>
      <c r="AW249" s="290"/>
      <c r="AX249" s="290"/>
      <c r="AY249" s="290"/>
      <c r="AZ249" s="290"/>
      <c r="BA249" s="290"/>
      <c r="BB249" s="290"/>
    </row>
    <row r="250" spans="1:54" x14ac:dyDescent="0.25">
      <c r="A250" s="290"/>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c r="AE250" s="290"/>
      <c r="AF250" s="290"/>
      <c r="AG250" s="290"/>
      <c r="AH250" s="290"/>
      <c r="AI250" s="290"/>
      <c r="AJ250" s="290"/>
      <c r="AK250" s="290"/>
      <c r="AL250" s="290"/>
      <c r="AM250" s="290"/>
      <c r="AN250" s="290"/>
      <c r="AO250" s="290"/>
      <c r="AP250" s="290"/>
      <c r="AQ250" s="383"/>
      <c r="AR250" s="383"/>
      <c r="AS250" s="291"/>
      <c r="AT250" s="291"/>
      <c r="AU250" s="290"/>
      <c r="AV250" s="290"/>
      <c r="AW250" s="290"/>
      <c r="AX250" s="290"/>
      <c r="AY250" s="290"/>
      <c r="AZ250" s="290"/>
      <c r="BA250" s="290"/>
      <c r="BB250" s="290"/>
    </row>
    <row r="251" spans="1:54" x14ac:dyDescent="0.25">
      <c r="A251" s="290"/>
      <c r="B251" s="290"/>
      <c r="C251" s="290"/>
      <c r="D251" s="290"/>
      <c r="E251" s="290"/>
      <c r="F251" s="290"/>
      <c r="G251" s="290"/>
      <c r="H251" s="290"/>
      <c r="I251" s="290"/>
      <c r="J251" s="290"/>
      <c r="K251" s="290"/>
      <c r="L251" s="290"/>
      <c r="M251" s="290"/>
      <c r="N251" s="290"/>
      <c r="O251" s="290"/>
      <c r="P251" s="290"/>
      <c r="Q251" s="290"/>
      <c r="R251" s="290"/>
      <c r="S251" s="290"/>
      <c r="T251" s="290"/>
      <c r="U251" s="290"/>
      <c r="V251" s="290"/>
      <c r="W251" s="290"/>
      <c r="X251" s="290"/>
      <c r="Y251" s="290"/>
      <c r="Z251" s="290"/>
      <c r="AA251" s="290"/>
      <c r="AB251" s="290"/>
      <c r="AC251" s="290"/>
      <c r="AD251" s="290"/>
      <c r="AE251" s="290"/>
      <c r="AF251" s="290"/>
      <c r="AG251" s="290"/>
      <c r="AH251" s="290"/>
      <c r="AI251" s="290"/>
      <c r="AJ251" s="290"/>
      <c r="AK251" s="290"/>
      <c r="AL251" s="290"/>
      <c r="AM251" s="290"/>
      <c r="AN251" s="290"/>
      <c r="AO251" s="290"/>
      <c r="AP251" s="290"/>
      <c r="AQ251" s="373" t="s">
        <v>1079</v>
      </c>
      <c r="AR251" s="307" t="s">
        <v>1013</v>
      </c>
      <c r="AS251" s="291"/>
      <c r="AT251" s="291"/>
      <c r="AU251" s="290"/>
      <c r="AV251" s="290"/>
      <c r="AW251" s="290"/>
      <c r="AX251" s="290"/>
      <c r="AY251" s="290"/>
      <c r="AZ251" s="290"/>
      <c r="BA251" s="290"/>
      <c r="BB251" s="290"/>
    </row>
    <row r="252" spans="1:54" x14ac:dyDescent="0.25">
      <c r="A252" s="290"/>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290"/>
      <c r="AE252" s="290"/>
      <c r="AF252" s="290"/>
      <c r="AG252" s="290"/>
      <c r="AH252" s="290"/>
      <c r="AI252" s="290"/>
      <c r="AJ252" s="290"/>
      <c r="AK252" s="290"/>
      <c r="AL252" s="290"/>
      <c r="AM252" s="290"/>
      <c r="AN252" s="290"/>
      <c r="AO252" s="290"/>
      <c r="AP252" s="290"/>
      <c r="AQ252" s="373" t="s">
        <v>1080</v>
      </c>
      <c r="AR252" s="307" t="s">
        <v>988</v>
      </c>
      <c r="AS252" s="291"/>
      <c r="AT252" s="291"/>
      <c r="AU252" s="290"/>
      <c r="AV252" s="290"/>
      <c r="AW252" s="290"/>
      <c r="AX252" s="290"/>
      <c r="AY252" s="290"/>
      <c r="AZ252" s="290"/>
      <c r="BA252" s="290"/>
      <c r="BB252" s="290"/>
    </row>
    <row r="253" spans="1:54" ht="21" x14ac:dyDescent="0.25">
      <c r="A253" s="290"/>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c r="AE253" s="290"/>
      <c r="AF253" s="290"/>
      <c r="AG253" s="290"/>
      <c r="AH253" s="290"/>
      <c r="AI253" s="290"/>
      <c r="AJ253" s="290"/>
      <c r="AK253" s="290"/>
      <c r="AL253" s="290"/>
      <c r="AM253" s="290"/>
      <c r="AN253" s="290"/>
      <c r="AO253" s="290"/>
      <c r="AP253" s="290"/>
      <c r="AQ253" s="373" t="s">
        <v>1081</v>
      </c>
      <c r="AR253" s="307" t="s">
        <v>1082</v>
      </c>
      <c r="AS253" s="291"/>
      <c r="AT253" s="291"/>
      <c r="AU253" s="290"/>
      <c r="AV253" s="290"/>
      <c r="AW253" s="290"/>
      <c r="AX253" s="290"/>
      <c r="AY253" s="290"/>
      <c r="AZ253" s="290"/>
      <c r="BA253" s="290"/>
      <c r="BB253" s="290"/>
    </row>
    <row r="254" spans="1:54" ht="21" x14ac:dyDescent="0.25">
      <c r="A254" s="290"/>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c r="AE254" s="290"/>
      <c r="AF254" s="290"/>
      <c r="AG254" s="290"/>
      <c r="AH254" s="290"/>
      <c r="AI254" s="290"/>
      <c r="AJ254" s="290"/>
      <c r="AK254" s="290"/>
      <c r="AL254" s="290"/>
      <c r="AM254" s="290"/>
      <c r="AN254" s="290"/>
      <c r="AO254" s="290"/>
      <c r="AP254" s="290"/>
      <c r="AQ254" s="373" t="s">
        <v>1083</v>
      </c>
      <c r="AR254" s="307" t="s">
        <v>1084</v>
      </c>
      <c r="AS254" s="291"/>
      <c r="AT254" s="291"/>
      <c r="AU254" s="290"/>
      <c r="AV254" s="290"/>
      <c r="AW254" s="290"/>
      <c r="AX254" s="290"/>
      <c r="AY254" s="290"/>
      <c r="AZ254" s="290"/>
      <c r="BA254" s="290"/>
      <c r="BB254" s="290"/>
    </row>
    <row r="255" spans="1:54" ht="21" x14ac:dyDescent="0.25">
      <c r="A255" s="290"/>
      <c r="B255" s="290"/>
      <c r="C255" s="290"/>
      <c r="D255" s="290"/>
      <c r="E255" s="290"/>
      <c r="F255" s="290"/>
      <c r="G255" s="290"/>
      <c r="H255" s="290"/>
      <c r="I255" s="290"/>
      <c r="J255" s="290"/>
      <c r="K255" s="290"/>
      <c r="L255" s="290"/>
      <c r="M255" s="290"/>
      <c r="N255" s="290"/>
      <c r="O255" s="290"/>
      <c r="P255" s="290"/>
      <c r="Q255" s="290"/>
      <c r="R255" s="290"/>
      <c r="S255" s="290"/>
      <c r="T255" s="290"/>
      <c r="U255" s="290"/>
      <c r="V255" s="290"/>
      <c r="W255" s="290"/>
      <c r="X255" s="290"/>
      <c r="Y255" s="290"/>
      <c r="Z255" s="290"/>
      <c r="AA255" s="290"/>
      <c r="AB255" s="290"/>
      <c r="AC255" s="290"/>
      <c r="AD255" s="290"/>
      <c r="AE255" s="290"/>
      <c r="AF255" s="290"/>
      <c r="AG255" s="290"/>
      <c r="AH255" s="290"/>
      <c r="AI255" s="290"/>
      <c r="AJ255" s="290"/>
      <c r="AK255" s="290"/>
      <c r="AL255" s="290"/>
      <c r="AM255" s="290"/>
      <c r="AN255" s="290"/>
      <c r="AO255" s="290"/>
      <c r="AP255" s="290"/>
      <c r="AQ255" s="373" t="s">
        <v>1085</v>
      </c>
      <c r="AR255" s="307" t="s">
        <v>1005</v>
      </c>
      <c r="AS255" s="291"/>
      <c r="AT255" s="291"/>
      <c r="AU255" s="290"/>
      <c r="AV255" s="290"/>
      <c r="AW255" s="290"/>
      <c r="AX255" s="290"/>
      <c r="AY255" s="290"/>
      <c r="AZ255" s="290"/>
      <c r="BA255" s="290"/>
      <c r="BB255" s="290"/>
    </row>
    <row r="256" spans="1:54" ht="21" x14ac:dyDescent="0.25">
      <c r="A256" s="290"/>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373" t="s">
        <v>1086</v>
      </c>
      <c r="AR256" s="307" t="s">
        <v>1045</v>
      </c>
      <c r="AS256" s="291"/>
      <c r="AT256" s="291"/>
      <c r="AU256" s="290"/>
      <c r="AV256" s="290"/>
      <c r="AW256" s="290"/>
      <c r="AX256" s="290"/>
      <c r="AY256" s="290"/>
      <c r="AZ256" s="290"/>
      <c r="BA256" s="290"/>
      <c r="BB256" s="290"/>
    </row>
    <row r="257" spans="1:54" x14ac:dyDescent="0.25">
      <c r="A257" s="290"/>
      <c r="B257" s="290"/>
      <c r="C257" s="290"/>
      <c r="D257" s="290"/>
      <c r="E257" s="290"/>
      <c r="F257" s="290"/>
      <c r="G257" s="290"/>
      <c r="H257" s="290"/>
      <c r="I257" s="290"/>
      <c r="J257" s="290"/>
      <c r="K257" s="290"/>
      <c r="L257" s="290"/>
      <c r="M257" s="290"/>
      <c r="N257" s="290"/>
      <c r="O257" s="290"/>
      <c r="P257" s="290"/>
      <c r="Q257" s="290"/>
      <c r="R257" s="290"/>
      <c r="S257" s="290"/>
      <c r="T257" s="290"/>
      <c r="U257" s="290"/>
      <c r="V257" s="290"/>
      <c r="W257" s="290"/>
      <c r="X257" s="290"/>
      <c r="Y257" s="290"/>
      <c r="Z257" s="290"/>
      <c r="AA257" s="290"/>
      <c r="AB257" s="290"/>
      <c r="AC257" s="290"/>
      <c r="AD257" s="290"/>
      <c r="AE257" s="290"/>
      <c r="AF257" s="290"/>
      <c r="AG257" s="290"/>
      <c r="AH257" s="290"/>
      <c r="AI257" s="290"/>
      <c r="AJ257" s="290"/>
      <c r="AK257" s="290"/>
      <c r="AL257" s="290"/>
      <c r="AM257" s="290"/>
      <c r="AN257" s="290"/>
      <c r="AO257" s="290"/>
      <c r="AP257" s="290"/>
      <c r="AQ257" s="373" t="s">
        <v>1087</v>
      </c>
      <c r="AR257" s="307" t="s">
        <v>1088</v>
      </c>
      <c r="AS257" s="291"/>
      <c r="AT257" s="291"/>
      <c r="AU257" s="290"/>
      <c r="AV257" s="290"/>
      <c r="AW257" s="290"/>
      <c r="AX257" s="290"/>
      <c r="AY257" s="290"/>
      <c r="AZ257" s="290"/>
      <c r="BA257" s="290"/>
      <c r="BB257" s="290"/>
    </row>
    <row r="258" spans="1:54" x14ac:dyDescent="0.25">
      <c r="A258" s="290"/>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c r="AE258" s="290"/>
      <c r="AF258" s="290"/>
      <c r="AG258" s="290"/>
      <c r="AH258" s="290"/>
      <c r="AI258" s="290"/>
      <c r="AJ258" s="290"/>
      <c r="AK258" s="290"/>
      <c r="AL258" s="290"/>
      <c r="AM258" s="290"/>
      <c r="AN258" s="290"/>
      <c r="AO258" s="290"/>
      <c r="AP258" s="290"/>
      <c r="AQ258" s="373" t="s">
        <v>1089</v>
      </c>
      <c r="AR258" s="307" t="s">
        <v>976</v>
      </c>
      <c r="AS258" s="291"/>
      <c r="AT258" s="291"/>
      <c r="AU258" s="290"/>
      <c r="AV258" s="290"/>
      <c r="AW258" s="290"/>
      <c r="AX258" s="290"/>
      <c r="AY258" s="290"/>
      <c r="AZ258" s="290"/>
      <c r="BA258" s="290"/>
      <c r="BB258" s="290"/>
    </row>
    <row r="259" spans="1:54" ht="21" x14ac:dyDescent="0.25">
      <c r="A259" s="290"/>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c r="AE259" s="290"/>
      <c r="AF259" s="290"/>
      <c r="AG259" s="290"/>
      <c r="AH259" s="290"/>
      <c r="AI259" s="290"/>
      <c r="AJ259" s="290"/>
      <c r="AK259" s="290"/>
      <c r="AL259" s="290"/>
      <c r="AM259" s="290"/>
      <c r="AN259" s="290"/>
      <c r="AO259" s="290"/>
      <c r="AP259" s="290"/>
      <c r="AQ259" s="373" t="s">
        <v>1090</v>
      </c>
      <c r="AR259" s="307" t="s">
        <v>1065</v>
      </c>
      <c r="AS259" s="291"/>
      <c r="AT259" s="291"/>
      <c r="AU259" s="290"/>
      <c r="AV259" s="290"/>
      <c r="AW259" s="290"/>
      <c r="AX259" s="290"/>
      <c r="AY259" s="290"/>
      <c r="AZ259" s="290"/>
      <c r="BA259" s="290"/>
      <c r="BB259" s="290"/>
    </row>
    <row r="260" spans="1:54" x14ac:dyDescent="0.25">
      <c r="A260" s="290"/>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290"/>
      <c r="AE260" s="290"/>
      <c r="AF260" s="290"/>
      <c r="AG260" s="290"/>
      <c r="AH260" s="290"/>
      <c r="AI260" s="290"/>
      <c r="AJ260" s="290"/>
      <c r="AK260" s="290"/>
      <c r="AL260" s="290"/>
      <c r="AM260" s="290"/>
      <c r="AN260" s="290"/>
      <c r="AO260" s="290"/>
      <c r="AP260" s="290"/>
      <c r="AQ260" s="373" t="s">
        <v>1091</v>
      </c>
      <c r="AR260" s="307" t="s">
        <v>1007</v>
      </c>
      <c r="AS260" s="291"/>
      <c r="AT260" s="291"/>
      <c r="AU260" s="290"/>
      <c r="AV260" s="290"/>
      <c r="AW260" s="290"/>
      <c r="AX260" s="290"/>
      <c r="AY260" s="290"/>
      <c r="AZ260" s="290"/>
      <c r="BA260" s="290"/>
      <c r="BB260" s="290"/>
    </row>
    <row r="261" spans="1:54" ht="21" x14ac:dyDescent="0.25">
      <c r="A261" s="290"/>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90"/>
      <c r="AE261" s="290"/>
      <c r="AF261" s="290"/>
      <c r="AG261" s="290"/>
      <c r="AH261" s="290"/>
      <c r="AI261" s="290"/>
      <c r="AJ261" s="290"/>
      <c r="AK261" s="290"/>
      <c r="AL261" s="290"/>
      <c r="AM261" s="290"/>
      <c r="AN261" s="290"/>
      <c r="AO261" s="290"/>
      <c r="AP261" s="290"/>
      <c r="AQ261" s="373" t="s">
        <v>1092</v>
      </c>
      <c r="AR261" s="307" t="s">
        <v>972</v>
      </c>
      <c r="AS261" s="291"/>
      <c r="AT261" s="291"/>
      <c r="AU261" s="290"/>
      <c r="AV261" s="290"/>
      <c r="AW261" s="290"/>
      <c r="AX261" s="290"/>
      <c r="AY261" s="290"/>
      <c r="AZ261" s="290"/>
      <c r="BA261" s="290"/>
      <c r="BB261" s="290"/>
    </row>
    <row r="262" spans="1:54" ht="21" x14ac:dyDescent="0.25">
      <c r="A262" s="290"/>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c r="AF262" s="290"/>
      <c r="AG262" s="290"/>
      <c r="AH262" s="290"/>
      <c r="AI262" s="290"/>
      <c r="AJ262" s="290"/>
      <c r="AK262" s="290"/>
      <c r="AL262" s="290"/>
      <c r="AM262" s="290"/>
      <c r="AN262" s="290"/>
      <c r="AO262" s="290"/>
      <c r="AP262" s="290"/>
      <c r="AQ262" s="373" t="s">
        <v>1093</v>
      </c>
      <c r="AR262" s="307" t="s">
        <v>1094</v>
      </c>
      <c r="AS262" s="291"/>
      <c r="AT262" s="291"/>
      <c r="AU262" s="290"/>
      <c r="AV262" s="290"/>
      <c r="AW262" s="290"/>
      <c r="AX262" s="290"/>
      <c r="AY262" s="290"/>
      <c r="AZ262" s="290"/>
      <c r="BA262" s="290"/>
      <c r="BB262" s="290"/>
    </row>
    <row r="263" spans="1:54" ht="21" x14ac:dyDescent="0.25">
      <c r="A263" s="290"/>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c r="AA263" s="290"/>
      <c r="AB263" s="290"/>
      <c r="AC263" s="290"/>
      <c r="AD263" s="290"/>
      <c r="AE263" s="290"/>
      <c r="AF263" s="290"/>
      <c r="AG263" s="290"/>
      <c r="AH263" s="290"/>
      <c r="AI263" s="290"/>
      <c r="AJ263" s="290"/>
      <c r="AK263" s="290"/>
      <c r="AL263" s="290"/>
      <c r="AM263" s="290"/>
      <c r="AN263" s="290"/>
      <c r="AO263" s="290"/>
      <c r="AP263" s="290"/>
      <c r="AQ263" s="373" t="s">
        <v>1095</v>
      </c>
      <c r="AR263" s="307" t="s">
        <v>1035</v>
      </c>
      <c r="AS263" s="291"/>
      <c r="AT263" s="291"/>
      <c r="AU263" s="290"/>
      <c r="AV263" s="290"/>
      <c r="AW263" s="290"/>
      <c r="AX263" s="290"/>
      <c r="AY263" s="290"/>
      <c r="AZ263" s="290"/>
      <c r="BA263" s="290"/>
      <c r="BB263" s="290"/>
    </row>
    <row r="264" spans="1:54" ht="21" x14ac:dyDescent="0.25">
      <c r="A264" s="290"/>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c r="AA264" s="290"/>
      <c r="AB264" s="290"/>
      <c r="AC264" s="290"/>
      <c r="AD264" s="290"/>
      <c r="AE264" s="290"/>
      <c r="AF264" s="290"/>
      <c r="AG264" s="290"/>
      <c r="AH264" s="290"/>
      <c r="AI264" s="290"/>
      <c r="AJ264" s="290"/>
      <c r="AK264" s="290"/>
      <c r="AL264" s="290"/>
      <c r="AM264" s="290"/>
      <c r="AN264" s="290"/>
      <c r="AO264" s="290"/>
      <c r="AP264" s="290"/>
      <c r="AQ264" s="373" t="s">
        <v>1096</v>
      </c>
      <c r="AR264" s="307" t="s">
        <v>1097</v>
      </c>
      <c r="AS264" s="291"/>
      <c r="AT264" s="291"/>
      <c r="AU264" s="290"/>
      <c r="AV264" s="290"/>
      <c r="AW264" s="290"/>
      <c r="AX264" s="290"/>
      <c r="AY264" s="290"/>
      <c r="AZ264" s="290"/>
      <c r="BA264" s="290"/>
      <c r="BB264" s="290"/>
    </row>
    <row r="265" spans="1:54" ht="21" x14ac:dyDescent="0.25">
      <c r="A265" s="290"/>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290"/>
      <c r="AE265" s="290"/>
      <c r="AF265" s="290"/>
      <c r="AG265" s="290"/>
      <c r="AH265" s="290"/>
      <c r="AI265" s="290"/>
      <c r="AJ265" s="290"/>
      <c r="AK265" s="290"/>
      <c r="AL265" s="290"/>
      <c r="AM265" s="290"/>
      <c r="AN265" s="290"/>
      <c r="AO265" s="290"/>
      <c r="AP265" s="290"/>
      <c r="AQ265" s="373" t="s">
        <v>1098</v>
      </c>
      <c r="AR265" s="307" t="s">
        <v>1099</v>
      </c>
      <c r="AS265" s="291"/>
      <c r="AT265" s="291"/>
      <c r="AU265" s="290"/>
      <c r="AV265" s="290"/>
      <c r="AW265" s="290"/>
      <c r="AX265" s="290"/>
      <c r="AY265" s="290"/>
      <c r="AZ265" s="290"/>
      <c r="BA265" s="290"/>
      <c r="BB265" s="290"/>
    </row>
    <row r="266" spans="1:54" ht="21" x14ac:dyDescent="0.25">
      <c r="A266" s="290"/>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c r="AE266" s="290"/>
      <c r="AF266" s="290"/>
      <c r="AG266" s="290"/>
      <c r="AH266" s="290"/>
      <c r="AI266" s="290"/>
      <c r="AJ266" s="290"/>
      <c r="AK266" s="290"/>
      <c r="AL266" s="290"/>
      <c r="AM266" s="290"/>
      <c r="AN266" s="290"/>
      <c r="AO266" s="290"/>
      <c r="AP266" s="290"/>
      <c r="AQ266" s="373" t="s">
        <v>1100</v>
      </c>
      <c r="AR266" s="307" t="s">
        <v>1072</v>
      </c>
      <c r="AS266" s="291"/>
      <c r="AT266" s="291"/>
      <c r="AU266" s="290"/>
      <c r="AV266" s="290"/>
      <c r="AW266" s="290"/>
      <c r="AX266" s="290"/>
      <c r="AY266" s="290"/>
      <c r="AZ266" s="290"/>
      <c r="BA266" s="290"/>
      <c r="BB266" s="290"/>
    </row>
    <row r="267" spans="1:54" ht="21" x14ac:dyDescent="0.25">
      <c r="A267" s="290"/>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c r="AE267" s="290"/>
      <c r="AF267" s="290"/>
      <c r="AG267" s="290"/>
      <c r="AH267" s="290"/>
      <c r="AI267" s="290"/>
      <c r="AJ267" s="290"/>
      <c r="AK267" s="290"/>
      <c r="AL267" s="290"/>
      <c r="AM267" s="290"/>
      <c r="AN267" s="290"/>
      <c r="AO267" s="290"/>
      <c r="AP267" s="290"/>
      <c r="AQ267" s="373" t="s">
        <v>1101</v>
      </c>
      <c r="AR267" s="307" t="s">
        <v>986</v>
      </c>
      <c r="AS267" s="291"/>
      <c r="AT267" s="291"/>
      <c r="AU267" s="290"/>
      <c r="AV267" s="290"/>
      <c r="AW267" s="290"/>
      <c r="AX267" s="290"/>
      <c r="AY267" s="290"/>
      <c r="AZ267" s="290"/>
      <c r="BA267" s="290"/>
      <c r="BB267" s="290"/>
    </row>
    <row r="268" spans="1:54" x14ac:dyDescent="0.25">
      <c r="A268" s="290"/>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290"/>
      <c r="AE268" s="290"/>
      <c r="AF268" s="290"/>
      <c r="AG268" s="290"/>
      <c r="AH268" s="290"/>
      <c r="AI268" s="290"/>
      <c r="AJ268" s="290"/>
      <c r="AK268" s="290"/>
      <c r="AL268" s="290"/>
      <c r="AM268" s="290"/>
      <c r="AN268" s="290"/>
      <c r="AO268" s="290"/>
      <c r="AP268" s="290"/>
      <c r="AQ268" s="373" t="s">
        <v>1102</v>
      </c>
      <c r="AR268" s="307" t="s">
        <v>954</v>
      </c>
      <c r="AS268" s="291"/>
      <c r="AT268" s="291"/>
      <c r="AU268" s="290"/>
      <c r="AV268" s="290"/>
      <c r="AW268" s="290"/>
      <c r="AX268" s="290"/>
      <c r="AY268" s="290"/>
      <c r="AZ268" s="290"/>
      <c r="BA268" s="290"/>
      <c r="BB268" s="290"/>
    </row>
    <row r="269" spans="1:54" ht="21" x14ac:dyDescent="0.25">
      <c r="A269" s="290"/>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c r="AA269" s="290"/>
      <c r="AB269" s="290"/>
      <c r="AC269" s="290"/>
      <c r="AD269" s="290"/>
      <c r="AE269" s="290"/>
      <c r="AF269" s="290"/>
      <c r="AG269" s="290"/>
      <c r="AH269" s="290"/>
      <c r="AI269" s="290"/>
      <c r="AJ269" s="290"/>
      <c r="AK269" s="290"/>
      <c r="AL269" s="290"/>
      <c r="AM269" s="290"/>
      <c r="AN269" s="290"/>
      <c r="AO269" s="290"/>
      <c r="AP269" s="290"/>
      <c r="AQ269" s="373" t="s">
        <v>1032</v>
      </c>
      <c r="AR269" s="378" t="s">
        <v>1033</v>
      </c>
      <c r="AS269" s="291"/>
      <c r="AT269" s="291"/>
      <c r="AU269" s="290"/>
      <c r="AV269" s="290"/>
      <c r="AW269" s="290"/>
      <c r="AX269" s="290"/>
      <c r="AY269" s="290"/>
      <c r="AZ269" s="290"/>
      <c r="BA269" s="290"/>
      <c r="BB269" s="290"/>
    </row>
    <row r="270" spans="1:54" ht="21" x14ac:dyDescent="0.25">
      <c r="A270" s="290"/>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90"/>
      <c r="AE270" s="290"/>
      <c r="AF270" s="290"/>
      <c r="AG270" s="290"/>
      <c r="AH270" s="290"/>
      <c r="AI270" s="290"/>
      <c r="AJ270" s="290"/>
      <c r="AK270" s="290"/>
      <c r="AL270" s="290"/>
      <c r="AM270" s="290"/>
      <c r="AN270" s="290"/>
      <c r="AO270" s="290"/>
      <c r="AP270" s="290"/>
      <c r="AQ270" s="373" t="s">
        <v>1034</v>
      </c>
      <c r="AR270" s="307" t="s">
        <v>1035</v>
      </c>
      <c r="AS270" s="291"/>
      <c r="AT270" s="291"/>
      <c r="AU270" s="290"/>
      <c r="AV270" s="290"/>
      <c r="AW270" s="290"/>
      <c r="AX270" s="290"/>
      <c r="AY270" s="290"/>
      <c r="AZ270" s="290"/>
      <c r="BA270" s="290"/>
      <c r="BB270" s="290"/>
    </row>
    <row r="271" spans="1:54" x14ac:dyDescent="0.25">
      <c r="A271" s="290"/>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90"/>
      <c r="AE271" s="290"/>
      <c r="AF271" s="290"/>
      <c r="AG271" s="290"/>
      <c r="AH271" s="290"/>
      <c r="AI271" s="290"/>
      <c r="AJ271" s="290"/>
      <c r="AK271" s="290"/>
      <c r="AL271" s="290"/>
      <c r="AM271" s="290"/>
      <c r="AN271" s="290"/>
      <c r="AO271" s="290"/>
      <c r="AP271" s="290"/>
      <c r="AQ271" s="373" t="s">
        <v>1036</v>
      </c>
      <c r="AR271" s="307" t="s">
        <v>1035</v>
      </c>
      <c r="AS271" s="291"/>
      <c r="AT271" s="291"/>
      <c r="AU271" s="290"/>
      <c r="AV271" s="290"/>
      <c r="AW271" s="290"/>
      <c r="AX271" s="290"/>
      <c r="AY271" s="290"/>
      <c r="AZ271" s="290"/>
      <c r="BA271" s="290"/>
      <c r="BB271" s="290"/>
    </row>
    <row r="272" spans="1:54" ht="21" x14ac:dyDescent="0.25">
      <c r="A272" s="290"/>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c r="AA272" s="290"/>
      <c r="AB272" s="290"/>
      <c r="AC272" s="290"/>
      <c r="AD272" s="290"/>
      <c r="AE272" s="290"/>
      <c r="AF272" s="290"/>
      <c r="AG272" s="290"/>
      <c r="AH272" s="290"/>
      <c r="AI272" s="290"/>
      <c r="AJ272" s="290"/>
      <c r="AK272" s="290"/>
      <c r="AL272" s="290"/>
      <c r="AM272" s="290"/>
      <c r="AN272" s="290"/>
      <c r="AO272" s="290"/>
      <c r="AP272" s="290"/>
      <c r="AQ272" s="373" t="s">
        <v>1037</v>
      </c>
      <c r="AR272" s="307" t="s">
        <v>1038</v>
      </c>
      <c r="AS272" s="291"/>
      <c r="AT272" s="291"/>
      <c r="AU272" s="290"/>
      <c r="AV272" s="290"/>
      <c r="AW272" s="290"/>
      <c r="AX272" s="290"/>
      <c r="AY272" s="290"/>
      <c r="AZ272" s="290"/>
      <c r="BA272" s="290"/>
      <c r="BB272" s="290"/>
    </row>
    <row r="273" spans="1:54" ht="21" x14ac:dyDescent="0.25">
      <c r="A273" s="290"/>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0"/>
      <c r="AD273" s="290"/>
      <c r="AE273" s="290"/>
      <c r="AF273" s="290"/>
      <c r="AG273" s="290"/>
      <c r="AH273" s="290"/>
      <c r="AI273" s="290"/>
      <c r="AJ273" s="290"/>
      <c r="AK273" s="290"/>
      <c r="AL273" s="290"/>
      <c r="AM273" s="290"/>
      <c r="AN273" s="290"/>
      <c r="AO273" s="290"/>
      <c r="AP273" s="290"/>
      <c r="AQ273" s="373" t="s">
        <v>1039</v>
      </c>
      <c r="AR273" s="378" t="s">
        <v>1040</v>
      </c>
      <c r="AS273" s="291"/>
      <c r="AT273" s="291"/>
      <c r="AU273" s="290"/>
      <c r="AV273" s="290"/>
      <c r="AW273" s="290"/>
      <c r="AX273" s="290"/>
      <c r="AY273" s="290"/>
      <c r="AZ273" s="290"/>
      <c r="BA273" s="290"/>
      <c r="BB273" s="290"/>
    </row>
    <row r="274" spans="1:54" ht="21" x14ac:dyDescent="0.25">
      <c r="A274" s="290"/>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c r="AA274" s="290"/>
      <c r="AB274" s="290"/>
      <c r="AC274" s="290"/>
      <c r="AD274" s="290"/>
      <c r="AE274" s="290"/>
      <c r="AF274" s="290"/>
      <c r="AG274" s="290"/>
      <c r="AH274" s="290"/>
      <c r="AI274" s="290"/>
      <c r="AJ274" s="290"/>
      <c r="AK274" s="290"/>
      <c r="AL274" s="290"/>
      <c r="AM274" s="290"/>
      <c r="AN274" s="290"/>
      <c r="AO274" s="290"/>
      <c r="AP274" s="290"/>
      <c r="AQ274" s="373" t="s">
        <v>1041</v>
      </c>
      <c r="AR274" s="307" t="s">
        <v>952</v>
      </c>
      <c r="AS274" s="291"/>
      <c r="AT274" s="291"/>
      <c r="AU274" s="290"/>
      <c r="AV274" s="290"/>
      <c r="AW274" s="290"/>
      <c r="AX274" s="290"/>
      <c r="AY274" s="290"/>
      <c r="AZ274" s="290"/>
      <c r="BA274" s="290"/>
      <c r="BB274" s="290"/>
    </row>
    <row r="275" spans="1:54" ht="21" x14ac:dyDescent="0.25">
      <c r="A275" s="290"/>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c r="AE275" s="290"/>
      <c r="AF275" s="290"/>
      <c r="AG275" s="290"/>
      <c r="AH275" s="290"/>
      <c r="AI275" s="290"/>
      <c r="AJ275" s="290"/>
      <c r="AK275" s="290"/>
      <c r="AL275" s="290"/>
      <c r="AM275" s="290"/>
      <c r="AN275" s="290"/>
      <c r="AO275" s="290"/>
      <c r="AP275" s="290"/>
      <c r="AQ275" s="373" t="s">
        <v>1042</v>
      </c>
      <c r="AR275" s="378" t="s">
        <v>1043</v>
      </c>
      <c r="AS275" s="291"/>
      <c r="AT275" s="291"/>
      <c r="AU275" s="290"/>
      <c r="AV275" s="290"/>
      <c r="AW275" s="290"/>
      <c r="AX275" s="290"/>
      <c r="AY275" s="290"/>
      <c r="AZ275" s="290"/>
      <c r="BA275" s="290"/>
      <c r="BB275" s="290"/>
    </row>
    <row r="276" spans="1:54" x14ac:dyDescent="0.25">
      <c r="A276" s="290"/>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290"/>
      <c r="AE276" s="290"/>
      <c r="AF276" s="290"/>
      <c r="AG276" s="290"/>
      <c r="AH276" s="290"/>
      <c r="AI276" s="290"/>
      <c r="AJ276" s="290"/>
      <c r="AK276" s="290"/>
      <c r="AL276" s="290"/>
      <c r="AM276" s="290"/>
      <c r="AN276" s="290"/>
      <c r="AO276" s="290"/>
      <c r="AP276" s="290"/>
      <c r="AQ276" s="373" t="s">
        <v>1044</v>
      </c>
      <c r="AR276" s="307" t="s">
        <v>1045</v>
      </c>
      <c r="AS276" s="291"/>
      <c r="AT276" s="291"/>
      <c r="AU276" s="290"/>
      <c r="AV276" s="290"/>
      <c r="AW276" s="290"/>
      <c r="AX276" s="290"/>
      <c r="AY276" s="290"/>
      <c r="AZ276" s="290"/>
      <c r="BA276" s="290"/>
      <c r="BB276" s="290"/>
    </row>
    <row r="277" spans="1:54" ht="21" x14ac:dyDescent="0.25">
      <c r="A277" s="290"/>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90"/>
      <c r="AE277" s="290"/>
      <c r="AF277" s="290"/>
      <c r="AG277" s="290"/>
      <c r="AH277" s="290"/>
      <c r="AI277" s="290"/>
      <c r="AJ277" s="290"/>
      <c r="AK277" s="290"/>
      <c r="AL277" s="290"/>
      <c r="AM277" s="290"/>
      <c r="AN277" s="290"/>
      <c r="AO277" s="290"/>
      <c r="AP277" s="290"/>
      <c r="AQ277" s="373" t="s">
        <v>1046</v>
      </c>
      <c r="AR277" s="378" t="s">
        <v>1047</v>
      </c>
      <c r="AS277" s="291"/>
      <c r="AT277" s="291"/>
      <c r="AU277" s="290"/>
      <c r="AV277" s="290"/>
      <c r="AW277" s="290"/>
      <c r="AX277" s="290"/>
      <c r="AY277" s="290"/>
      <c r="AZ277" s="290"/>
      <c r="BA277" s="290"/>
      <c r="BB277" s="290"/>
    </row>
    <row r="278" spans="1:54" ht="21" x14ac:dyDescent="0.25">
      <c r="A278" s="290"/>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90"/>
      <c r="AE278" s="290"/>
      <c r="AF278" s="290"/>
      <c r="AG278" s="290"/>
      <c r="AH278" s="290"/>
      <c r="AI278" s="290"/>
      <c r="AJ278" s="290"/>
      <c r="AK278" s="290"/>
      <c r="AL278" s="290"/>
      <c r="AM278" s="290"/>
      <c r="AN278" s="290"/>
      <c r="AO278" s="290"/>
      <c r="AP278" s="290"/>
      <c r="AQ278" s="373" t="s">
        <v>1048</v>
      </c>
      <c r="AR278" s="307" t="s">
        <v>1049</v>
      </c>
      <c r="AS278" s="291"/>
      <c r="AT278" s="291"/>
      <c r="AU278" s="290"/>
      <c r="AV278" s="290"/>
      <c r="AW278" s="290"/>
      <c r="AX278" s="290"/>
      <c r="AY278" s="290"/>
      <c r="AZ278" s="290"/>
      <c r="BA278" s="290"/>
      <c r="BB278" s="290"/>
    </row>
    <row r="279" spans="1:54" ht="21" x14ac:dyDescent="0.25">
      <c r="A279" s="290"/>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0"/>
      <c r="AD279" s="290"/>
      <c r="AE279" s="290"/>
      <c r="AF279" s="290"/>
      <c r="AG279" s="290"/>
      <c r="AH279" s="290"/>
      <c r="AI279" s="290"/>
      <c r="AJ279" s="290"/>
      <c r="AK279" s="290"/>
      <c r="AL279" s="290"/>
      <c r="AM279" s="290"/>
      <c r="AN279" s="290"/>
      <c r="AO279" s="290"/>
      <c r="AP279" s="290"/>
      <c r="AQ279" s="373" t="s">
        <v>1050</v>
      </c>
      <c r="AR279" s="307" t="s">
        <v>1051</v>
      </c>
      <c r="AS279" s="291"/>
      <c r="AT279" s="291"/>
      <c r="AU279" s="290"/>
      <c r="AV279" s="290"/>
      <c r="AW279" s="290"/>
      <c r="AX279" s="290"/>
      <c r="AY279" s="290"/>
      <c r="AZ279" s="290"/>
      <c r="BA279" s="290"/>
      <c r="BB279" s="290"/>
    </row>
    <row r="280" spans="1:54" ht="21" x14ac:dyDescent="0.25">
      <c r="A280" s="290"/>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c r="AA280" s="290"/>
      <c r="AB280" s="290"/>
      <c r="AC280" s="290"/>
      <c r="AD280" s="290"/>
      <c r="AE280" s="290"/>
      <c r="AF280" s="290"/>
      <c r="AG280" s="290"/>
      <c r="AH280" s="290"/>
      <c r="AI280" s="290"/>
      <c r="AJ280" s="290"/>
      <c r="AK280" s="290"/>
      <c r="AL280" s="290"/>
      <c r="AM280" s="290"/>
      <c r="AN280" s="290"/>
      <c r="AO280" s="290"/>
      <c r="AP280" s="290"/>
      <c r="AQ280" s="373" t="s">
        <v>1052</v>
      </c>
      <c r="AR280" s="378" t="s">
        <v>1053</v>
      </c>
      <c r="AS280" s="291"/>
      <c r="AT280" s="291"/>
      <c r="AU280" s="290"/>
      <c r="AV280" s="290"/>
      <c r="AW280" s="290"/>
      <c r="AX280" s="290"/>
      <c r="AY280" s="290"/>
      <c r="AZ280" s="290"/>
      <c r="BA280" s="290"/>
      <c r="BB280" s="290"/>
    </row>
    <row r="281" spans="1:54" x14ac:dyDescent="0.25">
      <c r="A281" s="290"/>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290"/>
      <c r="AE281" s="290"/>
      <c r="AF281" s="290"/>
      <c r="AG281" s="290"/>
      <c r="AH281" s="290"/>
      <c r="AI281" s="290"/>
      <c r="AJ281" s="290"/>
      <c r="AK281" s="290"/>
      <c r="AL281" s="290"/>
      <c r="AM281" s="290"/>
      <c r="AN281" s="290"/>
      <c r="AO281" s="290"/>
      <c r="AP281" s="290"/>
      <c r="AQ281" s="383"/>
      <c r="AR281" s="383"/>
      <c r="AS281" s="291"/>
      <c r="AT281" s="291"/>
      <c r="AU281" s="290"/>
      <c r="AV281" s="290"/>
      <c r="AW281" s="290"/>
      <c r="AX281" s="290"/>
      <c r="AY281" s="290"/>
      <c r="AZ281" s="290"/>
      <c r="BA281" s="290"/>
      <c r="BB281" s="290"/>
    </row>
    <row r="282" spans="1:54" ht="21" x14ac:dyDescent="0.25">
      <c r="A282" s="290"/>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90"/>
      <c r="AE282" s="290"/>
      <c r="AF282" s="290"/>
      <c r="AG282" s="290"/>
      <c r="AH282" s="290"/>
      <c r="AI282" s="290"/>
      <c r="AJ282" s="290"/>
      <c r="AK282" s="290"/>
      <c r="AL282" s="290"/>
      <c r="AM282" s="290"/>
      <c r="AN282" s="290"/>
      <c r="AO282" s="290"/>
      <c r="AP282" s="290"/>
      <c r="AQ282" s="373" t="s">
        <v>1054</v>
      </c>
      <c r="AR282" s="307" t="s">
        <v>968</v>
      </c>
      <c r="AS282" s="291"/>
      <c r="AT282" s="291"/>
      <c r="AU282" s="290"/>
      <c r="AV282" s="290"/>
      <c r="AW282" s="290"/>
      <c r="AX282" s="290"/>
      <c r="AY282" s="290"/>
      <c r="AZ282" s="290"/>
      <c r="BA282" s="290"/>
      <c r="BB282" s="290"/>
    </row>
    <row r="283" spans="1:54" x14ac:dyDescent="0.25">
      <c r="A283" s="290"/>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c r="AA283" s="290"/>
      <c r="AB283" s="290"/>
      <c r="AC283" s="290"/>
      <c r="AD283" s="290"/>
      <c r="AE283" s="290"/>
      <c r="AF283" s="290"/>
      <c r="AG283" s="290"/>
      <c r="AH283" s="290"/>
      <c r="AI283" s="290"/>
      <c r="AJ283" s="290"/>
      <c r="AK283" s="290"/>
      <c r="AL283" s="290"/>
      <c r="AM283" s="290"/>
      <c r="AN283" s="290"/>
      <c r="AO283" s="290"/>
      <c r="AP283" s="290"/>
      <c r="AQ283" s="383"/>
      <c r="AR283" s="383"/>
      <c r="AS283" s="291"/>
      <c r="AT283" s="291"/>
      <c r="AU283" s="290"/>
      <c r="AV283" s="290"/>
      <c r="AW283" s="290"/>
      <c r="AX283" s="290"/>
      <c r="AY283" s="290"/>
      <c r="AZ283" s="290"/>
      <c r="BA283" s="290"/>
      <c r="BB283" s="290"/>
    </row>
    <row r="284" spans="1:54" ht="21" x14ac:dyDescent="0.25">
      <c r="A284" s="290"/>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90"/>
      <c r="AE284" s="290"/>
      <c r="AF284" s="290"/>
      <c r="AG284" s="290"/>
      <c r="AH284" s="290"/>
      <c r="AI284" s="290"/>
      <c r="AJ284" s="290"/>
      <c r="AK284" s="290"/>
      <c r="AL284" s="290"/>
      <c r="AM284" s="290"/>
      <c r="AN284" s="290"/>
      <c r="AO284" s="290"/>
      <c r="AP284" s="290"/>
      <c r="AQ284" s="373" t="s">
        <v>1055</v>
      </c>
      <c r="AR284" s="378" t="s">
        <v>1056</v>
      </c>
      <c r="AS284" s="291"/>
      <c r="AT284" s="291"/>
      <c r="AU284" s="290"/>
      <c r="AV284" s="290"/>
      <c r="AW284" s="290"/>
      <c r="AX284" s="290"/>
      <c r="AY284" s="290"/>
      <c r="AZ284" s="290"/>
      <c r="BA284" s="290"/>
      <c r="BB284" s="290"/>
    </row>
    <row r="285" spans="1:54" x14ac:dyDescent="0.25">
      <c r="A285" s="290"/>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90"/>
      <c r="AE285" s="290"/>
      <c r="AF285" s="290"/>
      <c r="AG285" s="290"/>
      <c r="AH285" s="290"/>
      <c r="AI285" s="290"/>
      <c r="AJ285" s="290"/>
      <c r="AK285" s="290"/>
      <c r="AL285" s="290"/>
      <c r="AM285" s="290"/>
      <c r="AN285" s="290"/>
      <c r="AO285" s="290"/>
      <c r="AP285" s="290"/>
      <c r="AQ285" s="383"/>
      <c r="AR285" s="383"/>
      <c r="AS285" s="291"/>
      <c r="AT285" s="291"/>
      <c r="AU285" s="290"/>
      <c r="AV285" s="290"/>
      <c r="AW285" s="290"/>
      <c r="AX285" s="290"/>
      <c r="AY285" s="290"/>
      <c r="AZ285" s="290"/>
      <c r="BA285" s="290"/>
      <c r="BB285" s="290"/>
    </row>
    <row r="286" spans="1:54" ht="21" x14ac:dyDescent="0.25">
      <c r="A286" s="290"/>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c r="AA286" s="290"/>
      <c r="AB286" s="290"/>
      <c r="AC286" s="290"/>
      <c r="AD286" s="290"/>
      <c r="AE286" s="290"/>
      <c r="AF286" s="290"/>
      <c r="AG286" s="290"/>
      <c r="AH286" s="290"/>
      <c r="AI286" s="290"/>
      <c r="AJ286" s="290"/>
      <c r="AK286" s="290"/>
      <c r="AL286" s="290"/>
      <c r="AM286" s="290"/>
      <c r="AN286" s="290"/>
      <c r="AO286" s="290"/>
      <c r="AP286" s="290"/>
      <c r="AQ286" s="373" t="s">
        <v>1057</v>
      </c>
      <c r="AR286" s="307" t="s">
        <v>972</v>
      </c>
      <c r="AS286" s="291"/>
      <c r="AT286" s="291"/>
      <c r="AU286" s="290"/>
      <c r="AV286" s="290"/>
      <c r="AW286" s="290"/>
      <c r="AX286" s="290"/>
      <c r="AY286" s="290"/>
      <c r="AZ286" s="290"/>
      <c r="BA286" s="290"/>
      <c r="BB286" s="290"/>
    </row>
    <row r="287" spans="1:54" ht="21" x14ac:dyDescent="0.25">
      <c r="A287" s="290"/>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290"/>
      <c r="AE287" s="290"/>
      <c r="AF287" s="290"/>
      <c r="AG287" s="290"/>
      <c r="AH287" s="290"/>
      <c r="AI287" s="290"/>
      <c r="AJ287" s="290"/>
      <c r="AK287" s="290"/>
      <c r="AL287" s="290"/>
      <c r="AM287" s="290"/>
      <c r="AN287" s="290"/>
      <c r="AO287" s="290"/>
      <c r="AP287" s="290"/>
      <c r="AQ287" s="373" t="s">
        <v>1058</v>
      </c>
      <c r="AR287" s="373" t="s">
        <v>1059</v>
      </c>
      <c r="AS287" s="291"/>
      <c r="AT287" s="291"/>
      <c r="AU287" s="290"/>
      <c r="AV287" s="290"/>
      <c r="AW287" s="290"/>
      <c r="AX287" s="290"/>
      <c r="AY287" s="290"/>
      <c r="AZ287" s="290"/>
      <c r="BA287" s="290"/>
      <c r="BB287" s="290"/>
    </row>
    <row r="288" spans="1:54" ht="31.5" x14ac:dyDescent="0.25">
      <c r="A288" s="290"/>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c r="AA288" s="290"/>
      <c r="AB288" s="290"/>
      <c r="AC288" s="290"/>
      <c r="AD288" s="290"/>
      <c r="AE288" s="290"/>
      <c r="AF288" s="290"/>
      <c r="AG288" s="290"/>
      <c r="AH288" s="290"/>
      <c r="AI288" s="290"/>
      <c r="AJ288" s="290"/>
      <c r="AK288" s="290"/>
      <c r="AL288" s="290"/>
      <c r="AM288" s="290"/>
      <c r="AN288" s="290"/>
      <c r="AO288" s="290"/>
      <c r="AP288" s="290"/>
      <c r="AQ288" s="373" t="s">
        <v>1060</v>
      </c>
      <c r="AR288" s="378" t="s">
        <v>1061</v>
      </c>
      <c r="AS288" s="291"/>
      <c r="AT288" s="291"/>
      <c r="AU288" s="290"/>
      <c r="AV288" s="290"/>
      <c r="AW288" s="290"/>
      <c r="AX288" s="290"/>
      <c r="AY288" s="290"/>
      <c r="AZ288" s="290"/>
      <c r="BA288" s="290"/>
      <c r="BB288" s="290"/>
    </row>
    <row r="289" spans="1:54" ht="21" x14ac:dyDescent="0.25">
      <c r="A289" s="290"/>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290"/>
      <c r="AE289" s="290"/>
      <c r="AF289" s="290"/>
      <c r="AG289" s="290"/>
      <c r="AH289" s="290"/>
      <c r="AI289" s="290"/>
      <c r="AJ289" s="290"/>
      <c r="AK289" s="290"/>
      <c r="AL289" s="290"/>
      <c r="AM289" s="290"/>
      <c r="AN289" s="290"/>
      <c r="AO289" s="290"/>
      <c r="AP289" s="290"/>
      <c r="AQ289" s="373" t="s">
        <v>1062</v>
      </c>
      <c r="AR289" s="307" t="s">
        <v>1007</v>
      </c>
      <c r="AS289" s="291"/>
      <c r="AT289" s="291"/>
      <c r="AU289" s="290"/>
      <c r="AV289" s="290"/>
      <c r="AW289" s="290"/>
      <c r="AX289" s="290"/>
      <c r="AY289" s="290"/>
      <c r="AZ289" s="290"/>
      <c r="BA289" s="290"/>
      <c r="BB289" s="290"/>
    </row>
    <row r="290" spans="1:54" ht="21" x14ac:dyDescent="0.25">
      <c r="A290" s="290"/>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290"/>
      <c r="AE290" s="290"/>
      <c r="AF290" s="290"/>
      <c r="AG290" s="290"/>
      <c r="AH290" s="290"/>
      <c r="AI290" s="290"/>
      <c r="AJ290" s="290"/>
      <c r="AK290" s="290"/>
      <c r="AL290" s="290"/>
      <c r="AM290" s="290"/>
      <c r="AN290" s="290"/>
      <c r="AO290" s="290"/>
      <c r="AP290" s="290"/>
      <c r="AQ290" s="373" t="s">
        <v>1063</v>
      </c>
      <c r="AR290" s="307" t="s">
        <v>962</v>
      </c>
      <c r="AS290" s="291"/>
      <c r="AT290" s="291"/>
      <c r="AU290" s="290"/>
      <c r="AV290" s="290"/>
      <c r="AW290" s="290"/>
      <c r="AX290" s="290"/>
      <c r="AY290" s="290"/>
      <c r="AZ290" s="290"/>
      <c r="BA290" s="290"/>
      <c r="BB290" s="290"/>
    </row>
    <row r="291" spans="1:54" x14ac:dyDescent="0.25">
      <c r="A291" s="290"/>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90"/>
      <c r="AE291" s="290"/>
      <c r="AF291" s="290"/>
      <c r="AG291" s="290"/>
      <c r="AH291" s="290"/>
      <c r="AI291" s="290"/>
      <c r="AJ291" s="290"/>
      <c r="AK291" s="290"/>
      <c r="AL291" s="290"/>
      <c r="AM291" s="290"/>
      <c r="AN291" s="290"/>
      <c r="AO291" s="290"/>
      <c r="AP291" s="290"/>
      <c r="AQ291" s="383"/>
      <c r="AR291" s="383"/>
      <c r="AS291" s="291"/>
      <c r="AT291" s="291"/>
      <c r="AU291" s="290"/>
      <c r="AV291" s="290"/>
      <c r="AW291" s="290"/>
      <c r="AX291" s="290"/>
      <c r="AY291" s="290"/>
      <c r="AZ291" s="290"/>
      <c r="BA291" s="290"/>
      <c r="BB291" s="290"/>
    </row>
    <row r="292" spans="1:54" ht="21" x14ac:dyDescent="0.25">
      <c r="A292" s="290"/>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90"/>
      <c r="AE292" s="290"/>
      <c r="AF292" s="290"/>
      <c r="AG292" s="290"/>
      <c r="AH292" s="290"/>
      <c r="AI292" s="290"/>
      <c r="AJ292" s="290"/>
      <c r="AK292" s="290"/>
      <c r="AL292" s="290"/>
      <c r="AM292" s="290"/>
      <c r="AN292" s="290"/>
      <c r="AO292" s="290"/>
      <c r="AP292" s="290"/>
      <c r="AQ292" s="373" t="s">
        <v>1064</v>
      </c>
      <c r="AR292" s="307" t="s">
        <v>1065</v>
      </c>
      <c r="AS292" s="291"/>
      <c r="AT292" s="291"/>
      <c r="AU292" s="290"/>
      <c r="AV292" s="290"/>
      <c r="AW292" s="290"/>
      <c r="AX292" s="290"/>
      <c r="AY292" s="290"/>
      <c r="AZ292" s="290"/>
      <c r="BA292" s="290"/>
      <c r="BB292" s="290"/>
    </row>
    <row r="293" spans="1:54" ht="21" x14ac:dyDescent="0.25">
      <c r="A293" s="290"/>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90"/>
      <c r="AE293" s="290"/>
      <c r="AF293" s="290"/>
      <c r="AG293" s="290"/>
      <c r="AH293" s="290"/>
      <c r="AI293" s="290"/>
      <c r="AJ293" s="290"/>
      <c r="AK293" s="290"/>
      <c r="AL293" s="290"/>
      <c r="AM293" s="290"/>
      <c r="AN293" s="290"/>
      <c r="AO293" s="290"/>
      <c r="AP293" s="290"/>
      <c r="AQ293" s="383"/>
      <c r="AR293" s="373" t="s">
        <v>1066</v>
      </c>
      <c r="AS293" s="291"/>
      <c r="AT293" s="291"/>
      <c r="AU293" s="290"/>
      <c r="AV293" s="290"/>
      <c r="AW293" s="290"/>
      <c r="AX293" s="290"/>
      <c r="AY293" s="290"/>
      <c r="AZ293" s="290"/>
      <c r="BA293" s="290"/>
      <c r="BB293" s="290"/>
    </row>
    <row r="294" spans="1:54" x14ac:dyDescent="0.25">
      <c r="A294" s="290"/>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290"/>
      <c r="AE294" s="290"/>
      <c r="AF294" s="290"/>
      <c r="AG294" s="290"/>
      <c r="AH294" s="290"/>
      <c r="AI294" s="290"/>
      <c r="AJ294" s="290"/>
      <c r="AK294" s="290"/>
      <c r="AL294" s="290"/>
      <c r="AM294" s="290"/>
      <c r="AN294" s="290"/>
      <c r="AO294" s="290"/>
      <c r="AP294" s="290"/>
      <c r="AQ294" s="373" t="s">
        <v>1067</v>
      </c>
      <c r="AR294" s="307" t="s">
        <v>1068</v>
      </c>
      <c r="AS294" s="291"/>
      <c r="AT294" s="291"/>
      <c r="AU294" s="290"/>
      <c r="AV294" s="290"/>
      <c r="AW294" s="290"/>
      <c r="AX294" s="290"/>
      <c r="AY294" s="290"/>
      <c r="AZ294" s="290"/>
      <c r="BA294" s="290"/>
      <c r="BB294" s="290"/>
    </row>
    <row r="295" spans="1:54" ht="21" x14ac:dyDescent="0.25">
      <c r="A295" s="290"/>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290"/>
      <c r="AE295" s="290"/>
      <c r="AF295" s="290"/>
      <c r="AG295" s="290"/>
      <c r="AH295" s="290"/>
      <c r="AI295" s="290"/>
      <c r="AJ295" s="290"/>
      <c r="AK295" s="290"/>
      <c r="AL295" s="290"/>
      <c r="AM295" s="290"/>
      <c r="AN295" s="290"/>
      <c r="AO295" s="290"/>
      <c r="AP295" s="290"/>
      <c r="AQ295" s="373" t="s">
        <v>1069</v>
      </c>
      <c r="AR295" s="307" t="s">
        <v>1070</v>
      </c>
      <c r="AS295" s="291"/>
      <c r="AT295" s="291"/>
      <c r="AU295" s="290"/>
      <c r="AV295" s="290"/>
      <c r="AW295" s="290"/>
      <c r="AX295" s="290"/>
      <c r="AY295" s="290"/>
      <c r="AZ295" s="290"/>
      <c r="BA295" s="290"/>
      <c r="BB295" s="290"/>
    </row>
    <row r="296" spans="1:54" ht="21" x14ac:dyDescent="0.25">
      <c r="A296" s="290"/>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c r="AA296" s="290"/>
      <c r="AB296" s="290"/>
      <c r="AC296" s="290"/>
      <c r="AD296" s="290"/>
      <c r="AE296" s="290"/>
      <c r="AF296" s="290"/>
      <c r="AG296" s="290"/>
      <c r="AH296" s="290"/>
      <c r="AI296" s="290"/>
      <c r="AJ296" s="290"/>
      <c r="AK296" s="290"/>
      <c r="AL296" s="290"/>
      <c r="AM296" s="290"/>
      <c r="AN296" s="290"/>
      <c r="AO296" s="290"/>
      <c r="AP296" s="290"/>
      <c r="AQ296" s="373" t="s">
        <v>1071</v>
      </c>
      <c r="AR296" s="307" t="s">
        <v>1072</v>
      </c>
      <c r="AS296" s="291"/>
      <c r="AT296" s="291"/>
      <c r="AU296" s="290"/>
      <c r="AV296" s="290"/>
      <c r="AW296" s="290"/>
      <c r="AX296" s="290"/>
      <c r="AY296" s="290"/>
      <c r="AZ296" s="290"/>
      <c r="BA296" s="290"/>
      <c r="BB296" s="290"/>
    </row>
    <row r="297" spans="1:54" x14ac:dyDescent="0.25">
      <c r="A297" s="290"/>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290"/>
      <c r="AE297" s="290"/>
      <c r="AF297" s="290"/>
      <c r="AG297" s="290"/>
      <c r="AH297" s="290"/>
      <c r="AI297" s="290"/>
      <c r="AJ297" s="290"/>
      <c r="AK297" s="290"/>
      <c r="AL297" s="290"/>
      <c r="AM297" s="290"/>
      <c r="AN297" s="290"/>
      <c r="AO297" s="290"/>
      <c r="AP297" s="290"/>
      <c r="AQ297" s="383"/>
      <c r="AR297" s="383"/>
      <c r="AS297" s="291"/>
      <c r="AT297" s="291"/>
      <c r="AU297" s="290"/>
      <c r="AV297" s="290"/>
      <c r="AW297" s="290"/>
      <c r="AX297" s="290"/>
      <c r="AY297" s="290"/>
      <c r="AZ297" s="290"/>
      <c r="BA297" s="290"/>
      <c r="BB297" s="290"/>
    </row>
    <row r="298" spans="1:54" ht="21" x14ac:dyDescent="0.25">
      <c r="A298" s="290"/>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c r="AA298" s="290"/>
      <c r="AB298" s="290"/>
      <c r="AC298" s="290"/>
      <c r="AD298" s="290"/>
      <c r="AE298" s="290"/>
      <c r="AF298" s="290"/>
      <c r="AG298" s="290"/>
      <c r="AH298" s="290"/>
      <c r="AI298" s="290"/>
      <c r="AJ298" s="290"/>
      <c r="AK298" s="290"/>
      <c r="AL298" s="290"/>
      <c r="AM298" s="290"/>
      <c r="AN298" s="290"/>
      <c r="AO298" s="290"/>
      <c r="AP298" s="290"/>
      <c r="AQ298" s="373" t="s">
        <v>1073</v>
      </c>
      <c r="AR298" s="307" t="s">
        <v>1010</v>
      </c>
      <c r="AS298" s="291"/>
      <c r="AT298" s="291"/>
      <c r="AU298" s="290"/>
      <c r="AV298" s="290"/>
      <c r="AW298" s="290"/>
      <c r="AX298" s="290"/>
      <c r="AY298" s="290"/>
      <c r="AZ298" s="290"/>
      <c r="BA298" s="290"/>
      <c r="BB298" s="290"/>
    </row>
    <row r="299" spans="1:54" ht="21" x14ac:dyDescent="0.25">
      <c r="A299" s="290"/>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90"/>
      <c r="AE299" s="290"/>
      <c r="AF299" s="290"/>
      <c r="AG299" s="290"/>
      <c r="AH299" s="290"/>
      <c r="AI299" s="290"/>
      <c r="AJ299" s="290"/>
      <c r="AK299" s="290"/>
      <c r="AL299" s="290"/>
      <c r="AM299" s="290"/>
      <c r="AN299" s="290"/>
      <c r="AO299" s="290"/>
      <c r="AP299" s="290"/>
      <c r="AQ299" s="373" t="s">
        <v>1074</v>
      </c>
      <c r="AR299" s="307" t="s">
        <v>1024</v>
      </c>
      <c r="AS299" s="291"/>
      <c r="AT299" s="291"/>
      <c r="AU299" s="290"/>
      <c r="AV299" s="290"/>
      <c r="AW299" s="290"/>
      <c r="AX299" s="290"/>
      <c r="AY299" s="290"/>
      <c r="AZ299" s="290"/>
      <c r="BA299" s="290"/>
      <c r="BB299" s="290"/>
    </row>
    <row r="300" spans="1:54" ht="21" x14ac:dyDescent="0.25">
      <c r="A300" s="290"/>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90"/>
      <c r="AE300" s="290"/>
      <c r="AF300" s="290"/>
      <c r="AG300" s="290"/>
      <c r="AH300" s="290"/>
      <c r="AI300" s="290"/>
      <c r="AJ300" s="290"/>
      <c r="AK300" s="290"/>
      <c r="AL300" s="290"/>
      <c r="AM300" s="290"/>
      <c r="AN300" s="290"/>
      <c r="AO300" s="290"/>
      <c r="AP300" s="290"/>
      <c r="AQ300" s="373" t="s">
        <v>1075</v>
      </c>
      <c r="AR300" s="307" t="s">
        <v>1076</v>
      </c>
      <c r="AS300" s="291"/>
      <c r="AT300" s="291"/>
      <c r="AU300" s="290"/>
      <c r="AV300" s="290"/>
      <c r="AW300" s="290"/>
      <c r="AX300" s="290"/>
      <c r="AY300" s="290"/>
      <c r="AZ300" s="290"/>
      <c r="BA300" s="290"/>
      <c r="BB300" s="290"/>
    </row>
    <row r="301" spans="1:54" ht="21" x14ac:dyDescent="0.25">
      <c r="A301" s="290"/>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c r="AA301" s="290"/>
      <c r="AB301" s="290"/>
      <c r="AC301" s="290"/>
      <c r="AD301" s="290"/>
      <c r="AE301" s="290"/>
      <c r="AF301" s="290"/>
      <c r="AG301" s="290"/>
      <c r="AH301" s="290"/>
      <c r="AI301" s="290"/>
      <c r="AJ301" s="290"/>
      <c r="AK301" s="290"/>
      <c r="AL301" s="290"/>
      <c r="AM301" s="290"/>
      <c r="AN301" s="290"/>
      <c r="AO301" s="290"/>
      <c r="AP301" s="290"/>
      <c r="AQ301" s="373" t="s">
        <v>1077</v>
      </c>
      <c r="AR301" s="307" t="s">
        <v>1078</v>
      </c>
      <c r="AS301" s="291"/>
      <c r="AT301" s="291"/>
      <c r="AU301" s="290"/>
      <c r="AV301" s="290"/>
      <c r="AW301" s="290"/>
      <c r="AX301" s="290"/>
      <c r="AY301" s="290"/>
      <c r="AZ301" s="290"/>
      <c r="BA301" s="290"/>
      <c r="BB301" s="290"/>
    </row>
    <row r="302" spans="1:54" x14ac:dyDescent="0.25">
      <c r="A302" s="290"/>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290"/>
      <c r="AE302" s="290"/>
      <c r="AF302" s="290"/>
      <c r="AG302" s="290"/>
      <c r="AH302" s="290"/>
      <c r="AI302" s="290"/>
      <c r="AJ302" s="290"/>
      <c r="AK302" s="290"/>
      <c r="AL302" s="290"/>
      <c r="AM302" s="290"/>
      <c r="AN302" s="290"/>
      <c r="AO302" s="290"/>
      <c r="AP302" s="290"/>
      <c r="AQ302" s="383"/>
      <c r="AR302" s="383"/>
      <c r="AS302" s="291"/>
      <c r="AT302" s="291"/>
      <c r="AU302" s="290"/>
      <c r="AV302" s="290"/>
      <c r="AW302" s="290"/>
      <c r="AX302" s="290"/>
      <c r="AY302" s="290"/>
      <c r="AZ302" s="290"/>
      <c r="BA302" s="290"/>
      <c r="BB302" s="290"/>
    </row>
    <row r="303" spans="1:54" x14ac:dyDescent="0.25">
      <c r="A303" s="290"/>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c r="AA303" s="290"/>
      <c r="AB303" s="290"/>
      <c r="AC303" s="290"/>
      <c r="AD303" s="290"/>
      <c r="AE303" s="290"/>
      <c r="AF303" s="290"/>
      <c r="AG303" s="290"/>
      <c r="AH303" s="290"/>
      <c r="AI303" s="290"/>
      <c r="AJ303" s="290"/>
      <c r="AK303" s="290"/>
      <c r="AL303" s="290"/>
      <c r="AM303" s="290"/>
      <c r="AN303" s="290"/>
      <c r="AO303" s="290"/>
      <c r="AP303" s="290"/>
      <c r="AQ303" s="373" t="s">
        <v>1079</v>
      </c>
      <c r="AR303" s="307" t="s">
        <v>1013</v>
      </c>
      <c r="AS303" s="291"/>
      <c r="AT303" s="291"/>
      <c r="AU303" s="290"/>
      <c r="AV303" s="290"/>
      <c r="AW303" s="290"/>
      <c r="AX303" s="290"/>
      <c r="AY303" s="290"/>
      <c r="AZ303" s="290"/>
      <c r="BA303" s="290"/>
      <c r="BB303" s="290"/>
    </row>
    <row r="304" spans="1:54" x14ac:dyDescent="0.25">
      <c r="A304" s="290"/>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c r="AA304" s="290"/>
      <c r="AB304" s="290"/>
      <c r="AC304" s="290"/>
      <c r="AD304" s="290"/>
      <c r="AE304" s="290"/>
      <c r="AF304" s="290"/>
      <c r="AG304" s="290"/>
      <c r="AH304" s="290"/>
      <c r="AI304" s="290"/>
      <c r="AJ304" s="290"/>
      <c r="AK304" s="290"/>
      <c r="AL304" s="290"/>
      <c r="AM304" s="290"/>
      <c r="AN304" s="290"/>
      <c r="AO304" s="290"/>
      <c r="AP304" s="290"/>
      <c r="AQ304" s="373" t="s">
        <v>1080</v>
      </c>
      <c r="AR304" s="307" t="s">
        <v>988</v>
      </c>
      <c r="AS304" s="291"/>
      <c r="AT304" s="291"/>
      <c r="AU304" s="290"/>
      <c r="AV304" s="290"/>
      <c r="AW304" s="290"/>
      <c r="AX304" s="290"/>
      <c r="AY304" s="290"/>
      <c r="AZ304" s="290"/>
      <c r="BA304" s="290"/>
      <c r="BB304" s="290"/>
    </row>
    <row r="305" spans="1:54" ht="21" x14ac:dyDescent="0.25">
      <c r="A305" s="290"/>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c r="AA305" s="290"/>
      <c r="AB305" s="290"/>
      <c r="AC305" s="290"/>
      <c r="AD305" s="290"/>
      <c r="AE305" s="290"/>
      <c r="AF305" s="290"/>
      <c r="AG305" s="290"/>
      <c r="AH305" s="290"/>
      <c r="AI305" s="290"/>
      <c r="AJ305" s="290"/>
      <c r="AK305" s="290"/>
      <c r="AL305" s="290"/>
      <c r="AM305" s="290"/>
      <c r="AN305" s="290"/>
      <c r="AO305" s="290"/>
      <c r="AP305" s="290"/>
      <c r="AQ305" s="373" t="s">
        <v>1081</v>
      </c>
      <c r="AR305" s="307" t="s">
        <v>1082</v>
      </c>
      <c r="AS305" s="291"/>
      <c r="AT305" s="291"/>
      <c r="AU305" s="290"/>
      <c r="AV305" s="290"/>
      <c r="AW305" s="290"/>
      <c r="AX305" s="290"/>
      <c r="AY305" s="290"/>
      <c r="AZ305" s="290"/>
      <c r="BA305" s="290"/>
      <c r="BB305" s="290"/>
    </row>
    <row r="306" spans="1:54" ht="21" x14ac:dyDescent="0.25">
      <c r="A306" s="290"/>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90"/>
      <c r="AE306" s="290"/>
      <c r="AF306" s="290"/>
      <c r="AG306" s="290"/>
      <c r="AH306" s="290"/>
      <c r="AI306" s="290"/>
      <c r="AJ306" s="290"/>
      <c r="AK306" s="290"/>
      <c r="AL306" s="290"/>
      <c r="AM306" s="290"/>
      <c r="AN306" s="290"/>
      <c r="AO306" s="290"/>
      <c r="AP306" s="290"/>
      <c r="AQ306" s="373" t="s">
        <v>1083</v>
      </c>
      <c r="AR306" s="307" t="s">
        <v>1084</v>
      </c>
      <c r="AS306" s="291"/>
      <c r="AT306" s="291"/>
      <c r="AU306" s="290"/>
      <c r="AV306" s="290"/>
      <c r="AW306" s="290"/>
      <c r="AX306" s="290"/>
      <c r="AY306" s="290"/>
      <c r="AZ306" s="290"/>
      <c r="BA306" s="290"/>
      <c r="BB306" s="290"/>
    </row>
    <row r="307" spans="1:54" ht="21" x14ac:dyDescent="0.25">
      <c r="A307" s="290"/>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90"/>
      <c r="AE307" s="290"/>
      <c r="AF307" s="290"/>
      <c r="AG307" s="290"/>
      <c r="AH307" s="290"/>
      <c r="AI307" s="290"/>
      <c r="AJ307" s="290"/>
      <c r="AK307" s="290"/>
      <c r="AL307" s="290"/>
      <c r="AM307" s="290"/>
      <c r="AN307" s="290"/>
      <c r="AO307" s="290"/>
      <c r="AP307" s="290"/>
      <c r="AQ307" s="373" t="s">
        <v>1085</v>
      </c>
      <c r="AR307" s="307" t="s">
        <v>1005</v>
      </c>
      <c r="AS307" s="291"/>
      <c r="AT307" s="291"/>
      <c r="AU307" s="290"/>
      <c r="AV307" s="290"/>
      <c r="AW307" s="290"/>
      <c r="AX307" s="290"/>
      <c r="AY307" s="290"/>
      <c r="AZ307" s="290"/>
      <c r="BA307" s="290"/>
      <c r="BB307" s="290"/>
    </row>
    <row r="308" spans="1:54" ht="21" x14ac:dyDescent="0.25">
      <c r="A308" s="290"/>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90"/>
      <c r="AE308" s="290"/>
      <c r="AF308" s="290"/>
      <c r="AG308" s="290"/>
      <c r="AH308" s="290"/>
      <c r="AI308" s="290"/>
      <c r="AJ308" s="290"/>
      <c r="AK308" s="290"/>
      <c r="AL308" s="290"/>
      <c r="AM308" s="290"/>
      <c r="AN308" s="290"/>
      <c r="AO308" s="290"/>
      <c r="AP308" s="290"/>
      <c r="AQ308" s="373" t="s">
        <v>1086</v>
      </c>
      <c r="AR308" s="307" t="s">
        <v>1045</v>
      </c>
      <c r="AS308" s="291"/>
      <c r="AT308" s="291"/>
      <c r="AU308" s="290"/>
      <c r="AV308" s="290"/>
      <c r="AW308" s="290"/>
      <c r="AX308" s="290"/>
      <c r="AY308" s="290"/>
      <c r="AZ308" s="290"/>
      <c r="BA308" s="290"/>
      <c r="BB308" s="290"/>
    </row>
    <row r="309" spans="1:54" x14ac:dyDescent="0.25">
      <c r="A309" s="290"/>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0"/>
      <c r="AB309" s="290"/>
      <c r="AC309" s="290"/>
      <c r="AD309" s="290"/>
      <c r="AE309" s="290"/>
      <c r="AF309" s="290"/>
      <c r="AG309" s="290"/>
      <c r="AH309" s="290"/>
      <c r="AI309" s="290"/>
      <c r="AJ309" s="290"/>
      <c r="AK309" s="290"/>
      <c r="AL309" s="290"/>
      <c r="AM309" s="290"/>
      <c r="AN309" s="290"/>
      <c r="AO309" s="290"/>
      <c r="AP309" s="290"/>
      <c r="AQ309" s="373" t="s">
        <v>1087</v>
      </c>
      <c r="AR309" s="307" t="s">
        <v>1088</v>
      </c>
      <c r="AS309" s="291"/>
      <c r="AT309" s="291"/>
      <c r="AU309" s="290"/>
      <c r="AV309" s="290"/>
      <c r="AW309" s="290"/>
      <c r="AX309" s="290"/>
      <c r="AY309" s="290"/>
      <c r="AZ309" s="290"/>
      <c r="BA309" s="290"/>
      <c r="BB309" s="290"/>
    </row>
    <row r="310" spans="1:54" x14ac:dyDescent="0.25">
      <c r="A310" s="290"/>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90"/>
      <c r="AE310" s="290"/>
      <c r="AF310" s="290"/>
      <c r="AG310" s="290"/>
      <c r="AH310" s="290"/>
      <c r="AI310" s="290"/>
      <c r="AJ310" s="290"/>
      <c r="AK310" s="290"/>
      <c r="AL310" s="290"/>
      <c r="AM310" s="290"/>
      <c r="AN310" s="290"/>
      <c r="AO310" s="290"/>
      <c r="AP310" s="290"/>
      <c r="AQ310" s="373" t="s">
        <v>1089</v>
      </c>
      <c r="AR310" s="307" t="s">
        <v>976</v>
      </c>
      <c r="AS310" s="291"/>
      <c r="AT310" s="291"/>
      <c r="AU310" s="290"/>
      <c r="AV310" s="290"/>
      <c r="AW310" s="290"/>
      <c r="AX310" s="290"/>
      <c r="AY310" s="290"/>
      <c r="AZ310" s="290"/>
      <c r="BA310" s="290"/>
      <c r="BB310" s="290"/>
    </row>
    <row r="311" spans="1:54" ht="21" x14ac:dyDescent="0.25">
      <c r="A311" s="290"/>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90"/>
      <c r="AE311" s="290"/>
      <c r="AF311" s="290"/>
      <c r="AG311" s="290"/>
      <c r="AH311" s="290"/>
      <c r="AI311" s="290"/>
      <c r="AJ311" s="290"/>
      <c r="AK311" s="290"/>
      <c r="AL311" s="290"/>
      <c r="AM311" s="290"/>
      <c r="AN311" s="290"/>
      <c r="AO311" s="290"/>
      <c r="AP311" s="290"/>
      <c r="AQ311" s="373" t="s">
        <v>1090</v>
      </c>
      <c r="AR311" s="307" t="s">
        <v>1065</v>
      </c>
      <c r="AS311" s="291"/>
      <c r="AT311" s="291"/>
      <c r="AU311" s="290"/>
      <c r="AV311" s="290"/>
      <c r="AW311" s="290"/>
      <c r="AX311" s="290"/>
      <c r="AY311" s="290"/>
      <c r="AZ311" s="290"/>
      <c r="BA311" s="290"/>
      <c r="BB311" s="290"/>
    </row>
    <row r="312" spans="1:54" x14ac:dyDescent="0.25">
      <c r="A312" s="290"/>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90"/>
      <c r="AE312" s="290"/>
      <c r="AF312" s="290"/>
      <c r="AG312" s="290"/>
      <c r="AH312" s="290"/>
      <c r="AI312" s="290"/>
      <c r="AJ312" s="290"/>
      <c r="AK312" s="290"/>
      <c r="AL312" s="290"/>
      <c r="AM312" s="290"/>
      <c r="AN312" s="290"/>
      <c r="AO312" s="290"/>
      <c r="AP312" s="290"/>
      <c r="AQ312" s="373" t="s">
        <v>1091</v>
      </c>
      <c r="AR312" s="307" t="s">
        <v>1007</v>
      </c>
      <c r="AS312" s="291"/>
      <c r="AT312" s="291"/>
      <c r="AU312" s="290"/>
      <c r="AV312" s="290"/>
      <c r="AW312" s="290"/>
      <c r="AX312" s="290"/>
      <c r="AY312" s="290"/>
      <c r="AZ312" s="290"/>
      <c r="BA312" s="290"/>
      <c r="BB312" s="290"/>
    </row>
    <row r="313" spans="1:54" ht="21" x14ac:dyDescent="0.25">
      <c r="A313" s="290"/>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c r="AA313" s="290"/>
      <c r="AB313" s="290"/>
      <c r="AC313" s="290"/>
      <c r="AD313" s="290"/>
      <c r="AE313" s="290"/>
      <c r="AF313" s="290"/>
      <c r="AG313" s="290"/>
      <c r="AH313" s="290"/>
      <c r="AI313" s="290"/>
      <c r="AJ313" s="290"/>
      <c r="AK313" s="290"/>
      <c r="AL313" s="290"/>
      <c r="AM313" s="290"/>
      <c r="AN313" s="290"/>
      <c r="AO313" s="290"/>
      <c r="AP313" s="290"/>
      <c r="AQ313" s="373" t="s">
        <v>1092</v>
      </c>
      <c r="AR313" s="307" t="s">
        <v>972</v>
      </c>
      <c r="AS313" s="291"/>
      <c r="AT313" s="291"/>
      <c r="AU313" s="290"/>
      <c r="AV313" s="290"/>
      <c r="AW313" s="290"/>
      <c r="AX313" s="290"/>
      <c r="AY313" s="290"/>
      <c r="AZ313" s="290"/>
      <c r="BA313" s="290"/>
      <c r="BB313" s="290"/>
    </row>
    <row r="314" spans="1:54" ht="21" x14ac:dyDescent="0.25">
      <c r="A314" s="290"/>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90"/>
      <c r="AE314" s="290"/>
      <c r="AF314" s="290"/>
      <c r="AG314" s="290"/>
      <c r="AH314" s="290"/>
      <c r="AI314" s="290"/>
      <c r="AJ314" s="290"/>
      <c r="AK314" s="290"/>
      <c r="AL314" s="290"/>
      <c r="AM314" s="290"/>
      <c r="AN314" s="290"/>
      <c r="AO314" s="290"/>
      <c r="AP314" s="290"/>
      <c r="AQ314" s="373" t="s">
        <v>1093</v>
      </c>
      <c r="AR314" s="307" t="s">
        <v>1094</v>
      </c>
      <c r="AS314" s="291"/>
      <c r="AT314" s="291"/>
      <c r="AU314" s="290"/>
      <c r="AV314" s="290"/>
      <c r="AW314" s="290"/>
      <c r="AX314" s="290"/>
      <c r="AY314" s="290"/>
      <c r="AZ314" s="290"/>
      <c r="BA314" s="290"/>
      <c r="BB314" s="290"/>
    </row>
    <row r="315" spans="1:54" ht="21" x14ac:dyDescent="0.25">
      <c r="A315" s="290"/>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c r="AE315" s="290"/>
      <c r="AF315" s="290"/>
      <c r="AG315" s="290"/>
      <c r="AH315" s="290"/>
      <c r="AI315" s="290"/>
      <c r="AJ315" s="290"/>
      <c r="AK315" s="290"/>
      <c r="AL315" s="290"/>
      <c r="AM315" s="290"/>
      <c r="AN315" s="290"/>
      <c r="AO315" s="290"/>
      <c r="AP315" s="290"/>
      <c r="AQ315" s="373" t="s">
        <v>1095</v>
      </c>
      <c r="AR315" s="307" t="s">
        <v>1035</v>
      </c>
      <c r="AS315" s="291"/>
      <c r="AT315" s="291"/>
      <c r="AU315" s="290"/>
      <c r="AV315" s="290"/>
      <c r="AW315" s="290"/>
      <c r="AX315" s="290"/>
      <c r="AY315" s="290"/>
      <c r="AZ315" s="290"/>
      <c r="BA315" s="290"/>
      <c r="BB315" s="290"/>
    </row>
    <row r="316" spans="1:54" ht="21" x14ac:dyDescent="0.25">
      <c r="A316" s="290"/>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c r="AA316" s="290"/>
      <c r="AB316" s="290"/>
      <c r="AC316" s="290"/>
      <c r="AD316" s="290"/>
      <c r="AE316" s="290"/>
      <c r="AF316" s="290"/>
      <c r="AG316" s="290"/>
      <c r="AH316" s="290"/>
      <c r="AI316" s="290"/>
      <c r="AJ316" s="290"/>
      <c r="AK316" s="290"/>
      <c r="AL316" s="290"/>
      <c r="AM316" s="290"/>
      <c r="AN316" s="290"/>
      <c r="AO316" s="290"/>
      <c r="AP316" s="290"/>
      <c r="AQ316" s="373" t="s">
        <v>1096</v>
      </c>
      <c r="AR316" s="307" t="s">
        <v>1097</v>
      </c>
      <c r="AS316" s="291"/>
      <c r="AT316" s="291"/>
      <c r="AU316" s="290"/>
      <c r="AV316" s="290"/>
      <c r="AW316" s="290"/>
      <c r="AX316" s="290"/>
      <c r="AY316" s="290"/>
      <c r="AZ316" s="290"/>
      <c r="BA316" s="290"/>
      <c r="BB316" s="290"/>
    </row>
    <row r="317" spans="1:54" ht="21" x14ac:dyDescent="0.25">
      <c r="A317" s="290"/>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90"/>
      <c r="AE317" s="290"/>
      <c r="AF317" s="290"/>
      <c r="AG317" s="290"/>
      <c r="AH317" s="290"/>
      <c r="AI317" s="290"/>
      <c r="AJ317" s="290"/>
      <c r="AK317" s="290"/>
      <c r="AL317" s="290"/>
      <c r="AM317" s="290"/>
      <c r="AN317" s="290"/>
      <c r="AO317" s="290"/>
      <c r="AP317" s="290"/>
      <c r="AQ317" s="373" t="s">
        <v>1098</v>
      </c>
      <c r="AR317" s="307" t="s">
        <v>1099</v>
      </c>
      <c r="AS317" s="291"/>
      <c r="AT317" s="291"/>
      <c r="AU317" s="290"/>
      <c r="AV317" s="290"/>
      <c r="AW317" s="290"/>
      <c r="AX317" s="290"/>
      <c r="AY317" s="290"/>
      <c r="AZ317" s="290"/>
      <c r="BA317" s="290"/>
      <c r="BB317" s="290"/>
    </row>
    <row r="318" spans="1:54" ht="21" x14ac:dyDescent="0.25">
      <c r="A318" s="290"/>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c r="AA318" s="290"/>
      <c r="AB318" s="290"/>
      <c r="AC318" s="290"/>
      <c r="AD318" s="290"/>
      <c r="AE318" s="290"/>
      <c r="AF318" s="290"/>
      <c r="AG318" s="290"/>
      <c r="AH318" s="290"/>
      <c r="AI318" s="290"/>
      <c r="AJ318" s="290"/>
      <c r="AK318" s="290"/>
      <c r="AL318" s="290"/>
      <c r="AM318" s="290"/>
      <c r="AN318" s="290"/>
      <c r="AO318" s="290"/>
      <c r="AP318" s="290"/>
      <c r="AQ318" s="373" t="s">
        <v>1100</v>
      </c>
      <c r="AR318" s="307" t="s">
        <v>1072</v>
      </c>
      <c r="AS318" s="291"/>
      <c r="AT318" s="291"/>
      <c r="AU318" s="290"/>
      <c r="AV318" s="290"/>
      <c r="AW318" s="290"/>
      <c r="AX318" s="290"/>
      <c r="AY318" s="290"/>
      <c r="AZ318" s="290"/>
      <c r="BA318" s="290"/>
      <c r="BB318" s="290"/>
    </row>
    <row r="319" spans="1:54" ht="21" x14ac:dyDescent="0.25">
      <c r="A319" s="290"/>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290"/>
      <c r="AE319" s="290"/>
      <c r="AF319" s="290"/>
      <c r="AG319" s="290"/>
      <c r="AH319" s="290"/>
      <c r="AI319" s="290"/>
      <c r="AJ319" s="290"/>
      <c r="AK319" s="290"/>
      <c r="AL319" s="290"/>
      <c r="AM319" s="290"/>
      <c r="AN319" s="290"/>
      <c r="AO319" s="290"/>
      <c r="AP319" s="290"/>
      <c r="AQ319" s="373" t="s">
        <v>1101</v>
      </c>
      <c r="AR319" s="307" t="s">
        <v>986</v>
      </c>
      <c r="AS319" s="291"/>
      <c r="AT319" s="291"/>
      <c r="AU319" s="290"/>
      <c r="AV319" s="290"/>
      <c r="AW319" s="290"/>
      <c r="AX319" s="290"/>
      <c r="AY319" s="290"/>
      <c r="AZ319" s="290"/>
      <c r="BA319" s="290"/>
      <c r="BB319" s="290"/>
    </row>
    <row r="320" spans="1:54" x14ac:dyDescent="0.25">
      <c r="A320" s="290"/>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90"/>
      <c r="AC320" s="290"/>
      <c r="AD320" s="290"/>
      <c r="AE320" s="290"/>
      <c r="AF320" s="290"/>
      <c r="AG320" s="290"/>
      <c r="AH320" s="290"/>
      <c r="AI320" s="290"/>
      <c r="AJ320" s="290"/>
      <c r="AK320" s="290"/>
      <c r="AL320" s="290"/>
      <c r="AM320" s="290"/>
      <c r="AN320" s="290"/>
      <c r="AO320" s="290"/>
      <c r="AP320" s="290"/>
      <c r="AQ320" s="373" t="s">
        <v>1102</v>
      </c>
      <c r="AR320" s="307" t="s">
        <v>954</v>
      </c>
      <c r="AS320" s="291"/>
      <c r="AT320" s="291"/>
      <c r="AU320" s="290"/>
      <c r="AV320" s="290"/>
      <c r="AW320" s="290"/>
      <c r="AX320" s="290"/>
      <c r="AY320" s="290"/>
      <c r="AZ320" s="290"/>
      <c r="BA320" s="290"/>
      <c r="BB320" s="290"/>
    </row>
    <row r="321" spans="1:54" x14ac:dyDescent="0.25">
      <c r="A321" s="290"/>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90"/>
      <c r="AE321" s="290"/>
      <c r="AF321" s="290"/>
      <c r="AG321" s="290"/>
      <c r="AH321" s="290"/>
      <c r="AI321" s="290"/>
      <c r="AJ321" s="290"/>
      <c r="AK321" s="290"/>
      <c r="AL321" s="290"/>
      <c r="AM321" s="290"/>
      <c r="AN321" s="290"/>
      <c r="AO321" s="290"/>
      <c r="AP321" s="290"/>
      <c r="AQ321" s="373" t="s">
        <v>1103</v>
      </c>
      <c r="AR321" s="307" t="s">
        <v>1072</v>
      </c>
      <c r="AS321" s="291"/>
      <c r="AT321" s="291"/>
      <c r="AU321" s="290"/>
      <c r="AV321" s="290"/>
      <c r="AW321" s="290"/>
      <c r="AX321" s="290"/>
      <c r="AY321" s="290"/>
      <c r="AZ321" s="290"/>
      <c r="BA321" s="290"/>
      <c r="BB321" s="290"/>
    </row>
    <row r="322" spans="1:54" ht="21" x14ac:dyDescent="0.25">
      <c r="A322" s="290"/>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290"/>
      <c r="AE322" s="290"/>
      <c r="AF322" s="290"/>
      <c r="AG322" s="290"/>
      <c r="AH322" s="290"/>
      <c r="AI322" s="290"/>
      <c r="AJ322" s="290"/>
      <c r="AK322" s="290"/>
      <c r="AL322" s="290"/>
      <c r="AM322" s="290"/>
      <c r="AN322" s="290"/>
      <c r="AO322" s="290"/>
      <c r="AP322" s="290"/>
      <c r="AQ322" s="373" t="s">
        <v>1104</v>
      </c>
      <c r="AR322" s="307" t="s">
        <v>1105</v>
      </c>
      <c r="AS322" s="291"/>
      <c r="AT322" s="291"/>
      <c r="AU322" s="290"/>
      <c r="AV322" s="290"/>
      <c r="AW322" s="290"/>
      <c r="AX322" s="290"/>
      <c r="AY322" s="290"/>
      <c r="AZ322" s="290"/>
      <c r="BA322" s="290"/>
      <c r="BB322" s="290"/>
    </row>
    <row r="323" spans="1:54" ht="21" x14ac:dyDescent="0.25">
      <c r="A323" s="290"/>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90"/>
      <c r="AO323" s="290"/>
      <c r="AP323" s="290"/>
      <c r="AQ323" s="373" t="s">
        <v>1106</v>
      </c>
      <c r="AR323" s="307" t="s">
        <v>1107</v>
      </c>
      <c r="AS323" s="291"/>
      <c r="AT323" s="291"/>
      <c r="AU323" s="290"/>
      <c r="AV323" s="290"/>
      <c r="AW323" s="290"/>
      <c r="AX323" s="290"/>
      <c r="AY323" s="290"/>
      <c r="AZ323" s="290"/>
      <c r="BA323" s="290"/>
      <c r="BB323" s="290"/>
    </row>
    <row r="324" spans="1:54" ht="21" x14ac:dyDescent="0.25">
      <c r="A324" s="290"/>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90"/>
      <c r="AO324" s="290"/>
      <c r="AP324" s="290"/>
      <c r="AQ324" s="373" t="s">
        <v>1108</v>
      </c>
      <c r="AR324" s="307" t="s">
        <v>1109</v>
      </c>
      <c r="AS324" s="291"/>
      <c r="AT324" s="291"/>
      <c r="AU324" s="290"/>
      <c r="AV324" s="290"/>
      <c r="AW324" s="290"/>
      <c r="AX324" s="290"/>
      <c r="AY324" s="290"/>
      <c r="AZ324" s="290"/>
      <c r="BA324" s="290"/>
      <c r="BB324" s="290"/>
    </row>
    <row r="325" spans="1:54" ht="31.5" x14ac:dyDescent="0.25">
      <c r="A325" s="290"/>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90"/>
      <c r="AO325" s="290"/>
      <c r="AP325" s="290"/>
      <c r="AQ325" s="373" t="s">
        <v>1110</v>
      </c>
      <c r="AR325" s="307" t="s">
        <v>962</v>
      </c>
      <c r="AS325" s="291"/>
      <c r="AT325" s="291"/>
      <c r="AU325" s="290"/>
      <c r="AV325" s="290"/>
      <c r="AW325" s="290"/>
      <c r="AX325" s="290"/>
      <c r="AY325" s="290"/>
      <c r="AZ325" s="290"/>
      <c r="BA325" s="290"/>
      <c r="BB325" s="290"/>
    </row>
    <row r="326" spans="1:54" ht="21" x14ac:dyDescent="0.25">
      <c r="A326" s="290"/>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290"/>
      <c r="AE326" s="290"/>
      <c r="AF326" s="290"/>
      <c r="AG326" s="290"/>
      <c r="AH326" s="290"/>
      <c r="AI326" s="290"/>
      <c r="AJ326" s="290"/>
      <c r="AK326" s="290"/>
      <c r="AL326" s="290"/>
      <c r="AM326" s="290"/>
      <c r="AN326" s="290"/>
      <c r="AO326" s="290"/>
      <c r="AP326" s="290"/>
      <c r="AQ326" s="373" t="s">
        <v>1111</v>
      </c>
      <c r="AR326" s="307" t="s">
        <v>972</v>
      </c>
      <c r="AS326" s="291"/>
      <c r="AT326" s="291"/>
      <c r="AU326" s="290"/>
      <c r="AV326" s="290"/>
      <c r="AW326" s="290"/>
      <c r="AX326" s="290"/>
      <c r="AY326" s="290"/>
      <c r="AZ326" s="290"/>
      <c r="BA326" s="290"/>
      <c r="BB326" s="290"/>
    </row>
    <row r="327" spans="1:54" x14ac:dyDescent="0.25">
      <c r="A327" s="290"/>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c r="AF327" s="290"/>
      <c r="AG327" s="290"/>
      <c r="AH327" s="290"/>
      <c r="AI327" s="290"/>
      <c r="AJ327" s="290"/>
      <c r="AK327" s="290"/>
      <c r="AL327" s="290"/>
      <c r="AM327" s="290"/>
      <c r="AN327" s="290"/>
      <c r="AO327" s="290"/>
      <c r="AP327" s="290"/>
      <c r="AQ327" s="373" t="s">
        <v>1112</v>
      </c>
      <c r="AR327" s="307" t="s">
        <v>1072</v>
      </c>
      <c r="AS327" s="291"/>
      <c r="AT327" s="291"/>
      <c r="AU327" s="290"/>
      <c r="AV327" s="290"/>
      <c r="AW327" s="290"/>
      <c r="AX327" s="290"/>
      <c r="AY327" s="290"/>
      <c r="AZ327" s="290"/>
      <c r="BA327" s="290"/>
      <c r="BB327" s="290"/>
    </row>
    <row r="328" spans="1:54" ht="21" x14ac:dyDescent="0.25">
      <c r="A328" s="290"/>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c r="AA328" s="290"/>
      <c r="AB328" s="290"/>
      <c r="AC328" s="290"/>
      <c r="AD328" s="290"/>
      <c r="AE328" s="290"/>
      <c r="AF328" s="290"/>
      <c r="AG328" s="290"/>
      <c r="AH328" s="290"/>
      <c r="AI328" s="290"/>
      <c r="AJ328" s="290"/>
      <c r="AK328" s="290"/>
      <c r="AL328" s="290"/>
      <c r="AM328" s="290"/>
      <c r="AN328" s="290"/>
      <c r="AO328" s="290"/>
      <c r="AP328" s="290"/>
      <c r="AQ328" s="373" t="s">
        <v>1113</v>
      </c>
      <c r="AR328" s="307" t="s">
        <v>1114</v>
      </c>
      <c r="AS328" s="291"/>
      <c r="AT328" s="291"/>
      <c r="AU328" s="290"/>
      <c r="AV328" s="290"/>
      <c r="AW328" s="290"/>
      <c r="AX328" s="290"/>
      <c r="AY328" s="290"/>
      <c r="AZ328" s="290"/>
      <c r="BA328" s="290"/>
      <c r="BB328" s="290"/>
    </row>
    <row r="329" spans="1:54" x14ac:dyDescent="0.25">
      <c r="A329" s="290"/>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c r="AA329" s="290"/>
      <c r="AB329" s="290"/>
      <c r="AC329" s="290"/>
      <c r="AD329" s="290"/>
      <c r="AE329" s="290"/>
      <c r="AF329" s="290"/>
      <c r="AG329" s="290"/>
      <c r="AH329" s="290"/>
      <c r="AI329" s="290"/>
      <c r="AJ329" s="290"/>
      <c r="AK329" s="290"/>
      <c r="AL329" s="290"/>
      <c r="AM329" s="290"/>
      <c r="AN329" s="290"/>
      <c r="AO329" s="290"/>
      <c r="AP329" s="290"/>
      <c r="AQ329" s="373" t="s">
        <v>1115</v>
      </c>
      <c r="AR329" s="307" t="s">
        <v>1038</v>
      </c>
      <c r="AS329" s="291"/>
      <c r="AT329" s="291"/>
      <c r="AU329" s="290"/>
      <c r="AV329" s="290"/>
      <c r="AW329" s="290"/>
      <c r="AX329" s="290"/>
      <c r="AY329" s="290"/>
      <c r="AZ329" s="290"/>
      <c r="BA329" s="290"/>
      <c r="BB329" s="290"/>
    </row>
    <row r="330" spans="1:54" ht="21" x14ac:dyDescent="0.25">
      <c r="A330" s="290"/>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290"/>
      <c r="AE330" s="290"/>
      <c r="AF330" s="290"/>
      <c r="AG330" s="290"/>
      <c r="AH330" s="290"/>
      <c r="AI330" s="290"/>
      <c r="AJ330" s="290"/>
      <c r="AK330" s="290"/>
      <c r="AL330" s="290"/>
      <c r="AM330" s="290"/>
      <c r="AN330" s="290"/>
      <c r="AO330" s="290"/>
      <c r="AP330" s="290"/>
      <c r="AQ330" s="373" t="s">
        <v>1116</v>
      </c>
      <c r="AR330" s="307" t="s">
        <v>1114</v>
      </c>
      <c r="AS330" s="291"/>
      <c r="AT330" s="291"/>
      <c r="AU330" s="290"/>
      <c r="AV330" s="290"/>
      <c r="AW330" s="290"/>
      <c r="AX330" s="290"/>
      <c r="AY330" s="290"/>
      <c r="AZ330" s="290"/>
      <c r="BA330" s="290"/>
      <c r="BB330" s="290"/>
    </row>
    <row r="331" spans="1:54" x14ac:dyDescent="0.25">
      <c r="A331" s="290"/>
      <c r="B331" s="290"/>
      <c r="C331" s="290"/>
      <c r="D331" s="290"/>
      <c r="E331" s="290"/>
      <c r="F331" s="290"/>
      <c r="G331" s="290"/>
      <c r="H331" s="290"/>
      <c r="I331" s="290"/>
      <c r="J331" s="290"/>
      <c r="K331" s="290"/>
      <c r="L331" s="290"/>
      <c r="M331" s="290"/>
      <c r="N331" s="290"/>
      <c r="O331" s="290"/>
      <c r="P331" s="290"/>
      <c r="Q331" s="290"/>
      <c r="R331" s="290"/>
      <c r="S331" s="290"/>
      <c r="T331" s="290"/>
      <c r="U331" s="290"/>
      <c r="V331" s="290"/>
      <c r="W331" s="290"/>
      <c r="X331" s="290"/>
      <c r="Y331" s="290"/>
      <c r="Z331" s="290"/>
      <c r="AA331" s="290"/>
      <c r="AB331" s="290"/>
      <c r="AC331" s="290"/>
      <c r="AD331" s="290"/>
      <c r="AE331" s="290"/>
      <c r="AF331" s="290"/>
      <c r="AG331" s="290"/>
      <c r="AH331" s="290"/>
      <c r="AI331" s="290"/>
      <c r="AJ331" s="290"/>
      <c r="AK331" s="290"/>
      <c r="AL331" s="290"/>
      <c r="AM331" s="290"/>
      <c r="AN331" s="290"/>
      <c r="AO331" s="290"/>
      <c r="AP331" s="290"/>
      <c r="AQ331" s="373" t="s">
        <v>1117</v>
      </c>
      <c r="AR331" s="378" t="s">
        <v>1118</v>
      </c>
      <c r="AS331" s="291"/>
      <c r="AT331" s="291"/>
      <c r="AU331" s="290"/>
      <c r="AV331" s="290"/>
      <c r="AW331" s="290"/>
      <c r="AX331" s="290"/>
      <c r="AY331" s="290"/>
      <c r="AZ331" s="290"/>
      <c r="BA331" s="290"/>
      <c r="BB331" s="290"/>
    </row>
    <row r="332" spans="1:54" ht="21" x14ac:dyDescent="0.25">
      <c r="A332" s="290"/>
      <c r="B332" s="290"/>
      <c r="C332" s="290"/>
      <c r="D332" s="290"/>
      <c r="E332" s="290"/>
      <c r="F332" s="290"/>
      <c r="G332" s="290"/>
      <c r="H332" s="290"/>
      <c r="I332" s="290"/>
      <c r="J332" s="290"/>
      <c r="K332" s="290"/>
      <c r="L332" s="290"/>
      <c r="M332" s="290"/>
      <c r="N332" s="290"/>
      <c r="O332" s="290"/>
      <c r="P332" s="290"/>
      <c r="Q332" s="290"/>
      <c r="R332" s="290"/>
      <c r="S332" s="290"/>
      <c r="T332" s="290"/>
      <c r="U332" s="290"/>
      <c r="V332" s="290"/>
      <c r="W332" s="290"/>
      <c r="X332" s="290"/>
      <c r="Y332" s="290"/>
      <c r="Z332" s="290"/>
      <c r="AA332" s="290"/>
      <c r="AB332" s="290"/>
      <c r="AC332" s="290"/>
      <c r="AD332" s="290"/>
      <c r="AE332" s="290"/>
      <c r="AF332" s="290"/>
      <c r="AG332" s="290"/>
      <c r="AH332" s="290"/>
      <c r="AI332" s="290"/>
      <c r="AJ332" s="290"/>
      <c r="AK332" s="290"/>
      <c r="AL332" s="290"/>
      <c r="AM332" s="290"/>
      <c r="AN332" s="290"/>
      <c r="AO332" s="290"/>
      <c r="AP332" s="290"/>
      <c r="AQ332" s="373" t="s">
        <v>1119</v>
      </c>
      <c r="AR332" s="307" t="s">
        <v>1120</v>
      </c>
      <c r="AS332" s="291"/>
      <c r="AT332" s="291"/>
      <c r="AU332" s="290"/>
      <c r="AV332" s="290"/>
      <c r="AW332" s="290"/>
      <c r="AX332" s="290"/>
      <c r="AY332" s="290"/>
      <c r="AZ332" s="290"/>
      <c r="BA332" s="290"/>
      <c r="BB332" s="290"/>
    </row>
    <row r="333" spans="1:54" ht="21" x14ac:dyDescent="0.25">
      <c r="A333" s="290"/>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290"/>
      <c r="AF333" s="290"/>
      <c r="AG333" s="290"/>
      <c r="AH333" s="290"/>
      <c r="AI333" s="290"/>
      <c r="AJ333" s="290"/>
      <c r="AK333" s="290"/>
      <c r="AL333" s="290"/>
      <c r="AM333" s="290"/>
      <c r="AN333" s="290"/>
      <c r="AO333" s="290"/>
      <c r="AP333" s="290"/>
      <c r="AQ333" s="373" t="s">
        <v>1121</v>
      </c>
      <c r="AR333" s="307" t="s">
        <v>990</v>
      </c>
      <c r="AS333" s="291"/>
      <c r="AT333" s="291"/>
      <c r="AU333" s="290"/>
      <c r="AV333" s="290"/>
      <c r="AW333" s="290"/>
      <c r="AX333" s="290"/>
      <c r="AY333" s="290"/>
      <c r="AZ333" s="290"/>
      <c r="BA333" s="290"/>
      <c r="BB333" s="290"/>
    </row>
    <row r="334" spans="1:54" ht="21" x14ac:dyDescent="0.25">
      <c r="A334" s="290"/>
      <c r="B334" s="290"/>
      <c r="C334" s="290"/>
      <c r="D334" s="290"/>
      <c r="E334" s="290"/>
      <c r="F334" s="290"/>
      <c r="G334" s="290"/>
      <c r="H334" s="290"/>
      <c r="I334" s="290"/>
      <c r="J334" s="290"/>
      <c r="K334" s="290"/>
      <c r="L334" s="290"/>
      <c r="M334" s="290"/>
      <c r="N334" s="290"/>
      <c r="O334" s="290"/>
      <c r="P334" s="290"/>
      <c r="Q334" s="290"/>
      <c r="R334" s="290"/>
      <c r="S334" s="290"/>
      <c r="T334" s="290"/>
      <c r="U334" s="290"/>
      <c r="V334" s="290"/>
      <c r="W334" s="290"/>
      <c r="X334" s="290"/>
      <c r="Y334" s="290"/>
      <c r="Z334" s="290"/>
      <c r="AA334" s="290"/>
      <c r="AB334" s="290"/>
      <c r="AC334" s="290"/>
      <c r="AD334" s="290"/>
      <c r="AE334" s="290"/>
      <c r="AF334" s="290"/>
      <c r="AG334" s="290"/>
      <c r="AH334" s="290"/>
      <c r="AI334" s="290"/>
      <c r="AJ334" s="290"/>
      <c r="AK334" s="290"/>
      <c r="AL334" s="290"/>
      <c r="AM334" s="290"/>
      <c r="AN334" s="290"/>
      <c r="AO334" s="290"/>
      <c r="AP334" s="290"/>
      <c r="AQ334" s="373" t="s">
        <v>1122</v>
      </c>
      <c r="AR334" s="307" t="s">
        <v>1035</v>
      </c>
      <c r="AS334" s="291"/>
      <c r="AT334" s="291"/>
      <c r="AU334" s="290"/>
      <c r="AV334" s="290"/>
      <c r="AW334" s="290"/>
      <c r="AX334" s="290"/>
      <c r="AY334" s="290"/>
      <c r="AZ334" s="290"/>
      <c r="BA334" s="290"/>
      <c r="BB334" s="290"/>
    </row>
    <row r="335" spans="1:54" ht="21" x14ac:dyDescent="0.25">
      <c r="A335" s="290"/>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c r="AE335" s="290"/>
      <c r="AF335" s="290"/>
      <c r="AG335" s="290"/>
      <c r="AH335" s="290"/>
      <c r="AI335" s="290"/>
      <c r="AJ335" s="290"/>
      <c r="AK335" s="290"/>
      <c r="AL335" s="290"/>
      <c r="AM335" s="290"/>
      <c r="AN335" s="290"/>
      <c r="AO335" s="290"/>
      <c r="AP335" s="290"/>
      <c r="AQ335" s="373" t="s">
        <v>1123</v>
      </c>
      <c r="AR335" s="307" t="s">
        <v>982</v>
      </c>
      <c r="AS335" s="291"/>
      <c r="AT335" s="291"/>
      <c r="AU335" s="290"/>
      <c r="AV335" s="290"/>
      <c r="AW335" s="290"/>
      <c r="AX335" s="290"/>
      <c r="AY335" s="290"/>
      <c r="AZ335" s="290"/>
      <c r="BA335" s="290"/>
      <c r="BB335" s="290"/>
    </row>
    <row r="336" spans="1:54" ht="21" x14ac:dyDescent="0.25">
      <c r="A336" s="290"/>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90"/>
      <c r="AE336" s="290"/>
      <c r="AF336" s="290"/>
      <c r="AG336" s="290"/>
      <c r="AH336" s="290"/>
      <c r="AI336" s="290"/>
      <c r="AJ336" s="290"/>
      <c r="AK336" s="290"/>
      <c r="AL336" s="290"/>
      <c r="AM336" s="290"/>
      <c r="AN336" s="290"/>
      <c r="AO336" s="290"/>
      <c r="AP336" s="290"/>
      <c r="AQ336" s="373" t="s">
        <v>1124</v>
      </c>
      <c r="AR336" s="373" t="s">
        <v>1125</v>
      </c>
      <c r="AS336" s="291"/>
      <c r="AT336" s="291"/>
      <c r="AU336" s="290"/>
      <c r="AV336" s="290"/>
      <c r="AW336" s="290"/>
      <c r="AX336" s="290"/>
      <c r="AY336" s="290"/>
      <c r="AZ336" s="290"/>
      <c r="BA336" s="290"/>
      <c r="BB336" s="290"/>
    </row>
    <row r="337" spans="1:54" ht="21" x14ac:dyDescent="0.25">
      <c r="A337" s="290"/>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290"/>
      <c r="AE337" s="290"/>
      <c r="AF337" s="290"/>
      <c r="AG337" s="290"/>
      <c r="AH337" s="290"/>
      <c r="AI337" s="290"/>
      <c r="AJ337" s="290"/>
      <c r="AK337" s="290"/>
      <c r="AL337" s="290"/>
      <c r="AM337" s="290"/>
      <c r="AN337" s="290"/>
      <c r="AO337" s="290"/>
      <c r="AP337" s="290"/>
      <c r="AQ337" s="373" t="s">
        <v>1126</v>
      </c>
      <c r="AR337" s="307" t="s">
        <v>1088</v>
      </c>
      <c r="AS337" s="291"/>
      <c r="AT337" s="291"/>
      <c r="AU337" s="290"/>
      <c r="AV337" s="290"/>
      <c r="AW337" s="290"/>
      <c r="AX337" s="290"/>
      <c r="AY337" s="290"/>
      <c r="AZ337" s="290"/>
      <c r="BA337" s="290"/>
      <c r="BB337" s="290"/>
    </row>
    <row r="338" spans="1:54" ht="21" x14ac:dyDescent="0.25">
      <c r="A338" s="290"/>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90"/>
      <c r="AO338" s="290"/>
      <c r="AP338" s="290"/>
      <c r="AQ338" s="373" t="s">
        <v>1127</v>
      </c>
      <c r="AR338" s="373" t="s">
        <v>1128</v>
      </c>
      <c r="AS338" s="291"/>
      <c r="AT338" s="291"/>
      <c r="AU338" s="290"/>
      <c r="AV338" s="290"/>
      <c r="AW338" s="290"/>
      <c r="AX338" s="290"/>
      <c r="AY338" s="290"/>
      <c r="AZ338" s="290"/>
      <c r="BA338" s="290"/>
      <c r="BB338" s="290"/>
    </row>
    <row r="339" spans="1:54" ht="21" x14ac:dyDescent="0.25">
      <c r="A339" s="290"/>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90"/>
      <c r="AO339" s="290"/>
      <c r="AP339" s="290"/>
      <c r="AQ339" s="373" t="s">
        <v>1129</v>
      </c>
      <c r="AR339" s="307" t="s">
        <v>1072</v>
      </c>
      <c r="AS339" s="291"/>
      <c r="AT339" s="291"/>
      <c r="AU339" s="290"/>
      <c r="AV339" s="290"/>
      <c r="AW339" s="290"/>
      <c r="AX339" s="290"/>
      <c r="AY339" s="290"/>
      <c r="AZ339" s="290"/>
      <c r="BA339" s="290"/>
      <c r="BB339" s="290"/>
    </row>
    <row r="340" spans="1:54" ht="21" x14ac:dyDescent="0.25">
      <c r="A340" s="290"/>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c r="AE340" s="290"/>
      <c r="AF340" s="290"/>
      <c r="AG340" s="290"/>
      <c r="AH340" s="290"/>
      <c r="AI340" s="290"/>
      <c r="AJ340" s="290"/>
      <c r="AK340" s="290"/>
      <c r="AL340" s="290"/>
      <c r="AM340" s="290"/>
      <c r="AN340" s="290"/>
      <c r="AO340" s="290"/>
      <c r="AP340" s="290"/>
      <c r="AQ340" s="373" t="s">
        <v>1130</v>
      </c>
      <c r="AR340" s="307" t="s">
        <v>1005</v>
      </c>
      <c r="AS340" s="291"/>
      <c r="AT340" s="291"/>
      <c r="AU340" s="290"/>
      <c r="AV340" s="290"/>
      <c r="AW340" s="290"/>
      <c r="AX340" s="290"/>
      <c r="AY340" s="290"/>
      <c r="AZ340" s="290"/>
      <c r="BA340" s="290"/>
      <c r="BB340" s="290"/>
    </row>
    <row r="341" spans="1:54" ht="21" x14ac:dyDescent="0.25">
      <c r="A341" s="290"/>
      <c r="B341" s="290"/>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90"/>
      <c r="AO341" s="290"/>
      <c r="AP341" s="290"/>
      <c r="AQ341" s="373" t="s">
        <v>1131</v>
      </c>
      <c r="AR341" s="307" t="s">
        <v>1132</v>
      </c>
      <c r="AS341" s="291"/>
      <c r="AT341" s="291"/>
      <c r="AU341" s="290"/>
      <c r="AV341" s="290"/>
      <c r="AW341" s="290"/>
      <c r="AX341" s="290"/>
      <c r="AY341" s="290"/>
      <c r="AZ341" s="290"/>
      <c r="BA341" s="290"/>
      <c r="BB341" s="290"/>
    </row>
    <row r="342" spans="1:54" ht="21" x14ac:dyDescent="0.25">
      <c r="A342" s="290"/>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c r="AE342" s="290"/>
      <c r="AF342" s="290"/>
      <c r="AG342" s="290"/>
      <c r="AH342" s="290"/>
      <c r="AI342" s="290"/>
      <c r="AJ342" s="290"/>
      <c r="AK342" s="290"/>
      <c r="AL342" s="290"/>
      <c r="AM342" s="290"/>
      <c r="AN342" s="290"/>
      <c r="AO342" s="290"/>
      <c r="AP342" s="290"/>
      <c r="AQ342" s="383"/>
      <c r="AR342" s="373" t="s">
        <v>1133</v>
      </c>
      <c r="AS342" s="291"/>
      <c r="AT342" s="291"/>
      <c r="AU342" s="290"/>
      <c r="AV342" s="290"/>
      <c r="AW342" s="290"/>
      <c r="AX342" s="290"/>
      <c r="AY342" s="290"/>
      <c r="AZ342" s="290"/>
      <c r="BA342" s="290"/>
      <c r="BB342" s="290"/>
    </row>
    <row r="343" spans="1:54" ht="21" x14ac:dyDescent="0.25">
      <c r="A343" s="290"/>
      <c r="B343" s="290"/>
      <c r="C343" s="290"/>
      <c r="D343" s="290"/>
      <c r="E343" s="290"/>
      <c r="F343" s="290"/>
      <c r="G343" s="290"/>
      <c r="H343" s="290"/>
      <c r="I343" s="290"/>
      <c r="J343" s="290"/>
      <c r="K343" s="290"/>
      <c r="L343" s="290"/>
      <c r="M343" s="290"/>
      <c r="N343" s="290"/>
      <c r="O343" s="290"/>
      <c r="P343" s="290"/>
      <c r="Q343" s="290"/>
      <c r="R343" s="290"/>
      <c r="S343" s="290"/>
      <c r="T343" s="290"/>
      <c r="U343" s="290"/>
      <c r="V343" s="290"/>
      <c r="W343" s="290"/>
      <c r="X343" s="290"/>
      <c r="Y343" s="290"/>
      <c r="Z343" s="290"/>
      <c r="AA343" s="290"/>
      <c r="AB343" s="290"/>
      <c r="AC343" s="290"/>
      <c r="AD343" s="290"/>
      <c r="AE343" s="290"/>
      <c r="AF343" s="290"/>
      <c r="AG343" s="290"/>
      <c r="AH343" s="290"/>
      <c r="AI343" s="290"/>
      <c r="AJ343" s="290"/>
      <c r="AK343" s="290"/>
      <c r="AL343" s="290"/>
      <c r="AM343" s="290"/>
      <c r="AN343" s="290"/>
      <c r="AO343" s="290"/>
      <c r="AP343" s="290"/>
      <c r="AQ343" s="373" t="s">
        <v>883</v>
      </c>
      <c r="AR343" s="307" t="s">
        <v>1134</v>
      </c>
      <c r="AS343" s="291"/>
      <c r="AT343" s="291"/>
      <c r="AU343" s="290"/>
      <c r="AV343" s="290"/>
      <c r="AW343" s="290"/>
      <c r="AX343" s="290"/>
      <c r="AY343" s="290"/>
      <c r="AZ343" s="290"/>
      <c r="BA343" s="290"/>
      <c r="BB343" s="290"/>
    </row>
    <row r="344" spans="1:54" ht="21" x14ac:dyDescent="0.25">
      <c r="A344" s="290"/>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c r="AE344" s="290"/>
      <c r="AF344" s="290"/>
      <c r="AG344" s="290"/>
      <c r="AH344" s="290"/>
      <c r="AI344" s="290"/>
      <c r="AJ344" s="290"/>
      <c r="AK344" s="290"/>
      <c r="AL344" s="290"/>
      <c r="AM344" s="290"/>
      <c r="AN344" s="290"/>
      <c r="AO344" s="290"/>
      <c r="AP344" s="290"/>
      <c r="AQ344" s="373" t="s">
        <v>1135</v>
      </c>
      <c r="AR344" s="307" t="s">
        <v>1076</v>
      </c>
      <c r="AS344" s="291"/>
      <c r="AT344" s="291"/>
      <c r="AU344" s="290"/>
      <c r="AV344" s="290"/>
      <c r="AW344" s="290"/>
      <c r="AX344" s="290"/>
      <c r="AY344" s="290"/>
      <c r="AZ344" s="290"/>
      <c r="BA344" s="290"/>
      <c r="BB344" s="290"/>
    </row>
    <row r="345" spans="1:54" x14ac:dyDescent="0.25">
      <c r="A345" s="290"/>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c r="AF345" s="290"/>
      <c r="AG345" s="290"/>
      <c r="AH345" s="290"/>
      <c r="AI345" s="290"/>
      <c r="AJ345" s="290"/>
      <c r="AK345" s="290"/>
      <c r="AL345" s="290"/>
      <c r="AM345" s="290"/>
      <c r="AN345" s="290"/>
      <c r="AO345" s="290"/>
      <c r="AP345" s="290"/>
      <c r="AQ345" s="1826" t="s">
        <v>1136</v>
      </c>
      <c r="AR345" s="383"/>
      <c r="AS345" s="291"/>
      <c r="AT345" s="291"/>
      <c r="AU345" s="290"/>
      <c r="AV345" s="290"/>
      <c r="AW345" s="290"/>
      <c r="AX345" s="290"/>
      <c r="AY345" s="290"/>
      <c r="AZ345" s="290"/>
      <c r="BA345" s="290"/>
      <c r="BB345" s="290"/>
    </row>
    <row r="346" spans="1:54" x14ac:dyDescent="0.25">
      <c r="A346" s="290"/>
      <c r="B346" s="290"/>
      <c r="C346" s="290"/>
      <c r="D346" s="290"/>
      <c r="E346" s="290"/>
      <c r="F346" s="290"/>
      <c r="G346" s="290"/>
      <c r="H346" s="290"/>
      <c r="I346" s="290"/>
      <c r="J346" s="290"/>
      <c r="K346" s="290"/>
      <c r="L346" s="290"/>
      <c r="M346" s="290"/>
      <c r="N346" s="290"/>
      <c r="O346" s="290"/>
      <c r="P346" s="290"/>
      <c r="Q346" s="290"/>
      <c r="R346" s="290"/>
      <c r="S346" s="290"/>
      <c r="T346" s="290"/>
      <c r="U346" s="290"/>
      <c r="V346" s="290"/>
      <c r="W346" s="290"/>
      <c r="X346" s="290"/>
      <c r="Y346" s="290"/>
      <c r="Z346" s="290"/>
      <c r="AA346" s="290"/>
      <c r="AB346" s="290"/>
      <c r="AC346" s="290"/>
      <c r="AD346" s="290"/>
      <c r="AE346" s="290"/>
      <c r="AF346" s="290"/>
      <c r="AG346" s="290"/>
      <c r="AH346" s="290"/>
      <c r="AI346" s="290"/>
      <c r="AJ346" s="290"/>
      <c r="AK346" s="290"/>
      <c r="AL346" s="290"/>
      <c r="AM346" s="290"/>
      <c r="AN346" s="290"/>
      <c r="AO346" s="290"/>
      <c r="AP346" s="290"/>
      <c r="AQ346" s="1826"/>
      <c r="AR346" s="307" t="s">
        <v>1137</v>
      </c>
      <c r="AS346" s="291"/>
      <c r="AT346" s="291"/>
      <c r="AU346" s="290"/>
      <c r="AV346" s="290"/>
      <c r="AW346" s="290"/>
      <c r="AX346" s="290"/>
      <c r="AY346" s="290"/>
      <c r="AZ346" s="290"/>
      <c r="BA346" s="290"/>
      <c r="BB346" s="290"/>
    </row>
    <row r="347" spans="1:54" ht="21" x14ac:dyDescent="0.25">
      <c r="A347" s="290"/>
      <c r="B347" s="290"/>
      <c r="C347" s="290"/>
      <c r="D347" s="290"/>
      <c r="E347" s="290"/>
      <c r="F347" s="290"/>
      <c r="G347" s="290"/>
      <c r="H347" s="290"/>
      <c r="I347" s="290"/>
      <c r="J347" s="290"/>
      <c r="K347" s="290"/>
      <c r="L347" s="290"/>
      <c r="M347" s="290"/>
      <c r="N347" s="290"/>
      <c r="O347" s="290"/>
      <c r="P347" s="290"/>
      <c r="Q347" s="290"/>
      <c r="R347" s="290"/>
      <c r="S347" s="290"/>
      <c r="T347" s="290"/>
      <c r="U347" s="290"/>
      <c r="V347" s="290"/>
      <c r="W347" s="290"/>
      <c r="X347" s="290"/>
      <c r="Y347" s="290"/>
      <c r="Z347" s="290"/>
      <c r="AA347" s="290"/>
      <c r="AB347" s="290"/>
      <c r="AC347" s="290"/>
      <c r="AD347" s="290"/>
      <c r="AE347" s="290"/>
      <c r="AF347" s="290"/>
      <c r="AG347" s="290"/>
      <c r="AH347" s="290"/>
      <c r="AI347" s="290"/>
      <c r="AJ347" s="290"/>
      <c r="AK347" s="290"/>
      <c r="AL347" s="290"/>
      <c r="AM347" s="290"/>
      <c r="AN347" s="290"/>
      <c r="AO347" s="290"/>
      <c r="AP347" s="290"/>
      <c r="AQ347" s="373" t="s">
        <v>1138</v>
      </c>
      <c r="AR347" s="307" t="s">
        <v>1035</v>
      </c>
      <c r="AS347" s="291"/>
      <c r="AT347" s="291"/>
      <c r="AU347" s="290"/>
      <c r="AV347" s="290"/>
      <c r="AW347" s="290"/>
      <c r="AX347" s="290"/>
      <c r="AY347" s="290"/>
      <c r="AZ347" s="290"/>
      <c r="BA347" s="290"/>
      <c r="BB347" s="290"/>
    </row>
    <row r="348" spans="1:54" ht="31.5" x14ac:dyDescent="0.25">
      <c r="A348" s="290"/>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c r="AE348" s="290"/>
      <c r="AF348" s="290"/>
      <c r="AG348" s="290"/>
      <c r="AH348" s="290"/>
      <c r="AI348" s="290"/>
      <c r="AJ348" s="290"/>
      <c r="AK348" s="290"/>
      <c r="AL348" s="290"/>
      <c r="AM348" s="290"/>
      <c r="AN348" s="290"/>
      <c r="AO348" s="290"/>
      <c r="AP348" s="290"/>
      <c r="AQ348" s="373" t="s">
        <v>1139</v>
      </c>
      <c r="AR348" s="307" t="s">
        <v>1097</v>
      </c>
      <c r="AS348" s="291"/>
      <c r="AT348" s="291"/>
      <c r="AU348" s="290"/>
      <c r="AV348" s="290"/>
      <c r="AW348" s="290"/>
      <c r="AX348" s="290"/>
      <c r="AY348" s="290"/>
      <c r="AZ348" s="290"/>
      <c r="BA348" s="290"/>
      <c r="BB348" s="290"/>
    </row>
    <row r="349" spans="1:54" ht="21" x14ac:dyDescent="0.25">
      <c r="A349" s="290"/>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c r="AE349" s="290"/>
      <c r="AF349" s="290"/>
      <c r="AG349" s="290"/>
      <c r="AH349" s="290"/>
      <c r="AI349" s="290"/>
      <c r="AJ349" s="290"/>
      <c r="AK349" s="290"/>
      <c r="AL349" s="290"/>
      <c r="AM349" s="290"/>
      <c r="AN349" s="290"/>
      <c r="AO349" s="290"/>
      <c r="AP349" s="290"/>
      <c r="AQ349" s="373" t="s">
        <v>1140</v>
      </c>
      <c r="AR349" s="378" t="s">
        <v>1141</v>
      </c>
      <c r="AS349" s="291"/>
      <c r="AT349" s="291"/>
      <c r="AU349" s="290"/>
      <c r="AV349" s="290"/>
      <c r="AW349" s="290"/>
      <c r="AX349" s="290"/>
      <c r="AY349" s="290"/>
      <c r="AZ349" s="290"/>
      <c r="BA349" s="290"/>
      <c r="BB349" s="290"/>
    </row>
    <row r="350" spans="1:54" ht="31.5" x14ac:dyDescent="0.25">
      <c r="A350" s="290"/>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290"/>
      <c r="AE350" s="290"/>
      <c r="AF350" s="290"/>
      <c r="AG350" s="290"/>
      <c r="AH350" s="290"/>
      <c r="AI350" s="290"/>
      <c r="AJ350" s="290"/>
      <c r="AK350" s="290"/>
      <c r="AL350" s="290"/>
      <c r="AM350" s="290"/>
      <c r="AN350" s="290"/>
      <c r="AO350" s="290"/>
      <c r="AP350" s="290"/>
      <c r="AQ350" s="373" t="s">
        <v>1142</v>
      </c>
      <c r="AR350" s="307" t="s">
        <v>1045</v>
      </c>
      <c r="AS350" s="291"/>
      <c r="AT350" s="291"/>
      <c r="AU350" s="290"/>
      <c r="AV350" s="290"/>
      <c r="AW350" s="290"/>
      <c r="AX350" s="290"/>
      <c r="AY350" s="290"/>
      <c r="AZ350" s="290"/>
      <c r="BA350" s="290"/>
      <c r="BB350" s="290"/>
    </row>
    <row r="351" spans="1:54" x14ac:dyDescent="0.25">
      <c r="A351" s="290"/>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c r="AE351" s="290"/>
      <c r="AF351" s="290"/>
      <c r="AG351" s="290"/>
      <c r="AH351" s="290"/>
      <c r="AI351" s="290"/>
      <c r="AJ351" s="290"/>
      <c r="AK351" s="290"/>
      <c r="AL351" s="290"/>
      <c r="AM351" s="290"/>
      <c r="AN351" s="290"/>
      <c r="AO351" s="290"/>
      <c r="AP351" s="290"/>
      <c r="AQ351" s="373" t="s">
        <v>1143</v>
      </c>
      <c r="AR351" s="307" t="s">
        <v>1144</v>
      </c>
      <c r="AS351" s="291"/>
      <c r="AT351" s="291"/>
      <c r="AU351" s="290"/>
      <c r="AV351" s="290"/>
      <c r="AW351" s="290"/>
      <c r="AX351" s="290"/>
      <c r="AY351" s="290"/>
      <c r="AZ351" s="290"/>
      <c r="BA351" s="290"/>
      <c r="BB351" s="290"/>
    </row>
    <row r="352" spans="1:54" ht="21" x14ac:dyDescent="0.25">
      <c r="A352" s="290"/>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c r="AF352" s="290"/>
      <c r="AG352" s="290"/>
      <c r="AH352" s="290"/>
      <c r="AI352" s="290"/>
      <c r="AJ352" s="290"/>
      <c r="AK352" s="290"/>
      <c r="AL352" s="290"/>
      <c r="AM352" s="290"/>
      <c r="AN352" s="290"/>
      <c r="AO352" s="290"/>
      <c r="AP352" s="290"/>
      <c r="AQ352" s="373" t="s">
        <v>1145</v>
      </c>
      <c r="AR352" s="307" t="s">
        <v>1146</v>
      </c>
      <c r="AS352" s="291"/>
      <c r="AT352" s="291"/>
      <c r="AU352" s="290"/>
      <c r="AV352" s="290"/>
      <c r="AW352" s="290"/>
      <c r="AX352" s="290"/>
      <c r="AY352" s="290"/>
      <c r="AZ352" s="290"/>
      <c r="BA352" s="290"/>
      <c r="BB352" s="290"/>
    </row>
    <row r="353" spans="1:54" x14ac:dyDescent="0.25">
      <c r="A353" s="290"/>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290"/>
      <c r="AE353" s="290"/>
      <c r="AF353" s="290"/>
      <c r="AG353" s="290"/>
      <c r="AH353" s="290"/>
      <c r="AI353" s="290"/>
      <c r="AJ353" s="290"/>
      <c r="AK353" s="290"/>
      <c r="AL353" s="290"/>
      <c r="AM353" s="290"/>
      <c r="AN353" s="290"/>
      <c r="AO353" s="290"/>
      <c r="AP353" s="290"/>
      <c r="AQ353" s="383"/>
      <c r="AR353" s="378" t="s">
        <v>1147</v>
      </c>
      <c r="AS353" s="291"/>
      <c r="AT353" s="291"/>
      <c r="AU353" s="290"/>
      <c r="AV353" s="290"/>
      <c r="AW353" s="290"/>
      <c r="AX353" s="290"/>
      <c r="AY353" s="290"/>
      <c r="AZ353" s="290"/>
      <c r="BA353" s="290"/>
      <c r="BB353" s="290"/>
    </row>
    <row r="354" spans="1:54" ht="21" x14ac:dyDescent="0.25">
      <c r="A354" s="290"/>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90"/>
      <c r="AO354" s="290"/>
      <c r="AP354" s="290"/>
      <c r="AQ354" s="373" t="s">
        <v>1148</v>
      </c>
      <c r="AR354" s="307" t="s">
        <v>1149</v>
      </c>
      <c r="AS354" s="291"/>
      <c r="AT354" s="291"/>
      <c r="AU354" s="290"/>
      <c r="AV354" s="290"/>
      <c r="AW354" s="290"/>
      <c r="AX354" s="290"/>
      <c r="AY354" s="290"/>
      <c r="AZ354" s="290"/>
      <c r="BA354" s="290"/>
      <c r="BB354" s="290"/>
    </row>
    <row r="355" spans="1:54" ht="21" x14ac:dyDescent="0.25">
      <c r="A355" s="290"/>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90"/>
      <c r="AO355" s="290"/>
      <c r="AP355" s="290"/>
      <c r="AQ355" s="373" t="s">
        <v>1150</v>
      </c>
      <c r="AR355" s="307" t="s">
        <v>1109</v>
      </c>
      <c r="AS355" s="291"/>
      <c r="AT355" s="291"/>
      <c r="AU355" s="290"/>
      <c r="AV355" s="290"/>
      <c r="AW355" s="290"/>
      <c r="AX355" s="290"/>
      <c r="AY355" s="290"/>
      <c r="AZ355" s="290"/>
      <c r="BA355" s="290"/>
      <c r="BB355" s="290"/>
    </row>
    <row r="356" spans="1:54" ht="21" x14ac:dyDescent="0.25">
      <c r="A356" s="290"/>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c r="AA356" s="290"/>
      <c r="AB356" s="290"/>
      <c r="AC356" s="290"/>
      <c r="AD356" s="290"/>
      <c r="AE356" s="290"/>
      <c r="AF356" s="290"/>
      <c r="AG356" s="290"/>
      <c r="AH356" s="290"/>
      <c r="AI356" s="290"/>
      <c r="AJ356" s="290"/>
      <c r="AK356" s="290"/>
      <c r="AL356" s="290"/>
      <c r="AM356" s="290"/>
      <c r="AN356" s="290"/>
      <c r="AO356" s="290"/>
      <c r="AP356" s="290"/>
      <c r="AQ356" s="373" t="s">
        <v>1151</v>
      </c>
      <c r="AR356" s="307" t="s">
        <v>968</v>
      </c>
      <c r="AS356" s="291"/>
      <c r="AT356" s="291"/>
      <c r="AU356" s="290"/>
      <c r="AV356" s="290"/>
      <c r="AW356" s="290"/>
      <c r="AX356" s="290"/>
      <c r="AY356" s="290"/>
      <c r="AZ356" s="290"/>
      <c r="BA356" s="290"/>
      <c r="BB356" s="290"/>
    </row>
    <row r="357" spans="1:54" x14ac:dyDescent="0.25">
      <c r="A357" s="290"/>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c r="AA357" s="290"/>
      <c r="AB357" s="290"/>
      <c r="AC357" s="290"/>
      <c r="AD357" s="290"/>
      <c r="AE357" s="290"/>
      <c r="AF357" s="290"/>
      <c r="AG357" s="290"/>
      <c r="AH357" s="290"/>
      <c r="AI357" s="290"/>
      <c r="AJ357" s="290"/>
      <c r="AK357" s="290"/>
      <c r="AL357" s="290"/>
      <c r="AM357" s="290"/>
      <c r="AN357" s="290"/>
      <c r="AO357" s="290"/>
      <c r="AP357" s="290"/>
      <c r="AQ357" s="373" t="s">
        <v>1152</v>
      </c>
      <c r="AR357" s="307" t="s">
        <v>1035</v>
      </c>
      <c r="AS357" s="291"/>
      <c r="AT357" s="291"/>
      <c r="AU357" s="290"/>
      <c r="AV357" s="290"/>
      <c r="AW357" s="290"/>
      <c r="AX357" s="290"/>
      <c r="AY357" s="290"/>
      <c r="AZ357" s="290"/>
      <c r="BA357" s="290"/>
      <c r="BB357" s="290"/>
    </row>
    <row r="358" spans="1:54" x14ac:dyDescent="0.25">
      <c r="A358" s="290"/>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c r="AA358" s="290"/>
      <c r="AB358" s="290"/>
      <c r="AC358" s="290"/>
      <c r="AD358" s="290"/>
      <c r="AE358" s="290"/>
      <c r="AF358" s="290"/>
      <c r="AG358" s="290"/>
      <c r="AH358" s="290"/>
      <c r="AI358" s="290"/>
      <c r="AJ358" s="290"/>
      <c r="AK358" s="290"/>
      <c r="AL358" s="290"/>
      <c r="AM358" s="290"/>
      <c r="AN358" s="290"/>
      <c r="AO358" s="290"/>
      <c r="AP358" s="290"/>
      <c r="AQ358" s="383"/>
      <c r="AR358" s="383"/>
      <c r="AS358" s="291"/>
      <c r="AT358" s="291"/>
      <c r="AU358" s="290"/>
      <c r="AV358" s="290"/>
      <c r="AW358" s="290"/>
      <c r="AX358" s="290"/>
      <c r="AY358" s="290"/>
      <c r="AZ358" s="290"/>
      <c r="BA358" s="290"/>
      <c r="BB358" s="290"/>
    </row>
    <row r="359" spans="1:54" ht="21" x14ac:dyDescent="0.25">
      <c r="A359" s="290"/>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90"/>
      <c r="AE359" s="290"/>
      <c r="AF359" s="290"/>
      <c r="AG359" s="290"/>
      <c r="AH359" s="290"/>
      <c r="AI359" s="290"/>
      <c r="AJ359" s="290"/>
      <c r="AK359" s="290"/>
      <c r="AL359" s="290"/>
      <c r="AM359" s="290"/>
      <c r="AN359" s="290"/>
      <c r="AO359" s="290"/>
      <c r="AP359" s="290"/>
      <c r="AQ359" s="373" t="s">
        <v>1153</v>
      </c>
      <c r="AR359" s="307" t="s">
        <v>954</v>
      </c>
      <c r="AS359" s="291"/>
      <c r="AT359" s="291"/>
      <c r="AU359" s="290"/>
      <c r="AV359" s="290"/>
      <c r="AW359" s="290"/>
      <c r="AX359" s="290"/>
      <c r="AY359" s="290"/>
      <c r="AZ359" s="290"/>
      <c r="BA359" s="290"/>
      <c r="BB359" s="290"/>
    </row>
    <row r="360" spans="1:54" ht="21" x14ac:dyDescent="0.25">
      <c r="A360" s="290"/>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c r="AE360" s="290"/>
      <c r="AF360" s="290"/>
      <c r="AG360" s="290"/>
      <c r="AH360" s="290"/>
      <c r="AI360" s="290"/>
      <c r="AJ360" s="290"/>
      <c r="AK360" s="290"/>
      <c r="AL360" s="290"/>
      <c r="AM360" s="290"/>
      <c r="AN360" s="290"/>
      <c r="AO360" s="290"/>
      <c r="AP360" s="290"/>
      <c r="AQ360" s="373" t="s">
        <v>1154</v>
      </c>
      <c r="AR360" s="307" t="s">
        <v>996</v>
      </c>
      <c r="AS360" s="291"/>
      <c r="AT360" s="291"/>
      <c r="AU360" s="290"/>
      <c r="AV360" s="290"/>
      <c r="AW360" s="290"/>
      <c r="AX360" s="290"/>
      <c r="AY360" s="290"/>
      <c r="AZ360" s="290"/>
      <c r="BA360" s="290"/>
      <c r="BB360" s="290"/>
    </row>
    <row r="361" spans="1:54" ht="21" x14ac:dyDescent="0.25">
      <c r="A361" s="290"/>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290"/>
      <c r="Z361" s="290"/>
      <c r="AA361" s="290"/>
      <c r="AB361" s="290"/>
      <c r="AC361" s="290"/>
      <c r="AD361" s="290"/>
      <c r="AE361" s="290"/>
      <c r="AF361" s="290"/>
      <c r="AG361" s="290"/>
      <c r="AH361" s="290"/>
      <c r="AI361" s="290"/>
      <c r="AJ361" s="290"/>
      <c r="AK361" s="290"/>
      <c r="AL361" s="290"/>
      <c r="AM361" s="290"/>
      <c r="AN361" s="290"/>
      <c r="AO361" s="290"/>
      <c r="AP361" s="290"/>
      <c r="AQ361" s="373" t="s">
        <v>1155</v>
      </c>
      <c r="AR361" s="307" t="s">
        <v>1156</v>
      </c>
      <c r="AS361" s="291"/>
      <c r="AT361" s="291"/>
      <c r="AU361" s="290"/>
      <c r="AV361" s="290"/>
      <c r="AW361" s="290"/>
      <c r="AX361" s="290"/>
      <c r="AY361" s="290"/>
      <c r="AZ361" s="290"/>
      <c r="BA361" s="290"/>
      <c r="BB361" s="290"/>
    </row>
    <row r="362" spans="1:54" ht="21" x14ac:dyDescent="0.25">
      <c r="A362" s="290"/>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290"/>
      <c r="AE362" s="290"/>
      <c r="AF362" s="290"/>
      <c r="AG362" s="290"/>
      <c r="AH362" s="290"/>
      <c r="AI362" s="290"/>
      <c r="AJ362" s="290"/>
      <c r="AK362" s="290"/>
      <c r="AL362" s="290"/>
      <c r="AM362" s="290"/>
      <c r="AN362" s="290"/>
      <c r="AO362" s="290"/>
      <c r="AP362" s="290"/>
      <c r="AQ362" s="373" t="s">
        <v>1157</v>
      </c>
      <c r="AR362" s="307" t="s">
        <v>1158</v>
      </c>
      <c r="AS362" s="291"/>
      <c r="AT362" s="291"/>
      <c r="AU362" s="290"/>
      <c r="AV362" s="290"/>
      <c r="AW362" s="290"/>
      <c r="AX362" s="290"/>
      <c r="AY362" s="290"/>
      <c r="AZ362" s="290"/>
      <c r="BA362" s="290"/>
      <c r="BB362" s="290"/>
    </row>
    <row r="363" spans="1:54" ht="31.5" x14ac:dyDescent="0.25">
      <c r="A363" s="290"/>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c r="AA363" s="290"/>
      <c r="AB363" s="290"/>
      <c r="AC363" s="290"/>
      <c r="AD363" s="290"/>
      <c r="AE363" s="290"/>
      <c r="AF363" s="290"/>
      <c r="AG363" s="290"/>
      <c r="AH363" s="290"/>
      <c r="AI363" s="290"/>
      <c r="AJ363" s="290"/>
      <c r="AK363" s="290"/>
      <c r="AL363" s="290"/>
      <c r="AM363" s="290"/>
      <c r="AN363" s="290"/>
      <c r="AO363" s="290"/>
      <c r="AP363" s="290"/>
      <c r="AQ363" s="373" t="s">
        <v>1159</v>
      </c>
      <c r="AR363" s="307" t="s">
        <v>1082</v>
      </c>
      <c r="AS363" s="291"/>
      <c r="AT363" s="291"/>
      <c r="AU363" s="290"/>
      <c r="AV363" s="290"/>
      <c r="AW363" s="290"/>
      <c r="AX363" s="290"/>
      <c r="AY363" s="290"/>
      <c r="AZ363" s="290"/>
      <c r="BA363" s="290"/>
      <c r="BB363" s="290"/>
    </row>
    <row r="364" spans="1:54" ht="21" x14ac:dyDescent="0.25">
      <c r="A364" s="290"/>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c r="Y364" s="290"/>
      <c r="Z364" s="290"/>
      <c r="AA364" s="290"/>
      <c r="AB364" s="290"/>
      <c r="AC364" s="290"/>
      <c r="AD364" s="290"/>
      <c r="AE364" s="290"/>
      <c r="AF364" s="290"/>
      <c r="AG364" s="290"/>
      <c r="AH364" s="290"/>
      <c r="AI364" s="290"/>
      <c r="AJ364" s="290"/>
      <c r="AK364" s="290"/>
      <c r="AL364" s="290"/>
      <c r="AM364" s="290"/>
      <c r="AN364" s="290"/>
      <c r="AO364" s="290"/>
      <c r="AP364" s="290"/>
      <c r="AQ364" s="373" t="s">
        <v>1160</v>
      </c>
      <c r="AR364" s="307" t="s">
        <v>1045</v>
      </c>
      <c r="AS364" s="291"/>
      <c r="AT364" s="291"/>
      <c r="AU364" s="290"/>
      <c r="AV364" s="290"/>
      <c r="AW364" s="290"/>
      <c r="AX364" s="290"/>
      <c r="AY364" s="290"/>
      <c r="AZ364" s="290"/>
      <c r="BA364" s="290"/>
      <c r="BB364" s="290"/>
    </row>
    <row r="365" spans="1:54" x14ac:dyDescent="0.25">
      <c r="A365" s="290"/>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c r="Y365" s="290"/>
      <c r="Z365" s="290"/>
      <c r="AA365" s="290"/>
      <c r="AB365" s="290"/>
      <c r="AC365" s="290"/>
      <c r="AD365" s="290"/>
      <c r="AE365" s="290"/>
      <c r="AF365" s="290"/>
      <c r="AG365" s="290"/>
      <c r="AH365" s="290"/>
      <c r="AI365" s="290"/>
      <c r="AJ365" s="290"/>
      <c r="AK365" s="290"/>
      <c r="AL365" s="290"/>
      <c r="AM365" s="290"/>
      <c r="AN365" s="290"/>
      <c r="AO365" s="290"/>
      <c r="AP365" s="290"/>
      <c r="AQ365" s="373" t="s">
        <v>1161</v>
      </c>
      <c r="AR365" s="307" t="s">
        <v>1105</v>
      </c>
      <c r="AS365" s="291"/>
      <c r="AT365" s="291"/>
      <c r="AU365" s="290"/>
      <c r="AV365" s="290"/>
      <c r="AW365" s="290"/>
      <c r="AX365" s="290"/>
      <c r="AY365" s="290"/>
      <c r="AZ365" s="290"/>
      <c r="BA365" s="290"/>
      <c r="BB365" s="290"/>
    </row>
    <row r="366" spans="1:54" ht="21" x14ac:dyDescent="0.25">
      <c r="A366" s="290"/>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c r="AA366" s="290"/>
      <c r="AB366" s="290"/>
      <c r="AC366" s="290"/>
      <c r="AD366" s="290"/>
      <c r="AE366" s="290"/>
      <c r="AF366" s="290"/>
      <c r="AG366" s="290"/>
      <c r="AH366" s="290"/>
      <c r="AI366" s="290"/>
      <c r="AJ366" s="290"/>
      <c r="AK366" s="290"/>
      <c r="AL366" s="290"/>
      <c r="AM366" s="290"/>
      <c r="AN366" s="290"/>
      <c r="AO366" s="290"/>
      <c r="AP366" s="290"/>
      <c r="AQ366" s="373" t="s">
        <v>1162</v>
      </c>
      <c r="AR366" s="307" t="s">
        <v>996</v>
      </c>
      <c r="AS366" s="291"/>
      <c r="AT366" s="291"/>
      <c r="AU366" s="290"/>
      <c r="AV366" s="290"/>
      <c r="AW366" s="290"/>
      <c r="AX366" s="290"/>
      <c r="AY366" s="290"/>
      <c r="AZ366" s="290"/>
      <c r="BA366" s="290"/>
      <c r="BB366" s="290"/>
    </row>
    <row r="367" spans="1:54" x14ac:dyDescent="0.25">
      <c r="A367" s="290"/>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290"/>
      <c r="Z367" s="290"/>
      <c r="AA367" s="290"/>
      <c r="AB367" s="290"/>
      <c r="AC367" s="290"/>
      <c r="AD367" s="290"/>
      <c r="AE367" s="290"/>
      <c r="AF367" s="290"/>
      <c r="AG367" s="290"/>
      <c r="AH367" s="290"/>
      <c r="AI367" s="290"/>
      <c r="AJ367" s="290"/>
      <c r="AK367" s="290"/>
      <c r="AL367" s="290"/>
      <c r="AM367" s="290"/>
      <c r="AN367" s="290"/>
      <c r="AO367" s="290"/>
      <c r="AP367" s="290"/>
      <c r="AQ367" s="1826" t="s">
        <v>1163</v>
      </c>
      <c r="AR367" s="378" t="s">
        <v>1164</v>
      </c>
      <c r="AS367" s="291"/>
      <c r="AT367" s="291"/>
      <c r="AU367" s="290"/>
      <c r="AV367" s="290"/>
      <c r="AW367" s="290"/>
      <c r="AX367" s="290"/>
      <c r="AY367" s="290"/>
      <c r="AZ367" s="290"/>
      <c r="BA367" s="290"/>
      <c r="BB367" s="290"/>
    </row>
    <row r="368" spans="1:54" x14ac:dyDescent="0.25">
      <c r="A368" s="290"/>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290"/>
      <c r="AE368" s="290"/>
      <c r="AF368" s="290"/>
      <c r="AG368" s="290"/>
      <c r="AH368" s="290"/>
      <c r="AI368" s="290"/>
      <c r="AJ368" s="290"/>
      <c r="AK368" s="290"/>
      <c r="AL368" s="290"/>
      <c r="AM368" s="290"/>
      <c r="AN368" s="290"/>
      <c r="AO368" s="290"/>
      <c r="AP368" s="290"/>
      <c r="AQ368" s="1826"/>
      <c r="AR368" s="307" t="s">
        <v>1165</v>
      </c>
      <c r="AS368" s="291"/>
      <c r="AT368" s="291"/>
      <c r="AU368" s="290"/>
      <c r="AV368" s="290"/>
      <c r="AW368" s="290"/>
      <c r="AX368" s="290"/>
      <c r="AY368" s="290"/>
      <c r="AZ368" s="290"/>
      <c r="BA368" s="290"/>
      <c r="BB368" s="290"/>
    </row>
    <row r="369" spans="1:54" x14ac:dyDescent="0.25">
      <c r="A369" s="290"/>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290"/>
      <c r="AE369" s="290"/>
      <c r="AF369" s="290"/>
      <c r="AG369" s="290"/>
      <c r="AH369" s="290"/>
      <c r="AI369" s="290"/>
      <c r="AJ369" s="290"/>
      <c r="AK369" s="290"/>
      <c r="AL369" s="290"/>
      <c r="AM369" s="290"/>
      <c r="AN369" s="290"/>
      <c r="AO369" s="290"/>
      <c r="AP369" s="290"/>
      <c r="AQ369" s="373" t="s">
        <v>1166</v>
      </c>
      <c r="AR369" s="307" t="s">
        <v>1082</v>
      </c>
      <c r="AS369" s="291"/>
      <c r="AT369" s="291"/>
      <c r="AU369" s="290"/>
      <c r="AV369" s="290"/>
      <c r="AW369" s="290"/>
      <c r="AX369" s="290"/>
      <c r="AY369" s="290"/>
      <c r="AZ369" s="290"/>
      <c r="BA369" s="290"/>
      <c r="BB369" s="290"/>
    </row>
    <row r="370" spans="1:54" x14ac:dyDescent="0.25">
      <c r="A370" s="290"/>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90"/>
      <c r="AE370" s="290"/>
      <c r="AF370" s="290"/>
      <c r="AG370" s="290"/>
      <c r="AH370" s="290"/>
      <c r="AI370" s="290"/>
      <c r="AJ370" s="290"/>
      <c r="AK370" s="290"/>
      <c r="AL370" s="290"/>
      <c r="AM370" s="290"/>
      <c r="AN370" s="290"/>
      <c r="AO370" s="290"/>
      <c r="AP370" s="290"/>
      <c r="AQ370" s="1826" t="s">
        <v>1167</v>
      </c>
      <c r="AR370" s="378" t="s">
        <v>1168</v>
      </c>
      <c r="AS370" s="291"/>
      <c r="AT370" s="291"/>
      <c r="AU370" s="290"/>
      <c r="AV370" s="290"/>
      <c r="AW370" s="290"/>
      <c r="AX370" s="290"/>
      <c r="AY370" s="290"/>
      <c r="AZ370" s="290"/>
      <c r="BA370" s="290"/>
      <c r="BB370" s="290"/>
    </row>
    <row r="371" spans="1:54" x14ac:dyDescent="0.25">
      <c r="A371" s="290"/>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c r="AA371" s="290"/>
      <c r="AB371" s="290"/>
      <c r="AC371" s="290"/>
      <c r="AD371" s="290"/>
      <c r="AE371" s="290"/>
      <c r="AF371" s="290"/>
      <c r="AG371" s="290"/>
      <c r="AH371" s="290"/>
      <c r="AI371" s="290"/>
      <c r="AJ371" s="290"/>
      <c r="AK371" s="290"/>
      <c r="AL371" s="290"/>
      <c r="AM371" s="290"/>
      <c r="AN371" s="290"/>
      <c r="AO371" s="290"/>
      <c r="AP371" s="290"/>
      <c r="AQ371" s="1826"/>
      <c r="AR371" s="307" t="s">
        <v>1169</v>
      </c>
      <c r="AS371" s="291"/>
      <c r="AT371" s="291"/>
      <c r="AU371" s="290"/>
      <c r="AV371" s="290"/>
      <c r="AW371" s="290"/>
      <c r="AX371" s="290"/>
      <c r="AY371" s="290"/>
      <c r="AZ371" s="290"/>
      <c r="BA371" s="290"/>
      <c r="BB371" s="290"/>
    </row>
    <row r="372" spans="1:54" x14ac:dyDescent="0.25">
      <c r="A372" s="290"/>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290"/>
      <c r="AE372" s="290"/>
      <c r="AF372" s="290"/>
      <c r="AG372" s="290"/>
      <c r="AH372" s="290"/>
      <c r="AI372" s="290"/>
      <c r="AJ372" s="290"/>
      <c r="AK372" s="290"/>
      <c r="AL372" s="290"/>
      <c r="AM372" s="290"/>
      <c r="AN372" s="290"/>
      <c r="AO372" s="290"/>
      <c r="AP372" s="290"/>
      <c r="AQ372" s="373" t="s">
        <v>1170</v>
      </c>
      <c r="AR372" s="307" t="s">
        <v>996</v>
      </c>
      <c r="AS372" s="291"/>
      <c r="AT372" s="291"/>
      <c r="AU372" s="290"/>
      <c r="AV372" s="290"/>
      <c r="AW372" s="290"/>
      <c r="AX372" s="290"/>
      <c r="AY372" s="290"/>
      <c r="AZ372" s="290"/>
      <c r="BA372" s="290"/>
      <c r="BB372" s="290"/>
    </row>
    <row r="373" spans="1:54" x14ac:dyDescent="0.25">
      <c r="A373" s="290"/>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290"/>
      <c r="Z373" s="290"/>
      <c r="AA373" s="290"/>
      <c r="AB373" s="290"/>
      <c r="AC373" s="290"/>
      <c r="AD373" s="290"/>
      <c r="AE373" s="290"/>
      <c r="AF373" s="290"/>
      <c r="AG373" s="290"/>
      <c r="AH373" s="290"/>
      <c r="AI373" s="290"/>
      <c r="AJ373" s="290"/>
      <c r="AK373" s="290"/>
      <c r="AL373" s="290"/>
      <c r="AM373" s="290"/>
      <c r="AN373" s="290"/>
      <c r="AO373" s="290"/>
      <c r="AP373" s="290"/>
      <c r="AQ373" s="383"/>
      <c r="AR373" s="378" t="s">
        <v>1171</v>
      </c>
      <c r="AS373" s="291"/>
      <c r="AT373" s="291"/>
      <c r="AU373" s="290"/>
      <c r="AV373" s="290"/>
      <c r="AW373" s="290"/>
      <c r="AX373" s="290"/>
      <c r="AY373" s="290"/>
      <c r="AZ373" s="290"/>
      <c r="BA373" s="290"/>
      <c r="BB373" s="290"/>
    </row>
    <row r="374" spans="1:54" ht="21" x14ac:dyDescent="0.25">
      <c r="A374" s="290"/>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c r="AE374" s="290"/>
      <c r="AF374" s="290"/>
      <c r="AG374" s="290"/>
      <c r="AH374" s="290"/>
      <c r="AI374" s="290"/>
      <c r="AJ374" s="290"/>
      <c r="AK374" s="290"/>
      <c r="AL374" s="290"/>
      <c r="AM374" s="290"/>
      <c r="AN374" s="290"/>
      <c r="AO374" s="290"/>
      <c r="AP374" s="290"/>
      <c r="AQ374" s="373" t="s">
        <v>1172</v>
      </c>
      <c r="AR374" s="307" t="s">
        <v>1173</v>
      </c>
      <c r="AS374" s="291"/>
      <c r="AT374" s="291"/>
      <c r="AU374" s="290"/>
      <c r="AV374" s="290"/>
      <c r="AW374" s="290"/>
      <c r="AX374" s="290"/>
      <c r="AY374" s="290"/>
      <c r="AZ374" s="290"/>
      <c r="BA374" s="290"/>
      <c r="BB374" s="290"/>
    </row>
    <row r="375" spans="1:54" ht="21" x14ac:dyDescent="0.25">
      <c r="A375" s="290"/>
      <c r="B375" s="290"/>
      <c r="C375" s="290"/>
      <c r="D375" s="290"/>
      <c r="E375" s="290"/>
      <c r="F375" s="290"/>
      <c r="G375" s="290"/>
      <c r="H375" s="290"/>
      <c r="I375" s="290"/>
      <c r="J375" s="290"/>
      <c r="K375" s="290"/>
      <c r="L375" s="290"/>
      <c r="M375" s="290"/>
      <c r="N375" s="290"/>
      <c r="O375" s="290"/>
      <c r="P375" s="290"/>
      <c r="Q375" s="290"/>
      <c r="R375" s="290"/>
      <c r="S375" s="290"/>
      <c r="T375" s="290"/>
      <c r="U375" s="290"/>
      <c r="V375" s="290"/>
      <c r="W375" s="290"/>
      <c r="X375" s="290"/>
      <c r="Y375" s="290"/>
      <c r="Z375" s="290"/>
      <c r="AA375" s="290"/>
      <c r="AB375" s="290"/>
      <c r="AC375" s="290"/>
      <c r="AD375" s="290"/>
      <c r="AE375" s="290"/>
      <c r="AF375" s="290"/>
      <c r="AG375" s="290"/>
      <c r="AH375" s="290"/>
      <c r="AI375" s="290"/>
      <c r="AJ375" s="290"/>
      <c r="AK375" s="290"/>
      <c r="AL375" s="290"/>
      <c r="AM375" s="290"/>
      <c r="AN375" s="290"/>
      <c r="AO375" s="290"/>
      <c r="AP375" s="290"/>
      <c r="AQ375" s="373" t="s">
        <v>1174</v>
      </c>
      <c r="AR375" s="307" t="s">
        <v>1088</v>
      </c>
      <c r="AS375" s="291"/>
      <c r="AT375" s="291"/>
      <c r="AU375" s="290"/>
      <c r="AV375" s="290"/>
      <c r="AW375" s="290"/>
      <c r="AX375" s="290"/>
      <c r="AY375" s="290"/>
      <c r="AZ375" s="290"/>
      <c r="BA375" s="290"/>
      <c r="BB375" s="290"/>
    </row>
    <row r="376" spans="1:54" ht="21" x14ac:dyDescent="0.25">
      <c r="A376" s="290"/>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290"/>
      <c r="AE376" s="290"/>
      <c r="AF376" s="290"/>
      <c r="AG376" s="290"/>
      <c r="AH376" s="290"/>
      <c r="AI376" s="290"/>
      <c r="AJ376" s="290"/>
      <c r="AK376" s="290"/>
      <c r="AL376" s="290"/>
      <c r="AM376" s="290"/>
      <c r="AN376" s="290"/>
      <c r="AO376" s="290"/>
      <c r="AP376" s="290"/>
      <c r="AQ376" s="373" t="s">
        <v>1175</v>
      </c>
      <c r="AR376" s="307" t="s">
        <v>1045</v>
      </c>
      <c r="AS376" s="291"/>
      <c r="AT376" s="291"/>
      <c r="AU376" s="290"/>
      <c r="AV376" s="290"/>
      <c r="AW376" s="290"/>
      <c r="AX376" s="290"/>
      <c r="AY376" s="290"/>
      <c r="AZ376" s="290"/>
      <c r="BA376" s="290"/>
      <c r="BB376" s="290"/>
    </row>
    <row r="377" spans="1:54" x14ac:dyDescent="0.25">
      <c r="A377" s="290"/>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c r="AA377" s="290"/>
      <c r="AB377" s="290"/>
      <c r="AC377" s="290"/>
      <c r="AD377" s="290"/>
      <c r="AE377" s="290"/>
      <c r="AF377" s="290"/>
      <c r="AG377" s="290"/>
      <c r="AH377" s="290"/>
      <c r="AI377" s="290"/>
      <c r="AJ377" s="290"/>
      <c r="AK377" s="290"/>
      <c r="AL377" s="290"/>
      <c r="AM377" s="290"/>
      <c r="AN377" s="290"/>
      <c r="AO377" s="290"/>
      <c r="AP377" s="290"/>
      <c r="AQ377" s="383"/>
      <c r="AR377" s="383"/>
      <c r="AS377" s="291"/>
      <c r="AT377" s="291"/>
      <c r="AU377" s="290"/>
      <c r="AV377" s="290"/>
      <c r="AW377" s="290"/>
      <c r="AX377" s="290"/>
      <c r="AY377" s="290"/>
      <c r="AZ377" s="290"/>
      <c r="BA377" s="290"/>
      <c r="BB377" s="290"/>
    </row>
    <row r="378" spans="1:54" ht="42" x14ac:dyDescent="0.25">
      <c r="A378" s="290"/>
      <c r="B378" s="290"/>
      <c r="C378" s="290"/>
      <c r="D378" s="290"/>
      <c r="E378" s="290"/>
      <c r="F378" s="290"/>
      <c r="G378" s="290"/>
      <c r="H378" s="290"/>
      <c r="I378" s="290"/>
      <c r="J378" s="290"/>
      <c r="K378" s="290"/>
      <c r="L378" s="290"/>
      <c r="M378" s="290"/>
      <c r="N378" s="290"/>
      <c r="O378" s="290"/>
      <c r="P378" s="290"/>
      <c r="Q378" s="290"/>
      <c r="R378" s="290"/>
      <c r="S378" s="290"/>
      <c r="T378" s="290"/>
      <c r="U378" s="290"/>
      <c r="V378" s="290"/>
      <c r="W378" s="290"/>
      <c r="X378" s="290"/>
      <c r="Y378" s="290"/>
      <c r="Z378" s="290"/>
      <c r="AA378" s="290"/>
      <c r="AB378" s="290"/>
      <c r="AC378" s="290"/>
      <c r="AD378" s="290"/>
      <c r="AE378" s="290"/>
      <c r="AF378" s="290"/>
      <c r="AG378" s="290"/>
      <c r="AH378" s="290"/>
      <c r="AI378" s="290"/>
      <c r="AJ378" s="290"/>
      <c r="AK378" s="290"/>
      <c r="AL378" s="290"/>
      <c r="AM378" s="290"/>
      <c r="AN378" s="290"/>
      <c r="AO378" s="290"/>
      <c r="AP378" s="290"/>
      <c r="AQ378" s="373" t="s">
        <v>1176</v>
      </c>
      <c r="AR378" s="307" t="s">
        <v>1070</v>
      </c>
      <c r="AS378" s="291"/>
      <c r="AT378" s="291"/>
      <c r="AU378" s="290"/>
      <c r="AV378" s="290"/>
      <c r="AW378" s="290"/>
      <c r="AX378" s="290"/>
      <c r="AY378" s="290"/>
      <c r="AZ378" s="290"/>
      <c r="BA378" s="290"/>
      <c r="BB378" s="290"/>
    </row>
    <row r="379" spans="1:54" x14ac:dyDescent="0.25">
      <c r="A379" s="290"/>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90"/>
      <c r="AE379" s="290"/>
      <c r="AF379" s="290"/>
      <c r="AG379" s="290"/>
      <c r="AH379" s="290"/>
      <c r="AI379" s="290"/>
      <c r="AJ379" s="290"/>
      <c r="AK379" s="290"/>
      <c r="AL379" s="290"/>
      <c r="AM379" s="290"/>
      <c r="AN379" s="290"/>
      <c r="AO379" s="290"/>
      <c r="AP379" s="290"/>
      <c r="AQ379" s="383"/>
      <c r="AR379" s="383"/>
      <c r="AS379" s="291"/>
      <c r="AT379" s="291"/>
      <c r="AU379" s="290"/>
      <c r="AV379" s="290"/>
      <c r="AW379" s="290"/>
      <c r="AX379" s="290"/>
      <c r="AY379" s="290"/>
      <c r="AZ379" s="290"/>
      <c r="BA379" s="290"/>
      <c r="BB379" s="290"/>
    </row>
    <row r="380" spans="1:54" ht="21" x14ac:dyDescent="0.25">
      <c r="A380" s="290"/>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90"/>
      <c r="AE380" s="290"/>
      <c r="AF380" s="290"/>
      <c r="AG380" s="290"/>
      <c r="AH380" s="290"/>
      <c r="AI380" s="290"/>
      <c r="AJ380" s="290"/>
      <c r="AK380" s="290"/>
      <c r="AL380" s="290"/>
      <c r="AM380" s="290"/>
      <c r="AN380" s="290"/>
      <c r="AO380" s="290"/>
      <c r="AP380" s="290"/>
      <c r="AQ380" s="373" t="s">
        <v>1177</v>
      </c>
      <c r="AR380" s="307" t="s">
        <v>1178</v>
      </c>
      <c r="AS380" s="291"/>
      <c r="AT380" s="291"/>
      <c r="AU380" s="290"/>
      <c r="AV380" s="290"/>
      <c r="AW380" s="290"/>
      <c r="AX380" s="290"/>
      <c r="AY380" s="290"/>
      <c r="AZ380" s="290"/>
      <c r="BA380" s="290"/>
      <c r="BB380" s="290"/>
    </row>
    <row r="381" spans="1:54" ht="21" x14ac:dyDescent="0.25">
      <c r="A381" s="290"/>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c r="AA381" s="290"/>
      <c r="AB381" s="290"/>
      <c r="AC381" s="290"/>
      <c r="AD381" s="290"/>
      <c r="AE381" s="290"/>
      <c r="AF381" s="290"/>
      <c r="AG381" s="290"/>
      <c r="AH381" s="290"/>
      <c r="AI381" s="290"/>
      <c r="AJ381" s="290"/>
      <c r="AK381" s="290"/>
      <c r="AL381" s="290"/>
      <c r="AM381" s="290"/>
      <c r="AN381" s="290"/>
      <c r="AO381" s="290"/>
      <c r="AP381" s="290"/>
      <c r="AQ381" s="373" t="s">
        <v>1179</v>
      </c>
      <c r="AR381" s="307" t="s">
        <v>1180</v>
      </c>
      <c r="AS381" s="291"/>
      <c r="AT381" s="291"/>
      <c r="AU381" s="290"/>
      <c r="AV381" s="290"/>
      <c r="AW381" s="290"/>
      <c r="AX381" s="290"/>
      <c r="AY381" s="290"/>
      <c r="AZ381" s="290"/>
      <c r="BA381" s="290"/>
      <c r="BB381" s="290"/>
    </row>
    <row r="382" spans="1:54" x14ac:dyDescent="0.25">
      <c r="A382" s="290"/>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90"/>
      <c r="AO382" s="290"/>
      <c r="AP382" s="290"/>
      <c r="AQ382" s="1826" t="s">
        <v>1181</v>
      </c>
      <c r="AR382" s="1826"/>
      <c r="AS382" s="1826"/>
      <c r="AT382" s="1826"/>
      <c r="AU382" s="290"/>
      <c r="AV382" s="290"/>
      <c r="AW382" s="290"/>
      <c r="AX382" s="290"/>
      <c r="AY382" s="290"/>
      <c r="AZ382" s="290"/>
      <c r="BA382" s="290"/>
      <c r="BB382" s="290"/>
    </row>
    <row r="383" spans="1:54" x14ac:dyDescent="0.25">
      <c r="A383" s="290"/>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90"/>
      <c r="AO383" s="290"/>
      <c r="AP383" s="290"/>
      <c r="AQ383" s="1826" t="s">
        <v>1182</v>
      </c>
      <c r="AR383" s="1826"/>
      <c r="AS383" s="1826"/>
      <c r="AT383" s="1826"/>
      <c r="AU383" s="290"/>
      <c r="AV383" s="290"/>
      <c r="AW383" s="290"/>
      <c r="AX383" s="290"/>
      <c r="AY383" s="290"/>
      <c r="AZ383" s="290"/>
      <c r="BA383" s="290"/>
      <c r="BB383" s="290"/>
    </row>
    <row r="384" spans="1:54" x14ac:dyDescent="0.25">
      <c r="A384" s="290"/>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c r="AE384" s="290"/>
      <c r="AF384" s="290"/>
      <c r="AG384" s="290"/>
      <c r="AH384" s="290"/>
      <c r="AI384" s="290"/>
      <c r="AJ384" s="290"/>
      <c r="AK384" s="290"/>
      <c r="AL384" s="290"/>
      <c r="AM384" s="290"/>
      <c r="AN384" s="290"/>
      <c r="AO384" s="290"/>
      <c r="AP384" s="290"/>
      <c r="AQ384" s="1817"/>
      <c r="AR384" s="1817"/>
      <c r="AS384" s="1817"/>
      <c r="AT384" s="1817"/>
      <c r="AU384" s="290"/>
      <c r="AV384" s="290"/>
      <c r="AW384" s="290"/>
      <c r="AX384" s="290"/>
      <c r="AY384" s="290"/>
      <c r="AZ384" s="290"/>
      <c r="BA384" s="290"/>
      <c r="BB384" s="290"/>
    </row>
    <row r="385" spans="1:54" x14ac:dyDescent="0.25">
      <c r="A385" s="290"/>
      <c r="B385" s="290"/>
      <c r="C385" s="290"/>
      <c r="D385" s="290"/>
      <c r="E385" s="290"/>
      <c r="F385" s="290"/>
      <c r="G385" s="290"/>
      <c r="H385" s="290"/>
      <c r="I385" s="290"/>
      <c r="J385" s="290"/>
      <c r="K385" s="290"/>
      <c r="L385" s="290"/>
      <c r="M385" s="290"/>
      <c r="N385" s="290"/>
      <c r="O385" s="290"/>
      <c r="P385" s="290"/>
      <c r="Q385" s="290"/>
      <c r="R385" s="290"/>
      <c r="S385" s="290"/>
      <c r="T385" s="290"/>
      <c r="U385" s="290"/>
      <c r="V385" s="290"/>
      <c r="W385" s="290"/>
      <c r="X385" s="290"/>
      <c r="Y385" s="290"/>
      <c r="Z385" s="290"/>
      <c r="AA385" s="290"/>
      <c r="AB385" s="290"/>
      <c r="AC385" s="290"/>
      <c r="AD385" s="290"/>
      <c r="AE385" s="290"/>
      <c r="AF385" s="290"/>
      <c r="AG385" s="290"/>
      <c r="AH385" s="290"/>
      <c r="AI385" s="290"/>
      <c r="AJ385" s="290"/>
      <c r="AK385" s="290"/>
      <c r="AL385" s="290"/>
      <c r="AM385" s="290"/>
      <c r="AN385" s="290"/>
      <c r="AO385" s="290"/>
      <c r="AP385" s="290"/>
      <c r="AQ385" s="1826" t="s">
        <v>1183</v>
      </c>
      <c r="AR385" s="1826"/>
      <c r="AS385" s="1826"/>
      <c r="AT385" s="1826"/>
      <c r="AU385" s="290"/>
      <c r="AV385" s="290"/>
      <c r="AW385" s="290"/>
      <c r="AX385" s="290"/>
      <c r="AY385" s="290"/>
      <c r="AZ385" s="290"/>
      <c r="BA385" s="290"/>
      <c r="BB385" s="290"/>
    </row>
    <row r="386" spans="1:54" x14ac:dyDescent="0.25">
      <c r="R386" s="312"/>
      <c r="S386" s="312"/>
      <c r="T386" s="312"/>
      <c r="U386" s="312"/>
      <c r="V386" s="312"/>
      <c r="W386" s="312"/>
      <c r="X386" s="312"/>
      <c r="Y386" s="312"/>
      <c r="Z386" s="312"/>
      <c r="AA386" s="312"/>
    </row>
  </sheetData>
  <sheetProtection password="C935" sheet="1" objects="1" scenarios="1" formatCells="0" formatColumns="0" formatRows="0" insertRows="0"/>
  <protectedRanges>
    <protectedRange password="DDA5" sqref="U77:U107" name="Rango1_10"/>
  </protectedRanges>
  <mergeCells count="314">
    <mergeCell ref="H34:I34"/>
    <mergeCell ref="C11:I11"/>
    <mergeCell ref="AC11:AG11"/>
    <mergeCell ref="H18:I18"/>
    <mergeCell ref="AD18:AE18"/>
    <mergeCell ref="AG18:AH18"/>
    <mergeCell ref="H21:I21"/>
    <mergeCell ref="AF21:AH23"/>
    <mergeCell ref="B33:M33"/>
    <mergeCell ref="B34:B35"/>
    <mergeCell ref="D34:D35"/>
    <mergeCell ref="C19:D19"/>
    <mergeCell ref="F19:G19"/>
    <mergeCell ref="C17:D17"/>
    <mergeCell ref="C18:D18"/>
    <mergeCell ref="F16:G16"/>
    <mergeCell ref="F17:G17"/>
    <mergeCell ref="F18:G18"/>
    <mergeCell ref="B21:D21"/>
    <mergeCell ref="H31:I31"/>
    <mergeCell ref="AF31:AH31"/>
    <mergeCell ref="C20:D20"/>
    <mergeCell ref="D24:D25"/>
    <mergeCell ref="F20:G20"/>
    <mergeCell ref="B5:M5"/>
    <mergeCell ref="H20:I20"/>
    <mergeCell ref="F21:G21"/>
    <mergeCell ref="H26:I26"/>
    <mergeCell ref="Y10:AL10"/>
    <mergeCell ref="Y6:AL6"/>
    <mergeCell ref="C14:D15"/>
    <mergeCell ref="F14:G14"/>
    <mergeCell ref="F15:G15"/>
    <mergeCell ref="C6:E6"/>
    <mergeCell ref="C7:E7"/>
    <mergeCell ref="C8:E8"/>
    <mergeCell ref="Y7:AL7"/>
    <mergeCell ref="Y8:AL8"/>
    <mergeCell ref="Y9:AL9"/>
    <mergeCell ref="C9:E9"/>
    <mergeCell ref="C10:E10"/>
    <mergeCell ref="G6:M6"/>
    <mergeCell ref="G7:M7"/>
    <mergeCell ref="G8:M8"/>
    <mergeCell ref="G9:M9"/>
    <mergeCell ref="G10:M10"/>
    <mergeCell ref="AI21:AI23"/>
    <mergeCell ref="AK21:AL21"/>
    <mergeCell ref="AR16:AR17"/>
    <mergeCell ref="AS16:AS17"/>
    <mergeCell ref="H16:I16"/>
    <mergeCell ref="AD16:AE16"/>
    <mergeCell ref="AG16:AH16"/>
    <mergeCell ref="AI16:AJ16"/>
    <mergeCell ref="AL16:AM16"/>
    <mergeCell ref="H17:I17"/>
    <mergeCell ref="AD17:AE17"/>
    <mergeCell ref="AG17:AH17"/>
    <mergeCell ref="AI17:AJ17"/>
    <mergeCell ref="AL17:AM17"/>
    <mergeCell ref="AQ12:AQ17"/>
    <mergeCell ref="B12:M12"/>
    <mergeCell ref="AC12:AN12"/>
    <mergeCell ref="B13:M13"/>
    <mergeCell ref="AC13:AN13"/>
    <mergeCell ref="AR13:AR15"/>
    <mergeCell ref="AS13:AS15"/>
    <mergeCell ref="B14:B15"/>
    <mergeCell ref="H14:I14"/>
    <mergeCell ref="AC14:AN14"/>
    <mergeCell ref="H15:I15"/>
    <mergeCell ref="AC15:AN15"/>
    <mergeCell ref="AQ20:AV20"/>
    <mergeCell ref="AL18:AM18"/>
    <mergeCell ref="AQ18:AV18"/>
    <mergeCell ref="H19:I19"/>
    <mergeCell ref="AD19:AE19"/>
    <mergeCell ref="AG19:AH19"/>
    <mergeCell ref="AI19:AJ19"/>
    <mergeCell ref="AL19:AM19"/>
    <mergeCell ref="AQ19:AV19"/>
    <mergeCell ref="AI18:AJ18"/>
    <mergeCell ref="AD20:AE20"/>
    <mergeCell ref="AG20:AH20"/>
    <mergeCell ref="AI20:AJ20"/>
    <mergeCell ref="AL20:AM20"/>
    <mergeCell ref="AK31:AL31"/>
    <mergeCell ref="AC29:AM29"/>
    <mergeCell ref="H30:I30"/>
    <mergeCell ref="AC30:AM30"/>
    <mergeCell ref="AF26:AI26"/>
    <mergeCell ref="AK26:AL26"/>
    <mergeCell ref="H27:I27"/>
    <mergeCell ref="AC27:AM27"/>
    <mergeCell ref="H28:I28"/>
    <mergeCell ref="AC28:AM28"/>
    <mergeCell ref="H29:I29"/>
    <mergeCell ref="B72:K72"/>
    <mergeCell ref="S72:T72"/>
    <mergeCell ref="AC72:AK72"/>
    <mergeCell ref="S73:T73"/>
    <mergeCell ref="AC73:AK73"/>
    <mergeCell ref="H37:I37"/>
    <mergeCell ref="H38:I38"/>
    <mergeCell ref="H39:I39"/>
    <mergeCell ref="H40:I40"/>
    <mergeCell ref="AC37:AM37"/>
    <mergeCell ref="AC38:AM38"/>
    <mergeCell ref="AC39:AM39"/>
    <mergeCell ref="AC40:AM40"/>
    <mergeCell ref="H45:I45"/>
    <mergeCell ref="H46:I46"/>
    <mergeCell ref="AF46:AI46"/>
    <mergeCell ref="AK46:AL46"/>
    <mergeCell ref="H47:I47"/>
    <mergeCell ref="AC47:AM47"/>
    <mergeCell ref="H48:I48"/>
    <mergeCell ref="AC48:AM48"/>
    <mergeCell ref="H49:I49"/>
    <mergeCell ref="AC49:AM49"/>
    <mergeCell ref="H50:I50"/>
    <mergeCell ref="S74:T74"/>
    <mergeCell ref="AC74:AK74"/>
    <mergeCell ref="S75:T75"/>
    <mergeCell ref="AC75:AK75"/>
    <mergeCell ref="C76:E76"/>
    <mergeCell ref="S76:T76"/>
    <mergeCell ref="AC76:AC79"/>
    <mergeCell ref="AG76:AG78"/>
    <mergeCell ref="AH76:AH78"/>
    <mergeCell ref="C77:E77"/>
    <mergeCell ref="S77:T77"/>
    <mergeCell ref="C78:E78"/>
    <mergeCell ref="S78:T78"/>
    <mergeCell ref="C79:E79"/>
    <mergeCell ref="S79:T79"/>
    <mergeCell ref="AG79:AH79"/>
    <mergeCell ref="S84:T84"/>
    <mergeCell ref="AC84:AD86"/>
    <mergeCell ref="AI84:AI86"/>
    <mergeCell ref="S85:T85"/>
    <mergeCell ref="S86:T86"/>
    <mergeCell ref="C80:E80"/>
    <mergeCell ref="S80:T80"/>
    <mergeCell ref="AC80:AK80"/>
    <mergeCell ref="B81:B82"/>
    <mergeCell ref="C81:E82"/>
    <mergeCell ref="S81:T81"/>
    <mergeCell ref="AC81:AD83"/>
    <mergeCell ref="AF81:AF83"/>
    <mergeCell ref="AI81:AI83"/>
    <mergeCell ref="AJ81:AJ83"/>
    <mergeCell ref="S82:T82"/>
    <mergeCell ref="S83:T83"/>
    <mergeCell ref="S90:T90"/>
    <mergeCell ref="AC90:AD91"/>
    <mergeCell ref="AI90:AI91"/>
    <mergeCell ref="AJ90:AJ91"/>
    <mergeCell ref="AK90:AK91"/>
    <mergeCell ref="S91:T91"/>
    <mergeCell ref="S87:T87"/>
    <mergeCell ref="AC87:AD89"/>
    <mergeCell ref="AI87:AI89"/>
    <mergeCell ref="AJ87:AJ89"/>
    <mergeCell ref="AK87:AK89"/>
    <mergeCell ref="S88:T88"/>
    <mergeCell ref="S89:T89"/>
    <mergeCell ref="S95:T95"/>
    <mergeCell ref="AC95:AK95"/>
    <mergeCell ref="S96:T96"/>
    <mergeCell ref="AC96:AK96"/>
    <mergeCell ref="S97:T97"/>
    <mergeCell ref="AC97:AK97"/>
    <mergeCell ref="S92:T92"/>
    <mergeCell ref="AC92:AK92"/>
    <mergeCell ref="S93:T93"/>
    <mergeCell ref="AC93:AK93"/>
    <mergeCell ref="S94:T94"/>
    <mergeCell ref="AC94:AK94"/>
    <mergeCell ref="S100:T100"/>
    <mergeCell ref="AC100:AF100"/>
    <mergeCell ref="AH100:AO100"/>
    <mergeCell ref="AQ100:AT100"/>
    <mergeCell ref="S101:T101"/>
    <mergeCell ref="AC101:AE101"/>
    <mergeCell ref="AH101:AO101"/>
    <mergeCell ref="AQ101:AT101"/>
    <mergeCell ref="S98:T98"/>
    <mergeCell ref="S99:T99"/>
    <mergeCell ref="AC99:AF99"/>
    <mergeCell ref="AH99:AO99"/>
    <mergeCell ref="AQ99:AT99"/>
    <mergeCell ref="S109:T109"/>
    <mergeCell ref="AH109:AH112"/>
    <mergeCell ref="S110:T110"/>
    <mergeCell ref="R111:Z111"/>
    <mergeCell ref="AH113:AH126"/>
    <mergeCell ref="AN102:AN103"/>
    <mergeCell ref="S103:T103"/>
    <mergeCell ref="AD103:AF103"/>
    <mergeCell ref="S104:T104"/>
    <mergeCell ref="AD104:AF104"/>
    <mergeCell ref="AH104:AH108"/>
    <mergeCell ref="AI104:AI105"/>
    <mergeCell ref="S105:T105"/>
    <mergeCell ref="S106:T106"/>
    <mergeCell ref="AI106:AI107"/>
    <mergeCell ref="S107:T107"/>
    <mergeCell ref="S108:T108"/>
    <mergeCell ref="S102:T102"/>
    <mergeCell ref="AC102:AE102"/>
    <mergeCell ref="AH102:AH103"/>
    <mergeCell ref="AJ102:AJ103"/>
    <mergeCell ref="AM102:AM103"/>
    <mergeCell ref="AH140:AO140"/>
    <mergeCell ref="AC143:AE143"/>
    <mergeCell ref="AQ150:AQ151"/>
    <mergeCell ref="AR160:AR161"/>
    <mergeCell ref="AQ166:AQ167"/>
    <mergeCell ref="AH131:AH134"/>
    <mergeCell ref="AI132:AI133"/>
    <mergeCell ref="AH135:AH139"/>
    <mergeCell ref="AQ137:AQ138"/>
    <mergeCell ref="AR137:AR138"/>
    <mergeCell ref="AQ385:AT385"/>
    <mergeCell ref="B23:M23"/>
    <mergeCell ref="B24:B25"/>
    <mergeCell ref="C24:C25"/>
    <mergeCell ref="H24:I24"/>
    <mergeCell ref="AC24:AN24"/>
    <mergeCell ref="H25:I25"/>
    <mergeCell ref="AC25:AN25"/>
    <mergeCell ref="B43:M43"/>
    <mergeCell ref="B44:B45"/>
    <mergeCell ref="C34:C35"/>
    <mergeCell ref="H44:I44"/>
    <mergeCell ref="AC44:AN44"/>
    <mergeCell ref="AC45:AN45"/>
    <mergeCell ref="AQ367:AQ368"/>
    <mergeCell ref="AQ370:AQ371"/>
    <mergeCell ref="AQ382:AT382"/>
    <mergeCell ref="AQ383:AT383"/>
    <mergeCell ref="AQ384:AT384"/>
    <mergeCell ref="AQ171:AQ172"/>
    <mergeCell ref="AQ174:AQ175"/>
    <mergeCell ref="AQ176:AQ177"/>
    <mergeCell ref="AQ201:AQ202"/>
    <mergeCell ref="AQ345:AQ346"/>
    <mergeCell ref="H67:I67"/>
    <mergeCell ref="AC67:AM67"/>
    <mergeCell ref="H51:I51"/>
    <mergeCell ref="AF51:AH51"/>
    <mergeCell ref="AK51:AL51"/>
    <mergeCell ref="B53:M53"/>
    <mergeCell ref="B64:B65"/>
    <mergeCell ref="C64:C65"/>
    <mergeCell ref="H64:I64"/>
    <mergeCell ref="AC64:AN64"/>
    <mergeCell ref="H65:I65"/>
    <mergeCell ref="AC65:AN65"/>
    <mergeCell ref="H59:I59"/>
    <mergeCell ref="AC59:AM59"/>
    <mergeCell ref="H60:I60"/>
    <mergeCell ref="AC60:AM60"/>
    <mergeCell ref="H61:I61"/>
    <mergeCell ref="AF61:AH61"/>
    <mergeCell ref="H71:I71"/>
    <mergeCell ref="AF71:AH71"/>
    <mergeCell ref="AK71:AL71"/>
    <mergeCell ref="B54:B55"/>
    <mergeCell ref="H54:I54"/>
    <mergeCell ref="AC54:AN54"/>
    <mergeCell ref="H55:I55"/>
    <mergeCell ref="AC55:AN55"/>
    <mergeCell ref="H56:I56"/>
    <mergeCell ref="AF56:AI56"/>
    <mergeCell ref="AK56:AL56"/>
    <mergeCell ref="H57:I57"/>
    <mergeCell ref="AC57:AM57"/>
    <mergeCell ref="H58:I58"/>
    <mergeCell ref="AC58:AM58"/>
    <mergeCell ref="H68:I68"/>
    <mergeCell ref="AC68:AM68"/>
    <mergeCell ref="H69:I69"/>
    <mergeCell ref="AC69:AM69"/>
    <mergeCell ref="H70:I70"/>
    <mergeCell ref="AC70:AM70"/>
    <mergeCell ref="H66:I66"/>
    <mergeCell ref="AF66:AI66"/>
    <mergeCell ref="AK66:AL66"/>
    <mergeCell ref="B2:M3"/>
    <mergeCell ref="AC50:AM50"/>
    <mergeCell ref="C44:C45"/>
    <mergeCell ref="D44:D45"/>
    <mergeCell ref="B51:C51"/>
    <mergeCell ref="B61:C61"/>
    <mergeCell ref="B71:C71"/>
    <mergeCell ref="C54:C55"/>
    <mergeCell ref="D54:D55"/>
    <mergeCell ref="D64:D65"/>
    <mergeCell ref="H41:I41"/>
    <mergeCell ref="AF41:AH41"/>
    <mergeCell ref="AK41:AL41"/>
    <mergeCell ref="B31:C31"/>
    <mergeCell ref="B41:C41"/>
    <mergeCell ref="AC34:AN34"/>
    <mergeCell ref="H35:I35"/>
    <mergeCell ref="AC35:AN35"/>
    <mergeCell ref="H36:I36"/>
    <mergeCell ref="AF36:AI36"/>
    <mergeCell ref="AK36:AL36"/>
    <mergeCell ref="AK61:AL61"/>
    <mergeCell ref="B63:M63"/>
    <mergeCell ref="C16:D16"/>
  </mergeCells>
  <dataValidations count="8">
    <dataValidation type="list" allowBlank="1" showInputMessage="1" showErrorMessage="1" sqref="C16:C20">
      <formula1>$AZ$90:$AZ$99</formula1>
    </dataValidation>
    <dataValidation type="list" allowBlank="1" showInputMessage="1" showErrorMessage="1" sqref="D26 D46 D36 D56 D66">
      <formula1>$AZ$101:$AZ$118</formula1>
    </dataValidation>
    <dataValidation type="list" allowBlank="1" showInputMessage="1" showErrorMessage="1" sqref="C26:C30 D47 D37 D57 D67">
      <formula1>$AZ$121:$AZ$124</formula1>
    </dataValidation>
    <dataValidation type="list" allowBlank="1" showInputMessage="1" showErrorMessage="1" sqref="D27 D48 D68 D58 C36:C40">
      <formula1>$AZ$128:$AZ$129</formula1>
    </dataValidation>
    <dataValidation type="list" allowBlank="1" showInputMessage="1" showErrorMessage="1" sqref="C46:C50">
      <formula1>$AZ$132</formula1>
    </dataValidation>
    <dataValidation type="list" allowBlank="1" showInputMessage="1" showErrorMessage="1" sqref="D59 D38 D28 D69">
      <formula1>$AZ$132:$AZ$133</formula1>
    </dataValidation>
    <dataValidation type="list" allowBlank="1" showInputMessage="1" showErrorMessage="1" sqref="D29 D39 D49 D70 C56:C60">
      <formula1>$AZ$134</formula1>
    </dataValidation>
    <dataValidation type="list" allowBlank="1" showInputMessage="1" showErrorMessage="1" sqref="C66:C70 D60 D50 D40 D30">
      <formula1>$AZ$135:$AZ$137</formula1>
    </dataValidation>
  </dataValidations>
  <hyperlinks>
    <hyperlink ref="B74" location="MENÚ!A1" display="MENÚ"/>
    <hyperlink ref="E74" location="'GUIA DE USO HC'!A1" display="INSTRUCCIONES"/>
    <hyperlink ref="M74" location="RESUMEN!A1" display="SIGUIENTE"/>
  </hyperlinks>
  <pageMargins left="0.7" right="0.7" top="0.75" bottom="0.75" header="0.3" footer="0.3"/>
  <pageSetup paperSize="0" orientation="portrait" horizontalDpi="0" verticalDpi="0" copie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EG359"/>
  <sheetViews>
    <sheetView topLeftCell="A4" zoomScale="82" zoomScaleNormal="82" workbookViewId="0">
      <selection activeCell="D17" sqref="D17"/>
    </sheetView>
  </sheetViews>
  <sheetFormatPr baseColWidth="10" defaultRowHeight="15" x14ac:dyDescent="0.25"/>
  <cols>
    <col min="1" max="1" width="6.140625" style="151" customWidth="1"/>
    <col min="2" max="2" width="33.42578125" style="151" customWidth="1"/>
    <col min="3" max="3" width="54.28515625" style="151" customWidth="1"/>
    <col min="4" max="4" width="22" style="151" customWidth="1"/>
    <col min="5" max="5" width="17.5703125" style="151" customWidth="1"/>
    <col min="6" max="6" width="5.28515625" style="151" customWidth="1"/>
    <col min="7" max="7" width="33.28515625" style="151" customWidth="1"/>
    <col min="8" max="8" width="16.140625" style="151" hidden="1" customWidth="1"/>
    <col min="9" max="9" width="15.140625" style="151" hidden="1" customWidth="1"/>
    <col min="10" max="10" width="20.5703125" style="151" customWidth="1"/>
    <col min="11" max="11" width="22.28515625" style="151" customWidth="1"/>
    <col min="12" max="12" width="12.7109375" style="151" customWidth="1"/>
    <col min="13" max="48" width="0" style="151" hidden="1" customWidth="1"/>
    <col min="49" max="49" width="11.42578125" style="151"/>
    <col min="50" max="50" width="39.28515625" style="151" customWidth="1"/>
    <col min="51" max="51" width="16.42578125" style="151" customWidth="1"/>
    <col min="52" max="52" width="24.28515625" style="151" customWidth="1"/>
    <col min="53" max="53" width="25.140625" style="151" customWidth="1"/>
    <col min="54" max="58" width="27.42578125" style="151" customWidth="1"/>
    <col min="59" max="59" width="28.85546875" style="151" customWidth="1"/>
    <col min="60" max="60" width="21.42578125" style="151" customWidth="1"/>
    <col min="61" max="261" width="11.42578125" style="151"/>
    <col min="262" max="262" width="6.140625" style="151" customWidth="1"/>
    <col min="263" max="263" width="33.42578125" style="151" customWidth="1"/>
    <col min="264" max="265" width="25.7109375" style="151" customWidth="1"/>
    <col min="266" max="266" width="11.42578125" style="151" customWidth="1"/>
    <col min="267" max="267" width="16.140625" style="151" customWidth="1"/>
    <col min="268" max="268" width="13.42578125" style="151" customWidth="1"/>
    <col min="269" max="269" width="11.42578125" style="151" customWidth="1"/>
    <col min="270" max="270" width="20.5703125" style="151" customWidth="1"/>
    <col min="271" max="271" width="22.28515625" style="151" customWidth="1"/>
    <col min="272" max="272" width="2.5703125" style="151" customWidth="1"/>
    <col min="273" max="517" width="11.42578125" style="151"/>
    <col min="518" max="518" width="6.140625" style="151" customWidth="1"/>
    <col min="519" max="519" width="33.42578125" style="151" customWidth="1"/>
    <col min="520" max="521" width="25.7109375" style="151" customWidth="1"/>
    <col min="522" max="522" width="11.42578125" style="151" customWidth="1"/>
    <col min="523" max="523" width="16.140625" style="151" customWidth="1"/>
    <col min="524" max="524" width="13.42578125" style="151" customWidth="1"/>
    <col min="525" max="525" width="11.42578125" style="151" customWidth="1"/>
    <col min="526" max="526" width="20.5703125" style="151" customWidth="1"/>
    <col min="527" max="527" width="22.28515625" style="151" customWidth="1"/>
    <col min="528" max="528" width="2.5703125" style="151" customWidth="1"/>
    <col min="529" max="773" width="11.42578125" style="151"/>
    <col min="774" max="774" width="6.140625" style="151" customWidth="1"/>
    <col min="775" max="775" width="33.42578125" style="151" customWidth="1"/>
    <col min="776" max="777" width="25.7109375" style="151" customWidth="1"/>
    <col min="778" max="778" width="11.42578125" style="151" customWidth="1"/>
    <col min="779" max="779" width="16.140625" style="151" customWidth="1"/>
    <col min="780" max="780" width="13.42578125" style="151" customWidth="1"/>
    <col min="781" max="781" width="11.42578125" style="151" customWidth="1"/>
    <col min="782" max="782" width="20.5703125" style="151" customWidth="1"/>
    <col min="783" max="783" width="22.28515625" style="151" customWidth="1"/>
    <col min="784" max="784" width="2.5703125" style="151" customWidth="1"/>
    <col min="785" max="1029" width="11.42578125" style="151"/>
    <col min="1030" max="1030" width="6.140625" style="151" customWidth="1"/>
    <col min="1031" max="1031" width="33.42578125" style="151" customWidth="1"/>
    <col min="1032" max="1033" width="25.7109375" style="151" customWidth="1"/>
    <col min="1034" max="1034" width="11.42578125" style="151" customWidth="1"/>
    <col min="1035" max="1035" width="16.140625" style="151" customWidth="1"/>
    <col min="1036" max="1036" width="13.42578125" style="151" customWidth="1"/>
    <col min="1037" max="1037" width="11.42578125" style="151" customWidth="1"/>
    <col min="1038" max="1038" width="20.5703125" style="151" customWidth="1"/>
    <col min="1039" max="1039" width="22.28515625" style="151" customWidth="1"/>
    <col min="1040" max="1040" width="2.5703125" style="151" customWidth="1"/>
    <col min="1041" max="1285" width="11.42578125" style="151"/>
    <col min="1286" max="1286" width="6.140625" style="151" customWidth="1"/>
    <col min="1287" max="1287" width="33.42578125" style="151" customWidth="1"/>
    <col min="1288" max="1289" width="25.7109375" style="151" customWidth="1"/>
    <col min="1290" max="1290" width="11.42578125" style="151" customWidth="1"/>
    <col min="1291" max="1291" width="16.140625" style="151" customWidth="1"/>
    <col min="1292" max="1292" width="13.42578125" style="151" customWidth="1"/>
    <col min="1293" max="1293" width="11.42578125" style="151" customWidth="1"/>
    <col min="1294" max="1294" width="20.5703125" style="151" customWidth="1"/>
    <col min="1295" max="1295" width="22.28515625" style="151" customWidth="1"/>
    <col min="1296" max="1296" width="2.5703125" style="151" customWidth="1"/>
    <col min="1297" max="1541" width="11.42578125" style="151"/>
    <col min="1542" max="1542" width="6.140625" style="151" customWidth="1"/>
    <col min="1543" max="1543" width="33.42578125" style="151" customWidth="1"/>
    <col min="1544" max="1545" width="25.7109375" style="151" customWidth="1"/>
    <col min="1546" max="1546" width="11.42578125" style="151" customWidth="1"/>
    <col min="1547" max="1547" width="16.140625" style="151" customWidth="1"/>
    <col min="1548" max="1548" width="13.42578125" style="151" customWidth="1"/>
    <col min="1549" max="1549" width="11.42578125" style="151" customWidth="1"/>
    <col min="1550" max="1550" width="20.5703125" style="151" customWidth="1"/>
    <col min="1551" max="1551" width="22.28515625" style="151" customWidth="1"/>
    <col min="1552" max="1552" width="2.5703125" style="151" customWidth="1"/>
    <col min="1553" max="1797" width="11.42578125" style="151"/>
    <col min="1798" max="1798" width="6.140625" style="151" customWidth="1"/>
    <col min="1799" max="1799" width="33.42578125" style="151" customWidth="1"/>
    <col min="1800" max="1801" width="25.7109375" style="151" customWidth="1"/>
    <col min="1802" max="1802" width="11.42578125" style="151" customWidth="1"/>
    <col min="1803" max="1803" width="16.140625" style="151" customWidth="1"/>
    <col min="1804" max="1804" width="13.42578125" style="151" customWidth="1"/>
    <col min="1805" max="1805" width="11.42578125" style="151" customWidth="1"/>
    <col min="1806" max="1806" width="20.5703125" style="151" customWidth="1"/>
    <col min="1807" max="1807" width="22.28515625" style="151" customWidth="1"/>
    <col min="1808" max="1808" width="2.5703125" style="151" customWidth="1"/>
    <col min="1809" max="2053" width="11.42578125" style="151"/>
    <col min="2054" max="2054" width="6.140625" style="151" customWidth="1"/>
    <col min="2055" max="2055" width="33.42578125" style="151" customWidth="1"/>
    <col min="2056" max="2057" width="25.7109375" style="151" customWidth="1"/>
    <col min="2058" max="2058" width="11.42578125" style="151" customWidth="1"/>
    <col min="2059" max="2059" width="16.140625" style="151" customWidth="1"/>
    <col min="2060" max="2060" width="13.42578125" style="151" customWidth="1"/>
    <col min="2061" max="2061" width="11.42578125" style="151" customWidth="1"/>
    <col min="2062" max="2062" width="20.5703125" style="151" customWidth="1"/>
    <col min="2063" max="2063" width="22.28515625" style="151" customWidth="1"/>
    <col min="2064" max="2064" width="2.5703125" style="151" customWidth="1"/>
    <col min="2065" max="2309" width="11.42578125" style="151"/>
    <col min="2310" max="2310" width="6.140625" style="151" customWidth="1"/>
    <col min="2311" max="2311" width="33.42578125" style="151" customWidth="1"/>
    <col min="2312" max="2313" width="25.7109375" style="151" customWidth="1"/>
    <col min="2314" max="2314" width="11.42578125" style="151" customWidth="1"/>
    <col min="2315" max="2315" width="16.140625" style="151" customWidth="1"/>
    <col min="2316" max="2316" width="13.42578125" style="151" customWidth="1"/>
    <col min="2317" max="2317" width="11.42578125" style="151" customWidth="1"/>
    <col min="2318" max="2318" width="20.5703125" style="151" customWidth="1"/>
    <col min="2319" max="2319" width="22.28515625" style="151" customWidth="1"/>
    <col min="2320" max="2320" width="2.5703125" style="151" customWidth="1"/>
    <col min="2321" max="2565" width="11.42578125" style="151"/>
    <col min="2566" max="2566" width="6.140625" style="151" customWidth="1"/>
    <col min="2567" max="2567" width="33.42578125" style="151" customWidth="1"/>
    <col min="2568" max="2569" width="25.7109375" style="151" customWidth="1"/>
    <col min="2570" max="2570" width="11.42578125" style="151" customWidth="1"/>
    <col min="2571" max="2571" width="16.140625" style="151" customWidth="1"/>
    <col min="2572" max="2572" width="13.42578125" style="151" customWidth="1"/>
    <col min="2573" max="2573" width="11.42578125" style="151" customWidth="1"/>
    <col min="2574" max="2574" width="20.5703125" style="151" customWidth="1"/>
    <col min="2575" max="2575" width="22.28515625" style="151" customWidth="1"/>
    <col min="2576" max="2576" width="2.5703125" style="151" customWidth="1"/>
    <col min="2577" max="2821" width="11.42578125" style="151"/>
    <col min="2822" max="2822" width="6.140625" style="151" customWidth="1"/>
    <col min="2823" max="2823" width="33.42578125" style="151" customWidth="1"/>
    <col min="2824" max="2825" width="25.7109375" style="151" customWidth="1"/>
    <col min="2826" max="2826" width="11.42578125" style="151" customWidth="1"/>
    <col min="2827" max="2827" width="16.140625" style="151" customWidth="1"/>
    <col min="2828" max="2828" width="13.42578125" style="151" customWidth="1"/>
    <col min="2829" max="2829" width="11.42578125" style="151" customWidth="1"/>
    <col min="2830" max="2830" width="20.5703125" style="151" customWidth="1"/>
    <col min="2831" max="2831" width="22.28515625" style="151" customWidth="1"/>
    <col min="2832" max="2832" width="2.5703125" style="151" customWidth="1"/>
    <col min="2833" max="3077" width="11.42578125" style="151"/>
    <col min="3078" max="3078" width="6.140625" style="151" customWidth="1"/>
    <col min="3079" max="3079" width="33.42578125" style="151" customWidth="1"/>
    <col min="3080" max="3081" width="25.7109375" style="151" customWidth="1"/>
    <col min="3082" max="3082" width="11.42578125" style="151" customWidth="1"/>
    <col min="3083" max="3083" width="16.140625" style="151" customWidth="1"/>
    <col min="3084" max="3084" width="13.42578125" style="151" customWidth="1"/>
    <col min="3085" max="3085" width="11.42578125" style="151" customWidth="1"/>
    <col min="3086" max="3086" width="20.5703125" style="151" customWidth="1"/>
    <col min="3087" max="3087" width="22.28515625" style="151" customWidth="1"/>
    <col min="3088" max="3088" width="2.5703125" style="151" customWidth="1"/>
    <col min="3089" max="3333" width="11.42578125" style="151"/>
    <col min="3334" max="3334" width="6.140625" style="151" customWidth="1"/>
    <col min="3335" max="3335" width="33.42578125" style="151" customWidth="1"/>
    <col min="3336" max="3337" width="25.7109375" style="151" customWidth="1"/>
    <col min="3338" max="3338" width="11.42578125" style="151" customWidth="1"/>
    <col min="3339" max="3339" width="16.140625" style="151" customWidth="1"/>
    <col min="3340" max="3340" width="13.42578125" style="151" customWidth="1"/>
    <col min="3341" max="3341" width="11.42578125" style="151" customWidth="1"/>
    <col min="3342" max="3342" width="20.5703125" style="151" customWidth="1"/>
    <col min="3343" max="3343" width="22.28515625" style="151" customWidth="1"/>
    <col min="3344" max="3344" width="2.5703125" style="151" customWidth="1"/>
    <col min="3345" max="3589" width="11.42578125" style="151"/>
    <col min="3590" max="3590" width="6.140625" style="151" customWidth="1"/>
    <col min="3591" max="3591" width="33.42578125" style="151" customWidth="1"/>
    <col min="3592" max="3593" width="25.7109375" style="151" customWidth="1"/>
    <col min="3594" max="3594" width="11.42578125" style="151" customWidth="1"/>
    <col min="3595" max="3595" width="16.140625" style="151" customWidth="1"/>
    <col min="3596" max="3596" width="13.42578125" style="151" customWidth="1"/>
    <col min="3597" max="3597" width="11.42578125" style="151" customWidth="1"/>
    <col min="3598" max="3598" width="20.5703125" style="151" customWidth="1"/>
    <col min="3599" max="3599" width="22.28515625" style="151" customWidth="1"/>
    <col min="3600" max="3600" width="2.5703125" style="151" customWidth="1"/>
    <col min="3601" max="3845" width="11.42578125" style="151"/>
    <col min="3846" max="3846" width="6.140625" style="151" customWidth="1"/>
    <col min="3847" max="3847" width="33.42578125" style="151" customWidth="1"/>
    <col min="3848" max="3849" width="25.7109375" style="151" customWidth="1"/>
    <col min="3850" max="3850" width="11.42578125" style="151" customWidth="1"/>
    <col min="3851" max="3851" width="16.140625" style="151" customWidth="1"/>
    <col min="3852" max="3852" width="13.42578125" style="151" customWidth="1"/>
    <col min="3853" max="3853" width="11.42578125" style="151" customWidth="1"/>
    <col min="3854" max="3854" width="20.5703125" style="151" customWidth="1"/>
    <col min="3855" max="3855" width="22.28515625" style="151" customWidth="1"/>
    <col min="3856" max="3856" width="2.5703125" style="151" customWidth="1"/>
    <col min="3857" max="4101" width="11.42578125" style="151"/>
    <col min="4102" max="4102" width="6.140625" style="151" customWidth="1"/>
    <col min="4103" max="4103" width="33.42578125" style="151" customWidth="1"/>
    <col min="4104" max="4105" width="25.7109375" style="151" customWidth="1"/>
    <col min="4106" max="4106" width="11.42578125" style="151" customWidth="1"/>
    <col min="4107" max="4107" width="16.140625" style="151" customWidth="1"/>
    <col min="4108" max="4108" width="13.42578125" style="151" customWidth="1"/>
    <col min="4109" max="4109" width="11.42578125" style="151" customWidth="1"/>
    <col min="4110" max="4110" width="20.5703125" style="151" customWidth="1"/>
    <col min="4111" max="4111" width="22.28515625" style="151" customWidth="1"/>
    <col min="4112" max="4112" width="2.5703125" style="151" customWidth="1"/>
    <col min="4113" max="4357" width="11.42578125" style="151"/>
    <col min="4358" max="4358" width="6.140625" style="151" customWidth="1"/>
    <col min="4359" max="4359" width="33.42578125" style="151" customWidth="1"/>
    <col min="4360" max="4361" width="25.7109375" style="151" customWidth="1"/>
    <col min="4362" max="4362" width="11.42578125" style="151" customWidth="1"/>
    <col min="4363" max="4363" width="16.140625" style="151" customWidth="1"/>
    <col min="4364" max="4364" width="13.42578125" style="151" customWidth="1"/>
    <col min="4365" max="4365" width="11.42578125" style="151" customWidth="1"/>
    <col min="4366" max="4366" width="20.5703125" style="151" customWidth="1"/>
    <col min="4367" max="4367" width="22.28515625" style="151" customWidth="1"/>
    <col min="4368" max="4368" width="2.5703125" style="151" customWidth="1"/>
    <col min="4369" max="4613" width="11.42578125" style="151"/>
    <col min="4614" max="4614" width="6.140625" style="151" customWidth="1"/>
    <col min="4615" max="4615" width="33.42578125" style="151" customWidth="1"/>
    <col min="4616" max="4617" width="25.7109375" style="151" customWidth="1"/>
    <col min="4618" max="4618" width="11.42578125" style="151" customWidth="1"/>
    <col min="4619" max="4619" width="16.140625" style="151" customWidth="1"/>
    <col min="4620" max="4620" width="13.42578125" style="151" customWidth="1"/>
    <col min="4621" max="4621" width="11.42578125" style="151" customWidth="1"/>
    <col min="4622" max="4622" width="20.5703125" style="151" customWidth="1"/>
    <col min="4623" max="4623" width="22.28515625" style="151" customWidth="1"/>
    <col min="4624" max="4624" width="2.5703125" style="151" customWidth="1"/>
    <col min="4625" max="4869" width="11.42578125" style="151"/>
    <col min="4870" max="4870" width="6.140625" style="151" customWidth="1"/>
    <col min="4871" max="4871" width="33.42578125" style="151" customWidth="1"/>
    <col min="4872" max="4873" width="25.7109375" style="151" customWidth="1"/>
    <col min="4874" max="4874" width="11.42578125" style="151" customWidth="1"/>
    <col min="4875" max="4875" width="16.140625" style="151" customWidth="1"/>
    <col min="4876" max="4876" width="13.42578125" style="151" customWidth="1"/>
    <col min="4877" max="4877" width="11.42578125" style="151" customWidth="1"/>
    <col min="4878" max="4878" width="20.5703125" style="151" customWidth="1"/>
    <col min="4879" max="4879" width="22.28515625" style="151" customWidth="1"/>
    <col min="4880" max="4880" width="2.5703125" style="151" customWidth="1"/>
    <col min="4881" max="5125" width="11.42578125" style="151"/>
    <col min="5126" max="5126" width="6.140625" style="151" customWidth="1"/>
    <col min="5127" max="5127" width="33.42578125" style="151" customWidth="1"/>
    <col min="5128" max="5129" width="25.7109375" style="151" customWidth="1"/>
    <col min="5130" max="5130" width="11.42578125" style="151" customWidth="1"/>
    <col min="5131" max="5131" width="16.140625" style="151" customWidth="1"/>
    <col min="5132" max="5132" width="13.42578125" style="151" customWidth="1"/>
    <col min="5133" max="5133" width="11.42578125" style="151" customWidth="1"/>
    <col min="5134" max="5134" width="20.5703125" style="151" customWidth="1"/>
    <col min="5135" max="5135" width="22.28515625" style="151" customWidth="1"/>
    <col min="5136" max="5136" width="2.5703125" style="151" customWidth="1"/>
    <col min="5137" max="5381" width="11.42578125" style="151"/>
    <col min="5382" max="5382" width="6.140625" style="151" customWidth="1"/>
    <col min="5383" max="5383" width="33.42578125" style="151" customWidth="1"/>
    <col min="5384" max="5385" width="25.7109375" style="151" customWidth="1"/>
    <col min="5386" max="5386" width="11.42578125" style="151" customWidth="1"/>
    <col min="5387" max="5387" width="16.140625" style="151" customWidth="1"/>
    <col min="5388" max="5388" width="13.42578125" style="151" customWidth="1"/>
    <col min="5389" max="5389" width="11.42578125" style="151" customWidth="1"/>
    <col min="5390" max="5390" width="20.5703125" style="151" customWidth="1"/>
    <col min="5391" max="5391" width="22.28515625" style="151" customWidth="1"/>
    <col min="5392" max="5392" width="2.5703125" style="151" customWidth="1"/>
    <col min="5393" max="5637" width="11.42578125" style="151"/>
    <col min="5638" max="5638" width="6.140625" style="151" customWidth="1"/>
    <col min="5639" max="5639" width="33.42578125" style="151" customWidth="1"/>
    <col min="5640" max="5641" width="25.7109375" style="151" customWidth="1"/>
    <col min="5642" max="5642" width="11.42578125" style="151" customWidth="1"/>
    <col min="5643" max="5643" width="16.140625" style="151" customWidth="1"/>
    <col min="5644" max="5644" width="13.42578125" style="151" customWidth="1"/>
    <col min="5645" max="5645" width="11.42578125" style="151" customWidth="1"/>
    <col min="5646" max="5646" width="20.5703125" style="151" customWidth="1"/>
    <col min="5647" max="5647" width="22.28515625" style="151" customWidth="1"/>
    <col min="5648" max="5648" width="2.5703125" style="151" customWidth="1"/>
    <col min="5649" max="5893" width="11.42578125" style="151"/>
    <col min="5894" max="5894" width="6.140625" style="151" customWidth="1"/>
    <col min="5895" max="5895" width="33.42578125" style="151" customWidth="1"/>
    <col min="5896" max="5897" width="25.7109375" style="151" customWidth="1"/>
    <col min="5898" max="5898" width="11.42578125" style="151" customWidth="1"/>
    <col min="5899" max="5899" width="16.140625" style="151" customWidth="1"/>
    <col min="5900" max="5900" width="13.42578125" style="151" customWidth="1"/>
    <col min="5901" max="5901" width="11.42578125" style="151" customWidth="1"/>
    <col min="5902" max="5902" width="20.5703125" style="151" customWidth="1"/>
    <col min="5903" max="5903" width="22.28515625" style="151" customWidth="1"/>
    <col min="5904" max="5904" width="2.5703125" style="151" customWidth="1"/>
    <col min="5905" max="6149" width="11.42578125" style="151"/>
    <col min="6150" max="6150" width="6.140625" style="151" customWidth="1"/>
    <col min="6151" max="6151" width="33.42578125" style="151" customWidth="1"/>
    <col min="6152" max="6153" width="25.7109375" style="151" customWidth="1"/>
    <col min="6154" max="6154" width="11.42578125" style="151" customWidth="1"/>
    <col min="6155" max="6155" width="16.140625" style="151" customWidth="1"/>
    <col min="6156" max="6156" width="13.42578125" style="151" customWidth="1"/>
    <col min="6157" max="6157" width="11.42578125" style="151" customWidth="1"/>
    <col min="6158" max="6158" width="20.5703125" style="151" customWidth="1"/>
    <col min="6159" max="6159" width="22.28515625" style="151" customWidth="1"/>
    <col min="6160" max="6160" width="2.5703125" style="151" customWidth="1"/>
    <col min="6161" max="6405" width="11.42578125" style="151"/>
    <col min="6406" max="6406" width="6.140625" style="151" customWidth="1"/>
    <col min="6407" max="6407" width="33.42578125" style="151" customWidth="1"/>
    <col min="6408" max="6409" width="25.7109375" style="151" customWidth="1"/>
    <col min="6410" max="6410" width="11.42578125" style="151" customWidth="1"/>
    <col min="6411" max="6411" width="16.140625" style="151" customWidth="1"/>
    <col min="6412" max="6412" width="13.42578125" style="151" customWidth="1"/>
    <col min="6413" max="6413" width="11.42578125" style="151" customWidth="1"/>
    <col min="6414" max="6414" width="20.5703125" style="151" customWidth="1"/>
    <col min="6415" max="6415" width="22.28515625" style="151" customWidth="1"/>
    <col min="6416" max="6416" width="2.5703125" style="151" customWidth="1"/>
    <col min="6417" max="6661" width="11.42578125" style="151"/>
    <col min="6662" max="6662" width="6.140625" style="151" customWidth="1"/>
    <col min="6663" max="6663" width="33.42578125" style="151" customWidth="1"/>
    <col min="6664" max="6665" width="25.7109375" style="151" customWidth="1"/>
    <col min="6666" max="6666" width="11.42578125" style="151" customWidth="1"/>
    <col min="6667" max="6667" width="16.140625" style="151" customWidth="1"/>
    <col min="6668" max="6668" width="13.42578125" style="151" customWidth="1"/>
    <col min="6669" max="6669" width="11.42578125" style="151" customWidth="1"/>
    <col min="6670" max="6670" width="20.5703125" style="151" customWidth="1"/>
    <col min="6671" max="6671" width="22.28515625" style="151" customWidth="1"/>
    <col min="6672" max="6672" width="2.5703125" style="151" customWidth="1"/>
    <col min="6673" max="6917" width="11.42578125" style="151"/>
    <col min="6918" max="6918" width="6.140625" style="151" customWidth="1"/>
    <col min="6919" max="6919" width="33.42578125" style="151" customWidth="1"/>
    <col min="6920" max="6921" width="25.7109375" style="151" customWidth="1"/>
    <col min="6922" max="6922" width="11.42578125" style="151" customWidth="1"/>
    <col min="6923" max="6923" width="16.140625" style="151" customWidth="1"/>
    <col min="6924" max="6924" width="13.42578125" style="151" customWidth="1"/>
    <col min="6925" max="6925" width="11.42578125" style="151" customWidth="1"/>
    <col min="6926" max="6926" width="20.5703125" style="151" customWidth="1"/>
    <col min="6927" max="6927" width="22.28515625" style="151" customWidth="1"/>
    <col min="6928" max="6928" width="2.5703125" style="151" customWidth="1"/>
    <col min="6929" max="7173" width="11.42578125" style="151"/>
    <col min="7174" max="7174" width="6.140625" style="151" customWidth="1"/>
    <col min="7175" max="7175" width="33.42578125" style="151" customWidth="1"/>
    <col min="7176" max="7177" width="25.7109375" style="151" customWidth="1"/>
    <col min="7178" max="7178" width="11.42578125" style="151" customWidth="1"/>
    <col min="7179" max="7179" width="16.140625" style="151" customWidth="1"/>
    <col min="7180" max="7180" width="13.42578125" style="151" customWidth="1"/>
    <col min="7181" max="7181" width="11.42578125" style="151" customWidth="1"/>
    <col min="7182" max="7182" width="20.5703125" style="151" customWidth="1"/>
    <col min="7183" max="7183" width="22.28515625" style="151" customWidth="1"/>
    <col min="7184" max="7184" width="2.5703125" style="151" customWidth="1"/>
    <col min="7185" max="7429" width="11.42578125" style="151"/>
    <col min="7430" max="7430" width="6.140625" style="151" customWidth="1"/>
    <col min="7431" max="7431" width="33.42578125" style="151" customWidth="1"/>
    <col min="7432" max="7433" width="25.7109375" style="151" customWidth="1"/>
    <col min="7434" max="7434" width="11.42578125" style="151" customWidth="1"/>
    <col min="7435" max="7435" width="16.140625" style="151" customWidth="1"/>
    <col min="7436" max="7436" width="13.42578125" style="151" customWidth="1"/>
    <col min="7437" max="7437" width="11.42578125" style="151" customWidth="1"/>
    <col min="7438" max="7438" width="20.5703125" style="151" customWidth="1"/>
    <col min="7439" max="7439" width="22.28515625" style="151" customWidth="1"/>
    <col min="7440" max="7440" width="2.5703125" style="151" customWidth="1"/>
    <col min="7441" max="7685" width="11.42578125" style="151"/>
    <col min="7686" max="7686" width="6.140625" style="151" customWidth="1"/>
    <col min="7687" max="7687" width="33.42578125" style="151" customWidth="1"/>
    <col min="7688" max="7689" width="25.7109375" style="151" customWidth="1"/>
    <col min="7690" max="7690" width="11.42578125" style="151" customWidth="1"/>
    <col min="7691" max="7691" width="16.140625" style="151" customWidth="1"/>
    <col min="7692" max="7692" width="13.42578125" style="151" customWidth="1"/>
    <col min="7693" max="7693" width="11.42578125" style="151" customWidth="1"/>
    <col min="7694" max="7694" width="20.5703125" style="151" customWidth="1"/>
    <col min="7695" max="7695" width="22.28515625" style="151" customWidth="1"/>
    <col min="7696" max="7696" width="2.5703125" style="151" customWidth="1"/>
    <col min="7697" max="7941" width="11.42578125" style="151"/>
    <col min="7942" max="7942" width="6.140625" style="151" customWidth="1"/>
    <col min="7943" max="7943" width="33.42578125" style="151" customWidth="1"/>
    <col min="7944" max="7945" width="25.7109375" style="151" customWidth="1"/>
    <col min="7946" max="7946" width="11.42578125" style="151" customWidth="1"/>
    <col min="7947" max="7947" width="16.140625" style="151" customWidth="1"/>
    <col min="7948" max="7948" width="13.42578125" style="151" customWidth="1"/>
    <col min="7949" max="7949" width="11.42578125" style="151" customWidth="1"/>
    <col min="7950" max="7950" width="20.5703125" style="151" customWidth="1"/>
    <col min="7951" max="7951" width="22.28515625" style="151" customWidth="1"/>
    <col min="7952" max="7952" width="2.5703125" style="151" customWidth="1"/>
    <col min="7953" max="8197" width="11.42578125" style="151"/>
    <col min="8198" max="8198" width="6.140625" style="151" customWidth="1"/>
    <col min="8199" max="8199" width="33.42578125" style="151" customWidth="1"/>
    <col min="8200" max="8201" width="25.7109375" style="151" customWidth="1"/>
    <col min="8202" max="8202" width="11.42578125" style="151" customWidth="1"/>
    <col min="8203" max="8203" width="16.140625" style="151" customWidth="1"/>
    <col min="8204" max="8204" width="13.42578125" style="151" customWidth="1"/>
    <col min="8205" max="8205" width="11.42578125" style="151" customWidth="1"/>
    <col min="8206" max="8206" width="20.5703125" style="151" customWidth="1"/>
    <col min="8207" max="8207" width="22.28515625" style="151" customWidth="1"/>
    <col min="8208" max="8208" width="2.5703125" style="151" customWidth="1"/>
    <col min="8209" max="8453" width="11.42578125" style="151"/>
    <col min="8454" max="8454" width="6.140625" style="151" customWidth="1"/>
    <col min="8455" max="8455" width="33.42578125" style="151" customWidth="1"/>
    <col min="8456" max="8457" width="25.7109375" style="151" customWidth="1"/>
    <col min="8458" max="8458" width="11.42578125" style="151" customWidth="1"/>
    <col min="8459" max="8459" width="16.140625" style="151" customWidth="1"/>
    <col min="8460" max="8460" width="13.42578125" style="151" customWidth="1"/>
    <col min="8461" max="8461" width="11.42578125" style="151" customWidth="1"/>
    <col min="8462" max="8462" width="20.5703125" style="151" customWidth="1"/>
    <col min="8463" max="8463" width="22.28515625" style="151" customWidth="1"/>
    <col min="8464" max="8464" width="2.5703125" style="151" customWidth="1"/>
    <col min="8465" max="8709" width="11.42578125" style="151"/>
    <col min="8710" max="8710" width="6.140625" style="151" customWidth="1"/>
    <col min="8711" max="8711" width="33.42578125" style="151" customWidth="1"/>
    <col min="8712" max="8713" width="25.7109375" style="151" customWidth="1"/>
    <col min="8714" max="8714" width="11.42578125" style="151" customWidth="1"/>
    <col min="8715" max="8715" width="16.140625" style="151" customWidth="1"/>
    <col min="8716" max="8716" width="13.42578125" style="151" customWidth="1"/>
    <col min="8717" max="8717" width="11.42578125" style="151" customWidth="1"/>
    <col min="8718" max="8718" width="20.5703125" style="151" customWidth="1"/>
    <col min="8719" max="8719" width="22.28515625" style="151" customWidth="1"/>
    <col min="8720" max="8720" width="2.5703125" style="151" customWidth="1"/>
    <col min="8721" max="8965" width="11.42578125" style="151"/>
    <col min="8966" max="8966" width="6.140625" style="151" customWidth="1"/>
    <col min="8967" max="8967" width="33.42578125" style="151" customWidth="1"/>
    <col min="8968" max="8969" width="25.7109375" style="151" customWidth="1"/>
    <col min="8970" max="8970" width="11.42578125" style="151" customWidth="1"/>
    <col min="8971" max="8971" width="16.140625" style="151" customWidth="1"/>
    <col min="8972" max="8972" width="13.42578125" style="151" customWidth="1"/>
    <col min="8973" max="8973" width="11.42578125" style="151" customWidth="1"/>
    <col min="8974" max="8974" width="20.5703125" style="151" customWidth="1"/>
    <col min="8975" max="8975" width="22.28515625" style="151" customWidth="1"/>
    <col min="8976" max="8976" width="2.5703125" style="151" customWidth="1"/>
    <col min="8977" max="9221" width="11.42578125" style="151"/>
    <col min="9222" max="9222" width="6.140625" style="151" customWidth="1"/>
    <col min="9223" max="9223" width="33.42578125" style="151" customWidth="1"/>
    <col min="9224" max="9225" width="25.7109375" style="151" customWidth="1"/>
    <col min="9226" max="9226" width="11.42578125" style="151" customWidth="1"/>
    <col min="9227" max="9227" width="16.140625" style="151" customWidth="1"/>
    <col min="9228" max="9228" width="13.42578125" style="151" customWidth="1"/>
    <col min="9229" max="9229" width="11.42578125" style="151" customWidth="1"/>
    <col min="9230" max="9230" width="20.5703125" style="151" customWidth="1"/>
    <col min="9231" max="9231" width="22.28515625" style="151" customWidth="1"/>
    <col min="9232" max="9232" width="2.5703125" style="151" customWidth="1"/>
    <col min="9233" max="9477" width="11.42578125" style="151"/>
    <col min="9478" max="9478" width="6.140625" style="151" customWidth="1"/>
    <col min="9479" max="9479" width="33.42578125" style="151" customWidth="1"/>
    <col min="9480" max="9481" width="25.7109375" style="151" customWidth="1"/>
    <col min="9482" max="9482" width="11.42578125" style="151" customWidth="1"/>
    <col min="9483" max="9483" width="16.140625" style="151" customWidth="1"/>
    <col min="9484" max="9484" width="13.42578125" style="151" customWidth="1"/>
    <col min="9485" max="9485" width="11.42578125" style="151" customWidth="1"/>
    <col min="9486" max="9486" width="20.5703125" style="151" customWidth="1"/>
    <col min="9487" max="9487" width="22.28515625" style="151" customWidth="1"/>
    <col min="9488" max="9488" width="2.5703125" style="151" customWidth="1"/>
    <col min="9489" max="9733" width="11.42578125" style="151"/>
    <col min="9734" max="9734" width="6.140625" style="151" customWidth="1"/>
    <col min="9735" max="9735" width="33.42578125" style="151" customWidth="1"/>
    <col min="9736" max="9737" width="25.7109375" style="151" customWidth="1"/>
    <col min="9738" max="9738" width="11.42578125" style="151" customWidth="1"/>
    <col min="9739" max="9739" width="16.140625" style="151" customWidth="1"/>
    <col min="9740" max="9740" width="13.42578125" style="151" customWidth="1"/>
    <col min="9741" max="9741" width="11.42578125" style="151" customWidth="1"/>
    <col min="9742" max="9742" width="20.5703125" style="151" customWidth="1"/>
    <col min="9743" max="9743" width="22.28515625" style="151" customWidth="1"/>
    <col min="9744" max="9744" width="2.5703125" style="151" customWidth="1"/>
    <col min="9745" max="9989" width="11.42578125" style="151"/>
    <col min="9990" max="9990" width="6.140625" style="151" customWidth="1"/>
    <col min="9991" max="9991" width="33.42578125" style="151" customWidth="1"/>
    <col min="9992" max="9993" width="25.7109375" style="151" customWidth="1"/>
    <col min="9994" max="9994" width="11.42578125" style="151" customWidth="1"/>
    <col min="9995" max="9995" width="16.140625" style="151" customWidth="1"/>
    <col min="9996" max="9996" width="13.42578125" style="151" customWidth="1"/>
    <col min="9997" max="9997" width="11.42578125" style="151" customWidth="1"/>
    <col min="9998" max="9998" width="20.5703125" style="151" customWidth="1"/>
    <col min="9999" max="9999" width="22.28515625" style="151" customWidth="1"/>
    <col min="10000" max="10000" width="2.5703125" style="151" customWidth="1"/>
    <col min="10001" max="10245" width="11.42578125" style="151"/>
    <col min="10246" max="10246" width="6.140625" style="151" customWidth="1"/>
    <col min="10247" max="10247" width="33.42578125" style="151" customWidth="1"/>
    <col min="10248" max="10249" width="25.7109375" style="151" customWidth="1"/>
    <col min="10250" max="10250" width="11.42578125" style="151" customWidth="1"/>
    <col min="10251" max="10251" width="16.140625" style="151" customWidth="1"/>
    <col min="10252" max="10252" width="13.42578125" style="151" customWidth="1"/>
    <col min="10253" max="10253" width="11.42578125" style="151" customWidth="1"/>
    <col min="10254" max="10254" width="20.5703125" style="151" customWidth="1"/>
    <col min="10255" max="10255" width="22.28515625" style="151" customWidth="1"/>
    <col min="10256" max="10256" width="2.5703125" style="151" customWidth="1"/>
    <col min="10257" max="10501" width="11.42578125" style="151"/>
    <col min="10502" max="10502" width="6.140625" style="151" customWidth="1"/>
    <col min="10503" max="10503" width="33.42578125" style="151" customWidth="1"/>
    <col min="10504" max="10505" width="25.7109375" style="151" customWidth="1"/>
    <col min="10506" max="10506" width="11.42578125" style="151" customWidth="1"/>
    <col min="10507" max="10507" width="16.140625" style="151" customWidth="1"/>
    <col min="10508" max="10508" width="13.42578125" style="151" customWidth="1"/>
    <col min="10509" max="10509" width="11.42578125" style="151" customWidth="1"/>
    <col min="10510" max="10510" width="20.5703125" style="151" customWidth="1"/>
    <col min="10511" max="10511" width="22.28515625" style="151" customWidth="1"/>
    <col min="10512" max="10512" width="2.5703125" style="151" customWidth="1"/>
    <col min="10513" max="10757" width="11.42578125" style="151"/>
    <col min="10758" max="10758" width="6.140625" style="151" customWidth="1"/>
    <col min="10759" max="10759" width="33.42578125" style="151" customWidth="1"/>
    <col min="10760" max="10761" width="25.7109375" style="151" customWidth="1"/>
    <col min="10762" max="10762" width="11.42578125" style="151" customWidth="1"/>
    <col min="10763" max="10763" width="16.140625" style="151" customWidth="1"/>
    <col min="10764" max="10764" width="13.42578125" style="151" customWidth="1"/>
    <col min="10765" max="10765" width="11.42578125" style="151" customWidth="1"/>
    <col min="10766" max="10766" width="20.5703125" style="151" customWidth="1"/>
    <col min="10767" max="10767" width="22.28515625" style="151" customWidth="1"/>
    <col min="10768" max="10768" width="2.5703125" style="151" customWidth="1"/>
    <col min="10769" max="11013" width="11.42578125" style="151"/>
    <col min="11014" max="11014" width="6.140625" style="151" customWidth="1"/>
    <col min="11015" max="11015" width="33.42578125" style="151" customWidth="1"/>
    <col min="11016" max="11017" width="25.7109375" style="151" customWidth="1"/>
    <col min="11018" max="11018" width="11.42578125" style="151" customWidth="1"/>
    <col min="11019" max="11019" width="16.140625" style="151" customWidth="1"/>
    <col min="11020" max="11020" width="13.42578125" style="151" customWidth="1"/>
    <col min="11021" max="11021" width="11.42578125" style="151" customWidth="1"/>
    <col min="11022" max="11022" width="20.5703125" style="151" customWidth="1"/>
    <col min="11023" max="11023" width="22.28515625" style="151" customWidth="1"/>
    <col min="11024" max="11024" width="2.5703125" style="151" customWidth="1"/>
    <col min="11025" max="11269" width="11.42578125" style="151"/>
    <col min="11270" max="11270" width="6.140625" style="151" customWidth="1"/>
    <col min="11271" max="11271" width="33.42578125" style="151" customWidth="1"/>
    <col min="11272" max="11273" width="25.7109375" style="151" customWidth="1"/>
    <col min="11274" max="11274" width="11.42578125" style="151" customWidth="1"/>
    <col min="11275" max="11275" width="16.140625" style="151" customWidth="1"/>
    <col min="11276" max="11276" width="13.42578125" style="151" customWidth="1"/>
    <col min="11277" max="11277" width="11.42578125" style="151" customWidth="1"/>
    <col min="11278" max="11278" width="20.5703125" style="151" customWidth="1"/>
    <col min="11279" max="11279" width="22.28515625" style="151" customWidth="1"/>
    <col min="11280" max="11280" width="2.5703125" style="151" customWidth="1"/>
    <col min="11281" max="11525" width="11.42578125" style="151"/>
    <col min="11526" max="11526" width="6.140625" style="151" customWidth="1"/>
    <col min="11527" max="11527" width="33.42578125" style="151" customWidth="1"/>
    <col min="11528" max="11529" width="25.7109375" style="151" customWidth="1"/>
    <col min="11530" max="11530" width="11.42578125" style="151" customWidth="1"/>
    <col min="11531" max="11531" width="16.140625" style="151" customWidth="1"/>
    <col min="11532" max="11532" width="13.42578125" style="151" customWidth="1"/>
    <col min="11533" max="11533" width="11.42578125" style="151" customWidth="1"/>
    <col min="11534" max="11534" width="20.5703125" style="151" customWidth="1"/>
    <col min="11535" max="11535" width="22.28515625" style="151" customWidth="1"/>
    <col min="11536" max="11536" width="2.5703125" style="151" customWidth="1"/>
    <col min="11537" max="11781" width="11.42578125" style="151"/>
    <col min="11782" max="11782" width="6.140625" style="151" customWidth="1"/>
    <col min="11783" max="11783" width="33.42578125" style="151" customWidth="1"/>
    <col min="11784" max="11785" width="25.7109375" style="151" customWidth="1"/>
    <col min="11786" max="11786" width="11.42578125" style="151" customWidth="1"/>
    <col min="11787" max="11787" width="16.140625" style="151" customWidth="1"/>
    <col min="11788" max="11788" width="13.42578125" style="151" customWidth="1"/>
    <col min="11789" max="11789" width="11.42578125" style="151" customWidth="1"/>
    <col min="11790" max="11790" width="20.5703125" style="151" customWidth="1"/>
    <col min="11791" max="11791" width="22.28515625" style="151" customWidth="1"/>
    <col min="11792" max="11792" width="2.5703125" style="151" customWidth="1"/>
    <col min="11793" max="12037" width="11.42578125" style="151"/>
    <col min="12038" max="12038" width="6.140625" style="151" customWidth="1"/>
    <col min="12039" max="12039" width="33.42578125" style="151" customWidth="1"/>
    <col min="12040" max="12041" width="25.7109375" style="151" customWidth="1"/>
    <col min="12042" max="12042" width="11.42578125" style="151" customWidth="1"/>
    <col min="12043" max="12043" width="16.140625" style="151" customWidth="1"/>
    <col min="12044" max="12044" width="13.42578125" style="151" customWidth="1"/>
    <col min="12045" max="12045" width="11.42578125" style="151" customWidth="1"/>
    <col min="12046" max="12046" width="20.5703125" style="151" customWidth="1"/>
    <col min="12047" max="12047" width="22.28515625" style="151" customWidth="1"/>
    <col min="12048" max="12048" width="2.5703125" style="151" customWidth="1"/>
    <col min="12049" max="12293" width="11.42578125" style="151"/>
    <col min="12294" max="12294" width="6.140625" style="151" customWidth="1"/>
    <col min="12295" max="12295" width="33.42578125" style="151" customWidth="1"/>
    <col min="12296" max="12297" width="25.7109375" style="151" customWidth="1"/>
    <col min="12298" max="12298" width="11.42578125" style="151" customWidth="1"/>
    <col min="12299" max="12299" width="16.140625" style="151" customWidth="1"/>
    <col min="12300" max="12300" width="13.42578125" style="151" customWidth="1"/>
    <col min="12301" max="12301" width="11.42578125" style="151" customWidth="1"/>
    <col min="12302" max="12302" width="20.5703125" style="151" customWidth="1"/>
    <col min="12303" max="12303" width="22.28515625" style="151" customWidth="1"/>
    <col min="12304" max="12304" width="2.5703125" style="151" customWidth="1"/>
    <col min="12305" max="12549" width="11.42578125" style="151"/>
    <col min="12550" max="12550" width="6.140625" style="151" customWidth="1"/>
    <col min="12551" max="12551" width="33.42578125" style="151" customWidth="1"/>
    <col min="12552" max="12553" width="25.7109375" style="151" customWidth="1"/>
    <col min="12554" max="12554" width="11.42578125" style="151" customWidth="1"/>
    <col min="12555" max="12555" width="16.140625" style="151" customWidth="1"/>
    <col min="12556" max="12556" width="13.42578125" style="151" customWidth="1"/>
    <col min="12557" max="12557" width="11.42578125" style="151" customWidth="1"/>
    <col min="12558" max="12558" width="20.5703125" style="151" customWidth="1"/>
    <col min="12559" max="12559" width="22.28515625" style="151" customWidth="1"/>
    <col min="12560" max="12560" width="2.5703125" style="151" customWidth="1"/>
    <col min="12561" max="12805" width="11.42578125" style="151"/>
    <col min="12806" max="12806" width="6.140625" style="151" customWidth="1"/>
    <col min="12807" max="12807" width="33.42578125" style="151" customWidth="1"/>
    <col min="12808" max="12809" width="25.7109375" style="151" customWidth="1"/>
    <col min="12810" max="12810" width="11.42578125" style="151" customWidth="1"/>
    <col min="12811" max="12811" width="16.140625" style="151" customWidth="1"/>
    <col min="12812" max="12812" width="13.42578125" style="151" customWidth="1"/>
    <col min="12813" max="12813" width="11.42578125" style="151" customWidth="1"/>
    <col min="12814" max="12814" width="20.5703125" style="151" customWidth="1"/>
    <col min="12815" max="12815" width="22.28515625" style="151" customWidth="1"/>
    <col min="12816" max="12816" width="2.5703125" style="151" customWidth="1"/>
    <col min="12817" max="13061" width="11.42578125" style="151"/>
    <col min="13062" max="13062" width="6.140625" style="151" customWidth="1"/>
    <col min="13063" max="13063" width="33.42578125" style="151" customWidth="1"/>
    <col min="13064" max="13065" width="25.7109375" style="151" customWidth="1"/>
    <col min="13066" max="13066" width="11.42578125" style="151" customWidth="1"/>
    <col min="13067" max="13067" width="16.140625" style="151" customWidth="1"/>
    <col min="13068" max="13068" width="13.42578125" style="151" customWidth="1"/>
    <col min="13069" max="13069" width="11.42578125" style="151" customWidth="1"/>
    <col min="13070" max="13070" width="20.5703125" style="151" customWidth="1"/>
    <col min="13071" max="13071" width="22.28515625" style="151" customWidth="1"/>
    <col min="13072" max="13072" width="2.5703125" style="151" customWidth="1"/>
    <col min="13073" max="13317" width="11.42578125" style="151"/>
    <col min="13318" max="13318" width="6.140625" style="151" customWidth="1"/>
    <col min="13319" max="13319" width="33.42578125" style="151" customWidth="1"/>
    <col min="13320" max="13321" width="25.7109375" style="151" customWidth="1"/>
    <col min="13322" max="13322" width="11.42578125" style="151" customWidth="1"/>
    <col min="13323" max="13323" width="16.140625" style="151" customWidth="1"/>
    <col min="13324" max="13324" width="13.42578125" style="151" customWidth="1"/>
    <col min="13325" max="13325" width="11.42578125" style="151" customWidth="1"/>
    <col min="13326" max="13326" width="20.5703125" style="151" customWidth="1"/>
    <col min="13327" max="13327" width="22.28515625" style="151" customWidth="1"/>
    <col min="13328" max="13328" width="2.5703125" style="151" customWidth="1"/>
    <col min="13329" max="13573" width="11.42578125" style="151"/>
    <col min="13574" max="13574" width="6.140625" style="151" customWidth="1"/>
    <col min="13575" max="13575" width="33.42578125" style="151" customWidth="1"/>
    <col min="13576" max="13577" width="25.7109375" style="151" customWidth="1"/>
    <col min="13578" max="13578" width="11.42578125" style="151" customWidth="1"/>
    <col min="13579" max="13579" width="16.140625" style="151" customWidth="1"/>
    <col min="13580" max="13580" width="13.42578125" style="151" customWidth="1"/>
    <col min="13581" max="13581" width="11.42578125" style="151" customWidth="1"/>
    <col min="13582" max="13582" width="20.5703125" style="151" customWidth="1"/>
    <col min="13583" max="13583" width="22.28515625" style="151" customWidth="1"/>
    <col min="13584" max="13584" width="2.5703125" style="151" customWidth="1"/>
    <col min="13585" max="13829" width="11.42578125" style="151"/>
    <col min="13830" max="13830" width="6.140625" style="151" customWidth="1"/>
    <col min="13831" max="13831" width="33.42578125" style="151" customWidth="1"/>
    <col min="13832" max="13833" width="25.7109375" style="151" customWidth="1"/>
    <col min="13834" max="13834" width="11.42578125" style="151" customWidth="1"/>
    <col min="13835" max="13835" width="16.140625" style="151" customWidth="1"/>
    <col min="13836" max="13836" width="13.42578125" style="151" customWidth="1"/>
    <col min="13837" max="13837" width="11.42578125" style="151" customWidth="1"/>
    <col min="13838" max="13838" width="20.5703125" style="151" customWidth="1"/>
    <col min="13839" max="13839" width="22.28515625" style="151" customWidth="1"/>
    <col min="13840" max="13840" width="2.5703125" style="151" customWidth="1"/>
    <col min="13841" max="14085" width="11.42578125" style="151"/>
    <col min="14086" max="14086" width="6.140625" style="151" customWidth="1"/>
    <col min="14087" max="14087" width="33.42578125" style="151" customWidth="1"/>
    <col min="14088" max="14089" width="25.7109375" style="151" customWidth="1"/>
    <col min="14090" max="14090" width="11.42578125" style="151" customWidth="1"/>
    <col min="14091" max="14091" width="16.140625" style="151" customWidth="1"/>
    <col min="14092" max="14092" width="13.42578125" style="151" customWidth="1"/>
    <col min="14093" max="14093" width="11.42578125" style="151" customWidth="1"/>
    <col min="14094" max="14094" width="20.5703125" style="151" customWidth="1"/>
    <col min="14095" max="14095" width="22.28515625" style="151" customWidth="1"/>
    <col min="14096" max="14096" width="2.5703125" style="151" customWidth="1"/>
    <col min="14097" max="14341" width="11.42578125" style="151"/>
    <col min="14342" max="14342" width="6.140625" style="151" customWidth="1"/>
    <col min="14343" max="14343" width="33.42578125" style="151" customWidth="1"/>
    <col min="14344" max="14345" width="25.7109375" style="151" customWidth="1"/>
    <col min="14346" max="14346" width="11.42578125" style="151" customWidth="1"/>
    <col min="14347" max="14347" width="16.140625" style="151" customWidth="1"/>
    <col min="14348" max="14348" width="13.42578125" style="151" customWidth="1"/>
    <col min="14349" max="14349" width="11.42578125" style="151" customWidth="1"/>
    <col min="14350" max="14350" width="20.5703125" style="151" customWidth="1"/>
    <col min="14351" max="14351" width="22.28515625" style="151" customWidth="1"/>
    <col min="14352" max="14352" width="2.5703125" style="151" customWidth="1"/>
    <col min="14353" max="14597" width="11.42578125" style="151"/>
    <col min="14598" max="14598" width="6.140625" style="151" customWidth="1"/>
    <col min="14599" max="14599" width="33.42578125" style="151" customWidth="1"/>
    <col min="14600" max="14601" width="25.7109375" style="151" customWidth="1"/>
    <col min="14602" max="14602" width="11.42578125" style="151" customWidth="1"/>
    <col min="14603" max="14603" width="16.140625" style="151" customWidth="1"/>
    <col min="14604" max="14604" width="13.42578125" style="151" customWidth="1"/>
    <col min="14605" max="14605" width="11.42578125" style="151" customWidth="1"/>
    <col min="14606" max="14606" width="20.5703125" style="151" customWidth="1"/>
    <col min="14607" max="14607" width="22.28515625" style="151" customWidth="1"/>
    <col min="14608" max="14608" width="2.5703125" style="151" customWidth="1"/>
    <col min="14609" max="14853" width="11.42578125" style="151"/>
    <col min="14854" max="14854" width="6.140625" style="151" customWidth="1"/>
    <col min="14855" max="14855" width="33.42578125" style="151" customWidth="1"/>
    <col min="14856" max="14857" width="25.7109375" style="151" customWidth="1"/>
    <col min="14858" max="14858" width="11.42578125" style="151" customWidth="1"/>
    <col min="14859" max="14859" width="16.140625" style="151" customWidth="1"/>
    <col min="14860" max="14860" width="13.42578125" style="151" customWidth="1"/>
    <col min="14861" max="14861" width="11.42578125" style="151" customWidth="1"/>
    <col min="14862" max="14862" width="20.5703125" style="151" customWidth="1"/>
    <col min="14863" max="14863" width="22.28515625" style="151" customWidth="1"/>
    <col min="14864" max="14864" width="2.5703125" style="151" customWidth="1"/>
    <col min="14865" max="15109" width="11.42578125" style="151"/>
    <col min="15110" max="15110" width="6.140625" style="151" customWidth="1"/>
    <col min="15111" max="15111" width="33.42578125" style="151" customWidth="1"/>
    <col min="15112" max="15113" width="25.7109375" style="151" customWidth="1"/>
    <col min="15114" max="15114" width="11.42578125" style="151" customWidth="1"/>
    <col min="15115" max="15115" width="16.140625" style="151" customWidth="1"/>
    <col min="15116" max="15116" width="13.42578125" style="151" customWidth="1"/>
    <col min="15117" max="15117" width="11.42578125" style="151" customWidth="1"/>
    <col min="15118" max="15118" width="20.5703125" style="151" customWidth="1"/>
    <col min="15119" max="15119" width="22.28515625" style="151" customWidth="1"/>
    <col min="15120" max="15120" width="2.5703125" style="151" customWidth="1"/>
    <col min="15121" max="15365" width="11.42578125" style="151"/>
    <col min="15366" max="15366" width="6.140625" style="151" customWidth="1"/>
    <col min="15367" max="15367" width="33.42578125" style="151" customWidth="1"/>
    <col min="15368" max="15369" width="25.7109375" style="151" customWidth="1"/>
    <col min="15370" max="15370" width="11.42578125" style="151" customWidth="1"/>
    <col min="15371" max="15371" width="16.140625" style="151" customWidth="1"/>
    <col min="15372" max="15372" width="13.42578125" style="151" customWidth="1"/>
    <col min="15373" max="15373" width="11.42578125" style="151" customWidth="1"/>
    <col min="15374" max="15374" width="20.5703125" style="151" customWidth="1"/>
    <col min="15375" max="15375" width="22.28515625" style="151" customWidth="1"/>
    <col min="15376" max="15376" width="2.5703125" style="151" customWidth="1"/>
    <col min="15377" max="15621" width="11.42578125" style="151"/>
    <col min="15622" max="15622" width="6.140625" style="151" customWidth="1"/>
    <col min="15623" max="15623" width="33.42578125" style="151" customWidth="1"/>
    <col min="15624" max="15625" width="25.7109375" style="151" customWidth="1"/>
    <col min="15626" max="15626" width="11.42578125" style="151" customWidth="1"/>
    <col min="15627" max="15627" width="16.140625" style="151" customWidth="1"/>
    <col min="15628" max="15628" width="13.42578125" style="151" customWidth="1"/>
    <col min="15629" max="15629" width="11.42578125" style="151" customWidth="1"/>
    <col min="15630" max="15630" width="20.5703125" style="151" customWidth="1"/>
    <col min="15631" max="15631" width="22.28515625" style="151" customWidth="1"/>
    <col min="15632" max="15632" width="2.5703125" style="151" customWidth="1"/>
    <col min="15633" max="15877" width="11.42578125" style="151"/>
    <col min="15878" max="15878" width="6.140625" style="151" customWidth="1"/>
    <col min="15879" max="15879" width="33.42578125" style="151" customWidth="1"/>
    <col min="15880" max="15881" width="25.7109375" style="151" customWidth="1"/>
    <col min="15882" max="15882" width="11.42578125" style="151" customWidth="1"/>
    <col min="15883" max="15883" width="16.140625" style="151" customWidth="1"/>
    <col min="15884" max="15884" width="13.42578125" style="151" customWidth="1"/>
    <col min="15885" max="15885" width="11.42578125" style="151" customWidth="1"/>
    <col min="15886" max="15886" width="20.5703125" style="151" customWidth="1"/>
    <col min="15887" max="15887" width="22.28515625" style="151" customWidth="1"/>
    <col min="15888" max="15888" width="2.5703125" style="151" customWidth="1"/>
    <col min="15889" max="16133" width="11.42578125" style="151"/>
    <col min="16134" max="16134" width="6.140625" style="151" customWidth="1"/>
    <col min="16135" max="16135" width="33.42578125" style="151" customWidth="1"/>
    <col min="16136" max="16137" width="25.7109375" style="151" customWidth="1"/>
    <col min="16138" max="16138" width="11.42578125" style="151" customWidth="1"/>
    <col min="16139" max="16139" width="16.140625" style="151" customWidth="1"/>
    <col min="16140" max="16140" width="13.42578125" style="151" customWidth="1"/>
    <col min="16141" max="16141" width="11.42578125" style="151" customWidth="1"/>
    <col min="16142" max="16142" width="20.5703125" style="151" customWidth="1"/>
    <col min="16143" max="16143" width="22.28515625" style="151" customWidth="1"/>
    <col min="16144" max="16144" width="2.5703125" style="151" customWidth="1"/>
    <col min="16145" max="16384" width="11.42578125" style="151"/>
  </cols>
  <sheetData>
    <row r="1" spans="1:137" ht="9" customHeight="1" x14ac:dyDescent="0.25">
      <c r="A1" s="290"/>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row>
    <row r="2" spans="1:137" s="27" customFormat="1" ht="18.75" customHeight="1" x14ac:dyDescent="0.25">
      <c r="A2" s="26"/>
      <c r="B2" s="1889" t="s">
        <v>1348</v>
      </c>
      <c r="C2" s="1889"/>
      <c r="D2" s="1889"/>
      <c r="E2" s="1889"/>
      <c r="F2" s="1889"/>
      <c r="G2" s="1889"/>
      <c r="H2" s="1889"/>
      <c r="I2" s="1889"/>
      <c r="J2" s="1889"/>
      <c r="K2" s="1889"/>
      <c r="L2" s="1889"/>
      <c r="M2" s="1889"/>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31"/>
      <c r="AN2" s="32"/>
      <c r="AO2" s="32"/>
      <c r="AP2" s="32"/>
      <c r="AQ2" s="32"/>
      <c r="AR2" s="33"/>
      <c r="AS2" s="30"/>
      <c r="AT2" s="31"/>
      <c r="AU2" s="32"/>
      <c r="AV2" s="33"/>
      <c r="AW2" s="32"/>
      <c r="AX2" s="33"/>
      <c r="AY2" s="30"/>
      <c r="AZ2" s="31"/>
      <c r="BA2" s="32"/>
      <c r="BB2" s="33"/>
      <c r="BC2" s="33"/>
      <c r="BD2" s="32"/>
      <c r="BE2" s="33"/>
      <c r="BF2" s="34"/>
      <c r="BG2" s="35"/>
      <c r="BH2" s="28"/>
      <c r="BI2" s="64"/>
      <c r="BJ2" s="168"/>
      <c r="BK2" s="168"/>
      <c r="BL2" s="168"/>
      <c r="BM2" s="169"/>
      <c r="BN2" s="169"/>
      <c r="BO2" s="169"/>
      <c r="BP2" s="168"/>
      <c r="BQ2" s="168"/>
      <c r="BR2" s="168"/>
      <c r="BS2" s="168"/>
      <c r="BT2" s="168"/>
      <c r="BU2" s="168"/>
      <c r="BV2" s="168"/>
      <c r="BW2" s="168"/>
      <c r="BX2" s="168"/>
      <c r="BY2" s="168"/>
      <c r="BZ2" s="168"/>
      <c r="CA2" s="168"/>
      <c r="CB2" s="170"/>
      <c r="CC2" s="168"/>
      <c r="CD2" s="168"/>
      <c r="CE2" s="170"/>
      <c r="CF2" s="170"/>
      <c r="CG2" s="170"/>
      <c r="CH2" s="170"/>
      <c r="CI2" s="168"/>
      <c r="CJ2" s="168"/>
      <c r="CK2" s="170"/>
      <c r="CL2" s="170"/>
      <c r="CM2" s="170"/>
      <c r="CN2" s="113"/>
      <c r="CO2" s="36"/>
      <c r="CP2" s="36"/>
      <c r="CQ2" s="36"/>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6"/>
      <c r="EA2" s="36"/>
      <c r="EB2" s="36"/>
      <c r="EC2" s="36"/>
      <c r="ED2" s="36"/>
      <c r="EE2" s="36"/>
      <c r="EF2" s="36"/>
      <c r="EG2" s="36"/>
    </row>
    <row r="3" spans="1:137" s="27" customFormat="1" ht="28.5" customHeight="1" x14ac:dyDescent="0.25">
      <c r="A3" s="26"/>
      <c r="B3" s="1889"/>
      <c r="C3" s="1889"/>
      <c r="D3" s="1889"/>
      <c r="E3" s="1889"/>
      <c r="F3" s="1889"/>
      <c r="G3" s="1889"/>
      <c r="H3" s="1889"/>
      <c r="I3" s="1889"/>
      <c r="J3" s="1889"/>
      <c r="K3" s="1889"/>
      <c r="L3" s="1889"/>
      <c r="M3" s="1889"/>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39"/>
      <c r="AN3" s="40"/>
      <c r="AO3" s="40"/>
      <c r="AP3" s="40"/>
      <c r="AQ3" s="40"/>
      <c r="AR3" s="41"/>
      <c r="AS3" s="38"/>
      <c r="AT3" s="39"/>
      <c r="AU3" s="40"/>
      <c r="AV3" s="41"/>
      <c r="AW3" s="40"/>
      <c r="AX3" s="41"/>
      <c r="AY3" s="38"/>
      <c r="AZ3" s="39"/>
      <c r="BA3" s="40"/>
      <c r="BB3" s="41"/>
      <c r="BC3" s="41"/>
      <c r="BD3" s="40"/>
      <c r="BE3" s="41"/>
      <c r="BF3" s="42"/>
      <c r="BG3" s="32"/>
      <c r="BH3" s="28"/>
      <c r="BI3" s="64"/>
      <c r="BJ3" s="168"/>
      <c r="BK3" s="168"/>
      <c r="BL3" s="168"/>
      <c r="BM3" s="169"/>
      <c r="BN3" s="169"/>
      <c r="BO3" s="169"/>
      <c r="BP3" s="168"/>
      <c r="BQ3" s="168"/>
      <c r="BR3" s="168"/>
      <c r="BS3" s="168"/>
      <c r="BT3" s="168"/>
      <c r="BU3" s="168"/>
      <c r="BV3" s="168"/>
      <c r="BW3" s="168"/>
      <c r="BX3" s="168"/>
      <c r="BY3" s="168"/>
      <c r="BZ3" s="168"/>
      <c r="CA3" s="168"/>
      <c r="CB3" s="170"/>
      <c r="CC3" s="168"/>
      <c r="CD3" s="168"/>
      <c r="CE3" s="170"/>
      <c r="CF3" s="170"/>
      <c r="CG3" s="170"/>
      <c r="CH3" s="170"/>
      <c r="CI3" s="168"/>
      <c r="CJ3" s="168"/>
      <c r="CK3" s="170"/>
      <c r="CL3" s="170"/>
      <c r="CM3" s="170"/>
      <c r="CN3" s="113"/>
      <c r="CO3" s="36"/>
      <c r="CP3" s="36"/>
      <c r="CQ3" s="36"/>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6"/>
      <c r="EA3" s="36"/>
      <c r="EB3" s="36"/>
      <c r="EC3" s="36"/>
      <c r="ED3" s="36"/>
      <c r="EE3" s="36"/>
      <c r="EF3" s="36"/>
      <c r="EG3" s="36"/>
    </row>
    <row r="4" spans="1:137" s="26" customFormat="1" ht="18.75" customHeight="1" thickBot="1" x14ac:dyDescent="0.3">
      <c r="A4" s="43"/>
      <c r="B4" s="31"/>
      <c r="C4" s="1092"/>
      <c r="D4" s="43"/>
      <c r="E4" s="44"/>
      <c r="F4" s="44"/>
      <c r="G4" s="44"/>
      <c r="H4" s="44"/>
      <c r="I4" s="44"/>
      <c r="J4" s="44"/>
      <c r="K4" s="44"/>
      <c r="L4" s="44"/>
      <c r="M4" s="44"/>
      <c r="N4" s="44"/>
      <c r="O4" s="44"/>
      <c r="P4" s="44"/>
      <c r="Q4" s="44"/>
      <c r="R4" s="45"/>
      <c r="S4" s="44"/>
      <c r="T4" s="44"/>
      <c r="U4" s="44"/>
      <c r="V4" s="46"/>
      <c r="W4" s="46"/>
      <c r="X4" s="43"/>
      <c r="Y4" s="43"/>
      <c r="Z4" s="46"/>
      <c r="AA4" s="47"/>
      <c r="AB4" s="47"/>
      <c r="AC4" s="46"/>
      <c r="AD4" s="47"/>
      <c r="AE4" s="48"/>
      <c r="AF4" s="43"/>
      <c r="AG4" s="46"/>
      <c r="AH4" s="49"/>
      <c r="AI4" s="49"/>
      <c r="AJ4" s="46"/>
      <c r="AK4" s="47"/>
      <c r="AL4" s="43"/>
      <c r="AM4" s="43"/>
      <c r="AN4" s="46"/>
      <c r="AO4" s="46"/>
      <c r="AP4" s="46"/>
      <c r="AQ4" s="46"/>
      <c r="AR4" s="47"/>
      <c r="AS4" s="43"/>
      <c r="AT4" s="43"/>
      <c r="AU4" s="46"/>
      <c r="AV4" s="47"/>
      <c r="AW4" s="46"/>
      <c r="AX4" s="47"/>
      <c r="AY4" s="43"/>
      <c r="AZ4" s="43"/>
      <c r="BA4" s="46"/>
      <c r="BB4" s="47"/>
      <c r="BC4" s="47"/>
      <c r="BD4" s="46"/>
      <c r="BE4" s="47"/>
      <c r="BF4" s="50"/>
      <c r="BG4" s="51"/>
      <c r="BH4" s="28"/>
      <c r="BI4" s="164"/>
      <c r="BJ4" s="165"/>
      <c r="BK4" s="165"/>
      <c r="BL4" s="165"/>
      <c r="BM4" s="166"/>
      <c r="BN4" s="166"/>
      <c r="BO4" s="166"/>
      <c r="BP4" s="165"/>
      <c r="BQ4" s="165"/>
      <c r="BR4" s="165"/>
      <c r="BS4" s="165"/>
      <c r="BT4" s="165"/>
      <c r="BU4" s="165"/>
      <c r="BV4" s="165"/>
      <c r="BW4" s="165"/>
      <c r="BX4" s="165"/>
      <c r="BY4" s="165"/>
      <c r="BZ4" s="165"/>
      <c r="CA4" s="165"/>
      <c r="CB4" s="167"/>
      <c r="CC4" s="165"/>
      <c r="CD4" s="165"/>
      <c r="CE4" s="167"/>
      <c r="CF4" s="167"/>
      <c r="CG4" s="167"/>
      <c r="CH4" s="167"/>
      <c r="CI4" s="165"/>
      <c r="CJ4" s="165"/>
      <c r="CK4" s="167"/>
      <c r="CL4" s="167"/>
      <c r="CM4" s="167"/>
      <c r="CN4" s="112"/>
      <c r="CO4" s="29"/>
      <c r="CP4" s="29"/>
      <c r="CQ4" s="29"/>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9"/>
      <c r="EA4" s="29"/>
      <c r="EB4" s="29"/>
      <c r="EC4" s="29"/>
      <c r="ED4" s="29"/>
      <c r="EE4" s="29"/>
      <c r="EF4" s="29"/>
      <c r="EG4" s="29"/>
    </row>
    <row r="5" spans="1:137" s="27" customFormat="1" ht="18.75" customHeight="1" x14ac:dyDescent="0.25">
      <c r="A5" s="26"/>
      <c r="B5" s="1890" t="s">
        <v>647</v>
      </c>
      <c r="C5" s="1891"/>
      <c r="D5" s="1891"/>
      <c r="E5" s="1891"/>
      <c r="F5" s="1891"/>
      <c r="G5" s="1891"/>
      <c r="H5" s="1891"/>
      <c r="I5" s="1891"/>
      <c r="J5" s="1891"/>
      <c r="K5" s="1891"/>
      <c r="L5" s="1891"/>
      <c r="M5" s="1892"/>
      <c r="O5" s="1114"/>
      <c r="P5" s="1114"/>
      <c r="Q5" s="1114"/>
      <c r="R5" s="1114"/>
      <c r="S5" s="1114"/>
      <c r="T5" s="1114"/>
      <c r="U5" s="1114"/>
      <c r="V5" s="1114"/>
      <c r="W5" s="1114"/>
      <c r="X5" s="1114"/>
      <c r="Y5" s="1114"/>
      <c r="Z5" s="1114"/>
      <c r="AA5" s="1114"/>
      <c r="AB5" s="1114"/>
      <c r="AC5" s="1114"/>
      <c r="AD5" s="1114"/>
      <c r="AE5" s="1114"/>
      <c r="AF5" s="1114"/>
      <c r="AG5" s="1114"/>
      <c r="AH5" s="1114"/>
      <c r="AI5" s="1114"/>
      <c r="AJ5" s="1114"/>
      <c r="AK5" s="1114"/>
      <c r="AL5" s="1115"/>
      <c r="BH5" s="28"/>
      <c r="BI5" s="64"/>
      <c r="BJ5" s="168"/>
      <c r="BK5" s="168"/>
      <c r="BL5" s="168"/>
      <c r="BM5" s="169"/>
      <c r="BN5" s="169"/>
      <c r="BO5" s="169"/>
      <c r="BP5" s="168"/>
      <c r="BQ5" s="168"/>
      <c r="BR5" s="168"/>
      <c r="BS5" s="168"/>
      <c r="BT5" s="168"/>
      <c r="BU5" s="168"/>
      <c r="BV5" s="168"/>
      <c r="BW5" s="168"/>
      <c r="BX5" s="168"/>
      <c r="BY5" s="168"/>
      <c r="BZ5" s="168"/>
      <c r="CA5" s="168"/>
      <c r="CB5" s="170"/>
      <c r="CC5" s="168"/>
      <c r="CD5" s="168"/>
      <c r="CE5" s="170"/>
      <c r="CF5" s="170"/>
      <c r="CG5" s="170"/>
      <c r="CH5" s="170"/>
      <c r="CI5" s="168"/>
      <c r="CJ5" s="168"/>
      <c r="CK5" s="170"/>
      <c r="CL5" s="170"/>
      <c r="CM5" s="170"/>
      <c r="CN5" s="113"/>
      <c r="CO5" s="36"/>
      <c r="CP5" s="36"/>
      <c r="CQ5" s="36"/>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6"/>
      <c r="EA5" s="36"/>
      <c r="EB5" s="36"/>
      <c r="EC5" s="36"/>
      <c r="ED5" s="36"/>
      <c r="EE5" s="36"/>
      <c r="EF5" s="36"/>
      <c r="EG5" s="36"/>
    </row>
    <row r="6" spans="1:137" s="27" customFormat="1" ht="24" customHeight="1" x14ac:dyDescent="0.25">
      <c r="A6" s="26"/>
      <c r="B6" s="1118" t="s">
        <v>17</v>
      </c>
      <c r="C6" s="1677" t="str">
        <f>AGROPECUARIO!C6</f>
        <v>Chía</v>
      </c>
      <c r="D6" s="1677"/>
      <c r="E6" s="1677"/>
      <c r="F6" s="1893" t="s">
        <v>16</v>
      </c>
      <c r="G6" s="1893"/>
      <c r="H6" s="265"/>
      <c r="I6" s="265"/>
      <c r="J6" s="1653" t="str">
        <f>AGROPECUARIO!Y6</f>
        <v>Cra 11 # 17 - 50</v>
      </c>
      <c r="K6" s="1653"/>
      <c r="L6" s="1653"/>
      <c r="M6" s="1116"/>
      <c r="O6" s="265"/>
      <c r="P6" s="265"/>
      <c r="Q6" s="265"/>
      <c r="R6" s="265"/>
      <c r="S6" s="265"/>
      <c r="T6" s="265"/>
      <c r="U6" s="265"/>
      <c r="V6" s="265"/>
      <c r="W6" s="265"/>
      <c r="X6" s="999" t="s">
        <v>649</v>
      </c>
      <c r="Y6" s="1625" t="str">
        <f>AGROPECUARIO!Y6</f>
        <v>Cra 11 # 17 - 50</v>
      </c>
      <c r="Z6" s="1625"/>
      <c r="AA6" s="1625"/>
      <c r="AB6" s="1625"/>
      <c r="AC6" s="1625"/>
      <c r="AD6" s="1625"/>
      <c r="AE6" s="1625"/>
      <c r="AF6" s="1625"/>
      <c r="AG6" s="1625"/>
      <c r="AH6" s="1625"/>
      <c r="AI6" s="1625"/>
      <c r="AJ6" s="1625"/>
      <c r="AK6" s="1625"/>
      <c r="AL6" s="1869"/>
      <c r="BH6" s="28"/>
      <c r="BI6" s="64"/>
      <c r="BJ6" s="168"/>
      <c r="BK6" s="168"/>
      <c r="BL6" s="168"/>
      <c r="BM6" s="169"/>
      <c r="BN6" s="169"/>
      <c r="BO6" s="169"/>
      <c r="BP6" s="168"/>
      <c r="BQ6" s="168"/>
      <c r="BR6" s="168"/>
      <c r="BS6" s="168"/>
      <c r="BT6" s="168"/>
      <c r="BU6" s="168"/>
      <c r="BV6" s="168"/>
      <c r="BW6" s="168"/>
      <c r="BX6" s="168"/>
      <c r="BY6" s="168"/>
      <c r="BZ6" s="168"/>
      <c r="CA6" s="168"/>
      <c r="CB6" s="170"/>
      <c r="CC6" s="168"/>
      <c r="CD6" s="168"/>
      <c r="CE6" s="170"/>
      <c r="CF6" s="170"/>
      <c r="CG6" s="170"/>
      <c r="CH6" s="170"/>
      <c r="CI6" s="168"/>
      <c r="CJ6" s="168"/>
      <c r="CK6" s="170"/>
      <c r="CL6" s="170"/>
      <c r="CM6" s="170"/>
      <c r="CN6" s="113"/>
      <c r="CO6" s="36"/>
      <c r="CP6" s="36"/>
      <c r="CQ6" s="36"/>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6"/>
      <c r="EA6" s="36"/>
      <c r="EB6" s="36"/>
      <c r="EC6" s="36"/>
      <c r="ED6" s="36"/>
      <c r="EE6" s="36"/>
      <c r="EF6" s="36"/>
      <c r="EG6" s="36"/>
    </row>
    <row r="7" spans="1:137" s="27" customFormat="1" ht="24" customHeight="1" x14ac:dyDescent="0.25">
      <c r="A7" s="26"/>
      <c r="B7" s="1118" t="s">
        <v>648</v>
      </c>
      <c r="C7" s="1677" t="str">
        <f>AGROPECUARIO!C7</f>
        <v>Secretaría de Medio Ambiente</v>
      </c>
      <c r="D7" s="1677"/>
      <c r="E7" s="1677"/>
      <c r="F7" s="1893" t="s">
        <v>17</v>
      </c>
      <c r="G7" s="1893"/>
      <c r="H7" s="265"/>
      <c r="I7" s="265"/>
      <c r="J7" s="1653" t="str">
        <f>AGROPECUARIO!Y7</f>
        <v>8844444 - 3200</v>
      </c>
      <c r="K7" s="1653"/>
      <c r="L7" s="1653"/>
      <c r="M7" s="1116"/>
      <c r="O7" s="265"/>
      <c r="P7" s="265"/>
      <c r="Q7" s="265"/>
      <c r="R7" s="265"/>
      <c r="S7" s="265"/>
      <c r="T7" s="265"/>
      <c r="U7" s="265"/>
      <c r="V7" s="265"/>
      <c r="W7" s="265"/>
      <c r="X7" s="999" t="s">
        <v>16</v>
      </c>
      <c r="Y7" s="1625" t="str">
        <f>AGROPECUARIO!Y7</f>
        <v>8844444 - 3200</v>
      </c>
      <c r="Z7" s="1625"/>
      <c r="AA7" s="1625"/>
      <c r="AB7" s="1625"/>
      <c r="AC7" s="1625"/>
      <c r="AD7" s="1625"/>
      <c r="AE7" s="1625"/>
      <c r="AF7" s="1625"/>
      <c r="AG7" s="1625"/>
      <c r="AH7" s="1625"/>
      <c r="AI7" s="1625"/>
      <c r="AJ7" s="1625"/>
      <c r="AK7" s="1625"/>
      <c r="AL7" s="1869"/>
      <c r="BH7" s="28"/>
      <c r="BI7" s="64"/>
      <c r="BJ7" s="168"/>
      <c r="BK7" s="168"/>
      <c r="BL7" s="168"/>
      <c r="BM7" s="169"/>
      <c r="BN7" s="169"/>
      <c r="BO7" s="169"/>
      <c r="BP7" s="168"/>
      <c r="BQ7" s="168"/>
      <c r="BR7" s="168"/>
      <c r="BS7" s="168"/>
      <c r="BT7" s="168"/>
      <c r="BU7" s="168"/>
      <c r="BV7" s="168"/>
      <c r="BW7" s="168"/>
      <c r="BX7" s="168"/>
      <c r="BY7" s="168"/>
      <c r="BZ7" s="168"/>
      <c r="CA7" s="168"/>
      <c r="CB7" s="170"/>
      <c r="CC7" s="168"/>
      <c r="CD7" s="168"/>
      <c r="CE7" s="170"/>
      <c r="CF7" s="170"/>
      <c r="CG7" s="170"/>
      <c r="CH7" s="170"/>
      <c r="CI7" s="168"/>
      <c r="CJ7" s="168"/>
      <c r="CK7" s="170"/>
      <c r="CL7" s="170"/>
      <c r="CM7" s="170"/>
      <c r="CN7" s="113"/>
      <c r="CO7" s="36"/>
      <c r="CP7" s="36"/>
      <c r="CQ7" s="36"/>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6"/>
      <c r="EA7" s="36"/>
      <c r="EB7" s="36"/>
      <c r="EC7" s="36"/>
      <c r="ED7" s="36"/>
      <c r="EE7" s="36"/>
      <c r="EF7" s="36"/>
      <c r="EG7" s="36"/>
    </row>
    <row r="8" spans="1:137" s="27" customFormat="1" ht="24" customHeight="1" x14ac:dyDescent="0.25">
      <c r="A8" s="26"/>
      <c r="B8" s="1118" t="s">
        <v>18</v>
      </c>
      <c r="C8" s="1677" t="str">
        <f>AGROPECUARIO!C8</f>
        <v>David Ricardo Murcia Cortés - Viviana Elisa Garzón</v>
      </c>
      <c r="D8" s="1677"/>
      <c r="E8" s="1677"/>
      <c r="F8" s="1893" t="s">
        <v>19</v>
      </c>
      <c r="G8" s="1893"/>
      <c r="H8" s="265"/>
      <c r="I8" s="265"/>
      <c r="J8" s="1653">
        <f>AGROPECUARIO!Y8</f>
        <v>3174291112</v>
      </c>
      <c r="K8" s="1653"/>
      <c r="L8" s="1653"/>
      <c r="M8" s="1116"/>
      <c r="O8" s="265"/>
      <c r="P8" s="265"/>
      <c r="Q8" s="265"/>
      <c r="R8" s="265"/>
      <c r="S8" s="265"/>
      <c r="T8" s="265"/>
      <c r="U8" s="265"/>
      <c r="V8" s="265"/>
      <c r="W8" s="265"/>
      <c r="X8" s="999" t="s">
        <v>19</v>
      </c>
      <c r="Y8" s="1625">
        <f>AGROPECUARIO!Y8</f>
        <v>3174291112</v>
      </c>
      <c r="Z8" s="1625"/>
      <c r="AA8" s="1625"/>
      <c r="AB8" s="1625"/>
      <c r="AC8" s="1625"/>
      <c r="AD8" s="1625"/>
      <c r="AE8" s="1625"/>
      <c r="AF8" s="1625"/>
      <c r="AG8" s="1625"/>
      <c r="AH8" s="1625"/>
      <c r="AI8" s="1625"/>
      <c r="AJ8" s="1625"/>
      <c r="AK8" s="1625"/>
      <c r="AL8" s="1869"/>
      <c r="BH8" s="28"/>
      <c r="BI8" s="64"/>
      <c r="BJ8" s="168"/>
      <c r="BK8" s="168"/>
      <c r="BL8" s="168"/>
      <c r="BM8" s="169"/>
      <c r="BN8" s="169"/>
      <c r="BO8" s="169"/>
      <c r="BP8" s="168"/>
      <c r="BQ8" s="168"/>
      <c r="BR8" s="168"/>
      <c r="BS8" s="168"/>
      <c r="BT8" s="168"/>
      <c r="BU8" s="168"/>
      <c r="BV8" s="168"/>
      <c r="BW8" s="168"/>
      <c r="BX8" s="168"/>
      <c r="BY8" s="168"/>
      <c r="BZ8" s="168"/>
      <c r="CA8" s="168"/>
      <c r="CB8" s="170"/>
      <c r="CC8" s="168"/>
      <c r="CD8" s="168"/>
      <c r="CE8" s="170"/>
      <c r="CF8" s="170"/>
      <c r="CG8" s="170"/>
      <c r="CH8" s="170"/>
      <c r="CI8" s="168"/>
      <c r="CJ8" s="168"/>
      <c r="CK8" s="170"/>
      <c r="CL8" s="170"/>
      <c r="CM8" s="170"/>
      <c r="CN8" s="113"/>
      <c r="CO8" s="36"/>
      <c r="CP8" s="36"/>
      <c r="CQ8" s="36"/>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6"/>
      <c r="EA8" s="36"/>
      <c r="EB8" s="36"/>
      <c r="EC8" s="36"/>
      <c r="ED8" s="36"/>
      <c r="EE8" s="36"/>
      <c r="EF8" s="36"/>
      <c r="EG8" s="36"/>
    </row>
    <row r="9" spans="1:137" s="27" customFormat="1" ht="24" customHeight="1" x14ac:dyDescent="0.25">
      <c r="A9" s="26"/>
      <c r="B9" s="1118" t="s">
        <v>20</v>
      </c>
      <c r="C9" s="1677" t="str">
        <f>AGROPECUARIO!C9</f>
        <v>Profesional Universitario - Profesional Universitario</v>
      </c>
      <c r="D9" s="1677"/>
      <c r="E9" s="1677"/>
      <c r="F9" s="1893" t="s">
        <v>21</v>
      </c>
      <c r="G9" s="1893"/>
      <c r="H9" s="265"/>
      <c r="I9" s="265"/>
      <c r="J9" s="1653">
        <f>AGROPECUARIO!Y9</f>
        <v>2019</v>
      </c>
      <c r="K9" s="1653"/>
      <c r="L9" s="1653"/>
      <c r="M9" s="1116"/>
      <c r="O9" s="265"/>
      <c r="P9" s="265"/>
      <c r="Q9" s="265"/>
      <c r="R9" s="265"/>
      <c r="S9" s="265"/>
      <c r="T9" s="265"/>
      <c r="U9" s="265"/>
      <c r="V9" s="265"/>
      <c r="W9" s="265"/>
      <c r="X9" s="999" t="s">
        <v>21</v>
      </c>
      <c r="Y9" s="1625">
        <f>AGROPECUARIO!Y9</f>
        <v>2019</v>
      </c>
      <c r="Z9" s="1625"/>
      <c r="AA9" s="1625"/>
      <c r="AB9" s="1625"/>
      <c r="AC9" s="1625"/>
      <c r="AD9" s="1625"/>
      <c r="AE9" s="1625"/>
      <c r="AF9" s="1625"/>
      <c r="AG9" s="1625"/>
      <c r="AH9" s="1625"/>
      <c r="AI9" s="1625"/>
      <c r="AJ9" s="1625"/>
      <c r="AK9" s="1625"/>
      <c r="AL9" s="1869"/>
      <c r="BH9" s="28"/>
      <c r="BI9" s="64"/>
      <c r="BJ9" s="168"/>
      <c r="BK9" s="168"/>
      <c r="BL9" s="168"/>
      <c r="BM9" s="169"/>
      <c r="BN9" s="169"/>
      <c r="BO9" s="169"/>
      <c r="BP9" s="168"/>
      <c r="BQ9" s="168"/>
      <c r="BR9" s="168"/>
      <c r="BS9" s="168"/>
      <c r="BT9" s="168"/>
      <c r="BU9" s="168"/>
      <c r="BV9" s="168"/>
      <c r="BW9" s="168"/>
      <c r="BX9" s="168"/>
      <c r="BY9" s="168"/>
      <c r="BZ9" s="168"/>
      <c r="CA9" s="168"/>
      <c r="CB9" s="170"/>
      <c r="CC9" s="168"/>
      <c r="CD9" s="168"/>
      <c r="CE9" s="170"/>
      <c r="CF9" s="170"/>
      <c r="CG9" s="170"/>
      <c r="CH9" s="170"/>
      <c r="CI9" s="168"/>
      <c r="CJ9" s="168"/>
      <c r="CK9" s="170"/>
      <c r="CL9" s="170"/>
      <c r="CM9" s="170"/>
      <c r="CN9" s="113"/>
      <c r="CO9" s="36"/>
      <c r="CP9" s="36"/>
      <c r="CQ9" s="36"/>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6"/>
      <c r="EA9" s="36"/>
      <c r="EB9" s="36"/>
      <c r="EC9" s="36"/>
      <c r="ED9" s="36"/>
      <c r="EE9" s="36"/>
      <c r="EF9" s="36"/>
      <c r="EG9" s="36"/>
    </row>
    <row r="10" spans="1:137" s="27" customFormat="1" ht="24.75" customHeight="1" thickBot="1" x14ac:dyDescent="0.3">
      <c r="A10" s="26"/>
      <c r="B10" s="1119" t="s">
        <v>121</v>
      </c>
      <c r="C10" s="1878" t="str">
        <f>AGROPECUARIO!C10</f>
        <v>david.murcia@chia.gov.co, viviana.garzon@chia.gov.co</v>
      </c>
      <c r="D10" s="1878"/>
      <c r="E10" s="1878"/>
      <c r="F10" s="1886" t="s">
        <v>22</v>
      </c>
      <c r="G10" s="1886"/>
      <c r="H10" s="1093"/>
      <c r="I10" s="1093"/>
      <c r="J10" s="1654">
        <f>AGROPECUARIO!Y10</f>
        <v>44386</v>
      </c>
      <c r="K10" s="1654"/>
      <c r="L10" s="1654"/>
      <c r="M10" s="1117"/>
      <c r="O10" s="1093"/>
      <c r="P10" s="1093"/>
      <c r="Q10" s="1093"/>
      <c r="R10" s="1093"/>
      <c r="S10" s="1093"/>
      <c r="T10" s="1093"/>
      <c r="U10" s="1093"/>
      <c r="V10" s="1093"/>
      <c r="W10" s="1093"/>
      <c r="X10" s="1094" t="s">
        <v>22</v>
      </c>
      <c r="Y10" s="1867">
        <f>AGROPECUARIO!Y10</f>
        <v>44386</v>
      </c>
      <c r="Z10" s="1867"/>
      <c r="AA10" s="1867"/>
      <c r="AB10" s="1867"/>
      <c r="AC10" s="1867"/>
      <c r="AD10" s="1867"/>
      <c r="AE10" s="1867"/>
      <c r="AF10" s="1867"/>
      <c r="AG10" s="1867"/>
      <c r="AH10" s="1867"/>
      <c r="AI10" s="1867"/>
      <c r="AJ10" s="1867"/>
      <c r="AK10" s="1867"/>
      <c r="AL10" s="1868"/>
      <c r="BH10" s="28"/>
      <c r="BI10" s="64"/>
      <c r="BJ10" s="168"/>
      <c r="BK10" s="168"/>
      <c r="BL10" s="168"/>
      <c r="BM10" s="169"/>
      <c r="BN10" s="169"/>
      <c r="BO10" s="169"/>
      <c r="BP10" s="388"/>
      <c r="BQ10" s="388"/>
      <c r="BR10" s="388"/>
      <c r="BS10" s="388"/>
      <c r="BT10" s="388"/>
      <c r="BU10" s="388"/>
      <c r="BV10" s="168"/>
      <c r="BW10" s="388"/>
      <c r="BX10" s="388"/>
      <c r="BY10" s="168"/>
      <c r="BZ10" s="168"/>
      <c r="CA10" s="168"/>
      <c r="CB10" s="170"/>
      <c r="CC10" s="388"/>
      <c r="CD10" s="388"/>
      <c r="CE10" s="170"/>
      <c r="CF10" s="170"/>
      <c r="CG10" s="170"/>
      <c r="CH10" s="170"/>
      <c r="CI10" s="388"/>
      <c r="CJ10" s="388"/>
      <c r="CK10" s="170"/>
      <c r="CL10" s="170"/>
      <c r="CM10" s="170"/>
      <c r="CN10" s="113"/>
      <c r="CO10" s="36"/>
      <c r="CP10" s="36"/>
      <c r="CQ10" s="36"/>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6"/>
      <c r="EA10" s="36"/>
      <c r="EB10" s="36"/>
      <c r="EC10" s="36"/>
      <c r="ED10" s="36"/>
      <c r="EE10" s="36"/>
      <c r="EF10" s="36"/>
      <c r="EG10" s="36"/>
    </row>
    <row r="11" spans="1:137" s="1091" customFormat="1" ht="31.5" customHeight="1" x14ac:dyDescent="0.25">
      <c r="A11" s="1087"/>
      <c r="B11" s="1088"/>
      <c r="C11" s="1881"/>
      <c r="D11" s="1881"/>
      <c r="E11" s="1881"/>
      <c r="F11" s="1881"/>
      <c r="G11" s="1881"/>
      <c r="H11" s="1881"/>
      <c r="I11" s="1881"/>
      <c r="J11" s="1089"/>
      <c r="K11" s="1089"/>
      <c r="L11" s="1090"/>
      <c r="M11" s="1088"/>
      <c r="N11" s="27"/>
      <c r="O11" s="1087"/>
      <c r="P11" s="1087"/>
      <c r="Q11" s="1087"/>
      <c r="R11" s="1087"/>
      <c r="S11" s="1087"/>
      <c r="T11" s="1087"/>
      <c r="U11" s="1087"/>
      <c r="V11" s="1087"/>
      <c r="W11" s="1087"/>
      <c r="X11" s="1087"/>
      <c r="Y11" s="1087"/>
      <c r="Z11" s="1087"/>
      <c r="AA11" s="1087"/>
      <c r="AB11" s="1087"/>
      <c r="AC11" s="1882"/>
      <c r="AD11" s="1882"/>
      <c r="AE11" s="1882"/>
      <c r="AF11" s="1882"/>
      <c r="AG11" s="1882"/>
      <c r="AH11" s="1087"/>
      <c r="AI11" s="1087"/>
      <c r="AJ11" s="1087"/>
      <c r="AK11" s="1087"/>
      <c r="AL11" s="1087"/>
      <c r="AM11" s="1087"/>
      <c r="AN11" s="1087"/>
      <c r="AO11" s="1087"/>
      <c r="AP11" s="1087"/>
      <c r="AQ11" s="1087"/>
      <c r="AR11" s="1087"/>
      <c r="AS11" s="1087"/>
      <c r="AT11" s="1087"/>
      <c r="AU11" s="1087"/>
      <c r="AV11" s="1087"/>
      <c r="AW11" s="1087"/>
      <c r="AX11" s="1087"/>
      <c r="AY11" s="1087"/>
      <c r="AZ11" s="1087"/>
      <c r="BA11" s="1087"/>
      <c r="BB11" s="1087"/>
    </row>
    <row r="12" spans="1:137" s="312" customFormat="1" ht="30" customHeight="1" x14ac:dyDescent="0.25">
      <c r="A12" s="290"/>
      <c r="B12" s="1898" t="s">
        <v>675</v>
      </c>
      <c r="C12" s="1898"/>
      <c r="D12" s="1898"/>
      <c r="E12" s="1898"/>
      <c r="F12" s="1898"/>
      <c r="G12" s="1898"/>
      <c r="H12" s="1898"/>
      <c r="I12" s="1898"/>
      <c r="J12" s="1898"/>
      <c r="K12" s="1898"/>
      <c r="L12" s="310"/>
      <c r="M12" s="311"/>
      <c r="N12" s="310"/>
      <c r="O12" s="310"/>
      <c r="P12" s="297" t="s">
        <v>676</v>
      </c>
      <c r="Q12" s="305">
        <v>594.69299999999998</v>
      </c>
      <c r="R12" s="301">
        <v>5.2299999999999999E-2</v>
      </c>
      <c r="S12" s="310"/>
      <c r="T12" s="310"/>
      <c r="U12" s="310"/>
      <c r="V12" s="310"/>
      <c r="W12" s="310"/>
      <c r="X12" s="310"/>
      <c r="Y12" s="310"/>
      <c r="Z12" s="310"/>
      <c r="AA12" s="1848" t="s">
        <v>677</v>
      </c>
      <c r="AB12" s="1848"/>
      <c r="AC12" s="1848"/>
      <c r="AD12" s="1848"/>
      <c r="AE12" s="1848"/>
      <c r="AF12" s="1848"/>
      <c r="AG12" s="1848"/>
      <c r="AH12" s="1848"/>
      <c r="AI12" s="1848"/>
      <c r="AJ12" s="1848"/>
      <c r="AK12" s="1848"/>
      <c r="AL12" s="1848"/>
      <c r="AM12" s="310"/>
      <c r="AN12" s="310"/>
      <c r="AO12" s="1862"/>
      <c r="AP12" s="339"/>
      <c r="AQ12" s="338"/>
      <c r="AR12" s="304" t="s">
        <v>673</v>
      </c>
      <c r="AS12" s="309">
        <v>3.2</v>
      </c>
      <c r="AT12" s="309">
        <v>1.3</v>
      </c>
      <c r="AU12" s="310"/>
      <c r="AV12" s="310"/>
      <c r="AW12" s="310"/>
      <c r="AX12" s="310"/>
      <c r="AY12" s="310"/>
      <c r="AZ12" s="310"/>
    </row>
    <row r="13" spans="1:137" s="312" customFormat="1" ht="30" customHeight="1" x14ac:dyDescent="0.25">
      <c r="A13" s="290"/>
      <c r="B13" s="1896" t="s">
        <v>678</v>
      </c>
      <c r="C13" s="1896"/>
      <c r="D13" s="1896"/>
      <c r="E13" s="1896"/>
      <c r="F13" s="1896"/>
      <c r="G13" s="1896"/>
      <c r="H13" s="1896"/>
      <c r="I13" s="1896"/>
      <c r="J13" s="1896"/>
      <c r="K13" s="1896"/>
      <c r="L13" s="310"/>
      <c r="M13" s="313"/>
      <c r="N13" s="310"/>
      <c r="O13" s="310"/>
      <c r="P13" s="297" t="s">
        <v>679</v>
      </c>
      <c r="Q13" s="305">
        <v>353.22399999999999</v>
      </c>
      <c r="R13" s="301">
        <v>3.1E-2</v>
      </c>
      <c r="S13" s="310"/>
      <c r="T13" s="310"/>
      <c r="U13" s="310"/>
      <c r="V13" s="310"/>
      <c r="W13" s="310"/>
      <c r="X13" s="310"/>
      <c r="Y13" s="310"/>
      <c r="Z13" s="310"/>
      <c r="AA13" s="1805" t="s">
        <v>680</v>
      </c>
      <c r="AB13" s="1805"/>
      <c r="AC13" s="1805"/>
      <c r="AD13" s="1805"/>
      <c r="AE13" s="1805"/>
      <c r="AF13" s="1805"/>
      <c r="AG13" s="1805"/>
      <c r="AH13" s="1805"/>
      <c r="AI13" s="1805"/>
      <c r="AJ13" s="1805"/>
      <c r="AK13" s="1805"/>
      <c r="AL13" s="1805"/>
      <c r="AM13" s="310"/>
      <c r="AN13" s="310"/>
      <c r="AO13" s="1862"/>
      <c r="AP13" s="1816" t="s">
        <v>681</v>
      </c>
      <c r="AQ13" s="1816" t="s">
        <v>682</v>
      </c>
      <c r="AR13" s="292" t="s">
        <v>670</v>
      </c>
      <c r="AS13" s="308">
        <v>1.3</v>
      </c>
      <c r="AT13" s="308">
        <v>1.2</v>
      </c>
      <c r="AU13" s="310"/>
      <c r="AV13" s="310"/>
      <c r="AW13" s="310"/>
      <c r="AX13" s="310"/>
      <c r="AY13" s="310"/>
      <c r="AZ13" s="310"/>
    </row>
    <row r="14" spans="1:137" s="312" customFormat="1" ht="52.5" customHeight="1" x14ac:dyDescent="0.25">
      <c r="A14" s="290"/>
      <c r="B14" s="1814"/>
      <c r="C14" s="1814" t="s">
        <v>1206</v>
      </c>
      <c r="D14" s="315" t="s">
        <v>683</v>
      </c>
      <c r="E14" s="315" t="s">
        <v>1222</v>
      </c>
      <c r="F14" s="1825" t="s">
        <v>1203</v>
      </c>
      <c r="G14" s="1825"/>
      <c r="H14" s="316"/>
      <c r="I14" s="316"/>
      <c r="J14" s="315" t="s">
        <v>1204</v>
      </c>
      <c r="K14" s="315" t="s">
        <v>1227</v>
      </c>
      <c r="L14" s="310"/>
      <c r="M14" s="317"/>
      <c r="N14" s="310"/>
      <c r="O14" s="310"/>
      <c r="P14" s="297" t="s">
        <v>684</v>
      </c>
      <c r="Q14" s="305">
        <v>8398.1149999999998</v>
      </c>
      <c r="R14" s="301">
        <v>0.7349</v>
      </c>
      <c r="S14" s="310"/>
      <c r="T14" s="310"/>
      <c r="U14" s="310"/>
      <c r="V14" s="310"/>
      <c r="W14" s="310"/>
      <c r="X14" s="310"/>
      <c r="Y14" s="310"/>
      <c r="Z14" s="310"/>
      <c r="AA14" s="1817" t="s">
        <v>685</v>
      </c>
      <c r="AB14" s="1817"/>
      <c r="AC14" s="1817"/>
      <c r="AD14" s="1817"/>
      <c r="AE14" s="1817"/>
      <c r="AF14" s="1817"/>
      <c r="AG14" s="1817"/>
      <c r="AH14" s="1817"/>
      <c r="AI14" s="1817"/>
      <c r="AJ14" s="1817"/>
      <c r="AK14" s="1817"/>
      <c r="AL14" s="1817"/>
      <c r="AM14" s="310"/>
      <c r="AN14" s="310"/>
      <c r="AO14" s="1862"/>
      <c r="AP14" s="1816"/>
      <c r="AQ14" s="1816"/>
      <c r="AR14" s="304" t="s">
        <v>671</v>
      </c>
      <c r="AS14" s="309">
        <v>1.2</v>
      </c>
      <c r="AT14" s="309">
        <v>1.1000000000000001</v>
      </c>
      <c r="AU14" s="310"/>
      <c r="AV14" s="310"/>
      <c r="AW14" s="310"/>
      <c r="AX14" s="310"/>
      <c r="AY14" s="310"/>
      <c r="AZ14" s="310"/>
    </row>
    <row r="15" spans="1:137" s="312" customFormat="1" ht="20.25" customHeight="1" x14ac:dyDescent="0.25">
      <c r="A15" s="290"/>
      <c r="B15" s="1814"/>
      <c r="C15" s="1814"/>
      <c r="D15" s="318" t="s">
        <v>686</v>
      </c>
      <c r="E15" s="318" t="s">
        <v>1224</v>
      </c>
      <c r="F15" s="1818" t="s">
        <v>1332</v>
      </c>
      <c r="G15" s="1818"/>
      <c r="H15" s="319"/>
      <c r="I15" s="319"/>
      <c r="J15" s="341" t="s">
        <v>1205</v>
      </c>
      <c r="K15" s="342" t="s">
        <v>669</v>
      </c>
      <c r="L15" s="310"/>
      <c r="M15" s="313"/>
      <c r="N15" s="310"/>
      <c r="O15" s="310"/>
      <c r="P15" s="297" t="s">
        <v>687</v>
      </c>
      <c r="Q15" s="300">
        <v>41.771000000000001</v>
      </c>
      <c r="R15" s="301">
        <v>3.7000000000000002E-3</v>
      </c>
      <c r="S15" s="310"/>
      <c r="T15" s="310"/>
      <c r="U15" s="310"/>
      <c r="V15" s="310"/>
      <c r="W15" s="310"/>
      <c r="X15" s="310"/>
      <c r="Y15" s="310"/>
      <c r="Z15" s="310"/>
      <c r="AA15" s="1817" t="s">
        <v>688</v>
      </c>
      <c r="AB15" s="1817"/>
      <c r="AC15" s="1817"/>
      <c r="AD15" s="1817"/>
      <c r="AE15" s="1817"/>
      <c r="AF15" s="1817"/>
      <c r="AG15" s="1817"/>
      <c r="AH15" s="1817"/>
      <c r="AI15" s="1817"/>
      <c r="AJ15" s="1817"/>
      <c r="AK15" s="1817"/>
      <c r="AL15" s="1817"/>
      <c r="AM15" s="310"/>
      <c r="AN15" s="310"/>
      <c r="AO15" s="1862"/>
      <c r="AP15" s="1816"/>
      <c r="AQ15" s="1816"/>
      <c r="AR15" s="304" t="s">
        <v>673</v>
      </c>
      <c r="AS15" s="309">
        <v>4</v>
      </c>
      <c r="AT15" s="309">
        <v>1.3</v>
      </c>
      <c r="AU15" s="310"/>
      <c r="AV15" s="310"/>
      <c r="AW15" s="310"/>
      <c r="AX15" s="310"/>
      <c r="AY15" s="310"/>
      <c r="AZ15" s="310"/>
    </row>
    <row r="16" spans="1:137" s="312" customFormat="1" ht="18" customHeight="1" x14ac:dyDescent="0.25">
      <c r="A16" s="290"/>
      <c r="B16" s="1899" t="s">
        <v>689</v>
      </c>
      <c r="C16" s="1896" t="s">
        <v>690</v>
      </c>
      <c r="D16" s="1896"/>
      <c r="E16" s="1896"/>
      <c r="F16" s="1896"/>
      <c r="G16" s="1896"/>
      <c r="H16" s="1896"/>
      <c r="I16" s="1896"/>
      <c r="J16" s="1896"/>
      <c r="K16" s="1896"/>
      <c r="L16" s="290"/>
      <c r="M16" s="317"/>
      <c r="N16" s="290"/>
      <c r="O16" s="290"/>
      <c r="P16" s="297" t="s">
        <v>691</v>
      </c>
      <c r="Q16" s="300">
        <v>64.733999999999995</v>
      </c>
      <c r="R16" s="301">
        <v>5.7000000000000002E-3</v>
      </c>
      <c r="S16" s="290"/>
      <c r="T16" s="290"/>
      <c r="U16" s="290"/>
      <c r="V16" s="290"/>
      <c r="W16" s="290"/>
      <c r="X16" s="290"/>
      <c r="Y16" s="290"/>
      <c r="Z16" s="290"/>
      <c r="AA16" s="1849" t="s">
        <v>692</v>
      </c>
      <c r="AB16" s="1849"/>
      <c r="AC16" s="1849"/>
      <c r="AD16" s="1849"/>
      <c r="AE16" s="1849"/>
      <c r="AF16" s="1849"/>
      <c r="AG16" s="1849"/>
      <c r="AH16" s="1849"/>
      <c r="AI16" s="1849"/>
      <c r="AJ16" s="1849"/>
      <c r="AK16" s="1849"/>
      <c r="AL16" s="1849"/>
      <c r="AM16" s="290"/>
      <c r="AN16" s="290"/>
      <c r="AO16" s="1862"/>
      <c r="AP16" s="1861" t="s">
        <v>674</v>
      </c>
      <c r="AQ16" s="1816" t="s">
        <v>682</v>
      </c>
      <c r="AR16" s="292" t="s">
        <v>670</v>
      </c>
      <c r="AS16" s="308">
        <v>3.4</v>
      </c>
      <c r="AT16" s="308">
        <v>1.5</v>
      </c>
      <c r="AU16" s="290"/>
      <c r="AV16" s="290"/>
      <c r="AW16" s="290"/>
      <c r="AX16" s="290"/>
      <c r="AY16" s="290"/>
      <c r="AZ16" s="290"/>
    </row>
    <row r="17" spans="1:52" ht="29.25" customHeight="1" x14ac:dyDescent="0.25">
      <c r="A17" s="290"/>
      <c r="B17" s="1900"/>
      <c r="C17" s="1332"/>
      <c r="D17" s="1332"/>
      <c r="E17" s="1124" t="e">
        <f t="shared" ref="E17:E23" si="0">VLOOKUP($C17,$AX$72:$BH$102,9,FALSE)</f>
        <v>#N/A</v>
      </c>
      <c r="F17" s="1887" t="e">
        <f>D17*E17</f>
        <v>#N/A</v>
      </c>
      <c r="G17" s="1887"/>
      <c r="H17" s="1125"/>
      <c r="I17" s="1127"/>
      <c r="J17" s="1127">
        <f>IF(D17&gt;0,F17*(44/12),0)</f>
        <v>0</v>
      </c>
      <c r="K17" s="1128">
        <f>IF(D17&gt;0,VLOOKUP($C17,$AX$72:$BH$102,10,FALSE),0)</f>
        <v>0</v>
      </c>
      <c r="L17" s="28">
        <f t="shared" ref="L17:L56" si="1">(J17*K17)^2</f>
        <v>0</v>
      </c>
      <c r="M17" s="313"/>
      <c r="N17" s="290"/>
      <c r="O17" s="290"/>
      <c r="P17" s="297" t="s">
        <v>693</v>
      </c>
      <c r="Q17" s="300">
        <v>75.983000000000004</v>
      </c>
      <c r="R17" s="301">
        <v>6.7000000000000002E-3</v>
      </c>
      <c r="S17" s="290"/>
      <c r="T17" s="290"/>
      <c r="U17" s="290"/>
      <c r="V17" s="290"/>
      <c r="W17" s="290"/>
      <c r="X17" s="290"/>
      <c r="Y17" s="290"/>
      <c r="Z17" s="290"/>
      <c r="AA17" s="293" t="s">
        <v>672</v>
      </c>
      <c r="AB17" s="1816"/>
      <c r="AC17" s="1816"/>
      <c r="AD17" s="304"/>
      <c r="AE17" s="1816"/>
      <c r="AF17" s="1816"/>
      <c r="AG17" s="1816"/>
      <c r="AH17" s="1816"/>
      <c r="AI17" s="304"/>
      <c r="AJ17" s="1816"/>
      <c r="AK17" s="1816"/>
      <c r="AL17" s="304"/>
      <c r="AM17" s="290"/>
      <c r="AN17" s="290"/>
      <c r="AO17" s="1862"/>
      <c r="AP17" s="1861"/>
      <c r="AQ17" s="1816"/>
      <c r="AR17" s="304" t="s">
        <v>671</v>
      </c>
      <c r="AS17" s="309">
        <v>2</v>
      </c>
      <c r="AT17" s="309">
        <v>1.3</v>
      </c>
      <c r="AU17" s="290"/>
      <c r="AV17" s="290"/>
      <c r="AW17" s="290"/>
      <c r="AX17" s="290"/>
      <c r="AY17" s="290"/>
      <c r="AZ17" s="290"/>
    </row>
    <row r="18" spans="1:52" ht="18" customHeight="1" x14ac:dyDescent="0.25">
      <c r="A18" s="290"/>
      <c r="B18" s="1900"/>
      <c r="C18" s="1332"/>
      <c r="D18" s="1332"/>
      <c r="E18" s="1124" t="e">
        <f t="shared" si="0"/>
        <v>#N/A</v>
      </c>
      <c r="F18" s="1887" t="e">
        <f t="shared" ref="F18:F23" si="2">D18*E18</f>
        <v>#N/A</v>
      </c>
      <c r="G18" s="1887"/>
      <c r="H18" s="1125"/>
      <c r="I18" s="1127"/>
      <c r="J18" s="1127">
        <f t="shared" ref="J18:J23" si="3">IF(D18&gt;0,F18*(44/12),0)</f>
        <v>0</v>
      </c>
      <c r="K18" s="1128">
        <f t="shared" ref="K18:K23" si="4">IF(D18&gt;0,VLOOKUP($C18,$AX$72:$BH$102,10,FALSE),0)</f>
        <v>0</v>
      </c>
      <c r="L18" s="28">
        <f t="shared" si="1"/>
        <v>0</v>
      </c>
      <c r="M18" s="317"/>
      <c r="N18" s="290"/>
      <c r="O18" s="290"/>
      <c r="P18" s="297" t="s">
        <v>694</v>
      </c>
      <c r="Q18" s="305">
        <v>473.16800000000001</v>
      </c>
      <c r="R18" s="301">
        <v>4.48E-2</v>
      </c>
      <c r="S18" s="290"/>
      <c r="T18" s="290"/>
      <c r="U18" s="290"/>
      <c r="V18" s="290"/>
      <c r="W18" s="290"/>
      <c r="X18" s="290"/>
      <c r="Y18" s="290"/>
      <c r="Z18" s="290"/>
      <c r="AA18" s="302" t="s">
        <v>695</v>
      </c>
      <c r="AB18" s="1816" t="s">
        <v>696</v>
      </c>
      <c r="AC18" s="1816"/>
      <c r="AD18" s="304">
        <v>300</v>
      </c>
      <c r="AE18" s="1816">
        <v>270</v>
      </c>
      <c r="AF18" s="1816"/>
      <c r="AG18" s="1816">
        <v>110</v>
      </c>
      <c r="AH18" s="1816"/>
      <c r="AI18" s="304">
        <v>60</v>
      </c>
      <c r="AJ18" s="1816">
        <v>170</v>
      </c>
      <c r="AK18" s="1816"/>
      <c r="AL18" s="304">
        <v>60</v>
      </c>
      <c r="AM18" s="290"/>
      <c r="AN18" s="290"/>
      <c r="AO18" s="1862"/>
      <c r="AP18" s="1861"/>
      <c r="AQ18" s="1816"/>
      <c r="AR18" s="304" t="s">
        <v>673</v>
      </c>
      <c r="AS18" s="309">
        <v>9</v>
      </c>
      <c r="AT18" s="309">
        <v>1.7</v>
      </c>
      <c r="AU18" s="290"/>
      <c r="AV18" s="290"/>
      <c r="AW18" s="290"/>
      <c r="AX18" s="290"/>
      <c r="AY18" s="290"/>
      <c r="AZ18" s="290"/>
    </row>
    <row r="19" spans="1:52" ht="18" customHeight="1" x14ac:dyDescent="0.25">
      <c r="A19" s="290"/>
      <c r="B19" s="1900"/>
      <c r="C19" s="1332"/>
      <c r="D19" s="1332"/>
      <c r="E19" s="1124" t="e">
        <f t="shared" si="0"/>
        <v>#N/A</v>
      </c>
      <c r="F19" s="1887" t="e">
        <f t="shared" si="2"/>
        <v>#N/A</v>
      </c>
      <c r="G19" s="1887"/>
      <c r="H19" s="1125"/>
      <c r="I19" s="1127"/>
      <c r="J19" s="1127">
        <f t="shared" si="3"/>
        <v>0</v>
      </c>
      <c r="K19" s="1128">
        <f t="shared" si="4"/>
        <v>0</v>
      </c>
      <c r="L19" s="28">
        <f t="shared" si="1"/>
        <v>0</v>
      </c>
      <c r="M19" s="313"/>
      <c r="N19" s="290"/>
      <c r="O19" s="290"/>
      <c r="P19" s="297" t="s">
        <v>697</v>
      </c>
      <c r="Q19" s="300">
        <v>53.234999999999999</v>
      </c>
      <c r="R19" s="301">
        <v>4.7000000000000002E-3</v>
      </c>
      <c r="S19" s="290"/>
      <c r="T19" s="290"/>
      <c r="U19" s="290"/>
      <c r="V19" s="290"/>
      <c r="W19" s="290"/>
      <c r="X19" s="290"/>
      <c r="Y19" s="290"/>
      <c r="Z19" s="290"/>
      <c r="AA19" s="302" t="s">
        <v>698</v>
      </c>
      <c r="AB19" s="1816" t="s">
        <v>696</v>
      </c>
      <c r="AC19" s="1816"/>
      <c r="AD19" s="304">
        <v>200</v>
      </c>
      <c r="AE19" s="1816">
        <v>140</v>
      </c>
      <c r="AF19" s="1816"/>
      <c r="AG19" s="1816">
        <v>110</v>
      </c>
      <c r="AH19" s="1816"/>
      <c r="AI19" s="304">
        <v>60</v>
      </c>
      <c r="AJ19" s="1816">
        <v>120</v>
      </c>
      <c r="AK19" s="1816"/>
      <c r="AL19" s="304">
        <v>30</v>
      </c>
      <c r="AM19" s="290"/>
      <c r="AN19" s="290"/>
      <c r="AO19" s="1826" t="s">
        <v>699</v>
      </c>
      <c r="AP19" s="1826"/>
      <c r="AQ19" s="1826"/>
      <c r="AR19" s="1826"/>
      <c r="AS19" s="1826"/>
      <c r="AT19" s="1826"/>
      <c r="AU19" s="290"/>
      <c r="AV19" s="290"/>
      <c r="AW19" s="290"/>
      <c r="AX19" s="290"/>
      <c r="AY19" s="290"/>
      <c r="AZ19" s="290"/>
    </row>
    <row r="20" spans="1:52" ht="18" customHeight="1" x14ac:dyDescent="0.25">
      <c r="A20" s="290"/>
      <c r="B20" s="1900"/>
      <c r="C20" s="1332"/>
      <c r="D20" s="1332"/>
      <c r="E20" s="1124" t="e">
        <f t="shared" si="0"/>
        <v>#N/A</v>
      </c>
      <c r="F20" s="1887" t="e">
        <f t="shared" si="2"/>
        <v>#N/A</v>
      </c>
      <c r="G20" s="1887"/>
      <c r="H20" s="1125"/>
      <c r="I20" s="1127"/>
      <c r="J20" s="1127">
        <f t="shared" si="3"/>
        <v>0</v>
      </c>
      <c r="K20" s="1128">
        <f t="shared" si="4"/>
        <v>0</v>
      </c>
      <c r="L20" s="28">
        <f t="shared" si="1"/>
        <v>0</v>
      </c>
      <c r="M20" s="311"/>
      <c r="N20" s="290"/>
      <c r="O20" s="290"/>
      <c r="P20" s="297" t="s">
        <v>700</v>
      </c>
      <c r="Q20" s="300">
        <v>19.887</v>
      </c>
      <c r="R20" s="301">
        <v>1.6999999999999999E-3</v>
      </c>
      <c r="S20" s="290"/>
      <c r="T20" s="290"/>
      <c r="U20" s="290"/>
      <c r="V20" s="290"/>
      <c r="W20" s="290"/>
      <c r="X20" s="290"/>
      <c r="Y20" s="290"/>
      <c r="Z20" s="290"/>
      <c r="AA20" s="302" t="s">
        <v>701</v>
      </c>
      <c r="AB20" s="1816" t="s">
        <v>696</v>
      </c>
      <c r="AC20" s="1816"/>
      <c r="AD20" s="304">
        <v>170</v>
      </c>
      <c r="AE20" s="1816">
        <v>120</v>
      </c>
      <c r="AF20" s="1816"/>
      <c r="AG20" s="1816">
        <v>90</v>
      </c>
      <c r="AH20" s="1816"/>
      <c r="AI20" s="304">
        <v>50</v>
      </c>
      <c r="AJ20" s="1816">
        <v>130</v>
      </c>
      <c r="AK20" s="1816"/>
      <c r="AL20" s="304">
        <v>30</v>
      </c>
      <c r="AM20" s="290"/>
      <c r="AN20" s="290"/>
      <c r="AO20" s="1826" t="s">
        <v>702</v>
      </c>
      <c r="AP20" s="1826"/>
      <c r="AQ20" s="1826"/>
      <c r="AR20" s="1826"/>
      <c r="AS20" s="1826"/>
      <c r="AT20" s="1826"/>
      <c r="AU20" s="290"/>
      <c r="AV20" s="290"/>
      <c r="AW20" s="290"/>
      <c r="AX20" s="290"/>
      <c r="AY20" s="290"/>
      <c r="AZ20" s="290"/>
    </row>
    <row r="21" spans="1:52" ht="18" customHeight="1" x14ac:dyDescent="0.25">
      <c r="A21" s="290"/>
      <c r="B21" s="1900"/>
      <c r="C21" s="1332"/>
      <c r="D21" s="1332"/>
      <c r="E21" s="1124" t="e">
        <f t="shared" si="0"/>
        <v>#N/A</v>
      </c>
      <c r="F21" s="1887" t="e">
        <f t="shared" si="2"/>
        <v>#N/A</v>
      </c>
      <c r="G21" s="1887"/>
      <c r="H21" s="1125"/>
      <c r="I21" s="1127"/>
      <c r="J21" s="1127">
        <f t="shared" si="3"/>
        <v>0</v>
      </c>
      <c r="K21" s="1128">
        <f t="shared" si="4"/>
        <v>0</v>
      </c>
      <c r="L21" s="28">
        <f t="shared" si="1"/>
        <v>0</v>
      </c>
      <c r="M21" s="311"/>
      <c r="N21" s="290"/>
      <c r="O21" s="290"/>
      <c r="P21" s="297" t="s">
        <v>703</v>
      </c>
      <c r="Q21" s="300">
        <v>32.064</v>
      </c>
      <c r="R21" s="301">
        <v>2.8E-3</v>
      </c>
      <c r="S21" s="290"/>
      <c r="T21" s="290"/>
      <c r="U21" s="290"/>
      <c r="V21" s="290"/>
      <c r="W21" s="290"/>
      <c r="X21" s="290"/>
      <c r="Y21" s="290"/>
      <c r="Z21" s="290"/>
      <c r="AA21" s="302" t="s">
        <v>704</v>
      </c>
      <c r="AB21" s="1816" t="s">
        <v>696</v>
      </c>
      <c r="AC21" s="1816"/>
      <c r="AD21" s="304">
        <v>150</v>
      </c>
      <c r="AE21" s="1816">
        <v>100</v>
      </c>
      <c r="AF21" s="1816"/>
      <c r="AG21" s="1816">
        <v>60</v>
      </c>
      <c r="AH21" s="1816"/>
      <c r="AI21" s="304">
        <v>30</v>
      </c>
      <c r="AJ21" s="1816">
        <v>80</v>
      </c>
      <c r="AK21" s="1816"/>
      <c r="AL21" s="304">
        <v>30</v>
      </c>
      <c r="AM21" s="290"/>
      <c r="AN21" s="290"/>
      <c r="AO21" s="1826" t="s">
        <v>705</v>
      </c>
      <c r="AP21" s="1826"/>
      <c r="AQ21" s="1826"/>
      <c r="AR21" s="1826"/>
      <c r="AS21" s="1826"/>
      <c r="AT21" s="1826"/>
      <c r="AU21" s="290"/>
      <c r="AV21" s="290"/>
      <c r="AW21" s="290"/>
      <c r="AX21" s="290"/>
      <c r="AY21" s="290"/>
      <c r="AZ21" s="290"/>
    </row>
    <row r="22" spans="1:52" s="312" customFormat="1" ht="15" customHeight="1" x14ac:dyDescent="0.25">
      <c r="A22" s="290"/>
      <c r="B22" s="1900"/>
      <c r="C22" s="1332"/>
      <c r="D22" s="1332"/>
      <c r="E22" s="1124" t="e">
        <f t="shared" si="0"/>
        <v>#N/A</v>
      </c>
      <c r="F22" s="1887" t="e">
        <f t="shared" si="2"/>
        <v>#N/A</v>
      </c>
      <c r="G22" s="1887"/>
      <c r="H22" s="1125"/>
      <c r="I22" s="1127"/>
      <c r="J22" s="1127">
        <f t="shared" si="3"/>
        <v>0</v>
      </c>
      <c r="K22" s="1128">
        <f t="shared" si="4"/>
        <v>0</v>
      </c>
      <c r="L22" s="28">
        <f t="shared" si="1"/>
        <v>0</v>
      </c>
      <c r="M22" s="290"/>
      <c r="N22" s="290"/>
      <c r="O22" s="290"/>
      <c r="P22" s="320" t="s">
        <v>706</v>
      </c>
      <c r="Q22" s="320" t="s">
        <v>707</v>
      </c>
      <c r="R22" s="321" t="s">
        <v>708</v>
      </c>
      <c r="S22" s="321" t="s">
        <v>709</v>
      </c>
      <c r="T22" s="321" t="s">
        <v>710</v>
      </c>
      <c r="U22" s="320" t="s">
        <v>711</v>
      </c>
      <c r="V22" s="321" t="s">
        <v>712</v>
      </c>
      <c r="W22" s="321" t="s">
        <v>713</v>
      </c>
      <c r="X22" s="321" t="s">
        <v>714</v>
      </c>
      <c r="Y22" s="310"/>
      <c r="Z22" s="310"/>
      <c r="AA22" s="1888" t="s">
        <v>715</v>
      </c>
      <c r="AB22" s="1888"/>
      <c r="AC22" s="1888"/>
      <c r="AD22" s="1888"/>
      <c r="AE22" s="1888"/>
      <c r="AF22" s="1888"/>
      <c r="AG22" s="1888"/>
      <c r="AH22" s="1888"/>
      <c r="AI22" s="1888"/>
      <c r="AJ22" s="1888"/>
      <c r="AK22" s="1888"/>
      <c r="AL22" s="290"/>
      <c r="AM22" s="290"/>
      <c r="AN22" s="290"/>
      <c r="AO22" s="290"/>
      <c r="AP22" s="290"/>
      <c r="AQ22" s="290"/>
      <c r="AR22" s="290"/>
      <c r="AS22" s="290"/>
      <c r="AT22" s="290"/>
      <c r="AU22" s="290"/>
      <c r="AV22" s="290"/>
      <c r="AW22" s="290"/>
      <c r="AX22" s="290"/>
      <c r="AY22" s="290"/>
      <c r="AZ22" s="290"/>
    </row>
    <row r="23" spans="1:52" s="312" customFormat="1" ht="18" customHeight="1" x14ac:dyDescent="0.25">
      <c r="A23" s="290"/>
      <c r="B23" s="1900"/>
      <c r="C23" s="1332"/>
      <c r="D23" s="1332"/>
      <c r="E23" s="1124" t="e">
        <f t="shared" si="0"/>
        <v>#N/A</v>
      </c>
      <c r="F23" s="1887" t="e">
        <f t="shared" si="2"/>
        <v>#N/A</v>
      </c>
      <c r="G23" s="1887"/>
      <c r="H23" s="1125"/>
      <c r="I23" s="1127"/>
      <c r="J23" s="1127">
        <f t="shared" si="3"/>
        <v>0</v>
      </c>
      <c r="K23" s="1128">
        <f t="shared" si="4"/>
        <v>0</v>
      </c>
      <c r="L23" s="28">
        <f t="shared" si="1"/>
        <v>0</v>
      </c>
      <c r="M23" s="290"/>
      <c r="N23" s="290"/>
      <c r="O23" s="290"/>
      <c r="P23" s="322" t="s">
        <v>716</v>
      </c>
      <c r="Q23" s="322" t="s">
        <v>717</v>
      </c>
      <c r="R23" s="322">
        <v>735.51400000000001</v>
      </c>
      <c r="S23" s="323">
        <v>96.2</v>
      </c>
      <c r="T23" s="323">
        <v>30.4</v>
      </c>
      <c r="U23" s="323">
        <v>48.1</v>
      </c>
      <c r="V23" s="324">
        <v>70741313</v>
      </c>
      <c r="W23" s="324">
        <v>35370657</v>
      </c>
      <c r="X23" s="324">
        <v>129810310</v>
      </c>
      <c r="Y23" s="290"/>
      <c r="Z23" s="290"/>
      <c r="AA23" s="1849" t="s">
        <v>718</v>
      </c>
      <c r="AB23" s="1849"/>
      <c r="AC23" s="1849"/>
      <c r="AD23" s="1849"/>
      <c r="AE23" s="1849"/>
      <c r="AF23" s="1849"/>
      <c r="AG23" s="1849"/>
      <c r="AH23" s="1849"/>
      <c r="AI23" s="1849"/>
      <c r="AJ23" s="1849"/>
      <c r="AK23" s="1849"/>
      <c r="AL23" s="290"/>
      <c r="AM23" s="290"/>
      <c r="AN23" s="290"/>
      <c r="AO23" s="290"/>
      <c r="AP23" s="290"/>
      <c r="AQ23" s="290"/>
      <c r="AR23" s="290"/>
      <c r="AS23" s="290"/>
      <c r="AT23" s="290"/>
      <c r="AU23" s="290"/>
      <c r="AV23" s="290"/>
      <c r="AW23" s="290"/>
      <c r="AX23" s="290"/>
      <c r="AY23" s="290"/>
      <c r="AZ23" s="290"/>
    </row>
    <row r="24" spans="1:52" ht="18" customHeight="1" x14ac:dyDescent="0.25">
      <c r="A24" s="290"/>
      <c r="B24" s="1900"/>
      <c r="C24" s="1120" t="s">
        <v>719</v>
      </c>
      <c r="D24" s="1121">
        <f>SUM(D17:D23)</f>
        <v>0</v>
      </c>
      <c r="E24" s="1121"/>
      <c r="F24" s="1902"/>
      <c r="G24" s="1902"/>
      <c r="H24" s="1122"/>
      <c r="I24" s="1122"/>
      <c r="J24" s="1121">
        <f>SUM(J17:J23)</f>
        <v>0</v>
      </c>
      <c r="K24" s="1123">
        <f>IF(J24&gt;0,SQRT(SUM(L17:L23))/J24,0)</f>
        <v>0</v>
      </c>
      <c r="L24" s="28">
        <f t="shared" si="1"/>
        <v>0</v>
      </c>
      <c r="M24" s="290"/>
      <c r="N24" s="290"/>
      <c r="O24" s="290"/>
      <c r="P24" s="328" t="s">
        <v>720</v>
      </c>
      <c r="Q24" s="328" t="s">
        <v>721</v>
      </c>
      <c r="R24" s="329">
        <v>45377140</v>
      </c>
      <c r="S24" s="330">
        <v>258.89999999999998</v>
      </c>
      <c r="T24" s="330">
        <v>28</v>
      </c>
      <c r="U24" s="330">
        <v>129.4</v>
      </c>
      <c r="V24" s="329">
        <v>11746982370</v>
      </c>
      <c r="W24" s="329">
        <v>5873491185</v>
      </c>
      <c r="X24" s="329">
        <v>21555712650</v>
      </c>
      <c r="Y24" s="290"/>
      <c r="Z24" s="290"/>
      <c r="AA24" s="331"/>
      <c r="AB24" s="331"/>
      <c r="AC24" s="332"/>
      <c r="AD24" s="1854" t="s">
        <v>665</v>
      </c>
      <c r="AE24" s="1854"/>
      <c r="AF24" s="1854"/>
      <c r="AG24" s="1854" t="s">
        <v>722</v>
      </c>
      <c r="AH24" s="332"/>
      <c r="AI24" s="1880"/>
      <c r="AJ24" s="1880"/>
      <c r="AK24" s="332"/>
      <c r="AL24" s="290"/>
      <c r="AM24" s="290"/>
      <c r="AN24" s="290"/>
      <c r="AO24" s="290"/>
      <c r="AP24" s="290"/>
      <c r="AQ24" s="290"/>
      <c r="AR24" s="290"/>
      <c r="AS24" s="290"/>
      <c r="AT24" s="290"/>
      <c r="AU24" s="290"/>
      <c r="AV24" s="290"/>
      <c r="AW24" s="290"/>
      <c r="AX24" s="290"/>
      <c r="AY24" s="290"/>
      <c r="AZ24" s="290"/>
    </row>
    <row r="25" spans="1:52" ht="18" customHeight="1" x14ac:dyDescent="0.25">
      <c r="A25" s="290"/>
      <c r="B25" s="1900"/>
      <c r="C25" s="1896" t="s">
        <v>723</v>
      </c>
      <c r="D25" s="1896"/>
      <c r="E25" s="1896"/>
      <c r="F25" s="1896"/>
      <c r="G25" s="1896"/>
      <c r="H25" s="1896"/>
      <c r="I25" s="1896"/>
      <c r="J25" s="1896"/>
      <c r="K25" s="1896"/>
      <c r="L25" s="28">
        <f t="shared" si="1"/>
        <v>0</v>
      </c>
      <c r="M25" s="290"/>
      <c r="N25" s="290"/>
      <c r="O25" s="290"/>
      <c r="P25" s="322" t="s">
        <v>724</v>
      </c>
      <c r="Q25" s="322" t="s">
        <v>725</v>
      </c>
      <c r="R25" s="324">
        <v>5077274</v>
      </c>
      <c r="S25" s="323">
        <v>164.1</v>
      </c>
      <c r="T25" s="323">
        <v>33.6</v>
      </c>
      <c r="U25" s="323">
        <v>82</v>
      </c>
      <c r="V25" s="324">
        <v>833170522</v>
      </c>
      <c r="W25" s="324">
        <v>416585261</v>
      </c>
      <c r="X25" s="324">
        <v>1528867908</v>
      </c>
      <c r="Y25" s="290"/>
      <c r="Z25" s="290"/>
      <c r="AA25" s="331"/>
      <c r="AB25" s="331"/>
      <c r="AC25" s="292" t="s">
        <v>664</v>
      </c>
      <c r="AD25" s="1854"/>
      <c r="AE25" s="1854"/>
      <c r="AF25" s="1854"/>
      <c r="AG25" s="1854"/>
      <c r="AH25" s="292" t="s">
        <v>666</v>
      </c>
      <c r="AI25" s="1805" t="s">
        <v>667</v>
      </c>
      <c r="AJ25" s="1805"/>
      <c r="AK25" s="293" t="s">
        <v>726</v>
      </c>
      <c r="AL25" s="290"/>
      <c r="AM25" s="290"/>
      <c r="AN25" s="290"/>
      <c r="AO25" s="290"/>
      <c r="AP25" s="290"/>
      <c r="AQ25" s="290"/>
      <c r="AR25" s="290"/>
      <c r="AS25" s="290"/>
      <c r="AT25" s="290"/>
      <c r="AU25" s="290"/>
      <c r="AV25" s="290"/>
      <c r="AW25" s="290"/>
      <c r="AX25" s="290"/>
      <c r="AY25" s="290"/>
      <c r="AZ25" s="290"/>
    </row>
    <row r="26" spans="1:52" ht="20.25" customHeight="1" x14ac:dyDescent="0.25">
      <c r="A26" s="290"/>
      <c r="B26" s="1900"/>
      <c r="C26" s="1332"/>
      <c r="D26" s="1333"/>
      <c r="E26" s="1124" t="e">
        <f t="shared" ref="E26:E31" si="5">VLOOKUP($C26,$AX$72:$BH$102,9,FALSE)</f>
        <v>#N/A</v>
      </c>
      <c r="F26" s="1887" t="e">
        <f t="shared" ref="F26:F31" si="6">D26*E26</f>
        <v>#N/A</v>
      </c>
      <c r="G26" s="1887"/>
      <c r="H26" s="1125"/>
      <c r="I26" s="1126"/>
      <c r="J26" s="1127">
        <f t="shared" ref="J26:J31" si="7">IF(D26&gt;0,F26*(44/12),0)</f>
        <v>0</v>
      </c>
      <c r="K26" s="1128">
        <f t="shared" ref="K26:K31" si="8">IF(D26&gt;0,VLOOKUP($C26,$AX$72:$BH$102,10,FALSE),0)</f>
        <v>0</v>
      </c>
      <c r="L26" s="28">
        <f t="shared" si="1"/>
        <v>0</v>
      </c>
      <c r="M26" s="290"/>
      <c r="N26" s="290"/>
      <c r="O26" s="290"/>
      <c r="P26" s="328" t="s">
        <v>727</v>
      </c>
      <c r="Q26" s="328" t="s">
        <v>728</v>
      </c>
      <c r="R26" s="328">
        <v>172.07900000000001</v>
      </c>
      <c r="S26" s="330">
        <v>172.2</v>
      </c>
      <c r="T26" s="330">
        <v>39.5</v>
      </c>
      <c r="U26" s="330">
        <v>86.1</v>
      </c>
      <c r="V26" s="329">
        <v>29634292</v>
      </c>
      <c r="W26" s="329">
        <v>14817146</v>
      </c>
      <c r="X26" s="329">
        <v>54378925</v>
      </c>
      <c r="Y26" s="290"/>
      <c r="Z26" s="290"/>
      <c r="AA26" s="294" t="s">
        <v>729</v>
      </c>
      <c r="AB26" s="294"/>
      <c r="AC26" s="295" t="s">
        <v>730</v>
      </c>
      <c r="AD26" s="1820" t="s">
        <v>731</v>
      </c>
      <c r="AE26" s="1820"/>
      <c r="AF26" s="1820"/>
      <c r="AG26" s="1820"/>
      <c r="AH26" s="295" t="s">
        <v>732</v>
      </c>
      <c r="AI26" s="1821" t="s">
        <v>733</v>
      </c>
      <c r="AJ26" s="1821"/>
      <c r="AK26" s="295" t="s">
        <v>732</v>
      </c>
      <c r="AL26" s="290"/>
      <c r="AM26" s="290"/>
      <c r="AN26" s="290"/>
      <c r="AO26" s="290"/>
      <c r="AP26" s="290"/>
      <c r="AQ26" s="290"/>
      <c r="AR26" s="290"/>
      <c r="AS26" s="290"/>
      <c r="AT26" s="290"/>
      <c r="AU26" s="290"/>
      <c r="AV26" s="290"/>
      <c r="AW26" s="290"/>
      <c r="AX26" s="290"/>
      <c r="AY26" s="290"/>
      <c r="AZ26" s="290"/>
    </row>
    <row r="27" spans="1:52" ht="18" customHeight="1" x14ac:dyDescent="0.25">
      <c r="A27" s="290"/>
      <c r="B27" s="1900"/>
      <c r="C27" s="1332"/>
      <c r="D27" s="1333"/>
      <c r="E27" s="1124" t="e">
        <f t="shared" si="5"/>
        <v>#N/A</v>
      </c>
      <c r="F27" s="1887" t="e">
        <f t="shared" si="6"/>
        <v>#N/A</v>
      </c>
      <c r="G27" s="1887"/>
      <c r="H27" s="1125"/>
      <c r="I27" s="1126"/>
      <c r="J27" s="1127">
        <f t="shared" si="7"/>
        <v>0</v>
      </c>
      <c r="K27" s="1128">
        <f t="shared" si="8"/>
        <v>0</v>
      </c>
      <c r="L27" s="28">
        <f t="shared" si="1"/>
        <v>0</v>
      </c>
      <c r="M27" s="290"/>
      <c r="N27" s="290"/>
      <c r="O27" s="290"/>
      <c r="P27" s="322" t="s">
        <v>734</v>
      </c>
      <c r="Q27" s="322" t="s">
        <v>735</v>
      </c>
      <c r="R27" s="324">
        <v>1094798</v>
      </c>
      <c r="S27" s="323">
        <v>193</v>
      </c>
      <c r="T27" s="323">
        <v>41.3</v>
      </c>
      <c r="U27" s="336">
        <v>96.5</v>
      </c>
      <c r="V27" s="324">
        <v>211285876</v>
      </c>
      <c r="W27" s="324">
        <v>105642938</v>
      </c>
      <c r="X27" s="324">
        <v>387709583</v>
      </c>
      <c r="Y27" s="290"/>
      <c r="Z27" s="290"/>
      <c r="AA27" s="1805" t="s">
        <v>672</v>
      </c>
      <c r="AB27" s="1805"/>
      <c r="AC27" s="1805"/>
      <c r="AD27" s="1805"/>
      <c r="AE27" s="1805"/>
      <c r="AF27" s="1805"/>
      <c r="AG27" s="1805"/>
      <c r="AH27" s="1805"/>
      <c r="AI27" s="1805"/>
      <c r="AJ27" s="1805"/>
      <c r="AK27" s="1805"/>
      <c r="AL27" s="290"/>
      <c r="AM27" s="290"/>
      <c r="AN27" s="290"/>
      <c r="AO27" s="290"/>
      <c r="AP27" s="290"/>
      <c r="AQ27" s="290"/>
      <c r="AR27" s="290"/>
      <c r="AS27" s="290"/>
      <c r="AT27" s="290"/>
      <c r="AU27" s="290"/>
      <c r="AV27" s="290"/>
      <c r="AW27" s="290"/>
      <c r="AX27" s="290"/>
      <c r="AY27" s="290"/>
      <c r="AZ27" s="290"/>
    </row>
    <row r="28" spans="1:52" ht="18" customHeight="1" x14ac:dyDescent="0.25">
      <c r="A28" s="290"/>
      <c r="B28" s="1900"/>
      <c r="C28" s="1332"/>
      <c r="D28" s="1333"/>
      <c r="E28" s="1124" t="e">
        <f t="shared" si="5"/>
        <v>#N/A</v>
      </c>
      <c r="F28" s="1887" t="e">
        <f t="shared" si="6"/>
        <v>#N/A</v>
      </c>
      <c r="G28" s="1887"/>
      <c r="H28" s="1125"/>
      <c r="I28" s="1126"/>
      <c r="J28" s="1127">
        <f t="shared" si="7"/>
        <v>0</v>
      </c>
      <c r="K28" s="1128">
        <f t="shared" si="8"/>
        <v>0</v>
      </c>
      <c r="L28" s="28">
        <f t="shared" si="1"/>
        <v>0</v>
      </c>
      <c r="M28" s="290"/>
      <c r="N28" s="290"/>
      <c r="O28" s="290"/>
      <c r="P28" s="322" t="s">
        <v>734</v>
      </c>
      <c r="Q28" s="322" t="s">
        <v>735</v>
      </c>
      <c r="R28" s="324">
        <v>1094798</v>
      </c>
      <c r="S28" s="323">
        <v>193</v>
      </c>
      <c r="T28" s="323">
        <v>41.3</v>
      </c>
      <c r="U28" s="336">
        <v>96.5</v>
      </c>
      <c r="V28" s="324">
        <v>211285876</v>
      </c>
      <c r="W28" s="324">
        <v>105642938</v>
      </c>
      <c r="X28" s="324">
        <v>387709583</v>
      </c>
      <c r="Y28" s="290"/>
      <c r="Z28" s="290"/>
      <c r="AA28" s="1805" t="s">
        <v>672</v>
      </c>
      <c r="AB28" s="1805"/>
      <c r="AC28" s="1805"/>
      <c r="AD28" s="1805"/>
      <c r="AE28" s="1805"/>
      <c r="AF28" s="1805"/>
      <c r="AG28" s="1805"/>
      <c r="AH28" s="1805"/>
      <c r="AI28" s="1805"/>
      <c r="AJ28" s="1805"/>
      <c r="AK28" s="1805"/>
      <c r="AL28" s="290"/>
      <c r="AM28" s="290"/>
      <c r="AN28" s="290"/>
      <c r="AO28" s="290"/>
      <c r="AP28" s="290"/>
      <c r="AQ28" s="290"/>
      <c r="AR28" s="290"/>
      <c r="AS28" s="290"/>
      <c r="AT28" s="290"/>
      <c r="AU28" s="290"/>
      <c r="AV28" s="290"/>
      <c r="AW28" s="290"/>
      <c r="AX28" s="290"/>
      <c r="AY28" s="290"/>
      <c r="AZ28" s="290"/>
    </row>
    <row r="29" spans="1:52" ht="18" customHeight="1" x14ac:dyDescent="0.25">
      <c r="A29" s="290"/>
      <c r="B29" s="1900"/>
      <c r="C29" s="1332"/>
      <c r="D29" s="1333"/>
      <c r="E29" s="1124" t="e">
        <f t="shared" si="5"/>
        <v>#N/A</v>
      </c>
      <c r="F29" s="1887" t="e">
        <f t="shared" si="6"/>
        <v>#N/A</v>
      </c>
      <c r="G29" s="1887"/>
      <c r="H29" s="1125"/>
      <c r="I29" s="1126"/>
      <c r="J29" s="1127">
        <f t="shared" si="7"/>
        <v>0</v>
      </c>
      <c r="K29" s="1128">
        <f t="shared" si="8"/>
        <v>0</v>
      </c>
      <c r="L29" s="28">
        <f t="shared" si="1"/>
        <v>0</v>
      </c>
      <c r="M29" s="290"/>
      <c r="N29" s="290"/>
      <c r="O29" s="290"/>
      <c r="P29" s="322" t="s">
        <v>734</v>
      </c>
      <c r="Q29" s="322" t="s">
        <v>735</v>
      </c>
      <c r="R29" s="324">
        <v>1094798</v>
      </c>
      <c r="S29" s="323">
        <v>193</v>
      </c>
      <c r="T29" s="323">
        <v>41.3</v>
      </c>
      <c r="U29" s="336">
        <v>96.5</v>
      </c>
      <c r="V29" s="324">
        <v>211285876</v>
      </c>
      <c r="W29" s="324">
        <v>105642938</v>
      </c>
      <c r="X29" s="324">
        <v>387709583</v>
      </c>
      <c r="Y29" s="290"/>
      <c r="Z29" s="290"/>
      <c r="AA29" s="1805" t="s">
        <v>672</v>
      </c>
      <c r="AB29" s="1805"/>
      <c r="AC29" s="1805"/>
      <c r="AD29" s="1805"/>
      <c r="AE29" s="1805"/>
      <c r="AF29" s="1805"/>
      <c r="AG29" s="1805"/>
      <c r="AH29" s="1805"/>
      <c r="AI29" s="1805"/>
      <c r="AJ29" s="1805"/>
      <c r="AK29" s="1805"/>
      <c r="AL29" s="290"/>
      <c r="AM29" s="290"/>
      <c r="AN29" s="290"/>
      <c r="AO29" s="290"/>
      <c r="AP29" s="290"/>
      <c r="AQ29" s="290"/>
      <c r="AR29" s="290"/>
      <c r="AS29" s="290"/>
      <c r="AT29" s="290"/>
      <c r="AU29" s="290"/>
      <c r="AV29" s="290"/>
      <c r="AW29" s="290"/>
      <c r="AX29" s="290"/>
      <c r="AY29" s="290"/>
      <c r="AZ29" s="290"/>
    </row>
    <row r="30" spans="1:52" ht="18" customHeight="1" x14ac:dyDescent="0.25">
      <c r="A30" s="290"/>
      <c r="B30" s="1900"/>
      <c r="C30" s="1332"/>
      <c r="D30" s="1333"/>
      <c r="E30" s="1124" t="e">
        <f t="shared" si="5"/>
        <v>#N/A</v>
      </c>
      <c r="F30" s="1887" t="e">
        <f t="shared" si="6"/>
        <v>#N/A</v>
      </c>
      <c r="G30" s="1887"/>
      <c r="H30" s="1125"/>
      <c r="I30" s="1126"/>
      <c r="J30" s="1127">
        <f t="shared" si="7"/>
        <v>0</v>
      </c>
      <c r="K30" s="1128">
        <f t="shared" si="8"/>
        <v>0</v>
      </c>
      <c r="L30" s="28">
        <f t="shared" si="1"/>
        <v>0</v>
      </c>
      <c r="M30" s="290"/>
      <c r="N30" s="290"/>
      <c r="O30" s="290"/>
      <c r="P30" s="322" t="s">
        <v>734</v>
      </c>
      <c r="Q30" s="322" t="s">
        <v>735</v>
      </c>
      <c r="R30" s="324">
        <v>1094798</v>
      </c>
      <c r="S30" s="323">
        <v>193</v>
      </c>
      <c r="T30" s="323">
        <v>41.3</v>
      </c>
      <c r="U30" s="336">
        <v>96.5</v>
      </c>
      <c r="V30" s="324">
        <v>211285876</v>
      </c>
      <c r="W30" s="324">
        <v>105642938</v>
      </c>
      <c r="X30" s="324">
        <v>387709583</v>
      </c>
      <c r="Y30" s="290"/>
      <c r="Z30" s="290"/>
      <c r="AA30" s="1805" t="s">
        <v>672</v>
      </c>
      <c r="AB30" s="1805"/>
      <c r="AC30" s="1805"/>
      <c r="AD30" s="1805"/>
      <c r="AE30" s="1805"/>
      <c r="AF30" s="1805"/>
      <c r="AG30" s="1805"/>
      <c r="AH30" s="1805"/>
      <c r="AI30" s="1805"/>
      <c r="AJ30" s="1805"/>
      <c r="AK30" s="1805"/>
      <c r="AL30" s="290"/>
      <c r="AM30" s="290"/>
      <c r="AN30" s="290"/>
      <c r="AO30" s="290"/>
      <c r="AP30" s="290"/>
      <c r="AQ30" s="290"/>
      <c r="AR30" s="290"/>
      <c r="AS30" s="290"/>
      <c r="AT30" s="290"/>
      <c r="AU30" s="290"/>
      <c r="AV30" s="290"/>
      <c r="AW30" s="290"/>
      <c r="AX30" s="290"/>
      <c r="AY30" s="290"/>
      <c r="AZ30" s="290"/>
    </row>
    <row r="31" spans="1:52" ht="18" customHeight="1" x14ac:dyDescent="0.25">
      <c r="A31" s="290"/>
      <c r="B31" s="1900"/>
      <c r="C31" s="1332"/>
      <c r="D31" s="1333"/>
      <c r="E31" s="1124" t="e">
        <f t="shared" si="5"/>
        <v>#N/A</v>
      </c>
      <c r="F31" s="1887" t="e">
        <f t="shared" si="6"/>
        <v>#N/A</v>
      </c>
      <c r="G31" s="1887"/>
      <c r="H31" s="1125"/>
      <c r="I31" s="1126"/>
      <c r="J31" s="1127">
        <f t="shared" si="7"/>
        <v>0</v>
      </c>
      <c r="K31" s="1128">
        <f t="shared" si="8"/>
        <v>0</v>
      </c>
      <c r="L31" s="28">
        <f t="shared" si="1"/>
        <v>0</v>
      </c>
      <c r="M31" s="290"/>
      <c r="N31" s="290"/>
      <c r="O31" s="290"/>
      <c r="P31" s="328" t="s">
        <v>736</v>
      </c>
      <c r="Q31" s="328" t="s">
        <v>737</v>
      </c>
      <c r="R31" s="329">
        <v>2509018</v>
      </c>
      <c r="S31" s="330">
        <v>191.4</v>
      </c>
      <c r="T31" s="330">
        <v>67.2</v>
      </c>
      <c r="U31" s="337">
        <v>95.7</v>
      </c>
      <c r="V31" s="329">
        <v>480335503</v>
      </c>
      <c r="W31" s="329">
        <v>240167751</v>
      </c>
      <c r="X31" s="329">
        <v>881415647</v>
      </c>
      <c r="Y31" s="290"/>
      <c r="Z31" s="290"/>
      <c r="AA31" s="338" t="s">
        <v>738</v>
      </c>
      <c r="AB31" s="338"/>
      <c r="AC31" s="304">
        <v>10</v>
      </c>
      <c r="AD31" s="1816">
        <v>7</v>
      </c>
      <c r="AE31" s="1816"/>
      <c r="AF31" s="1816"/>
      <c r="AG31" s="304">
        <v>4</v>
      </c>
      <c r="AH31" s="304">
        <v>4</v>
      </c>
      <c r="AI31" s="1816">
        <v>5</v>
      </c>
      <c r="AJ31" s="1816"/>
      <c r="AK31" s="304">
        <v>1.8</v>
      </c>
      <c r="AL31" s="290"/>
      <c r="AM31" s="290"/>
      <c r="AN31" s="290"/>
      <c r="AO31" s="290"/>
      <c r="AP31" s="290"/>
      <c r="AQ31" s="290"/>
      <c r="AR31" s="290"/>
      <c r="AS31" s="290"/>
      <c r="AT31" s="290"/>
      <c r="AU31" s="290"/>
      <c r="AV31" s="290"/>
      <c r="AW31" s="290"/>
      <c r="AX31" s="290"/>
      <c r="AY31" s="290"/>
      <c r="AZ31" s="290"/>
    </row>
    <row r="32" spans="1:52" ht="18" customHeight="1" x14ac:dyDescent="0.25">
      <c r="A32" s="290"/>
      <c r="B32" s="1900"/>
      <c r="C32" s="1120" t="s">
        <v>719</v>
      </c>
      <c r="D32" s="1121">
        <f>SUM(D26:D31)</f>
        <v>0</v>
      </c>
      <c r="E32" s="1121"/>
      <c r="F32" s="1902"/>
      <c r="G32" s="1902"/>
      <c r="H32" s="1122"/>
      <c r="I32" s="1122"/>
      <c r="J32" s="1121">
        <f>SUM(J26:J31)</f>
        <v>0</v>
      </c>
      <c r="K32" s="1123">
        <f>IF(J32&gt;0,SQRT(SUM(L26:L31))/J32,0)</f>
        <v>0</v>
      </c>
      <c r="L32" s="28">
        <f t="shared" si="1"/>
        <v>0</v>
      </c>
      <c r="M32" s="290"/>
      <c r="N32" s="290"/>
      <c r="O32" s="290"/>
      <c r="P32" s="322" t="s">
        <v>739</v>
      </c>
      <c r="Q32" s="322" t="s">
        <v>740</v>
      </c>
      <c r="R32" s="322">
        <v>606.89599999999996</v>
      </c>
      <c r="S32" s="323">
        <v>213.5</v>
      </c>
      <c r="T32" s="323">
        <v>47.8</v>
      </c>
      <c r="U32" s="336">
        <v>106.8</v>
      </c>
      <c r="V32" s="324">
        <v>129579389</v>
      </c>
      <c r="W32" s="324">
        <v>64789695</v>
      </c>
      <c r="X32" s="324">
        <v>237778180</v>
      </c>
      <c r="Y32" s="290"/>
      <c r="Z32" s="290"/>
      <c r="AA32" s="1903" t="s">
        <v>741</v>
      </c>
      <c r="AB32" s="298" t="s">
        <v>670</v>
      </c>
      <c r="AC32" s="304">
        <v>1.9</v>
      </c>
      <c r="AD32" s="1816">
        <v>2</v>
      </c>
      <c r="AE32" s="1816"/>
      <c r="AF32" s="1816"/>
      <c r="AG32" s="304">
        <v>1</v>
      </c>
      <c r="AH32" s="304">
        <v>1</v>
      </c>
      <c r="AI32" s="1816">
        <v>1.4</v>
      </c>
      <c r="AJ32" s="1816"/>
      <c r="AK32" s="304">
        <v>0.4</v>
      </c>
      <c r="AL32" s="290"/>
      <c r="AM32" s="290"/>
      <c r="AN32" s="290"/>
      <c r="AO32" s="290"/>
      <c r="AP32" s="290"/>
      <c r="AQ32" s="290"/>
      <c r="AR32" s="290"/>
      <c r="AS32" s="290"/>
      <c r="AT32" s="290"/>
      <c r="AU32" s="290"/>
      <c r="AV32" s="290"/>
      <c r="AW32" s="290"/>
      <c r="AX32" s="290"/>
      <c r="AY32" s="290"/>
      <c r="AZ32" s="290"/>
    </row>
    <row r="33" spans="1:52" x14ac:dyDescent="0.25">
      <c r="A33" s="290"/>
      <c r="B33" s="1900"/>
      <c r="C33" s="1896" t="s">
        <v>742</v>
      </c>
      <c r="D33" s="1896"/>
      <c r="E33" s="1896"/>
      <c r="F33" s="1896"/>
      <c r="G33" s="1896"/>
      <c r="H33" s="1896"/>
      <c r="I33" s="1896"/>
      <c r="J33" s="1896"/>
      <c r="K33" s="1896"/>
      <c r="L33" s="28">
        <f t="shared" si="1"/>
        <v>0</v>
      </c>
      <c r="M33" s="290"/>
      <c r="N33" s="290"/>
      <c r="O33" s="290"/>
      <c r="P33" s="328" t="s">
        <v>743</v>
      </c>
      <c r="Q33" s="328" t="s">
        <v>744</v>
      </c>
      <c r="R33" s="329">
        <v>1612437</v>
      </c>
      <c r="S33" s="330">
        <v>257.60000000000002</v>
      </c>
      <c r="T33" s="330">
        <v>50.3</v>
      </c>
      <c r="U33" s="337">
        <v>128.80000000000001</v>
      </c>
      <c r="V33" s="329">
        <v>415398849</v>
      </c>
      <c r="W33" s="329">
        <v>207699424</v>
      </c>
      <c r="X33" s="329">
        <v>762256888</v>
      </c>
      <c r="Y33" s="290"/>
      <c r="Z33" s="290"/>
      <c r="AA33" s="1903"/>
      <c r="AB33" s="303" t="s">
        <v>671</v>
      </c>
      <c r="AC33" s="304">
        <v>1.2</v>
      </c>
      <c r="AD33" s="1816"/>
      <c r="AE33" s="1816"/>
      <c r="AF33" s="1816"/>
      <c r="AG33" s="304"/>
      <c r="AH33" s="304"/>
      <c r="AI33" s="1816">
        <v>1</v>
      </c>
      <c r="AJ33" s="1816"/>
      <c r="AK33" s="304"/>
      <c r="AL33" s="290"/>
      <c r="AM33" s="290"/>
      <c r="AN33" s="290"/>
      <c r="AO33" s="290"/>
      <c r="AP33" s="290"/>
      <c r="AQ33" s="290"/>
      <c r="AR33" s="290"/>
      <c r="AS33" s="290"/>
      <c r="AT33" s="290"/>
      <c r="AU33" s="290"/>
      <c r="AV33" s="290"/>
      <c r="AW33" s="290"/>
      <c r="AX33" s="290"/>
      <c r="AY33" s="290"/>
      <c r="AZ33" s="290"/>
    </row>
    <row r="34" spans="1:52" ht="24.95" customHeight="1" x14ac:dyDescent="0.25">
      <c r="A34" s="290"/>
      <c r="B34" s="1900"/>
      <c r="C34" s="1332"/>
      <c r="D34" s="1332"/>
      <c r="E34" s="1124" t="e">
        <f t="shared" ref="E34:E39" si="9">VLOOKUP($C34,$AX$72:$BH$102,8,FALSE)</f>
        <v>#N/A</v>
      </c>
      <c r="F34" s="1887" t="e">
        <f t="shared" ref="F34:F39" si="10">D34*E34</f>
        <v>#N/A</v>
      </c>
      <c r="G34" s="1887"/>
      <c r="H34" s="1125"/>
      <c r="I34" s="1126"/>
      <c r="J34" s="1127">
        <f t="shared" ref="J34:J39" si="11">IF(D34&gt;0,F34*(44/12),0)</f>
        <v>0</v>
      </c>
      <c r="K34" s="1128">
        <f t="shared" ref="K34:K39" si="12">IF(D34&gt;0,VLOOKUP($C34,$AX$72:$BH$102,10,FALSE),0)</f>
        <v>0</v>
      </c>
      <c r="L34" s="28">
        <f t="shared" si="1"/>
        <v>0</v>
      </c>
      <c r="M34" s="310"/>
      <c r="N34" s="310"/>
      <c r="O34" s="310"/>
      <c r="P34" s="322" t="s">
        <v>745</v>
      </c>
      <c r="Q34" s="322" t="s">
        <v>746</v>
      </c>
      <c r="R34" s="324">
        <v>1627172</v>
      </c>
      <c r="S34" s="323">
        <v>255.2</v>
      </c>
      <c r="T34" s="323">
        <v>20.100000000000001</v>
      </c>
      <c r="U34" s="336">
        <v>127.6</v>
      </c>
      <c r="V34" s="324">
        <v>415333913</v>
      </c>
      <c r="W34" s="324">
        <v>207666956</v>
      </c>
      <c r="X34" s="324">
        <v>762137730</v>
      </c>
      <c r="Y34" s="290"/>
      <c r="Z34" s="290"/>
      <c r="AA34" s="1903"/>
      <c r="AB34" s="303" t="s">
        <v>673</v>
      </c>
      <c r="AC34" s="339">
        <v>2.6</v>
      </c>
      <c r="AD34" s="1897"/>
      <c r="AE34" s="1897"/>
      <c r="AF34" s="1897"/>
      <c r="AG34" s="331"/>
      <c r="AH34" s="331"/>
      <c r="AI34" s="1816">
        <v>2</v>
      </c>
      <c r="AJ34" s="1816"/>
      <c r="AK34" s="331"/>
      <c r="AL34" s="310"/>
      <c r="AM34" s="310"/>
      <c r="AN34" s="310"/>
      <c r="AO34" s="310"/>
      <c r="AP34" s="310"/>
      <c r="AQ34" s="310"/>
      <c r="AR34" s="310"/>
      <c r="AS34" s="310"/>
      <c r="AT34" s="310"/>
      <c r="AU34" s="310"/>
      <c r="AV34" s="310"/>
      <c r="AW34" s="310"/>
      <c r="AX34" s="310"/>
      <c r="AY34" s="310"/>
      <c r="AZ34" s="310"/>
    </row>
    <row r="35" spans="1:52" ht="24.95" customHeight="1" x14ac:dyDescent="0.25">
      <c r="A35" s="290"/>
      <c r="B35" s="1900"/>
      <c r="C35" s="1332"/>
      <c r="D35" s="1334"/>
      <c r="E35" s="1124" t="e">
        <f t="shared" si="9"/>
        <v>#N/A</v>
      </c>
      <c r="F35" s="1887" t="e">
        <f t="shared" si="10"/>
        <v>#N/A</v>
      </c>
      <c r="G35" s="1887"/>
      <c r="H35" s="1125"/>
      <c r="I35" s="1126"/>
      <c r="J35" s="1127">
        <f t="shared" si="11"/>
        <v>0</v>
      </c>
      <c r="K35" s="1128">
        <f t="shared" si="12"/>
        <v>0</v>
      </c>
      <c r="L35" s="28">
        <f t="shared" si="1"/>
        <v>0</v>
      </c>
      <c r="M35" s="310"/>
      <c r="N35" s="310"/>
      <c r="O35" s="310"/>
      <c r="P35" s="322" t="s">
        <v>747</v>
      </c>
      <c r="Q35" s="322" t="s">
        <v>748</v>
      </c>
      <c r="R35" s="324">
        <v>1051385</v>
      </c>
      <c r="S35" s="323">
        <v>125.5</v>
      </c>
      <c r="T35" s="323">
        <v>22</v>
      </c>
      <c r="U35" s="336">
        <v>62.7</v>
      </c>
      <c r="V35" s="324">
        <v>131914445</v>
      </c>
      <c r="W35" s="324">
        <v>65957223</v>
      </c>
      <c r="X35" s="324">
        <v>242063007</v>
      </c>
      <c r="Y35" s="310"/>
      <c r="Z35" s="310"/>
      <c r="AA35" s="1826" t="s">
        <v>749</v>
      </c>
      <c r="AB35" s="1826"/>
      <c r="AC35" s="1826"/>
      <c r="AD35" s="1826"/>
      <c r="AE35" s="1826"/>
      <c r="AF35" s="1826"/>
      <c r="AG35" s="1826"/>
      <c r="AH35" s="1826"/>
      <c r="AI35" s="1826"/>
      <c r="AJ35" s="1826"/>
      <c r="AK35" s="1826"/>
      <c r="AL35" s="310"/>
      <c r="AM35" s="310"/>
      <c r="AN35" s="310"/>
      <c r="AO35" s="310"/>
      <c r="AP35" s="310"/>
      <c r="AQ35" s="310"/>
      <c r="AR35" s="310"/>
      <c r="AS35" s="310"/>
      <c r="AT35" s="310"/>
      <c r="AU35" s="310"/>
      <c r="AV35" s="310"/>
      <c r="AW35" s="310"/>
      <c r="AX35" s="310"/>
      <c r="AY35" s="310"/>
      <c r="AZ35" s="310"/>
    </row>
    <row r="36" spans="1:52" s="312" customFormat="1" ht="15" customHeight="1" x14ac:dyDescent="0.25">
      <c r="A36" s="290"/>
      <c r="B36" s="1900"/>
      <c r="C36" s="1332"/>
      <c r="D36" s="1332"/>
      <c r="E36" s="1124" t="e">
        <f t="shared" si="9"/>
        <v>#N/A</v>
      </c>
      <c r="F36" s="1887" t="e">
        <f t="shared" si="10"/>
        <v>#N/A</v>
      </c>
      <c r="G36" s="1887"/>
      <c r="H36" s="1125"/>
      <c r="I36" s="1126"/>
      <c r="J36" s="1127">
        <f t="shared" si="11"/>
        <v>0</v>
      </c>
      <c r="K36" s="1128">
        <f t="shared" si="12"/>
        <v>0</v>
      </c>
      <c r="L36" s="28">
        <f t="shared" si="1"/>
        <v>0</v>
      </c>
      <c r="M36" s="290"/>
      <c r="N36" s="290"/>
      <c r="O36" s="290"/>
      <c r="P36" s="1834" t="s">
        <v>750</v>
      </c>
      <c r="Q36" s="1834"/>
      <c r="R36" s="1834"/>
      <c r="S36" s="1834"/>
      <c r="T36" s="1834"/>
      <c r="U36" s="1834"/>
      <c r="V36" s="1834"/>
      <c r="W36" s="1834"/>
      <c r="X36" s="1834"/>
      <c r="Y36" s="310"/>
      <c r="Z36" s="310"/>
      <c r="AA36" s="1826" t="s">
        <v>751</v>
      </c>
      <c r="AB36" s="1826"/>
      <c r="AC36" s="1826"/>
      <c r="AD36" s="1826"/>
      <c r="AE36" s="1826"/>
      <c r="AF36" s="1826"/>
      <c r="AG36" s="1826"/>
      <c r="AH36" s="1826"/>
      <c r="AI36" s="1826"/>
      <c r="AJ36" s="1826"/>
      <c r="AK36" s="1826"/>
      <c r="AL36" s="290"/>
      <c r="AM36" s="290"/>
      <c r="AN36" s="290"/>
      <c r="AO36" s="290"/>
      <c r="AP36" s="290"/>
      <c r="AQ36" s="290"/>
      <c r="AR36" s="290"/>
      <c r="AS36" s="290"/>
      <c r="AT36" s="290"/>
      <c r="AU36" s="290"/>
      <c r="AV36" s="290"/>
      <c r="AW36" s="290"/>
      <c r="AX36" s="290"/>
      <c r="AY36" s="290"/>
      <c r="AZ36" s="290"/>
    </row>
    <row r="37" spans="1:52" s="312" customFormat="1" ht="18" customHeight="1" x14ac:dyDescent="0.25">
      <c r="A37" s="290"/>
      <c r="B37" s="1900"/>
      <c r="C37" s="1332"/>
      <c r="D37" s="1332"/>
      <c r="E37" s="1124" t="e">
        <f t="shared" si="9"/>
        <v>#N/A</v>
      </c>
      <c r="F37" s="1887" t="e">
        <f t="shared" si="10"/>
        <v>#N/A</v>
      </c>
      <c r="G37" s="1887"/>
      <c r="H37" s="1125"/>
      <c r="I37" s="1126"/>
      <c r="J37" s="1127">
        <f t="shared" si="11"/>
        <v>0</v>
      </c>
      <c r="K37" s="1128">
        <f t="shared" si="12"/>
        <v>0</v>
      </c>
      <c r="L37" s="28">
        <f t="shared" si="1"/>
        <v>0</v>
      </c>
      <c r="M37" s="290"/>
      <c r="N37" s="290"/>
      <c r="O37" s="290"/>
      <c r="P37" s="290"/>
      <c r="Q37" s="290"/>
      <c r="R37" s="290"/>
      <c r="S37" s="290"/>
      <c r="T37" s="290"/>
      <c r="U37" s="290"/>
      <c r="V37" s="290"/>
      <c r="W37" s="290"/>
      <c r="X37" s="290"/>
      <c r="Y37" s="290"/>
      <c r="Z37" s="290"/>
      <c r="AA37" s="290"/>
      <c r="AB37" s="290"/>
      <c r="AC37" s="290"/>
      <c r="AD37" s="290"/>
      <c r="AE37" s="290"/>
      <c r="AF37" s="290"/>
      <c r="AG37" s="290"/>
      <c r="AH37" s="290"/>
      <c r="AI37" s="290"/>
      <c r="AJ37" s="290"/>
      <c r="AK37" s="290"/>
      <c r="AL37" s="290"/>
      <c r="AM37" s="290"/>
      <c r="AN37" s="290"/>
      <c r="AO37" s="290"/>
      <c r="AP37" s="290"/>
      <c r="AQ37" s="290"/>
      <c r="AR37" s="290"/>
      <c r="AS37" s="290"/>
      <c r="AT37" s="290"/>
      <c r="AU37" s="290"/>
      <c r="AV37" s="290"/>
      <c r="AW37" s="290"/>
      <c r="AX37" s="290"/>
      <c r="AY37" s="290"/>
      <c r="AZ37" s="290"/>
    </row>
    <row r="38" spans="1:52" ht="18" customHeight="1" x14ac:dyDescent="0.25">
      <c r="A38" s="290"/>
      <c r="B38" s="1900"/>
      <c r="C38" s="1332"/>
      <c r="D38" s="1335"/>
      <c r="E38" s="1124" t="e">
        <f t="shared" si="9"/>
        <v>#N/A</v>
      </c>
      <c r="F38" s="1887" t="e">
        <f t="shared" si="10"/>
        <v>#N/A</v>
      </c>
      <c r="G38" s="1887"/>
      <c r="H38" s="1125"/>
      <c r="I38" s="1126"/>
      <c r="J38" s="1127">
        <f t="shared" si="11"/>
        <v>0</v>
      </c>
      <c r="K38" s="1128">
        <f t="shared" si="12"/>
        <v>0</v>
      </c>
      <c r="L38" s="28">
        <f t="shared" si="1"/>
        <v>0</v>
      </c>
      <c r="M38" s="290"/>
      <c r="N38" s="290"/>
      <c r="O38" s="290"/>
      <c r="P38" s="290"/>
      <c r="Q38" s="290"/>
      <c r="R38" s="290"/>
      <c r="S38" s="290"/>
      <c r="T38" s="290"/>
      <c r="U38" s="290"/>
      <c r="V38" s="290"/>
      <c r="W38" s="290"/>
      <c r="X38" s="290"/>
      <c r="Y38" s="290"/>
      <c r="Z38" s="290"/>
      <c r="AA38" s="290"/>
      <c r="AB38" s="290"/>
      <c r="AC38" s="290"/>
      <c r="AD38" s="290"/>
      <c r="AE38" s="290"/>
      <c r="AF38" s="290"/>
      <c r="AG38" s="290"/>
      <c r="AH38" s="290"/>
      <c r="AI38" s="290"/>
      <c r="AJ38" s="290"/>
      <c r="AK38" s="290"/>
      <c r="AL38" s="290"/>
      <c r="AM38" s="290"/>
      <c r="AN38" s="290"/>
      <c r="AO38" s="290"/>
      <c r="AP38" s="290"/>
      <c r="AQ38" s="290"/>
      <c r="AR38" s="290"/>
      <c r="AS38" s="290"/>
      <c r="AT38" s="290"/>
      <c r="AU38" s="290"/>
      <c r="AV38" s="290"/>
      <c r="AW38" s="290"/>
      <c r="AX38" s="290"/>
      <c r="AY38" s="290"/>
      <c r="AZ38" s="290"/>
    </row>
    <row r="39" spans="1:52" ht="18" customHeight="1" x14ac:dyDescent="0.25">
      <c r="A39" s="290"/>
      <c r="B39" s="1900"/>
      <c r="C39" s="1332"/>
      <c r="D39" s="1335"/>
      <c r="E39" s="1124" t="e">
        <f t="shared" si="9"/>
        <v>#N/A</v>
      </c>
      <c r="F39" s="1887" t="e">
        <f t="shared" si="10"/>
        <v>#N/A</v>
      </c>
      <c r="G39" s="1887"/>
      <c r="H39" s="1125"/>
      <c r="I39" s="1126"/>
      <c r="J39" s="1127">
        <f t="shared" si="11"/>
        <v>0</v>
      </c>
      <c r="K39" s="1128">
        <f t="shared" si="12"/>
        <v>0</v>
      </c>
      <c r="L39" s="28">
        <f t="shared" si="1"/>
        <v>0</v>
      </c>
      <c r="M39" s="290"/>
      <c r="N39" s="290"/>
      <c r="O39" s="290"/>
      <c r="P39" s="290"/>
      <c r="Q39" s="290"/>
      <c r="R39" s="290"/>
      <c r="S39" s="290"/>
      <c r="T39" s="290"/>
      <c r="U39" s="290"/>
      <c r="V39" s="290"/>
      <c r="W39" s="290"/>
      <c r="X39" s="290"/>
      <c r="Y39" s="290"/>
      <c r="Z39" s="290"/>
      <c r="AA39" s="1848" t="s">
        <v>752</v>
      </c>
      <c r="AB39" s="1848"/>
      <c r="AC39" s="1848"/>
      <c r="AD39" s="1848"/>
      <c r="AE39" s="1848"/>
      <c r="AF39" s="1848"/>
      <c r="AG39" s="1848"/>
      <c r="AH39" s="1848"/>
      <c r="AI39" s="1848"/>
      <c r="AJ39" s="290"/>
      <c r="AK39" s="290"/>
      <c r="AL39" s="290"/>
      <c r="AM39" s="290"/>
      <c r="AN39" s="290"/>
      <c r="AO39" s="290"/>
      <c r="AP39" s="290"/>
      <c r="AQ39" s="290"/>
      <c r="AR39" s="290"/>
      <c r="AS39" s="290"/>
      <c r="AT39" s="290"/>
      <c r="AU39" s="290"/>
      <c r="AV39" s="290"/>
      <c r="AW39" s="290"/>
      <c r="AX39" s="290"/>
      <c r="AY39" s="290"/>
      <c r="AZ39" s="290"/>
    </row>
    <row r="40" spans="1:52" ht="45" customHeight="1" x14ac:dyDescent="0.25">
      <c r="A40" s="290"/>
      <c r="B40" s="1901"/>
      <c r="C40" s="1120" t="s">
        <v>719</v>
      </c>
      <c r="D40" s="1121">
        <f>SUM(D34:D36)</f>
        <v>0</v>
      </c>
      <c r="E40" s="1121"/>
      <c r="F40" s="1902"/>
      <c r="G40" s="1902"/>
      <c r="H40" s="1122"/>
      <c r="I40" s="1122"/>
      <c r="J40" s="1121">
        <f>SUM(J34:J39)</f>
        <v>0</v>
      </c>
      <c r="K40" s="1123">
        <f>IF(J40&gt;0,SQRT(SUM(L34:L39))/J40,0)</f>
        <v>0</v>
      </c>
      <c r="L40" s="28">
        <f t="shared" si="1"/>
        <v>0</v>
      </c>
      <c r="M40" s="290"/>
      <c r="N40" s="290"/>
      <c r="O40" s="290"/>
      <c r="P40" s="290" t="s">
        <v>753</v>
      </c>
      <c r="Q40" s="290"/>
      <c r="R40" s="290"/>
      <c r="S40" s="290"/>
      <c r="T40" s="290"/>
      <c r="U40" s="290"/>
      <c r="V40" s="290"/>
      <c r="W40" s="290"/>
      <c r="X40" s="290"/>
      <c r="Y40" s="290"/>
      <c r="Z40" s="290"/>
      <c r="AA40" s="1904" t="s">
        <v>754</v>
      </c>
      <c r="AB40" s="1904"/>
      <c r="AC40" s="1904"/>
      <c r="AD40" s="1904"/>
      <c r="AE40" s="1904"/>
      <c r="AF40" s="1904"/>
      <c r="AG40" s="1904"/>
      <c r="AH40" s="1904"/>
      <c r="AI40" s="1904"/>
      <c r="AJ40" s="290"/>
      <c r="AK40" s="290"/>
      <c r="AL40" s="290"/>
      <c r="AM40" s="290"/>
      <c r="AN40" s="290"/>
      <c r="AO40" s="290"/>
      <c r="AP40" s="290"/>
      <c r="AQ40" s="290"/>
      <c r="AR40" s="290"/>
      <c r="AS40" s="290"/>
      <c r="AT40" s="290"/>
      <c r="AU40" s="290"/>
      <c r="AV40" s="290"/>
      <c r="AW40" s="290"/>
      <c r="AX40" s="290"/>
      <c r="AY40" s="290"/>
      <c r="AZ40" s="290"/>
    </row>
    <row r="41" spans="1:52" ht="39" customHeight="1" x14ac:dyDescent="0.25">
      <c r="A41" s="290"/>
      <c r="B41" s="1894" t="s">
        <v>755</v>
      </c>
      <c r="C41" s="1895"/>
      <c r="D41" s="1895"/>
      <c r="E41" s="1895"/>
      <c r="F41" s="1895"/>
      <c r="G41" s="1895"/>
      <c r="H41" s="1895"/>
      <c r="I41" s="1895"/>
      <c r="J41" s="1191">
        <f>J24+J32+J40</f>
        <v>0</v>
      </c>
      <c r="K41" s="1192">
        <f>IF(J41&gt;0,(SQRT(L24+L32+L40))/J41,0)</f>
        <v>0</v>
      </c>
      <c r="L41" s="28">
        <f t="shared" si="1"/>
        <v>0</v>
      </c>
      <c r="M41" s="290"/>
      <c r="N41" s="290"/>
      <c r="O41" s="290"/>
      <c r="P41" s="343" t="s">
        <v>756</v>
      </c>
      <c r="Q41" s="1859" t="s">
        <v>757</v>
      </c>
      <c r="R41" s="1860"/>
      <c r="S41" s="344" t="s">
        <v>758</v>
      </c>
      <c r="T41" s="345" t="s">
        <v>759</v>
      </c>
      <c r="U41" s="346" t="s">
        <v>760</v>
      </c>
      <c r="V41" s="346" t="s">
        <v>761</v>
      </c>
      <c r="W41" s="346" t="s">
        <v>762</v>
      </c>
      <c r="X41" s="347" t="s">
        <v>763</v>
      </c>
      <c r="Y41" s="290"/>
      <c r="Z41" s="290"/>
      <c r="AA41" s="1848" t="s">
        <v>764</v>
      </c>
      <c r="AB41" s="1848"/>
      <c r="AC41" s="1848"/>
      <c r="AD41" s="1848"/>
      <c r="AE41" s="1848"/>
      <c r="AF41" s="1848"/>
      <c r="AG41" s="1848"/>
      <c r="AH41" s="1848"/>
      <c r="AI41" s="1848"/>
      <c r="AJ41" s="290"/>
      <c r="AK41" s="290"/>
      <c r="AL41" s="290"/>
      <c r="AM41" s="290"/>
      <c r="AN41" s="290"/>
      <c r="AO41" s="290"/>
      <c r="AP41" s="290"/>
      <c r="AQ41" s="290"/>
      <c r="AR41" s="290"/>
      <c r="AS41" s="290"/>
      <c r="AT41" s="290"/>
      <c r="AU41" s="290"/>
      <c r="AV41" s="290"/>
      <c r="AW41" s="290"/>
      <c r="AX41" s="290"/>
      <c r="AY41" s="290"/>
      <c r="AZ41" s="290"/>
    </row>
    <row r="42" spans="1:52" ht="39" customHeight="1" x14ac:dyDescent="0.25">
      <c r="A42" s="290"/>
      <c r="B42" s="1907"/>
      <c r="C42" s="1908"/>
      <c r="D42" s="1908"/>
      <c r="E42" s="1908"/>
      <c r="F42" s="1908"/>
      <c r="G42" s="1908"/>
      <c r="H42" s="1908"/>
      <c r="I42" s="1908"/>
      <c r="J42" s="1908"/>
      <c r="K42" s="1909"/>
      <c r="L42" s="28"/>
      <c r="M42" s="290"/>
      <c r="N42" s="290"/>
      <c r="O42" s="290"/>
      <c r="P42" s="1237"/>
      <c r="Q42" s="1237"/>
      <c r="R42" s="1237"/>
      <c r="S42" s="1238"/>
      <c r="T42" s="1238"/>
      <c r="U42" s="1239"/>
      <c r="V42" s="1239"/>
      <c r="W42" s="1239"/>
      <c r="X42" s="1239"/>
      <c r="Y42" s="290"/>
      <c r="Z42" s="290"/>
      <c r="AA42" s="1234"/>
      <c r="AB42" s="1234"/>
      <c r="AC42" s="1234"/>
      <c r="AD42" s="1234"/>
      <c r="AE42" s="1234"/>
      <c r="AF42" s="1234"/>
      <c r="AG42" s="1234"/>
      <c r="AH42" s="1234"/>
      <c r="AI42" s="1234"/>
      <c r="AJ42" s="290"/>
      <c r="AK42" s="290"/>
      <c r="AL42" s="290"/>
      <c r="AM42" s="290"/>
      <c r="AN42" s="290"/>
      <c r="AO42" s="290"/>
      <c r="AP42" s="290"/>
      <c r="AQ42" s="290"/>
      <c r="AR42" s="290"/>
      <c r="AS42" s="290"/>
      <c r="AT42" s="290"/>
      <c r="AU42" s="290"/>
      <c r="AV42" s="290"/>
      <c r="AW42" s="290"/>
      <c r="AX42" s="290"/>
      <c r="AY42" s="290"/>
      <c r="AZ42" s="290"/>
    </row>
    <row r="43" spans="1:52" s="312" customFormat="1" ht="52.5" customHeight="1" x14ac:dyDescent="0.25">
      <c r="A43" s="290"/>
      <c r="B43" s="1814"/>
      <c r="C43" s="1814" t="s">
        <v>1331</v>
      </c>
      <c r="D43" s="315" t="s">
        <v>683</v>
      </c>
      <c r="E43" s="315" t="s">
        <v>1222</v>
      </c>
      <c r="F43" s="1825" t="s">
        <v>1203</v>
      </c>
      <c r="G43" s="1825"/>
      <c r="H43" s="316"/>
      <c r="I43" s="316"/>
      <c r="J43" s="315" t="s">
        <v>1204</v>
      </c>
      <c r="K43" s="315" t="s">
        <v>1227</v>
      </c>
      <c r="L43" s="28" t="e">
        <f t="shared" si="1"/>
        <v>#VALUE!</v>
      </c>
      <c r="M43" s="317"/>
      <c r="N43" s="310"/>
      <c r="O43" s="310"/>
      <c r="P43" s="297" t="s">
        <v>684</v>
      </c>
      <c r="Q43" s="305">
        <v>8398.1149999999998</v>
      </c>
      <c r="R43" s="301">
        <v>0.7349</v>
      </c>
      <c r="S43" s="310"/>
      <c r="T43" s="310"/>
      <c r="U43" s="310"/>
      <c r="V43" s="310"/>
      <c r="W43" s="310"/>
      <c r="X43" s="310"/>
      <c r="Y43" s="310"/>
      <c r="Z43" s="310"/>
      <c r="AA43" s="1817" t="s">
        <v>685</v>
      </c>
      <c r="AB43" s="1817"/>
      <c r="AC43" s="1817"/>
      <c r="AD43" s="1817"/>
      <c r="AE43" s="1817"/>
      <c r="AF43" s="1817"/>
      <c r="AG43" s="1817"/>
      <c r="AH43" s="1817"/>
      <c r="AI43" s="1817"/>
      <c r="AJ43" s="1817"/>
      <c r="AK43" s="1817"/>
      <c r="AL43" s="1817"/>
      <c r="AM43" s="310"/>
      <c r="AN43" s="310"/>
      <c r="AO43" s="290"/>
      <c r="AP43" s="290"/>
      <c r="AQ43" s="290"/>
      <c r="AR43" s="314" t="s">
        <v>671</v>
      </c>
      <c r="AS43" s="309">
        <v>1.2</v>
      </c>
      <c r="AT43" s="309">
        <v>1.1000000000000001</v>
      </c>
      <c r="AU43" s="310"/>
      <c r="AV43" s="310"/>
      <c r="AW43" s="310"/>
      <c r="AX43" s="310"/>
      <c r="AY43" s="310"/>
      <c r="AZ43" s="310"/>
    </row>
    <row r="44" spans="1:52" s="312" customFormat="1" ht="20.25" customHeight="1" x14ac:dyDescent="0.25">
      <c r="A44" s="290"/>
      <c r="B44" s="1814"/>
      <c r="C44" s="1814"/>
      <c r="D44" s="318" t="s">
        <v>686</v>
      </c>
      <c r="E44" s="318" t="s">
        <v>1224</v>
      </c>
      <c r="F44" s="1818" t="s">
        <v>1205</v>
      </c>
      <c r="G44" s="1818"/>
      <c r="H44" s="319"/>
      <c r="I44" s="319"/>
      <c r="J44" s="341" t="s">
        <v>1205</v>
      </c>
      <c r="K44" s="342" t="s">
        <v>669</v>
      </c>
      <c r="L44" s="28" t="e">
        <f t="shared" si="1"/>
        <v>#VALUE!</v>
      </c>
      <c r="M44" s="313"/>
      <c r="N44" s="310"/>
      <c r="O44" s="310"/>
      <c r="P44" s="297" t="s">
        <v>687</v>
      </c>
      <c r="Q44" s="300">
        <v>41.771000000000001</v>
      </c>
      <c r="R44" s="301">
        <v>3.7000000000000002E-3</v>
      </c>
      <c r="S44" s="310"/>
      <c r="T44" s="310"/>
      <c r="U44" s="310"/>
      <c r="V44" s="310"/>
      <c r="W44" s="310"/>
      <c r="X44" s="310"/>
      <c r="Y44" s="310"/>
      <c r="Z44" s="310"/>
      <c r="AA44" s="1817" t="s">
        <v>688</v>
      </c>
      <c r="AB44" s="1817"/>
      <c r="AC44" s="1817"/>
      <c r="AD44" s="1817"/>
      <c r="AE44" s="1817"/>
      <c r="AF44" s="1817"/>
      <c r="AG44" s="1817"/>
      <c r="AH44" s="1817"/>
      <c r="AI44" s="1817"/>
      <c r="AJ44" s="1817"/>
      <c r="AK44" s="1817"/>
      <c r="AL44" s="1817"/>
      <c r="AM44" s="310"/>
      <c r="AN44" s="310"/>
      <c r="AO44" s="290"/>
      <c r="AP44" s="290"/>
      <c r="AQ44" s="290"/>
      <c r="AR44" s="314" t="s">
        <v>673</v>
      </c>
      <c r="AS44" s="309">
        <v>4</v>
      </c>
      <c r="AT44" s="309">
        <v>1.3</v>
      </c>
      <c r="AU44" s="310"/>
      <c r="AV44" s="310"/>
      <c r="AW44" s="310"/>
      <c r="AX44" s="310"/>
      <c r="AY44" s="310"/>
      <c r="AZ44" s="310"/>
    </row>
    <row r="45" spans="1:52" x14ac:dyDescent="0.25">
      <c r="A45" s="290"/>
      <c r="B45" s="1899" t="s">
        <v>1259</v>
      </c>
      <c r="C45" s="1896" t="s">
        <v>1261</v>
      </c>
      <c r="D45" s="1896"/>
      <c r="E45" s="1896"/>
      <c r="F45" s="1896"/>
      <c r="G45" s="1896"/>
      <c r="H45" s="1896"/>
      <c r="I45" s="1896"/>
      <c r="J45" s="1896"/>
      <c r="K45" s="1896"/>
      <c r="L45" s="28">
        <f t="shared" si="1"/>
        <v>0</v>
      </c>
      <c r="M45" s="290"/>
      <c r="N45" s="290"/>
      <c r="O45" s="290"/>
      <c r="P45" s="328" t="s">
        <v>743</v>
      </c>
      <c r="Q45" s="328" t="s">
        <v>744</v>
      </c>
      <c r="R45" s="329">
        <v>1612437</v>
      </c>
      <c r="S45" s="330">
        <v>257.60000000000002</v>
      </c>
      <c r="T45" s="330">
        <v>50.3</v>
      </c>
      <c r="U45" s="337">
        <v>128.80000000000001</v>
      </c>
      <c r="V45" s="329">
        <v>415398849</v>
      </c>
      <c r="W45" s="329">
        <v>207699424</v>
      </c>
      <c r="X45" s="329">
        <v>762256888</v>
      </c>
      <c r="Y45" s="290"/>
      <c r="Z45" s="290"/>
      <c r="AA45" s="296"/>
      <c r="AB45" s="303" t="s">
        <v>671</v>
      </c>
      <c r="AC45" s="314">
        <v>1.2</v>
      </c>
      <c r="AD45" s="1816"/>
      <c r="AE45" s="1816"/>
      <c r="AF45" s="1816"/>
      <c r="AG45" s="314"/>
      <c r="AH45" s="314"/>
      <c r="AI45" s="1816">
        <v>1</v>
      </c>
      <c r="AJ45" s="1816"/>
      <c r="AK45" s="314"/>
      <c r="AL45" s="290"/>
      <c r="AM45" s="290"/>
      <c r="AN45" s="290"/>
      <c r="AO45" s="290"/>
      <c r="AP45" s="290"/>
      <c r="AQ45" s="290"/>
      <c r="AR45" s="290"/>
      <c r="AS45" s="290"/>
      <c r="AT45" s="290"/>
      <c r="AU45" s="290"/>
      <c r="AV45" s="290"/>
      <c r="AW45" s="290"/>
      <c r="AX45" s="290"/>
      <c r="AY45" s="290"/>
      <c r="AZ45" s="290"/>
    </row>
    <row r="46" spans="1:52" ht="24.95" customHeight="1" x14ac:dyDescent="0.25">
      <c r="A46" s="290"/>
      <c r="B46" s="1900"/>
      <c r="C46" s="1332"/>
      <c r="D46" s="1332"/>
      <c r="E46" s="1124" t="e">
        <f t="shared" ref="E46:E51" si="13">VLOOKUP($C46,$AX$72:$BH$102,2,FALSE)</f>
        <v>#N/A</v>
      </c>
      <c r="F46" s="1887" t="e">
        <f t="shared" ref="F46:F51" si="14">D46*E46</f>
        <v>#N/A</v>
      </c>
      <c r="G46" s="1887"/>
      <c r="H46" s="1125"/>
      <c r="I46" s="1126"/>
      <c r="J46" s="1127">
        <f t="shared" ref="J46:J51" si="15">IF(D46&gt;0,F46*(44/12),0)</f>
        <v>0</v>
      </c>
      <c r="K46" s="1128">
        <f t="shared" ref="K46:K51" si="16">IF(D46&gt;0,VLOOKUP($C46,$AX$72:$BH$102,3,FALSE),0)</f>
        <v>0</v>
      </c>
      <c r="L46" s="28">
        <f t="shared" si="1"/>
        <v>0</v>
      </c>
      <c r="M46" s="310"/>
      <c r="N46" s="310"/>
      <c r="O46" s="310"/>
      <c r="P46" s="322" t="s">
        <v>745</v>
      </c>
      <c r="Q46" s="322" t="s">
        <v>746</v>
      </c>
      <c r="R46" s="324">
        <v>1627172</v>
      </c>
      <c r="S46" s="323">
        <v>255.2</v>
      </c>
      <c r="T46" s="323">
        <v>20.100000000000001</v>
      </c>
      <c r="U46" s="336">
        <v>127.6</v>
      </c>
      <c r="V46" s="324">
        <v>415333913</v>
      </c>
      <c r="W46" s="324">
        <v>207666956</v>
      </c>
      <c r="X46" s="324">
        <v>762137730</v>
      </c>
      <c r="Y46" s="290"/>
      <c r="Z46" s="290"/>
      <c r="AA46" s="296"/>
      <c r="AB46" s="303" t="s">
        <v>673</v>
      </c>
      <c r="AC46" s="339">
        <v>2.6</v>
      </c>
      <c r="AD46" s="1897"/>
      <c r="AE46" s="1897"/>
      <c r="AF46" s="1897"/>
      <c r="AG46" s="340"/>
      <c r="AH46" s="340"/>
      <c r="AI46" s="1816">
        <v>2</v>
      </c>
      <c r="AJ46" s="1816"/>
      <c r="AK46" s="340"/>
      <c r="AL46" s="310"/>
      <c r="AM46" s="310"/>
      <c r="AN46" s="310"/>
      <c r="AO46" s="310"/>
      <c r="AP46" s="310"/>
      <c r="AQ46" s="310"/>
      <c r="AR46" s="310"/>
      <c r="AS46" s="310"/>
      <c r="AT46" s="310"/>
      <c r="AU46" s="310"/>
      <c r="AV46" s="310"/>
      <c r="AW46" s="310"/>
      <c r="AX46" s="310"/>
      <c r="AY46" s="310"/>
      <c r="AZ46" s="310"/>
    </row>
    <row r="47" spans="1:52" ht="24.95" customHeight="1" x14ac:dyDescent="0.25">
      <c r="A47" s="290"/>
      <c r="B47" s="1900"/>
      <c r="C47" s="1332"/>
      <c r="D47" s="1334"/>
      <c r="E47" s="1124" t="e">
        <f t="shared" si="13"/>
        <v>#N/A</v>
      </c>
      <c r="F47" s="1887" t="e">
        <f t="shared" si="14"/>
        <v>#N/A</v>
      </c>
      <c r="G47" s="1887"/>
      <c r="H47" s="1125"/>
      <c r="I47" s="1126"/>
      <c r="J47" s="1127">
        <f t="shared" si="15"/>
        <v>0</v>
      </c>
      <c r="K47" s="1128">
        <f t="shared" si="16"/>
        <v>0</v>
      </c>
      <c r="L47" s="28">
        <f t="shared" si="1"/>
        <v>0</v>
      </c>
      <c r="M47" s="310"/>
      <c r="N47" s="310"/>
      <c r="O47" s="310"/>
      <c r="P47" s="322" t="s">
        <v>747</v>
      </c>
      <c r="Q47" s="322" t="s">
        <v>748</v>
      </c>
      <c r="R47" s="324">
        <v>1051385</v>
      </c>
      <c r="S47" s="323">
        <v>125.5</v>
      </c>
      <c r="T47" s="323">
        <v>22</v>
      </c>
      <c r="U47" s="336">
        <v>62.7</v>
      </c>
      <c r="V47" s="324">
        <v>131914445</v>
      </c>
      <c r="W47" s="324">
        <v>65957223</v>
      </c>
      <c r="X47" s="324">
        <v>242063007</v>
      </c>
      <c r="Y47" s="310"/>
      <c r="Z47" s="310"/>
      <c r="AA47" s="1826" t="s">
        <v>749</v>
      </c>
      <c r="AB47" s="1826"/>
      <c r="AC47" s="1826"/>
      <c r="AD47" s="1826"/>
      <c r="AE47" s="1826"/>
      <c r="AF47" s="1826"/>
      <c r="AG47" s="1826"/>
      <c r="AH47" s="1826"/>
      <c r="AI47" s="1826"/>
      <c r="AJ47" s="1826"/>
      <c r="AK47" s="1826"/>
      <c r="AL47" s="310"/>
      <c r="AM47" s="310"/>
      <c r="AN47" s="310"/>
      <c r="AO47" s="310"/>
      <c r="AP47" s="310"/>
      <c r="AQ47" s="310"/>
      <c r="AR47" s="310"/>
      <c r="AS47" s="310"/>
      <c r="AT47" s="310"/>
      <c r="AU47" s="310"/>
      <c r="AV47" s="310"/>
      <c r="AW47" s="310"/>
      <c r="AX47" s="310"/>
      <c r="AY47" s="310"/>
      <c r="AZ47" s="310"/>
    </row>
    <row r="48" spans="1:52" s="312" customFormat="1" ht="15" customHeight="1" x14ac:dyDescent="0.25">
      <c r="A48" s="290"/>
      <c r="B48" s="1900"/>
      <c r="C48" s="1332"/>
      <c r="D48" s="1332"/>
      <c r="E48" s="1124" t="e">
        <f t="shared" si="13"/>
        <v>#N/A</v>
      </c>
      <c r="F48" s="1887" t="e">
        <f t="shared" si="14"/>
        <v>#N/A</v>
      </c>
      <c r="G48" s="1887"/>
      <c r="H48" s="1125"/>
      <c r="I48" s="1126"/>
      <c r="J48" s="1127">
        <f t="shared" si="15"/>
        <v>0</v>
      </c>
      <c r="K48" s="1128">
        <f t="shared" si="16"/>
        <v>0</v>
      </c>
      <c r="L48" s="28">
        <f t="shared" si="1"/>
        <v>0</v>
      </c>
      <c r="M48" s="290"/>
      <c r="N48" s="290"/>
      <c r="O48" s="290"/>
      <c r="P48" s="1834" t="s">
        <v>750</v>
      </c>
      <c r="Q48" s="1834"/>
      <c r="R48" s="1834"/>
      <c r="S48" s="1834"/>
      <c r="T48" s="1834"/>
      <c r="U48" s="1834"/>
      <c r="V48" s="1834"/>
      <c r="W48" s="1834"/>
      <c r="X48" s="1834"/>
      <c r="Y48" s="310"/>
      <c r="Z48" s="310"/>
      <c r="AA48" s="1826" t="s">
        <v>751</v>
      </c>
      <c r="AB48" s="1826"/>
      <c r="AC48" s="1826"/>
      <c r="AD48" s="1826"/>
      <c r="AE48" s="1826"/>
      <c r="AF48" s="1826"/>
      <c r="AG48" s="1826"/>
      <c r="AH48" s="1826"/>
      <c r="AI48" s="1826"/>
      <c r="AJ48" s="1826"/>
      <c r="AK48" s="1826"/>
      <c r="AL48" s="290"/>
      <c r="AM48" s="290"/>
      <c r="AN48" s="290"/>
      <c r="AO48" s="290"/>
      <c r="AP48" s="290"/>
      <c r="AQ48" s="290"/>
      <c r="AR48" s="290"/>
      <c r="AS48" s="290"/>
      <c r="AT48" s="290"/>
      <c r="AU48" s="290"/>
      <c r="AV48" s="290"/>
      <c r="AW48" s="290"/>
      <c r="AX48" s="290"/>
      <c r="AY48" s="290"/>
      <c r="AZ48" s="290"/>
    </row>
    <row r="49" spans="1:52" s="312" customFormat="1" ht="18" customHeight="1" x14ac:dyDescent="0.25">
      <c r="A49" s="290"/>
      <c r="B49" s="1900"/>
      <c r="C49" s="1332"/>
      <c r="D49" s="1332"/>
      <c r="E49" s="1124" t="e">
        <f t="shared" si="13"/>
        <v>#N/A</v>
      </c>
      <c r="F49" s="1887" t="e">
        <f t="shared" si="14"/>
        <v>#N/A</v>
      </c>
      <c r="G49" s="1887"/>
      <c r="H49" s="1125"/>
      <c r="I49" s="1126"/>
      <c r="J49" s="1127">
        <f t="shared" si="15"/>
        <v>0</v>
      </c>
      <c r="K49" s="1128">
        <f t="shared" si="16"/>
        <v>0</v>
      </c>
      <c r="L49" s="28">
        <f t="shared" si="1"/>
        <v>0</v>
      </c>
      <c r="M49" s="290"/>
      <c r="N49" s="290"/>
      <c r="O49" s="290"/>
      <c r="P49" s="290"/>
      <c r="Q49" s="290"/>
      <c r="R49" s="290"/>
      <c r="S49" s="290"/>
      <c r="T49" s="290"/>
      <c r="U49" s="290"/>
      <c r="V49" s="290"/>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row>
    <row r="50" spans="1:52" ht="18" customHeight="1" x14ac:dyDescent="0.25">
      <c r="A50" s="290"/>
      <c r="B50" s="1900"/>
      <c r="C50" s="1332"/>
      <c r="D50" s="1335"/>
      <c r="E50" s="1124" t="e">
        <f t="shared" si="13"/>
        <v>#N/A</v>
      </c>
      <c r="F50" s="1887" t="e">
        <f t="shared" si="14"/>
        <v>#N/A</v>
      </c>
      <c r="G50" s="1887"/>
      <c r="H50" s="1125"/>
      <c r="I50" s="1126"/>
      <c r="J50" s="1127">
        <f t="shared" si="15"/>
        <v>0</v>
      </c>
      <c r="K50" s="1128">
        <f t="shared" si="16"/>
        <v>0</v>
      </c>
      <c r="L50" s="28">
        <f t="shared" si="1"/>
        <v>0</v>
      </c>
      <c r="M50" s="290"/>
      <c r="N50" s="290"/>
      <c r="O50" s="290"/>
      <c r="P50" s="290"/>
      <c r="Q50" s="290"/>
      <c r="R50" s="290"/>
      <c r="S50" s="290"/>
      <c r="T50" s="290"/>
      <c r="U50" s="290"/>
      <c r="V50" s="290"/>
      <c r="W50" s="290"/>
      <c r="X50" s="290"/>
      <c r="Y50" s="290"/>
      <c r="Z50" s="290"/>
      <c r="AA50" s="290"/>
      <c r="AB50" s="290"/>
      <c r="AC50" s="290"/>
      <c r="AD50" s="290"/>
      <c r="AE50" s="290"/>
      <c r="AF50" s="290"/>
      <c r="AG50" s="290"/>
      <c r="AH50" s="290"/>
      <c r="AI50" s="290"/>
      <c r="AJ50" s="290"/>
      <c r="AK50" s="290"/>
      <c r="AL50" s="290"/>
      <c r="AM50" s="290"/>
      <c r="AN50" s="290"/>
      <c r="AO50" s="290"/>
      <c r="AP50" s="290"/>
      <c r="AQ50" s="290"/>
      <c r="AR50" s="290"/>
      <c r="AS50" s="290"/>
      <c r="AT50" s="290"/>
      <c r="AU50" s="290"/>
      <c r="AV50" s="290"/>
      <c r="AW50" s="290"/>
      <c r="AX50" s="290"/>
      <c r="AY50" s="290"/>
      <c r="AZ50" s="290"/>
    </row>
    <row r="51" spans="1:52" ht="18" customHeight="1" x14ac:dyDescent="0.25">
      <c r="A51" s="290"/>
      <c r="B51" s="1900"/>
      <c r="C51" s="1332"/>
      <c r="D51" s="1335"/>
      <c r="E51" s="1124" t="e">
        <f t="shared" si="13"/>
        <v>#N/A</v>
      </c>
      <c r="F51" s="1887" t="e">
        <f t="shared" si="14"/>
        <v>#N/A</v>
      </c>
      <c r="G51" s="1887"/>
      <c r="H51" s="1125"/>
      <c r="I51" s="1126"/>
      <c r="J51" s="1127">
        <f t="shared" si="15"/>
        <v>0</v>
      </c>
      <c r="K51" s="1128">
        <f t="shared" si="16"/>
        <v>0</v>
      </c>
      <c r="L51" s="28">
        <f t="shared" si="1"/>
        <v>0</v>
      </c>
      <c r="M51" s="290"/>
      <c r="N51" s="290"/>
      <c r="O51" s="290"/>
      <c r="P51" s="290"/>
      <c r="Q51" s="290"/>
      <c r="R51" s="290"/>
      <c r="S51" s="290"/>
      <c r="T51" s="290"/>
      <c r="U51" s="290"/>
      <c r="V51" s="290"/>
      <c r="W51" s="290"/>
      <c r="X51" s="290"/>
      <c r="Y51" s="290"/>
      <c r="Z51" s="290"/>
      <c r="AA51" s="1848" t="s">
        <v>752</v>
      </c>
      <c r="AB51" s="1848"/>
      <c r="AC51" s="1848"/>
      <c r="AD51" s="1848"/>
      <c r="AE51" s="1848"/>
      <c r="AF51" s="1848"/>
      <c r="AG51" s="1848"/>
      <c r="AH51" s="1848"/>
      <c r="AI51" s="1848"/>
      <c r="AJ51" s="290"/>
      <c r="AK51" s="290"/>
      <c r="AL51" s="290"/>
      <c r="AM51" s="290"/>
      <c r="AN51" s="290"/>
      <c r="AO51" s="290"/>
      <c r="AP51" s="290"/>
      <c r="AQ51" s="290"/>
      <c r="AR51" s="290"/>
      <c r="AS51" s="290"/>
      <c r="AT51" s="290"/>
      <c r="AU51" s="290"/>
      <c r="AV51" s="290"/>
      <c r="AW51" s="290"/>
      <c r="AX51" s="290"/>
      <c r="AY51" s="290"/>
      <c r="AZ51" s="290"/>
    </row>
    <row r="52" spans="1:52" ht="45" customHeight="1" x14ac:dyDescent="0.25">
      <c r="A52" s="290"/>
      <c r="B52" s="1901"/>
      <c r="C52" s="1120" t="s">
        <v>719</v>
      </c>
      <c r="D52" s="1121">
        <f>SUM(D46:D48)</f>
        <v>0</v>
      </c>
      <c r="E52" s="1121"/>
      <c r="F52" s="1902"/>
      <c r="G52" s="1902"/>
      <c r="H52" s="1122"/>
      <c r="I52" s="1122"/>
      <c r="J52" s="1121">
        <f>SUM(J46:J51)</f>
        <v>0</v>
      </c>
      <c r="K52" s="1123">
        <f>IF(J52&gt;0,SQRT(SUM(L46:L51))/J52,0)</f>
        <v>0</v>
      </c>
      <c r="L52" s="28">
        <f t="shared" si="1"/>
        <v>0</v>
      </c>
      <c r="M52" s="290"/>
      <c r="N52" s="290"/>
      <c r="O52" s="290"/>
      <c r="P52" s="290" t="s">
        <v>753</v>
      </c>
      <c r="Q52" s="290"/>
      <c r="R52" s="290"/>
      <c r="S52" s="290"/>
      <c r="T52" s="290"/>
      <c r="U52" s="290"/>
      <c r="V52" s="290"/>
      <c r="W52" s="290"/>
      <c r="X52" s="290"/>
      <c r="Y52" s="290"/>
      <c r="Z52" s="290"/>
      <c r="AA52" s="1904" t="s">
        <v>754</v>
      </c>
      <c r="AB52" s="1904"/>
      <c r="AC52" s="1904"/>
      <c r="AD52" s="1904"/>
      <c r="AE52" s="1904"/>
      <c r="AF52" s="1904"/>
      <c r="AG52" s="1904"/>
      <c r="AH52" s="1904"/>
      <c r="AI52" s="1904"/>
      <c r="AJ52" s="290"/>
      <c r="AK52" s="290"/>
      <c r="AL52" s="290"/>
      <c r="AM52" s="290"/>
      <c r="AN52" s="290"/>
      <c r="AO52" s="290"/>
      <c r="AP52" s="290"/>
      <c r="AQ52" s="290"/>
      <c r="AR52" s="290"/>
      <c r="AS52" s="290"/>
      <c r="AT52" s="290"/>
      <c r="AU52" s="290"/>
      <c r="AV52" s="290"/>
      <c r="AW52" s="290"/>
      <c r="AX52" s="290"/>
      <c r="AY52" s="290"/>
      <c r="AZ52" s="290"/>
    </row>
    <row r="53" spans="1:52" ht="39" customHeight="1" x14ac:dyDescent="0.25">
      <c r="A53" s="290"/>
      <c r="B53" s="1894" t="s">
        <v>1260</v>
      </c>
      <c r="C53" s="1895"/>
      <c r="D53" s="1895"/>
      <c r="E53" s="1895"/>
      <c r="F53" s="1895"/>
      <c r="G53" s="1895"/>
      <c r="H53" s="1895"/>
      <c r="I53" s="1895"/>
      <c r="J53" s="1191">
        <f>J52</f>
        <v>0</v>
      </c>
      <c r="K53" s="1192">
        <f>K52</f>
        <v>0</v>
      </c>
      <c r="L53" s="28">
        <f t="shared" si="1"/>
        <v>0</v>
      </c>
      <c r="M53" s="290"/>
      <c r="N53" s="290"/>
      <c r="O53" s="290"/>
      <c r="P53" s="343" t="s">
        <v>756</v>
      </c>
      <c r="Q53" s="1859" t="s">
        <v>757</v>
      </c>
      <c r="R53" s="1860"/>
      <c r="S53" s="344" t="s">
        <v>758</v>
      </c>
      <c r="T53" s="345" t="s">
        <v>759</v>
      </c>
      <c r="U53" s="346" t="s">
        <v>760</v>
      </c>
      <c r="V53" s="346" t="s">
        <v>761</v>
      </c>
      <c r="W53" s="346" t="s">
        <v>762</v>
      </c>
      <c r="X53" s="347" t="s">
        <v>763</v>
      </c>
      <c r="Y53" s="290"/>
      <c r="Z53" s="290"/>
      <c r="AA53" s="1848" t="s">
        <v>764</v>
      </c>
      <c r="AB53" s="1848"/>
      <c r="AC53" s="1848"/>
      <c r="AD53" s="1848"/>
      <c r="AE53" s="1848"/>
      <c r="AF53" s="1848"/>
      <c r="AG53" s="1848"/>
      <c r="AH53" s="1848"/>
      <c r="AI53" s="1848"/>
      <c r="AJ53" s="290"/>
      <c r="AK53" s="290"/>
      <c r="AL53" s="290"/>
      <c r="AM53" s="290"/>
      <c r="AN53" s="290"/>
      <c r="AO53" s="290"/>
      <c r="AP53" s="290"/>
      <c r="AQ53" s="290"/>
      <c r="AR53" s="290"/>
      <c r="AS53" s="290"/>
      <c r="AT53" s="290"/>
      <c r="AU53" s="290"/>
      <c r="AV53" s="290"/>
      <c r="AW53" s="290"/>
      <c r="AX53" s="290"/>
      <c r="AY53" s="290"/>
      <c r="AZ53" s="290"/>
    </row>
    <row r="54" spans="1:52" ht="39" customHeight="1" x14ac:dyDescent="0.25">
      <c r="A54" s="290"/>
      <c r="B54" s="1907"/>
      <c r="C54" s="1908"/>
      <c r="D54" s="1908"/>
      <c r="E54" s="1908"/>
      <c r="F54" s="1908"/>
      <c r="G54" s="1908"/>
      <c r="H54" s="1908"/>
      <c r="I54" s="1908"/>
      <c r="J54" s="1908"/>
      <c r="K54" s="1909"/>
      <c r="L54" s="28"/>
      <c r="M54" s="290"/>
      <c r="N54" s="290"/>
      <c r="O54" s="290"/>
      <c r="P54" s="1237"/>
      <c r="Q54" s="1237"/>
      <c r="R54" s="1237"/>
      <c r="S54" s="1238"/>
      <c r="T54" s="1238"/>
      <c r="U54" s="1239"/>
      <c r="V54" s="1239"/>
      <c r="W54" s="1239"/>
      <c r="X54" s="1239"/>
      <c r="Y54" s="290"/>
      <c r="Z54" s="290"/>
      <c r="AA54" s="1234"/>
      <c r="AB54" s="1234"/>
      <c r="AC54" s="1234"/>
      <c r="AD54" s="1234"/>
      <c r="AE54" s="1234"/>
      <c r="AF54" s="1234"/>
      <c r="AG54" s="1234"/>
      <c r="AH54" s="1234"/>
      <c r="AI54" s="1234"/>
      <c r="AJ54" s="290"/>
      <c r="AK54" s="290"/>
      <c r="AL54" s="290"/>
      <c r="AM54" s="290"/>
      <c r="AN54" s="290"/>
      <c r="AO54" s="290"/>
      <c r="AP54" s="290"/>
      <c r="AQ54" s="290"/>
      <c r="AR54" s="290"/>
      <c r="AS54" s="290"/>
      <c r="AT54" s="290"/>
      <c r="AU54" s="290"/>
      <c r="AV54" s="290"/>
      <c r="AW54" s="290"/>
      <c r="AX54" s="290"/>
      <c r="AY54" s="290"/>
      <c r="AZ54" s="290"/>
    </row>
    <row r="55" spans="1:52" ht="39" customHeight="1" x14ac:dyDescent="0.25">
      <c r="A55" s="290"/>
      <c r="B55" s="1905" t="s">
        <v>1389</v>
      </c>
      <c r="C55" s="1906"/>
      <c r="D55" s="1906"/>
      <c r="E55" s="1906"/>
      <c r="F55" s="1906"/>
      <c r="G55" s="1906"/>
      <c r="H55" s="1906"/>
      <c r="I55" s="1906"/>
      <c r="J55" s="1193">
        <f>J41+J53</f>
        <v>0</v>
      </c>
      <c r="K55" s="1194">
        <f>IF(J55&gt;0,(SQRT(L41+L53))/J55,0)</f>
        <v>0</v>
      </c>
      <c r="L55" s="28">
        <f t="shared" si="1"/>
        <v>0</v>
      </c>
      <c r="M55" s="290"/>
      <c r="N55" s="290"/>
      <c r="O55" s="290"/>
      <c r="P55" s="343" t="s">
        <v>756</v>
      </c>
      <c r="Q55" s="1859" t="s">
        <v>757</v>
      </c>
      <c r="R55" s="1860"/>
      <c r="S55" s="344" t="s">
        <v>758</v>
      </c>
      <c r="T55" s="345" t="s">
        <v>759</v>
      </c>
      <c r="U55" s="346" t="s">
        <v>760</v>
      </c>
      <c r="V55" s="346" t="s">
        <v>761</v>
      </c>
      <c r="W55" s="346" t="s">
        <v>762</v>
      </c>
      <c r="X55" s="347" t="s">
        <v>763</v>
      </c>
      <c r="Y55" s="290"/>
      <c r="Z55" s="290"/>
      <c r="AA55" s="1848" t="s">
        <v>764</v>
      </c>
      <c r="AB55" s="1848"/>
      <c r="AC55" s="1848"/>
      <c r="AD55" s="1848"/>
      <c r="AE55" s="1848"/>
      <c r="AF55" s="1848"/>
      <c r="AG55" s="1848"/>
      <c r="AH55" s="1848"/>
      <c r="AI55" s="1848"/>
      <c r="AJ55" s="290"/>
      <c r="AK55" s="290"/>
      <c r="AL55" s="290"/>
      <c r="AM55" s="290"/>
      <c r="AN55" s="290"/>
      <c r="AO55" s="290"/>
      <c r="AP55" s="290"/>
      <c r="AQ55" s="290"/>
      <c r="AR55" s="290"/>
      <c r="AS55" s="290"/>
      <c r="AT55" s="290"/>
      <c r="AU55" s="290"/>
      <c r="AV55" s="290"/>
      <c r="AW55" s="290"/>
      <c r="AX55" s="290"/>
      <c r="AY55" s="290"/>
      <c r="AZ55" s="290"/>
    </row>
    <row r="56" spans="1:52" x14ac:dyDescent="0.25">
      <c r="A56" s="290"/>
      <c r="B56" s="290"/>
      <c r="C56" s="290"/>
      <c r="D56" s="290"/>
      <c r="E56" s="290"/>
      <c r="F56" s="290"/>
      <c r="G56" s="290"/>
      <c r="H56" s="290"/>
      <c r="I56" s="290"/>
      <c r="J56" s="290"/>
      <c r="K56" s="290"/>
      <c r="L56" s="28">
        <f t="shared" si="1"/>
        <v>0</v>
      </c>
      <c r="M56" s="290"/>
      <c r="N56" s="290"/>
      <c r="O56" s="290"/>
      <c r="P56" s="348" t="s">
        <v>765</v>
      </c>
      <c r="Q56" s="1839" t="s">
        <v>716</v>
      </c>
      <c r="R56" s="1840"/>
      <c r="S56" s="349">
        <v>5488.7</v>
      </c>
      <c r="T56" s="350">
        <v>96.2</v>
      </c>
      <c r="U56" s="349">
        <v>527896.1</v>
      </c>
      <c r="V56" s="350">
        <v>48.1</v>
      </c>
      <c r="W56" s="349">
        <v>263948.09999999998</v>
      </c>
      <c r="X56" s="349">
        <v>968689.4</v>
      </c>
      <c r="Y56" s="290"/>
      <c r="Z56" s="290"/>
      <c r="AA56" s="1847" t="s">
        <v>766</v>
      </c>
      <c r="AB56" s="1847"/>
      <c r="AC56" s="1847"/>
      <c r="AD56" s="1847"/>
      <c r="AE56" s="1847"/>
      <c r="AF56" s="1847"/>
      <c r="AG56" s="1847"/>
      <c r="AH56" s="1847"/>
      <c r="AI56" s="1847"/>
      <c r="AJ56" s="290"/>
      <c r="AK56" s="290"/>
      <c r="AL56" s="290"/>
      <c r="AM56" s="290"/>
      <c r="AN56" s="290"/>
      <c r="AO56" s="290"/>
      <c r="AP56" s="290"/>
      <c r="AQ56" s="290"/>
      <c r="AR56" s="290"/>
      <c r="AS56" s="290"/>
      <c r="AT56" s="290"/>
      <c r="AU56" s="290"/>
      <c r="AV56" s="290"/>
      <c r="AW56" s="290"/>
      <c r="AX56" s="290"/>
      <c r="AY56" s="290"/>
      <c r="AZ56" s="290"/>
    </row>
    <row r="57" spans="1:52" x14ac:dyDescent="0.25">
      <c r="A57" s="290"/>
      <c r="B57" s="351" t="s">
        <v>656</v>
      </c>
      <c r="C57" s="290"/>
      <c r="D57" s="351" t="s">
        <v>122</v>
      </c>
      <c r="E57" s="351"/>
      <c r="F57" s="290"/>
      <c r="G57" s="290"/>
      <c r="H57" s="290"/>
      <c r="I57" s="290"/>
      <c r="J57" s="290"/>
      <c r="K57" s="351" t="s">
        <v>657</v>
      </c>
      <c r="L57" s="290"/>
      <c r="M57" s="290"/>
      <c r="N57" s="290"/>
      <c r="O57" s="290"/>
      <c r="P57" s="348" t="s">
        <v>765</v>
      </c>
      <c r="Q57" s="1830" t="s">
        <v>720</v>
      </c>
      <c r="R57" s="1831"/>
      <c r="S57" s="352">
        <v>39472439.899999999</v>
      </c>
      <c r="T57" s="353">
        <v>258.89999999999998</v>
      </c>
      <c r="U57" s="352">
        <v>10218406273.9</v>
      </c>
      <c r="V57" s="353">
        <v>129.4</v>
      </c>
      <c r="W57" s="352">
        <v>5109203136.8999996</v>
      </c>
      <c r="X57" s="352">
        <v>18750775512.599998</v>
      </c>
      <c r="Y57" s="290"/>
      <c r="Z57" s="290"/>
      <c r="AA57" s="1817" t="s">
        <v>767</v>
      </c>
      <c r="AB57" s="1817"/>
      <c r="AC57" s="1817"/>
      <c r="AD57" s="1817"/>
      <c r="AE57" s="1817"/>
      <c r="AF57" s="1817"/>
      <c r="AG57" s="1817"/>
      <c r="AH57" s="1817"/>
      <c r="AI57" s="1817"/>
      <c r="AJ57" s="290"/>
      <c r="AK57" s="290"/>
      <c r="AL57" s="290"/>
      <c r="AM57" s="290"/>
      <c r="AN57" s="290"/>
      <c r="AO57" s="290"/>
      <c r="AP57" s="290"/>
      <c r="AQ57" s="290"/>
      <c r="AR57" s="290"/>
      <c r="AS57" s="290"/>
      <c r="AT57" s="290"/>
      <c r="AU57" s="290"/>
      <c r="AV57" s="290"/>
      <c r="AW57" s="290"/>
      <c r="AX57" s="290"/>
      <c r="AY57" s="290"/>
      <c r="AZ57" s="290"/>
    </row>
    <row r="58" spans="1:52" x14ac:dyDescent="0.25">
      <c r="A58" s="290"/>
      <c r="B58" s="290"/>
      <c r="C58" s="290"/>
      <c r="D58" s="290"/>
      <c r="E58" s="290"/>
      <c r="F58" s="290"/>
      <c r="G58" s="290"/>
      <c r="H58" s="290"/>
      <c r="I58" s="290"/>
      <c r="J58" s="290"/>
      <c r="K58" s="290"/>
      <c r="L58" s="290"/>
      <c r="M58" s="290"/>
      <c r="N58" s="290"/>
      <c r="O58" s="290"/>
      <c r="P58" s="348" t="s">
        <v>765</v>
      </c>
      <c r="Q58" s="1839" t="s">
        <v>724</v>
      </c>
      <c r="R58" s="1840"/>
      <c r="S58" s="349">
        <v>598747.30000000005</v>
      </c>
      <c r="T58" s="350">
        <v>164.1</v>
      </c>
      <c r="U58" s="349">
        <v>98253243</v>
      </c>
      <c r="V58" s="350">
        <v>82</v>
      </c>
      <c r="W58" s="349">
        <v>49126621.5</v>
      </c>
      <c r="X58" s="349">
        <v>180294700.90000001</v>
      </c>
      <c r="Y58" s="290"/>
      <c r="Z58" s="290"/>
      <c r="AA58" s="1849" t="s">
        <v>692</v>
      </c>
      <c r="AB58" s="1849"/>
      <c r="AC58" s="1849"/>
      <c r="AD58" s="1849"/>
      <c r="AE58" s="1849"/>
      <c r="AF58" s="1849"/>
      <c r="AG58" s="1849"/>
      <c r="AH58" s="1849"/>
      <c r="AI58" s="1849"/>
      <c r="AJ58" s="290"/>
      <c r="AK58" s="290"/>
      <c r="AL58" s="290"/>
      <c r="AM58" s="290"/>
      <c r="AN58" s="290"/>
      <c r="AO58" s="290"/>
      <c r="AP58" s="290"/>
      <c r="AQ58" s="290"/>
      <c r="AR58" s="290"/>
      <c r="AS58" s="290"/>
      <c r="AT58" s="290"/>
      <c r="AU58" s="290"/>
      <c r="AV58" s="290"/>
      <c r="AW58" s="290"/>
      <c r="AX58" s="290"/>
      <c r="AY58" s="290"/>
      <c r="AZ58" s="290"/>
    </row>
    <row r="59" spans="1:52" x14ac:dyDescent="0.25">
      <c r="A59" s="290"/>
      <c r="B59" s="354" t="s">
        <v>768</v>
      </c>
      <c r="C59" s="1853" t="s">
        <v>769</v>
      </c>
      <c r="D59" s="1853"/>
      <c r="E59" s="436"/>
      <c r="F59" s="290"/>
      <c r="G59" s="290"/>
      <c r="H59" s="290"/>
      <c r="I59" s="290"/>
      <c r="J59" s="290"/>
      <c r="K59" s="290"/>
      <c r="L59" s="290"/>
      <c r="M59" s="290"/>
      <c r="N59" s="290"/>
      <c r="O59" s="290"/>
      <c r="P59" s="348" t="s">
        <v>765</v>
      </c>
      <c r="Q59" s="1830" t="s">
        <v>736</v>
      </c>
      <c r="R59" s="1831"/>
      <c r="S59" s="352">
        <v>58123.9</v>
      </c>
      <c r="T59" s="353">
        <v>191.4</v>
      </c>
      <c r="U59" s="352">
        <v>11127457.800000001</v>
      </c>
      <c r="V59" s="353">
        <v>95.7</v>
      </c>
      <c r="W59" s="352">
        <v>5563728.9000000004</v>
      </c>
      <c r="X59" s="352">
        <v>20418885</v>
      </c>
      <c r="Y59" s="290"/>
      <c r="Z59" s="290"/>
      <c r="AA59" s="1817"/>
      <c r="AB59" s="302"/>
      <c r="AC59" s="302"/>
      <c r="AD59" s="302"/>
      <c r="AE59" s="1854" t="s">
        <v>665</v>
      </c>
      <c r="AF59" s="1854" t="s">
        <v>722</v>
      </c>
      <c r="AG59" s="302"/>
      <c r="AH59" s="302"/>
      <c r="AI59" s="302"/>
      <c r="AJ59" s="290"/>
      <c r="AK59" s="290"/>
      <c r="AL59" s="290"/>
      <c r="AM59" s="290"/>
      <c r="AN59" s="290"/>
      <c r="AO59" s="290"/>
      <c r="AP59" s="290"/>
      <c r="AQ59" s="290"/>
      <c r="AR59" s="290"/>
      <c r="AS59" s="290"/>
      <c r="AT59" s="290"/>
      <c r="AU59" s="290"/>
      <c r="AV59" s="290"/>
      <c r="AW59" s="290"/>
      <c r="AX59" s="290"/>
      <c r="AY59" s="290"/>
      <c r="AZ59" s="290"/>
    </row>
    <row r="60" spans="1:52" x14ac:dyDescent="0.25">
      <c r="A60" s="290"/>
      <c r="B60" s="356" t="s">
        <v>770</v>
      </c>
      <c r="C60" s="1850" t="s">
        <v>771</v>
      </c>
      <c r="D60" s="1850"/>
      <c r="E60" s="437"/>
      <c r="F60" s="290"/>
      <c r="G60" s="290"/>
      <c r="H60" s="290"/>
      <c r="I60" s="290"/>
      <c r="J60" s="290"/>
      <c r="K60" s="290"/>
      <c r="L60" s="290"/>
      <c r="M60" s="290"/>
      <c r="N60" s="290"/>
      <c r="O60" s="290"/>
      <c r="P60" s="348" t="s">
        <v>765</v>
      </c>
      <c r="Q60" s="1839" t="s">
        <v>739</v>
      </c>
      <c r="R60" s="1840"/>
      <c r="S60" s="350">
        <v>7.4</v>
      </c>
      <c r="T60" s="350">
        <v>213.5</v>
      </c>
      <c r="U60" s="349">
        <v>1573.1</v>
      </c>
      <c r="V60" s="350">
        <v>106.8</v>
      </c>
      <c r="W60" s="350">
        <v>786.5</v>
      </c>
      <c r="X60" s="349">
        <v>2886.6</v>
      </c>
      <c r="Y60" s="290"/>
      <c r="Z60" s="290"/>
      <c r="AA60" s="1817"/>
      <c r="AB60" s="302"/>
      <c r="AC60" s="302"/>
      <c r="AD60" s="292" t="s">
        <v>664</v>
      </c>
      <c r="AE60" s="1854"/>
      <c r="AF60" s="1854"/>
      <c r="AG60" s="292" t="s">
        <v>666</v>
      </c>
      <c r="AH60" s="295" t="s">
        <v>668</v>
      </c>
      <c r="AI60" s="295" t="s">
        <v>668</v>
      </c>
      <c r="AJ60" s="290"/>
      <c r="AK60" s="290"/>
      <c r="AL60" s="290"/>
      <c r="AM60" s="290"/>
      <c r="AN60" s="290"/>
      <c r="AO60" s="290"/>
      <c r="AP60" s="290"/>
      <c r="AQ60" s="290"/>
      <c r="AR60" s="290"/>
      <c r="AS60" s="290"/>
      <c r="AT60" s="290"/>
      <c r="AU60" s="290"/>
      <c r="AV60" s="290"/>
      <c r="AW60" s="290"/>
      <c r="AX60" s="290"/>
      <c r="AY60" s="290"/>
      <c r="AZ60" s="290"/>
    </row>
    <row r="61" spans="1:52" x14ac:dyDescent="0.25">
      <c r="A61" s="290"/>
      <c r="B61" s="356" t="s">
        <v>772</v>
      </c>
      <c r="C61" s="1850" t="s">
        <v>773</v>
      </c>
      <c r="D61" s="1850"/>
      <c r="E61" s="437"/>
      <c r="F61" s="290"/>
      <c r="G61" s="290"/>
      <c r="H61" s="290"/>
      <c r="I61" s="290"/>
      <c r="J61" s="290"/>
      <c r="K61" s="290"/>
      <c r="L61" s="290"/>
      <c r="M61" s="290"/>
      <c r="N61" s="290"/>
      <c r="O61" s="290"/>
      <c r="P61" s="348" t="s">
        <v>765</v>
      </c>
      <c r="Q61" s="1830" t="s">
        <v>745</v>
      </c>
      <c r="R61" s="1831"/>
      <c r="S61" s="352">
        <v>34129.699999999997</v>
      </c>
      <c r="T61" s="353">
        <v>255.2</v>
      </c>
      <c r="U61" s="352">
        <v>8711575.9000000004</v>
      </c>
      <c r="V61" s="353">
        <v>127.6</v>
      </c>
      <c r="W61" s="352">
        <v>4355787.9000000004</v>
      </c>
      <c r="X61" s="352">
        <v>15985741.699999999</v>
      </c>
      <c r="Y61" s="290"/>
      <c r="Z61" s="290"/>
      <c r="AA61" s="1817"/>
      <c r="AB61" s="293" t="s">
        <v>729</v>
      </c>
      <c r="AC61" s="293"/>
      <c r="AD61" s="302"/>
      <c r="AE61" s="1854"/>
      <c r="AF61" s="1854"/>
      <c r="AG61" s="302"/>
      <c r="AH61" s="295" t="s">
        <v>774</v>
      </c>
      <c r="AI61" s="292" t="s">
        <v>666</v>
      </c>
      <c r="AJ61" s="290"/>
      <c r="AK61" s="290"/>
      <c r="AL61" s="290"/>
      <c r="AM61" s="290"/>
      <c r="AN61" s="290"/>
      <c r="AO61" s="290"/>
      <c r="AP61" s="290"/>
      <c r="AQ61" s="290"/>
      <c r="AR61" s="290"/>
      <c r="AS61" s="290"/>
      <c r="AT61" s="290"/>
      <c r="AU61" s="290"/>
      <c r="AV61" s="290"/>
      <c r="AW61" s="290"/>
      <c r="AX61" s="290"/>
      <c r="AY61" s="290"/>
      <c r="AZ61" s="290"/>
    </row>
    <row r="62" spans="1:52" x14ac:dyDescent="0.25">
      <c r="A62" s="290"/>
      <c r="B62" s="357" t="s">
        <v>775</v>
      </c>
      <c r="C62" s="1850" t="s">
        <v>776</v>
      </c>
      <c r="D62" s="1850"/>
      <c r="E62" s="437"/>
      <c r="F62" s="290"/>
      <c r="G62" s="290"/>
      <c r="H62" s="290"/>
      <c r="I62" s="290"/>
      <c r="J62" s="290"/>
      <c r="K62" s="290"/>
      <c r="L62" s="290"/>
      <c r="M62" s="290"/>
      <c r="N62" s="290"/>
      <c r="O62" s="290"/>
      <c r="P62" s="348" t="s">
        <v>765</v>
      </c>
      <c r="Q62" s="1832" t="s">
        <v>118</v>
      </c>
      <c r="R62" s="1833"/>
      <c r="S62" s="358">
        <v>40168936.899999999</v>
      </c>
      <c r="T62" s="359">
        <v>257.3</v>
      </c>
      <c r="U62" s="358">
        <v>10337028019.700001</v>
      </c>
      <c r="V62" s="359">
        <v>128.69999999999999</v>
      </c>
      <c r="W62" s="358">
        <v>5168514009.8999996</v>
      </c>
      <c r="X62" s="358">
        <v>18968446416.200001</v>
      </c>
      <c r="Y62" s="290"/>
      <c r="Z62" s="290"/>
      <c r="AA62" s="1817"/>
      <c r="AB62" s="302"/>
      <c r="AC62" s="302"/>
      <c r="AD62" s="295" t="s">
        <v>777</v>
      </c>
      <c r="AE62" s="1855" t="s">
        <v>731</v>
      </c>
      <c r="AF62" s="1855"/>
      <c r="AG62" s="295" t="s">
        <v>732</v>
      </c>
      <c r="AH62" s="295" t="s">
        <v>733</v>
      </c>
      <c r="AI62" s="295" t="s">
        <v>732</v>
      </c>
      <c r="AJ62" s="290"/>
      <c r="AK62" s="290"/>
      <c r="AL62" s="290"/>
      <c r="AM62" s="290"/>
      <c r="AN62" s="290"/>
      <c r="AO62" s="290"/>
      <c r="AP62" s="290"/>
      <c r="AQ62" s="290"/>
      <c r="AR62" s="290"/>
      <c r="AS62" s="290"/>
      <c r="AT62" s="290"/>
      <c r="AU62" s="290"/>
      <c r="AV62" s="290"/>
      <c r="AW62" s="290"/>
      <c r="AX62" s="290"/>
      <c r="AY62" s="290"/>
      <c r="AZ62" s="290"/>
    </row>
    <row r="63" spans="1:52" x14ac:dyDescent="0.25">
      <c r="A63" s="290"/>
      <c r="B63" s="357" t="s">
        <v>778</v>
      </c>
      <c r="C63" s="1850" t="s">
        <v>779</v>
      </c>
      <c r="D63" s="1850"/>
      <c r="E63" s="437"/>
      <c r="F63" s="290"/>
      <c r="G63" s="290"/>
      <c r="H63" s="290"/>
      <c r="I63" s="290"/>
      <c r="J63" s="290"/>
      <c r="K63" s="290"/>
      <c r="L63" s="290"/>
      <c r="M63" s="290"/>
      <c r="N63" s="290"/>
      <c r="O63" s="290"/>
      <c r="P63" s="360" t="s">
        <v>780</v>
      </c>
      <c r="Q63" s="1836" t="s">
        <v>716</v>
      </c>
      <c r="R63" s="1837"/>
      <c r="S63" s="361">
        <v>271188.7</v>
      </c>
      <c r="T63" s="362">
        <v>96.2</v>
      </c>
      <c r="U63" s="361">
        <v>26082774.300000001</v>
      </c>
      <c r="V63" s="362">
        <v>48.1</v>
      </c>
      <c r="W63" s="361">
        <v>13041387.199999999</v>
      </c>
      <c r="X63" s="361">
        <v>47861890.799999997</v>
      </c>
      <c r="Y63" s="290"/>
      <c r="Z63" s="290"/>
      <c r="AA63" s="1805" t="s">
        <v>672</v>
      </c>
      <c r="AB63" s="1805"/>
      <c r="AC63" s="1805"/>
      <c r="AD63" s="1805"/>
      <c r="AE63" s="1805"/>
      <c r="AF63" s="1805"/>
      <c r="AG63" s="1805"/>
      <c r="AH63" s="1805"/>
      <c r="AI63" s="1805"/>
      <c r="AJ63" s="290"/>
      <c r="AK63" s="290"/>
      <c r="AL63" s="290"/>
      <c r="AM63" s="290"/>
      <c r="AN63" s="290"/>
      <c r="AO63" s="290"/>
      <c r="AP63" s="290"/>
      <c r="AQ63" s="290"/>
      <c r="AR63" s="290"/>
      <c r="AS63" s="290"/>
      <c r="AT63" s="290"/>
      <c r="AU63" s="290"/>
      <c r="AV63" s="290"/>
      <c r="AW63" s="290"/>
      <c r="AX63" s="290"/>
      <c r="AY63" s="290"/>
      <c r="AZ63" s="290"/>
    </row>
    <row r="64" spans="1:52" ht="49.5" customHeight="1" x14ac:dyDescent="0.25">
      <c r="A64" s="290"/>
      <c r="B64" s="1851" t="s">
        <v>781</v>
      </c>
      <c r="C64" s="1852" t="s">
        <v>782</v>
      </c>
      <c r="D64" s="1852"/>
      <c r="E64" s="438"/>
      <c r="F64" s="290"/>
      <c r="G64" s="290"/>
      <c r="H64" s="290"/>
      <c r="I64" s="290"/>
      <c r="J64" s="290"/>
      <c r="K64" s="290"/>
      <c r="L64" s="290"/>
      <c r="M64" s="290"/>
      <c r="N64" s="290"/>
      <c r="O64" s="290"/>
      <c r="P64" s="360" t="s">
        <v>780</v>
      </c>
      <c r="Q64" s="1839" t="s">
        <v>720</v>
      </c>
      <c r="R64" s="1840"/>
      <c r="S64" s="349">
        <v>1763221</v>
      </c>
      <c r="T64" s="350">
        <v>258.89999999999998</v>
      </c>
      <c r="U64" s="349">
        <v>456452865</v>
      </c>
      <c r="V64" s="350">
        <v>129.4</v>
      </c>
      <c r="W64" s="349">
        <v>228226432.5</v>
      </c>
      <c r="X64" s="349">
        <v>837591007.20000005</v>
      </c>
      <c r="Y64" s="290"/>
      <c r="Z64" s="290"/>
      <c r="AA64" s="1817" t="s">
        <v>695</v>
      </c>
      <c r="AB64" s="1817"/>
      <c r="AC64" s="298" t="s">
        <v>670</v>
      </c>
      <c r="AD64" s="1849">
        <v>18</v>
      </c>
      <c r="AE64" s="292">
        <v>14.5</v>
      </c>
      <c r="AF64" s="292">
        <v>7</v>
      </c>
      <c r="AG64" s="1849">
        <v>5</v>
      </c>
      <c r="AH64" s="1849">
        <v>14</v>
      </c>
      <c r="AI64" s="304" t="s">
        <v>783</v>
      </c>
      <c r="AJ64" s="290"/>
      <c r="AK64" s="290"/>
      <c r="AL64" s="290"/>
      <c r="AM64" s="290"/>
      <c r="AN64" s="290"/>
      <c r="AO64" s="290"/>
      <c r="AP64" s="290"/>
      <c r="AQ64" s="290"/>
      <c r="AR64" s="290"/>
      <c r="AS64" s="290"/>
      <c r="AT64" s="290"/>
      <c r="AU64" s="290"/>
      <c r="AV64" s="290"/>
      <c r="AW64" s="290"/>
      <c r="AX64" s="290"/>
      <c r="AY64" s="290"/>
      <c r="AZ64" s="290"/>
    </row>
    <row r="65" spans="1:60" x14ac:dyDescent="0.25">
      <c r="A65" s="290"/>
      <c r="B65" s="1851"/>
      <c r="C65" s="1852"/>
      <c r="D65" s="1852"/>
      <c r="E65" s="438"/>
      <c r="F65" s="290"/>
      <c r="G65" s="290"/>
      <c r="H65" s="290"/>
      <c r="I65" s="290"/>
      <c r="J65" s="290"/>
      <c r="K65" s="290"/>
      <c r="L65" s="290"/>
      <c r="M65" s="290"/>
      <c r="N65" s="290"/>
      <c r="O65" s="290"/>
      <c r="P65" s="360" t="s">
        <v>780</v>
      </c>
      <c r="Q65" s="1836" t="s">
        <v>724</v>
      </c>
      <c r="R65" s="1837"/>
      <c r="S65" s="361">
        <v>652129.80000000005</v>
      </c>
      <c r="T65" s="362">
        <v>164.1</v>
      </c>
      <c r="U65" s="361">
        <v>107013198.40000001</v>
      </c>
      <c r="V65" s="362">
        <v>82</v>
      </c>
      <c r="W65" s="361">
        <v>53506599.200000003</v>
      </c>
      <c r="X65" s="361">
        <v>196369219.09999999</v>
      </c>
      <c r="Y65" s="290"/>
      <c r="Z65" s="290"/>
      <c r="AA65" s="1817"/>
      <c r="AB65" s="1817"/>
      <c r="AC65" s="303" t="s">
        <v>671</v>
      </c>
      <c r="AD65" s="1849"/>
      <c r="AE65" s="304">
        <v>5</v>
      </c>
      <c r="AF65" s="304">
        <v>4</v>
      </c>
      <c r="AG65" s="1849"/>
      <c r="AH65" s="1849"/>
      <c r="AI65" s="304"/>
      <c r="AJ65" s="290"/>
      <c r="AK65" s="290"/>
      <c r="AL65" s="290"/>
      <c r="AM65" s="290"/>
      <c r="AN65" s="290"/>
      <c r="AO65" s="290"/>
      <c r="AP65" s="290"/>
      <c r="AQ65" s="290"/>
      <c r="AR65" s="290"/>
      <c r="AS65" s="290"/>
      <c r="AT65" s="290"/>
      <c r="AU65" s="290"/>
      <c r="AV65" s="290"/>
      <c r="AW65" s="290"/>
      <c r="AX65" s="290"/>
      <c r="AY65" s="290"/>
      <c r="AZ65" s="290"/>
    </row>
    <row r="66" spans="1:60" x14ac:dyDescent="0.25">
      <c r="A66" s="290"/>
      <c r="B66" s="290"/>
      <c r="C66" s="290"/>
      <c r="D66" s="290"/>
      <c r="E66" s="290"/>
      <c r="F66" s="290"/>
      <c r="G66" s="290"/>
      <c r="H66" s="290"/>
      <c r="I66" s="290"/>
      <c r="J66" s="290"/>
      <c r="K66" s="290"/>
      <c r="L66" s="290"/>
      <c r="M66" s="290"/>
      <c r="N66" s="290"/>
      <c r="O66" s="290"/>
      <c r="P66" s="360" t="s">
        <v>780</v>
      </c>
      <c r="Q66" s="1839" t="s">
        <v>727</v>
      </c>
      <c r="R66" s="1840"/>
      <c r="S66" s="349">
        <v>9356.9</v>
      </c>
      <c r="T66" s="350">
        <v>172.2</v>
      </c>
      <c r="U66" s="349">
        <v>1611386.7</v>
      </c>
      <c r="V66" s="350">
        <v>86.1</v>
      </c>
      <c r="W66" s="349">
        <v>805693.3</v>
      </c>
      <c r="X66" s="349">
        <v>2956894.5</v>
      </c>
      <c r="Y66" s="290"/>
      <c r="Z66" s="290"/>
      <c r="AA66" s="1817"/>
      <c r="AB66" s="1817"/>
      <c r="AC66" s="303" t="s">
        <v>673</v>
      </c>
      <c r="AD66" s="1849"/>
      <c r="AE66" s="304">
        <v>19</v>
      </c>
      <c r="AF66" s="304">
        <v>10.3</v>
      </c>
      <c r="AG66" s="1849"/>
      <c r="AH66" s="1849"/>
      <c r="AI66" s="304"/>
      <c r="AJ66" s="290"/>
      <c r="AK66" s="290"/>
      <c r="AL66" s="290"/>
      <c r="AM66" s="290"/>
      <c r="AN66" s="290"/>
      <c r="AO66" s="290"/>
      <c r="AP66" s="290"/>
      <c r="AQ66" s="290"/>
      <c r="AR66" s="290"/>
      <c r="AS66" s="290"/>
      <c r="AT66" s="290"/>
      <c r="AU66" s="290"/>
      <c r="AV66" s="290"/>
      <c r="AW66" s="290"/>
      <c r="AX66" s="290"/>
      <c r="AY66" s="290"/>
      <c r="AZ66" s="290"/>
    </row>
    <row r="67" spans="1:60" s="312" customFormat="1" ht="12.75" customHeight="1" x14ac:dyDescent="0.25">
      <c r="A67" s="290"/>
      <c r="B67" s="290"/>
      <c r="C67" s="290"/>
      <c r="D67" s="290"/>
      <c r="E67" s="290"/>
      <c r="F67" s="290"/>
      <c r="G67" s="290"/>
      <c r="H67" s="290"/>
      <c r="I67" s="290"/>
      <c r="J67" s="290"/>
      <c r="K67" s="290"/>
      <c r="L67" s="310"/>
      <c r="M67" s="310"/>
      <c r="N67" s="310"/>
      <c r="O67" s="310"/>
      <c r="P67" s="360" t="s">
        <v>780</v>
      </c>
      <c r="Q67" s="1836" t="s">
        <v>734</v>
      </c>
      <c r="R67" s="1837"/>
      <c r="S67" s="361">
        <v>972918.7</v>
      </c>
      <c r="T67" s="362">
        <v>193</v>
      </c>
      <c r="U67" s="361">
        <v>187764270.09999999</v>
      </c>
      <c r="V67" s="362">
        <v>96.5</v>
      </c>
      <c r="W67" s="361">
        <v>93882135</v>
      </c>
      <c r="X67" s="361">
        <v>344547435.60000002</v>
      </c>
      <c r="Y67" s="290"/>
      <c r="Z67" s="290"/>
      <c r="AA67" s="1817" t="s">
        <v>698</v>
      </c>
      <c r="AB67" s="1817"/>
      <c r="AC67" s="298" t="s">
        <v>670</v>
      </c>
      <c r="AD67" s="292">
        <v>21</v>
      </c>
      <c r="AE67" s="292">
        <v>16</v>
      </c>
      <c r="AF67" s="292">
        <v>16</v>
      </c>
      <c r="AG67" s="1849">
        <v>16</v>
      </c>
      <c r="AH67" s="292">
        <v>13</v>
      </c>
      <c r="AI67" s="304" t="s">
        <v>783</v>
      </c>
      <c r="AJ67" s="290"/>
      <c r="AK67" s="310"/>
      <c r="AL67" s="310"/>
      <c r="AM67" s="310"/>
      <c r="AN67" s="310"/>
      <c r="AO67" s="310"/>
      <c r="AP67" s="310"/>
      <c r="AQ67" s="310"/>
      <c r="AR67" s="310"/>
      <c r="AS67" s="310"/>
      <c r="AT67" s="310"/>
      <c r="AU67" s="310"/>
      <c r="AV67" s="310"/>
      <c r="AW67" s="310"/>
      <c r="AX67" s="310"/>
      <c r="AY67" s="310"/>
      <c r="AZ67" s="310"/>
    </row>
    <row r="68" spans="1:60" s="312" customFormat="1" x14ac:dyDescent="0.25">
      <c r="A68" s="290"/>
      <c r="B68" s="290"/>
      <c r="C68" s="290"/>
      <c r="D68" s="290"/>
      <c r="E68" s="290"/>
      <c r="F68" s="290"/>
      <c r="G68" s="290"/>
      <c r="H68" s="290"/>
      <c r="I68" s="290"/>
      <c r="J68" s="290"/>
      <c r="K68" s="290"/>
      <c r="L68" s="310"/>
      <c r="M68" s="310"/>
      <c r="N68" s="310"/>
      <c r="O68" s="310"/>
      <c r="P68" s="360" t="s">
        <v>780</v>
      </c>
      <c r="Q68" s="1839" t="s">
        <v>736</v>
      </c>
      <c r="R68" s="1840"/>
      <c r="S68" s="349">
        <v>2384237.4</v>
      </c>
      <c r="T68" s="350">
        <v>191.4</v>
      </c>
      <c r="U68" s="349">
        <v>456447020.60000002</v>
      </c>
      <c r="V68" s="350">
        <v>95.7</v>
      </c>
      <c r="W68" s="349">
        <v>228223510.30000001</v>
      </c>
      <c r="X68" s="349">
        <v>837580282.79999995</v>
      </c>
      <c r="Y68" s="310"/>
      <c r="Z68" s="310"/>
      <c r="AA68" s="1817"/>
      <c r="AB68" s="1817"/>
      <c r="AC68" s="303" t="s">
        <v>671</v>
      </c>
      <c r="AD68" s="304">
        <v>6.4</v>
      </c>
      <c r="AE68" s="304">
        <v>6.4</v>
      </c>
      <c r="AF68" s="304">
        <v>6.4</v>
      </c>
      <c r="AG68" s="1849"/>
      <c r="AH68" s="304">
        <v>8.5</v>
      </c>
      <c r="AI68" s="304"/>
      <c r="AJ68" s="310"/>
      <c r="AK68" s="310"/>
      <c r="AL68" s="310"/>
      <c r="AM68" s="310"/>
      <c r="AN68" s="310"/>
      <c r="AO68" s="310"/>
      <c r="AP68" s="310"/>
      <c r="AQ68" s="310"/>
      <c r="AR68" s="310"/>
      <c r="AS68" s="310"/>
      <c r="AT68" s="310"/>
      <c r="AU68" s="310"/>
      <c r="AV68" s="310"/>
      <c r="AW68" s="310"/>
      <c r="AX68" s="310"/>
      <c r="AY68" s="310"/>
      <c r="AZ68" s="310"/>
    </row>
    <row r="69" spans="1:60" s="312" customFormat="1" x14ac:dyDescent="0.25">
      <c r="A69" s="290"/>
      <c r="B69" s="290"/>
      <c r="C69" s="290"/>
      <c r="D69" s="290"/>
      <c r="E69" s="290"/>
      <c r="F69" s="290"/>
      <c r="G69" s="290"/>
      <c r="H69" s="290"/>
      <c r="I69" s="290"/>
      <c r="J69" s="290"/>
      <c r="K69" s="290"/>
      <c r="L69" s="310"/>
      <c r="M69" s="310"/>
      <c r="N69" s="310"/>
      <c r="O69" s="310"/>
      <c r="P69" s="360" t="s">
        <v>780</v>
      </c>
      <c r="Q69" s="1836" t="s">
        <v>739</v>
      </c>
      <c r="R69" s="1837"/>
      <c r="S69" s="361">
        <v>594153.19999999995</v>
      </c>
      <c r="T69" s="362">
        <v>213.5</v>
      </c>
      <c r="U69" s="361">
        <v>126858751.5</v>
      </c>
      <c r="V69" s="362">
        <v>106.8</v>
      </c>
      <c r="W69" s="361">
        <v>63429375.799999997</v>
      </c>
      <c r="X69" s="361">
        <v>232785809.09999999</v>
      </c>
      <c r="Y69" s="310"/>
      <c r="Z69" s="310"/>
      <c r="AA69" s="1817"/>
      <c r="AB69" s="1817"/>
      <c r="AC69" s="303" t="s">
        <v>673</v>
      </c>
      <c r="AD69" s="304">
        <v>38.4</v>
      </c>
      <c r="AE69" s="304">
        <v>32</v>
      </c>
      <c r="AF69" s="304">
        <v>32</v>
      </c>
      <c r="AG69" s="1849"/>
      <c r="AH69" s="304">
        <v>17.5</v>
      </c>
      <c r="AI69" s="304"/>
      <c r="AJ69" s="310"/>
      <c r="AK69" s="310"/>
      <c r="AL69" s="310"/>
      <c r="AM69" s="310"/>
      <c r="AN69" s="310"/>
      <c r="AO69" s="310"/>
      <c r="AP69" s="310"/>
      <c r="AQ69" s="310"/>
      <c r="AR69" s="310"/>
      <c r="AS69" s="310"/>
      <c r="AT69" s="310"/>
      <c r="AU69" s="310"/>
      <c r="AV69" s="310"/>
      <c r="AW69" s="310"/>
      <c r="AX69" s="310"/>
      <c r="AY69" s="310"/>
      <c r="AZ69" s="310"/>
    </row>
    <row r="70" spans="1:60" s="312" customFormat="1" x14ac:dyDescent="0.25">
      <c r="A70" s="290"/>
      <c r="B70" s="290"/>
      <c r="C70" s="290"/>
      <c r="D70" s="290"/>
      <c r="E70" s="290"/>
      <c r="F70" s="290"/>
      <c r="G70" s="290"/>
      <c r="H70" s="290"/>
      <c r="I70" s="290"/>
      <c r="J70" s="290"/>
      <c r="K70" s="290"/>
      <c r="L70" s="310"/>
      <c r="M70" s="310"/>
      <c r="N70" s="310"/>
      <c r="O70" s="310"/>
      <c r="P70" s="360" t="s">
        <v>780</v>
      </c>
      <c r="Q70" s="1839" t="s">
        <v>743</v>
      </c>
      <c r="R70" s="1840"/>
      <c r="S70" s="349">
        <v>1550640.1</v>
      </c>
      <c r="T70" s="350">
        <v>257.60000000000002</v>
      </c>
      <c r="U70" s="349">
        <v>399478491.60000002</v>
      </c>
      <c r="V70" s="350">
        <v>128.80000000000001</v>
      </c>
      <c r="W70" s="349">
        <v>199739245.80000001</v>
      </c>
      <c r="X70" s="349">
        <v>733043032</v>
      </c>
      <c r="Y70" s="310"/>
      <c r="Z70" s="310"/>
      <c r="AA70" s="1817" t="s">
        <v>701</v>
      </c>
      <c r="AB70" s="1817"/>
      <c r="AC70" s="298" t="s">
        <v>670</v>
      </c>
      <c r="AD70" s="304">
        <v>15</v>
      </c>
      <c r="AE70" s="304">
        <v>8</v>
      </c>
      <c r="AF70" s="304">
        <v>8</v>
      </c>
      <c r="AG70" s="1816" t="s">
        <v>783</v>
      </c>
      <c r="AH70" s="1816">
        <v>2.2000000000000002</v>
      </c>
      <c r="AI70" s="1816" t="s">
        <v>783</v>
      </c>
      <c r="AJ70" s="310"/>
      <c r="AK70" s="310"/>
      <c r="AL70" s="310"/>
      <c r="AM70" s="310"/>
      <c r="AN70" s="310"/>
      <c r="AO70" s="310"/>
      <c r="AP70" s="310"/>
      <c r="AQ70" s="310"/>
      <c r="AR70" s="310"/>
      <c r="AS70" s="310"/>
      <c r="AT70" s="310"/>
      <c r="AU70" s="310"/>
      <c r="AV70" s="310"/>
      <c r="AW70" s="310"/>
      <c r="AX70" s="310" t="s">
        <v>1221</v>
      </c>
      <c r="AY70" s="310"/>
      <c r="AZ70" s="310"/>
    </row>
    <row r="71" spans="1:60" s="312" customFormat="1" x14ac:dyDescent="0.25">
      <c r="A71" s="290"/>
      <c r="B71" s="290"/>
      <c r="C71" s="290"/>
      <c r="D71" s="290"/>
      <c r="E71" s="290"/>
      <c r="F71" s="290"/>
      <c r="G71" s="290"/>
      <c r="H71" s="290"/>
      <c r="I71" s="290"/>
      <c r="J71" s="290"/>
      <c r="K71" s="290"/>
      <c r="L71" s="310"/>
      <c r="M71" s="310"/>
      <c r="N71" s="310"/>
      <c r="O71" s="310"/>
      <c r="P71" s="360" t="s">
        <v>780</v>
      </c>
      <c r="Q71" s="1841" t="s">
        <v>118</v>
      </c>
      <c r="R71" s="1842"/>
      <c r="S71" s="363">
        <v>8197845.7999999998</v>
      </c>
      <c r="T71" s="364">
        <v>214.9</v>
      </c>
      <c r="U71" s="363">
        <v>1761708758.0999999</v>
      </c>
      <c r="V71" s="364">
        <v>107.4</v>
      </c>
      <c r="W71" s="363">
        <v>880854379.10000002</v>
      </c>
      <c r="X71" s="363">
        <v>3232735571.1999998</v>
      </c>
      <c r="Y71" s="310"/>
      <c r="Z71" s="310"/>
      <c r="AA71" s="1817"/>
      <c r="AB71" s="1817"/>
      <c r="AC71" s="303" t="s">
        <v>671</v>
      </c>
      <c r="AD71" s="304"/>
      <c r="AE71" s="304">
        <v>3.8</v>
      </c>
      <c r="AF71" s="304">
        <v>3.8</v>
      </c>
      <c r="AG71" s="1816"/>
      <c r="AH71" s="1816"/>
      <c r="AI71" s="1816"/>
      <c r="AJ71" s="310"/>
      <c r="AK71" s="310"/>
      <c r="AL71" s="310"/>
      <c r="AM71" s="310"/>
      <c r="AN71" s="310"/>
      <c r="AO71" s="310"/>
      <c r="AP71" s="310"/>
      <c r="AQ71" s="310"/>
      <c r="AR71" s="310"/>
      <c r="AS71" s="310"/>
      <c r="AT71" s="310"/>
      <c r="AU71" s="310"/>
      <c r="AV71" s="310"/>
      <c r="AW71" s="310"/>
      <c r="AX71" s="310"/>
      <c r="AY71" s="310"/>
      <c r="AZ71" s="310"/>
    </row>
    <row r="72" spans="1:60" s="312" customFormat="1" ht="121.5" customHeight="1" x14ac:dyDescent="0.25">
      <c r="A72" s="290"/>
      <c r="B72" s="290"/>
      <c r="C72" s="290"/>
      <c r="D72" s="290"/>
      <c r="E72" s="290"/>
      <c r="F72" s="290"/>
      <c r="G72" s="290"/>
      <c r="H72" s="290"/>
      <c r="I72" s="290"/>
      <c r="J72" s="290"/>
      <c r="K72" s="290"/>
      <c r="L72" s="310"/>
      <c r="M72" s="310"/>
      <c r="N72" s="310"/>
      <c r="O72" s="310"/>
      <c r="P72" s="348" t="s">
        <v>784</v>
      </c>
      <c r="Q72" s="1839" t="s">
        <v>716</v>
      </c>
      <c r="R72" s="1840"/>
      <c r="S72" s="349">
        <v>423463.4</v>
      </c>
      <c r="T72" s="350">
        <v>96.2</v>
      </c>
      <c r="U72" s="349">
        <v>40728474</v>
      </c>
      <c r="V72" s="350">
        <v>48.1</v>
      </c>
      <c r="W72" s="349">
        <v>20364237</v>
      </c>
      <c r="X72" s="349">
        <v>74736749.799999997</v>
      </c>
      <c r="Y72" s="310"/>
      <c r="Z72" s="310"/>
      <c r="AA72" s="1817"/>
      <c r="AB72" s="1817"/>
      <c r="AC72" s="303" t="s">
        <v>673</v>
      </c>
      <c r="AD72" s="304"/>
      <c r="AE72" s="304">
        <v>11.5</v>
      </c>
      <c r="AF72" s="304">
        <v>11.5</v>
      </c>
      <c r="AG72" s="1816"/>
      <c r="AH72" s="1816"/>
      <c r="AI72" s="1816"/>
      <c r="AJ72" s="310"/>
      <c r="AK72" s="310"/>
      <c r="AL72" s="310"/>
      <c r="AM72" s="310"/>
      <c r="AN72" s="310"/>
      <c r="AO72" s="310"/>
      <c r="AP72" s="310"/>
      <c r="AQ72" s="310"/>
      <c r="AR72" s="310"/>
      <c r="AS72" s="310"/>
      <c r="AT72" s="310"/>
      <c r="AU72" s="310"/>
      <c r="AV72" s="310"/>
      <c r="AW72" s="310"/>
      <c r="AX72" s="440"/>
      <c r="AY72" s="440" t="s">
        <v>1220</v>
      </c>
      <c r="AZ72" s="440" t="s">
        <v>1216</v>
      </c>
      <c r="BA72" s="440" t="s">
        <v>1217</v>
      </c>
      <c r="BB72" s="440" t="s">
        <v>1218</v>
      </c>
      <c r="BC72" s="440" t="s">
        <v>1219</v>
      </c>
      <c r="BD72" s="440" t="s">
        <v>1223</v>
      </c>
      <c r="BE72" s="440" t="s">
        <v>1225</v>
      </c>
      <c r="BF72" s="440" t="s">
        <v>1226</v>
      </c>
      <c r="BG72" s="440" t="s">
        <v>120</v>
      </c>
      <c r="BH72" s="440"/>
    </row>
    <row r="73" spans="1:60" s="312" customFormat="1" x14ac:dyDescent="0.25">
      <c r="A73" s="290"/>
      <c r="B73" s="290"/>
      <c r="C73" s="290"/>
      <c r="D73" s="290"/>
      <c r="E73" s="290"/>
      <c r="F73" s="290"/>
      <c r="G73" s="290"/>
      <c r="H73" s="290"/>
      <c r="I73" s="290"/>
      <c r="J73" s="290"/>
      <c r="K73" s="290"/>
      <c r="L73" s="310"/>
      <c r="M73" s="310"/>
      <c r="N73" s="310"/>
      <c r="O73" s="310"/>
      <c r="P73" s="348" t="s">
        <v>784</v>
      </c>
      <c r="Q73" s="1839" t="s">
        <v>724</v>
      </c>
      <c r="R73" s="1840"/>
      <c r="S73" s="349">
        <v>265714</v>
      </c>
      <c r="T73" s="350">
        <v>164.1</v>
      </c>
      <c r="U73" s="349">
        <v>43603133.700000003</v>
      </c>
      <c r="V73" s="350">
        <v>82</v>
      </c>
      <c r="W73" s="349">
        <v>21801566.800000001</v>
      </c>
      <c r="X73" s="349">
        <v>80011750.299999997</v>
      </c>
      <c r="Y73" s="310"/>
      <c r="Z73" s="310"/>
      <c r="AA73" s="1817"/>
      <c r="AB73" s="1817"/>
      <c r="AC73" s="303" t="s">
        <v>671</v>
      </c>
      <c r="AD73" s="304">
        <v>5</v>
      </c>
      <c r="AE73" s="304">
        <v>8</v>
      </c>
      <c r="AF73" s="304">
        <v>3.2</v>
      </c>
      <c r="AG73" s="1816"/>
      <c r="AH73" s="1816"/>
      <c r="AI73" s="1816"/>
      <c r="AJ73" s="310"/>
      <c r="AK73" s="310"/>
      <c r="AL73" s="310"/>
      <c r="AM73" s="310"/>
      <c r="AN73" s="310"/>
      <c r="AO73" s="310"/>
      <c r="AP73" s="310"/>
      <c r="AQ73" s="310"/>
      <c r="AR73" s="310"/>
      <c r="AS73" s="310"/>
      <c r="AT73" s="310"/>
      <c r="AU73" s="310"/>
      <c r="AV73" s="310"/>
      <c r="AW73" s="310"/>
      <c r="AX73" s="441" t="s">
        <v>1207</v>
      </c>
      <c r="AY73" s="442">
        <v>0.47</v>
      </c>
      <c r="AZ73" s="442">
        <v>300</v>
      </c>
      <c r="BA73" s="442">
        <v>150</v>
      </c>
      <c r="BB73" s="442">
        <v>7</v>
      </c>
      <c r="BC73" s="442">
        <v>15</v>
      </c>
      <c r="BD73" s="442">
        <v>0.37</v>
      </c>
      <c r="BE73" s="442">
        <f>BB73*(1+BD73)*AY73</f>
        <v>4.5072999999999999</v>
      </c>
      <c r="BF73" s="442">
        <f>BC73*(1+BD73)*AY73</f>
        <v>9.6585000000000001</v>
      </c>
      <c r="BG73" s="445">
        <f>SQRT((30%*30%)+(6%*6%))</f>
        <v>0.3059411708155671</v>
      </c>
      <c r="BH73" s="441"/>
    </row>
    <row r="74" spans="1:60" s="312" customFormat="1" x14ac:dyDescent="0.25">
      <c r="A74" s="290"/>
      <c r="B74" s="290"/>
      <c r="C74" s="290"/>
      <c r="D74" s="290"/>
      <c r="E74" s="290"/>
      <c r="F74" s="290"/>
      <c r="G74" s="290"/>
      <c r="H74" s="290"/>
      <c r="I74" s="290"/>
      <c r="J74" s="290"/>
      <c r="K74" s="290"/>
      <c r="L74" s="310"/>
      <c r="M74" s="310"/>
      <c r="N74" s="310"/>
      <c r="O74" s="310"/>
      <c r="P74" s="348" t="s">
        <v>784</v>
      </c>
      <c r="Q74" s="1830" t="s">
        <v>734</v>
      </c>
      <c r="R74" s="1831"/>
      <c r="S74" s="352">
        <v>121879.3</v>
      </c>
      <c r="T74" s="353">
        <v>193</v>
      </c>
      <c r="U74" s="352">
        <v>23521575.199999999</v>
      </c>
      <c r="V74" s="353">
        <v>96.5</v>
      </c>
      <c r="W74" s="352">
        <v>11760787.6</v>
      </c>
      <c r="X74" s="352">
        <v>43162090.399999999</v>
      </c>
      <c r="Y74" s="310"/>
      <c r="Z74" s="310"/>
      <c r="AA74" s="1817"/>
      <c r="AB74" s="1817"/>
      <c r="AC74" s="303" t="s">
        <v>673</v>
      </c>
      <c r="AD74" s="304">
        <v>35</v>
      </c>
      <c r="AE74" s="304">
        <v>40</v>
      </c>
      <c r="AF74" s="304">
        <v>11.8</v>
      </c>
      <c r="AG74" s="1816"/>
      <c r="AH74" s="1816"/>
      <c r="AI74" s="1816"/>
      <c r="AJ74" s="310"/>
      <c r="AK74" s="310"/>
      <c r="AL74" s="310"/>
      <c r="AM74" s="310"/>
      <c r="AN74" s="310"/>
      <c r="AO74" s="310"/>
      <c r="AP74" s="310"/>
      <c r="AQ74" s="310"/>
      <c r="AR74" s="310"/>
      <c r="AS74" s="310"/>
      <c r="AT74" s="310"/>
      <c r="AU74" s="310"/>
      <c r="AV74" s="310"/>
      <c r="AW74" s="310"/>
      <c r="AX74" s="441" t="s">
        <v>1208</v>
      </c>
      <c r="AY74" s="442">
        <v>0.47</v>
      </c>
      <c r="AZ74" s="442">
        <v>180</v>
      </c>
      <c r="BA74" s="442">
        <v>120</v>
      </c>
      <c r="BB74" s="442">
        <v>5</v>
      </c>
      <c r="BC74" s="442">
        <v>10</v>
      </c>
      <c r="BD74" s="442">
        <f>(0.24+0.2)/2</f>
        <v>0.22</v>
      </c>
      <c r="BE74" s="442">
        <f t="shared" ref="BE74:BE81" si="17">BB74*(1+BD74)*AY74</f>
        <v>2.8669999999999995</v>
      </c>
      <c r="BF74" s="442">
        <f t="shared" ref="BF74:BF81" si="18">BC74*(1+BD74)*AY74</f>
        <v>5.7339999999999991</v>
      </c>
      <c r="BG74" s="445">
        <f t="shared" ref="BG74:BG81" si="19">SQRT((30%*30%)+(6%*6%))</f>
        <v>0.3059411708155671</v>
      </c>
      <c r="BH74" s="442"/>
    </row>
    <row r="75" spans="1:60" s="312" customFormat="1" x14ac:dyDescent="0.25">
      <c r="A75" s="290"/>
      <c r="B75" s="290"/>
      <c r="C75" s="290"/>
      <c r="D75" s="290"/>
      <c r="E75" s="290"/>
      <c r="F75" s="290"/>
      <c r="G75" s="290"/>
      <c r="H75" s="290"/>
      <c r="I75" s="290"/>
      <c r="J75" s="290"/>
      <c r="K75" s="290"/>
      <c r="L75" s="310"/>
      <c r="M75" s="310"/>
      <c r="N75" s="310"/>
      <c r="O75" s="310"/>
      <c r="P75" s="348" t="s">
        <v>784</v>
      </c>
      <c r="Q75" s="1839" t="s">
        <v>736</v>
      </c>
      <c r="R75" s="1840"/>
      <c r="S75" s="349">
        <v>44895.9</v>
      </c>
      <c r="T75" s="350">
        <v>191.4</v>
      </c>
      <c r="U75" s="349">
        <v>8595033</v>
      </c>
      <c r="V75" s="350">
        <v>95.7</v>
      </c>
      <c r="W75" s="349">
        <v>4297516.5</v>
      </c>
      <c r="X75" s="349">
        <v>15771885.5</v>
      </c>
      <c r="Y75" s="310"/>
      <c r="Z75" s="310"/>
      <c r="AA75" s="1817" t="s">
        <v>785</v>
      </c>
      <c r="AB75" s="1817"/>
      <c r="AC75" s="1817"/>
      <c r="AD75" s="1817"/>
      <c r="AE75" s="1817"/>
      <c r="AF75" s="1817"/>
      <c r="AG75" s="1817"/>
      <c r="AH75" s="1817"/>
      <c r="AI75" s="1817"/>
      <c r="AJ75" s="310"/>
      <c r="AK75" s="310"/>
      <c r="AL75" s="310"/>
      <c r="AM75" s="310"/>
      <c r="AN75" s="310"/>
      <c r="AO75" s="310"/>
      <c r="AP75" s="310"/>
      <c r="AQ75" s="310"/>
      <c r="AR75" s="310"/>
      <c r="AS75" s="310"/>
      <c r="AT75" s="310"/>
      <c r="AU75" s="310"/>
      <c r="AV75" s="310"/>
      <c r="AW75" s="310"/>
      <c r="AX75" s="441" t="s">
        <v>1209</v>
      </c>
      <c r="AY75" s="442">
        <v>0.47</v>
      </c>
      <c r="AZ75" s="442">
        <v>130</v>
      </c>
      <c r="BA75" s="442">
        <v>60</v>
      </c>
      <c r="BB75" s="442">
        <v>2.4</v>
      </c>
      <c r="BC75" s="442">
        <v>8</v>
      </c>
      <c r="BD75" s="442">
        <f>(0.56+0.28)/2</f>
        <v>0.42000000000000004</v>
      </c>
      <c r="BE75" s="442">
        <f t="shared" si="17"/>
        <v>1.6017599999999999</v>
      </c>
      <c r="BF75" s="442">
        <f t="shared" si="18"/>
        <v>5.3391999999999991</v>
      </c>
      <c r="BG75" s="445">
        <f t="shared" si="19"/>
        <v>0.3059411708155671</v>
      </c>
      <c r="BH75" s="442"/>
    </row>
    <row r="76" spans="1:60" s="312" customFormat="1" x14ac:dyDescent="0.25">
      <c r="A76" s="290"/>
      <c r="B76" s="290"/>
      <c r="C76" s="290"/>
      <c r="D76" s="290"/>
      <c r="E76" s="290"/>
      <c r="F76" s="290"/>
      <c r="G76" s="290"/>
      <c r="H76" s="290"/>
      <c r="I76" s="290"/>
      <c r="J76" s="290"/>
      <c r="K76" s="290"/>
      <c r="L76" s="310"/>
      <c r="M76" s="310"/>
      <c r="N76" s="310"/>
      <c r="O76" s="310"/>
      <c r="P76" s="348" t="s">
        <v>784</v>
      </c>
      <c r="Q76" s="1830" t="s">
        <v>739</v>
      </c>
      <c r="R76" s="1831"/>
      <c r="S76" s="353">
        <v>377.2</v>
      </c>
      <c r="T76" s="353">
        <v>213.5</v>
      </c>
      <c r="U76" s="352">
        <v>80533.3</v>
      </c>
      <c r="V76" s="353">
        <v>106.8</v>
      </c>
      <c r="W76" s="352">
        <v>40266.6</v>
      </c>
      <c r="X76" s="352">
        <v>147778.6</v>
      </c>
      <c r="Y76" s="310"/>
      <c r="Z76" s="310"/>
      <c r="AA76" s="1817" t="s">
        <v>786</v>
      </c>
      <c r="AB76" s="1817"/>
      <c r="AC76" s="1817"/>
      <c r="AD76" s="1817"/>
      <c r="AE76" s="1817"/>
      <c r="AF76" s="1817"/>
      <c r="AG76" s="1817"/>
      <c r="AH76" s="1817"/>
      <c r="AI76" s="1817"/>
      <c r="AJ76" s="310"/>
      <c r="AK76" s="310"/>
      <c r="AL76" s="310"/>
      <c r="AM76" s="310"/>
      <c r="AN76" s="310"/>
      <c r="AO76" s="310"/>
      <c r="AP76" s="310"/>
      <c r="AQ76" s="310"/>
      <c r="AR76" s="310"/>
      <c r="AS76" s="310"/>
      <c r="AT76" s="310"/>
      <c r="AU76" s="310"/>
      <c r="AV76" s="310"/>
      <c r="AW76" s="310"/>
      <c r="AX76" s="441" t="s">
        <v>1210</v>
      </c>
      <c r="AY76" s="442">
        <v>0.47</v>
      </c>
      <c r="AZ76" s="442">
        <v>70</v>
      </c>
      <c r="BA76" s="442">
        <v>30</v>
      </c>
      <c r="BB76" s="442">
        <v>1</v>
      </c>
      <c r="BC76" s="442">
        <v>5</v>
      </c>
      <c r="BD76" s="442">
        <v>0.4</v>
      </c>
      <c r="BE76" s="442">
        <f t="shared" si="17"/>
        <v>0.65799999999999992</v>
      </c>
      <c r="BF76" s="442">
        <f t="shared" si="18"/>
        <v>3.29</v>
      </c>
      <c r="BG76" s="445">
        <f t="shared" si="19"/>
        <v>0.3059411708155671</v>
      </c>
      <c r="BH76" s="442"/>
    </row>
    <row r="77" spans="1:60" s="312" customFormat="1" x14ac:dyDescent="0.25">
      <c r="A77" s="290"/>
      <c r="B77" s="290"/>
      <c r="C77" s="290"/>
      <c r="D77" s="290"/>
      <c r="E77" s="290"/>
      <c r="F77" s="290"/>
      <c r="G77" s="290"/>
      <c r="H77" s="290"/>
      <c r="I77" s="290"/>
      <c r="J77" s="290"/>
      <c r="K77" s="290"/>
      <c r="L77" s="310"/>
      <c r="M77" s="310"/>
      <c r="N77" s="310"/>
      <c r="O77" s="310"/>
      <c r="P77" s="348" t="s">
        <v>784</v>
      </c>
      <c r="Q77" s="1839" t="s">
        <v>743</v>
      </c>
      <c r="R77" s="1840"/>
      <c r="S77" s="349">
        <v>61796.9</v>
      </c>
      <c r="T77" s="350">
        <v>257.60000000000002</v>
      </c>
      <c r="U77" s="349">
        <v>15920233.699999999</v>
      </c>
      <c r="V77" s="350">
        <v>128.80000000000001</v>
      </c>
      <c r="W77" s="349">
        <v>7960116.7999999998</v>
      </c>
      <c r="X77" s="349">
        <v>29213628.800000001</v>
      </c>
      <c r="Y77" s="310"/>
      <c r="Z77" s="310"/>
      <c r="AA77" s="1817" t="s">
        <v>787</v>
      </c>
      <c r="AB77" s="1817"/>
      <c r="AC77" s="1817"/>
      <c r="AD77" s="1817"/>
      <c r="AE77" s="1817"/>
      <c r="AF77" s="1817"/>
      <c r="AG77" s="1817"/>
      <c r="AH77" s="1817"/>
      <c r="AI77" s="1817"/>
      <c r="AJ77" s="310"/>
      <c r="AK77" s="310"/>
      <c r="AL77" s="310"/>
      <c r="AM77" s="310"/>
      <c r="AN77" s="310"/>
      <c r="AO77" s="310"/>
      <c r="AP77" s="310"/>
      <c r="AQ77" s="310"/>
      <c r="AR77" s="310"/>
      <c r="AS77" s="310"/>
      <c r="AT77" s="310"/>
      <c r="AU77" s="310"/>
      <c r="AV77" s="310"/>
      <c r="AW77" s="310"/>
      <c r="AX77" s="441" t="s">
        <v>1211</v>
      </c>
      <c r="AY77" s="442">
        <v>0.47</v>
      </c>
      <c r="AZ77" s="442">
        <v>140</v>
      </c>
      <c r="BA77" s="442">
        <v>90</v>
      </c>
      <c r="BB77" s="442">
        <v>1</v>
      </c>
      <c r="BC77" s="442">
        <v>5</v>
      </c>
      <c r="BD77" s="442">
        <v>0.27</v>
      </c>
      <c r="BE77" s="442">
        <f t="shared" si="17"/>
        <v>0.59689999999999999</v>
      </c>
      <c r="BF77" s="442">
        <f t="shared" si="18"/>
        <v>2.9844999999999997</v>
      </c>
      <c r="BG77" s="445">
        <f t="shared" si="19"/>
        <v>0.3059411708155671</v>
      </c>
      <c r="BH77" s="442"/>
    </row>
    <row r="78" spans="1:60" s="312" customFormat="1" x14ac:dyDescent="0.25">
      <c r="A78" s="290"/>
      <c r="B78" s="290"/>
      <c r="C78" s="290"/>
      <c r="D78" s="290"/>
      <c r="E78" s="290"/>
      <c r="F78" s="290"/>
      <c r="G78" s="290"/>
      <c r="H78" s="290"/>
      <c r="I78" s="290"/>
      <c r="J78" s="290"/>
      <c r="K78" s="290"/>
      <c r="L78" s="310"/>
      <c r="M78" s="310"/>
      <c r="N78" s="310"/>
      <c r="O78" s="310"/>
      <c r="P78" s="348" t="s">
        <v>784</v>
      </c>
      <c r="Q78" s="1830" t="s">
        <v>747</v>
      </c>
      <c r="R78" s="1831"/>
      <c r="S78" s="352">
        <v>9619.1</v>
      </c>
      <c r="T78" s="353">
        <v>125.5</v>
      </c>
      <c r="U78" s="352">
        <v>1206883</v>
      </c>
      <c r="V78" s="353">
        <v>62.7</v>
      </c>
      <c r="W78" s="352">
        <v>603441.5</v>
      </c>
      <c r="X78" s="352">
        <v>2214630.2000000002</v>
      </c>
      <c r="Y78" s="310"/>
      <c r="Z78" s="310"/>
      <c r="AA78" s="1817" t="s">
        <v>788</v>
      </c>
      <c r="AB78" s="1817"/>
      <c r="AC78" s="1817"/>
      <c r="AD78" s="1817"/>
      <c r="AE78" s="1817"/>
      <c r="AF78" s="1817"/>
      <c r="AG78" s="1817"/>
      <c r="AH78" s="1817"/>
      <c r="AI78" s="1817"/>
      <c r="AJ78" s="310"/>
      <c r="AK78" s="310"/>
      <c r="AL78" s="310"/>
      <c r="AM78" s="310"/>
      <c r="AN78" s="310"/>
      <c r="AO78" s="310"/>
      <c r="AP78" s="310"/>
      <c r="AQ78" s="310"/>
      <c r="AR78" s="310"/>
      <c r="AS78" s="310"/>
      <c r="AT78" s="310"/>
      <c r="AU78" s="310"/>
      <c r="AV78" s="310"/>
      <c r="AW78" s="310"/>
      <c r="AX78" s="441" t="s">
        <v>1212</v>
      </c>
      <c r="AY78" s="442">
        <v>0.47</v>
      </c>
      <c r="AZ78" s="442">
        <v>220</v>
      </c>
      <c r="BA78" s="442">
        <v>140</v>
      </c>
      <c r="BB78" s="442">
        <v>5</v>
      </c>
      <c r="BC78" s="442">
        <v>10</v>
      </c>
      <c r="BD78" s="442">
        <f>(0.24+0.2)/2</f>
        <v>0.22</v>
      </c>
      <c r="BE78" s="442">
        <f t="shared" si="17"/>
        <v>2.8669999999999995</v>
      </c>
      <c r="BF78" s="442">
        <f t="shared" si="18"/>
        <v>5.7339999999999991</v>
      </c>
      <c r="BG78" s="445">
        <f t="shared" si="19"/>
        <v>0.3059411708155671</v>
      </c>
      <c r="BH78" s="442"/>
    </row>
    <row r="79" spans="1:60" x14ac:dyDescent="0.25">
      <c r="A79" s="290"/>
      <c r="B79" s="290"/>
      <c r="C79" s="290"/>
      <c r="D79" s="290"/>
      <c r="E79" s="290"/>
      <c r="F79" s="290"/>
      <c r="G79" s="290"/>
      <c r="H79" s="290"/>
      <c r="I79" s="290"/>
      <c r="J79" s="290"/>
      <c r="K79" s="290"/>
      <c r="L79" s="290"/>
      <c r="M79" s="290"/>
      <c r="N79" s="290"/>
      <c r="O79" s="290"/>
      <c r="P79" s="348" t="s">
        <v>784</v>
      </c>
      <c r="Q79" s="1832" t="s">
        <v>118</v>
      </c>
      <c r="R79" s="1833"/>
      <c r="S79" s="358">
        <v>1852093.3</v>
      </c>
      <c r="T79" s="359">
        <v>201.4</v>
      </c>
      <c r="U79" s="358">
        <v>372945796.69999999</v>
      </c>
      <c r="V79" s="359">
        <v>100.7</v>
      </c>
      <c r="W79" s="358">
        <v>186472898.40000001</v>
      </c>
      <c r="X79" s="358">
        <v>684355537</v>
      </c>
      <c r="Y79" s="310"/>
      <c r="Z79" s="310"/>
      <c r="AA79" s="1817" t="s">
        <v>789</v>
      </c>
      <c r="AB79" s="1817"/>
      <c r="AC79" s="1817"/>
      <c r="AD79" s="1817"/>
      <c r="AE79" s="1817"/>
      <c r="AF79" s="1817"/>
      <c r="AG79" s="1817"/>
      <c r="AH79" s="1817"/>
      <c r="AI79" s="1817"/>
      <c r="AJ79" s="310"/>
      <c r="AK79" s="290"/>
      <c r="AL79" s="290"/>
      <c r="AM79" s="290"/>
      <c r="AN79" s="290"/>
      <c r="AO79" s="290"/>
      <c r="AP79" s="290"/>
      <c r="AQ79" s="290"/>
      <c r="AR79" s="290"/>
      <c r="AS79" s="290"/>
      <c r="AT79" s="290"/>
      <c r="AU79" s="290"/>
      <c r="AV79" s="290"/>
      <c r="AW79" s="290"/>
      <c r="AX79" s="441" t="s">
        <v>1213</v>
      </c>
      <c r="AY79" s="442">
        <v>0.47</v>
      </c>
      <c r="AZ79" s="442">
        <v>130</v>
      </c>
      <c r="BA79" s="442">
        <v>60</v>
      </c>
      <c r="BB79" s="442">
        <v>2.4</v>
      </c>
      <c r="BC79" s="442">
        <v>8</v>
      </c>
      <c r="BD79" s="442">
        <f>(0.56+0.28)/2</f>
        <v>0.42000000000000004</v>
      </c>
      <c r="BE79" s="442">
        <f t="shared" si="17"/>
        <v>1.6017599999999999</v>
      </c>
      <c r="BF79" s="442">
        <f t="shared" si="18"/>
        <v>5.3391999999999991</v>
      </c>
      <c r="BG79" s="445">
        <f t="shared" si="19"/>
        <v>0.3059411708155671</v>
      </c>
      <c r="BH79" s="442"/>
    </row>
    <row r="80" spans="1:60" x14ac:dyDescent="0.25">
      <c r="A80" s="290"/>
      <c r="B80" s="290"/>
      <c r="C80" s="290"/>
      <c r="D80" s="290"/>
      <c r="E80" s="290"/>
      <c r="F80" s="290"/>
      <c r="G80" s="290"/>
      <c r="H80" s="290"/>
      <c r="I80" s="290"/>
      <c r="J80" s="290"/>
      <c r="K80" s="290"/>
      <c r="L80" s="290"/>
      <c r="M80" s="290"/>
      <c r="N80" s="290"/>
      <c r="O80" s="290"/>
      <c r="P80" s="360" t="s">
        <v>790</v>
      </c>
      <c r="Q80" s="1836" t="s">
        <v>716</v>
      </c>
      <c r="R80" s="1837"/>
      <c r="S80" s="361">
        <v>16554.7</v>
      </c>
      <c r="T80" s="362">
        <v>96.2</v>
      </c>
      <c r="U80" s="361">
        <v>1592221.6</v>
      </c>
      <c r="V80" s="362">
        <v>48.1</v>
      </c>
      <c r="W80" s="361">
        <v>796110.8</v>
      </c>
      <c r="X80" s="361">
        <v>2921726.6</v>
      </c>
      <c r="Y80" s="290"/>
      <c r="Z80" s="290"/>
      <c r="AA80" s="1817" t="s">
        <v>791</v>
      </c>
      <c r="AB80" s="1817"/>
      <c r="AC80" s="1817"/>
      <c r="AD80" s="1817"/>
      <c r="AE80" s="1817"/>
      <c r="AF80" s="1817"/>
      <c r="AG80" s="1817"/>
      <c r="AH80" s="1817"/>
      <c r="AI80" s="1817"/>
      <c r="AJ80" s="290"/>
      <c r="AK80" s="290"/>
      <c r="AL80" s="290"/>
      <c r="AM80" s="290"/>
      <c r="AN80" s="290"/>
      <c r="AO80" s="290"/>
      <c r="AP80" s="290"/>
      <c r="AQ80" s="290"/>
      <c r="AR80" s="290"/>
      <c r="AS80" s="290"/>
      <c r="AT80" s="290"/>
      <c r="AU80" s="290"/>
      <c r="AV80" s="290"/>
      <c r="AW80" s="290"/>
      <c r="AX80" s="441" t="s">
        <v>1214</v>
      </c>
      <c r="AY80" s="442">
        <v>0.47</v>
      </c>
      <c r="AZ80" s="442">
        <v>70</v>
      </c>
      <c r="BA80" s="442">
        <v>30</v>
      </c>
      <c r="BB80" s="442">
        <v>1</v>
      </c>
      <c r="BC80" s="442">
        <v>5</v>
      </c>
      <c r="BD80" s="442">
        <v>0.32</v>
      </c>
      <c r="BE80" s="442">
        <f t="shared" si="17"/>
        <v>0.62039999999999995</v>
      </c>
      <c r="BF80" s="442">
        <f t="shared" si="18"/>
        <v>3.1019999999999999</v>
      </c>
      <c r="BG80" s="445">
        <f t="shared" si="19"/>
        <v>0.3059411708155671</v>
      </c>
      <c r="BH80" s="442"/>
    </row>
    <row r="81" spans="1:60" x14ac:dyDescent="0.25">
      <c r="A81" s="290"/>
      <c r="B81" s="290"/>
      <c r="C81" s="290"/>
      <c r="D81" s="290"/>
      <c r="E81" s="290"/>
      <c r="F81" s="290"/>
      <c r="G81" s="290"/>
      <c r="H81" s="290"/>
      <c r="I81" s="290"/>
      <c r="J81" s="290"/>
      <c r="K81" s="290"/>
      <c r="L81" s="290"/>
      <c r="M81" s="290"/>
      <c r="N81" s="290"/>
      <c r="O81" s="290"/>
      <c r="P81" s="360" t="s">
        <v>790</v>
      </c>
      <c r="Q81" s="1839" t="s">
        <v>720</v>
      </c>
      <c r="R81" s="1840"/>
      <c r="S81" s="349">
        <v>1031688</v>
      </c>
      <c r="T81" s="350">
        <v>258.89999999999998</v>
      </c>
      <c r="U81" s="349">
        <v>267077677.30000001</v>
      </c>
      <c r="V81" s="350">
        <v>129.4</v>
      </c>
      <c r="W81" s="349">
        <v>133538838.7</v>
      </c>
      <c r="X81" s="349">
        <v>490087537.89999998</v>
      </c>
      <c r="Y81" s="290"/>
      <c r="Z81" s="290"/>
      <c r="AA81" s="290"/>
      <c r="AB81" s="290"/>
      <c r="AC81" s="290"/>
      <c r="AD81" s="290"/>
      <c r="AE81" s="290"/>
      <c r="AF81" s="290"/>
      <c r="AG81" s="290"/>
      <c r="AH81" s="290"/>
      <c r="AI81" s="290"/>
      <c r="AJ81" s="290"/>
      <c r="AK81" s="290"/>
      <c r="AL81" s="290"/>
      <c r="AM81" s="290"/>
      <c r="AN81" s="290"/>
      <c r="AO81" s="290"/>
      <c r="AP81" s="290"/>
      <c r="AQ81" s="290"/>
      <c r="AR81" s="290"/>
      <c r="AS81" s="290"/>
      <c r="AT81" s="290"/>
      <c r="AU81" s="290"/>
      <c r="AV81" s="290"/>
      <c r="AW81" s="290"/>
      <c r="AX81" s="441" t="s">
        <v>1215</v>
      </c>
      <c r="AY81" s="442">
        <v>0.47</v>
      </c>
      <c r="AZ81" s="442">
        <v>140</v>
      </c>
      <c r="BA81" s="442">
        <v>90</v>
      </c>
      <c r="BB81" s="442">
        <v>1</v>
      </c>
      <c r="BC81" s="442">
        <v>5</v>
      </c>
      <c r="BD81" s="442">
        <v>0.27</v>
      </c>
      <c r="BE81" s="442">
        <f t="shared" si="17"/>
        <v>0.59689999999999999</v>
      </c>
      <c r="BF81" s="442">
        <f t="shared" si="18"/>
        <v>2.9844999999999997</v>
      </c>
      <c r="BG81" s="445">
        <f t="shared" si="19"/>
        <v>0.3059411708155671</v>
      </c>
      <c r="BH81" s="442"/>
    </row>
    <row r="82" spans="1:60" x14ac:dyDescent="0.25">
      <c r="A82" s="290"/>
      <c r="B82" s="290"/>
      <c r="C82" s="290"/>
      <c r="D82" s="290"/>
      <c r="E82" s="290"/>
      <c r="F82" s="290"/>
      <c r="G82" s="290"/>
      <c r="H82" s="290"/>
      <c r="I82" s="290"/>
      <c r="J82" s="290"/>
      <c r="K82" s="290"/>
      <c r="L82" s="290"/>
      <c r="M82" s="290"/>
      <c r="N82" s="290"/>
      <c r="O82" s="290"/>
      <c r="P82" s="360" t="s">
        <v>790</v>
      </c>
      <c r="Q82" s="1836" t="s">
        <v>724</v>
      </c>
      <c r="R82" s="1837"/>
      <c r="S82" s="361">
        <v>3555491.9</v>
      </c>
      <c r="T82" s="362">
        <v>164.1</v>
      </c>
      <c r="U82" s="361">
        <v>583449129.20000005</v>
      </c>
      <c r="V82" s="362">
        <v>82</v>
      </c>
      <c r="W82" s="361">
        <v>291724564.60000002</v>
      </c>
      <c r="X82" s="361">
        <v>1070629152</v>
      </c>
      <c r="Y82" s="290"/>
      <c r="Z82" s="290"/>
      <c r="AA82" s="1846" t="s">
        <v>792</v>
      </c>
      <c r="AB82" s="1846"/>
      <c r="AC82" s="1846"/>
      <c r="AD82" s="1846"/>
      <c r="AE82" s="290"/>
      <c r="AF82" s="1848" t="s">
        <v>793</v>
      </c>
      <c r="AG82" s="1848"/>
      <c r="AH82" s="1848"/>
      <c r="AI82" s="1848"/>
      <c r="AJ82" s="1848"/>
      <c r="AK82" s="1848"/>
      <c r="AL82" s="1848"/>
      <c r="AM82" s="1848"/>
      <c r="AN82" s="290"/>
      <c r="AO82" s="1848" t="s">
        <v>794</v>
      </c>
      <c r="AP82" s="1848"/>
      <c r="AQ82" s="1848"/>
      <c r="AR82" s="1848"/>
      <c r="AS82" s="290"/>
      <c r="AT82" s="290"/>
      <c r="AU82" s="290"/>
      <c r="AV82" s="290"/>
      <c r="AW82" s="290"/>
      <c r="AX82" s="441"/>
      <c r="AY82" s="441"/>
      <c r="AZ82" s="441"/>
      <c r="BA82" s="442"/>
      <c r="BB82" s="442"/>
      <c r="BC82" s="442"/>
      <c r="BD82" s="442"/>
      <c r="BE82" s="442"/>
      <c r="BF82" s="442"/>
      <c r="BG82" s="442"/>
      <c r="BH82" s="442"/>
    </row>
    <row r="83" spans="1:60" x14ac:dyDescent="0.25">
      <c r="A83" s="290"/>
      <c r="B83" s="290"/>
      <c r="C83" s="290"/>
      <c r="D83" s="290"/>
      <c r="E83" s="290"/>
      <c r="F83" s="290"/>
      <c r="G83" s="290"/>
      <c r="H83" s="290"/>
      <c r="I83" s="290"/>
      <c r="J83" s="290"/>
      <c r="K83" s="290"/>
      <c r="L83" s="290"/>
      <c r="M83" s="290"/>
      <c r="N83" s="290"/>
      <c r="O83" s="290"/>
      <c r="P83" s="360" t="s">
        <v>790</v>
      </c>
      <c r="Q83" s="1839" t="s">
        <v>727</v>
      </c>
      <c r="R83" s="1840"/>
      <c r="S83" s="349">
        <v>162722.1</v>
      </c>
      <c r="T83" s="350">
        <v>172.2</v>
      </c>
      <c r="U83" s="349">
        <v>28022965.399999999</v>
      </c>
      <c r="V83" s="350">
        <v>86.1</v>
      </c>
      <c r="W83" s="349">
        <v>14011482.699999999</v>
      </c>
      <c r="X83" s="349">
        <v>51422141.5</v>
      </c>
      <c r="Y83" s="290"/>
      <c r="Z83" s="290"/>
      <c r="AA83" s="1846" t="s">
        <v>795</v>
      </c>
      <c r="AB83" s="1846"/>
      <c r="AC83" s="1846"/>
      <c r="AD83" s="1846"/>
      <c r="AE83" s="290"/>
      <c r="AF83" s="1805" t="s">
        <v>796</v>
      </c>
      <c r="AG83" s="1805"/>
      <c r="AH83" s="1805"/>
      <c r="AI83" s="1805"/>
      <c r="AJ83" s="1805"/>
      <c r="AK83" s="1805"/>
      <c r="AL83" s="1805"/>
      <c r="AM83" s="1805"/>
      <c r="AN83" s="290"/>
      <c r="AO83" s="1805" t="s">
        <v>797</v>
      </c>
      <c r="AP83" s="1805"/>
      <c r="AQ83" s="1805"/>
      <c r="AR83" s="1805"/>
      <c r="AS83" s="290"/>
      <c r="AT83" s="290"/>
      <c r="AU83" s="290"/>
      <c r="AV83" s="290"/>
      <c r="AW83" s="290"/>
      <c r="AX83" s="441"/>
      <c r="AY83" s="441"/>
      <c r="AZ83" s="441"/>
      <c r="BA83" s="442"/>
      <c r="BB83" s="442"/>
      <c r="BC83" s="442"/>
      <c r="BD83" s="442"/>
      <c r="BE83" s="442"/>
      <c r="BF83" s="442"/>
      <c r="BG83" s="442"/>
      <c r="BH83" s="442"/>
    </row>
    <row r="84" spans="1:60" x14ac:dyDescent="0.25">
      <c r="A84" s="290"/>
      <c r="B84" s="290"/>
      <c r="C84" s="290"/>
      <c r="D84" s="290"/>
      <c r="E84" s="290"/>
      <c r="F84" s="290"/>
      <c r="G84" s="290"/>
      <c r="H84" s="290"/>
      <c r="I84" s="290"/>
      <c r="J84" s="290"/>
      <c r="K84" s="290"/>
      <c r="L84" s="290"/>
      <c r="M84" s="290"/>
      <c r="N84" s="290"/>
      <c r="O84" s="290"/>
      <c r="P84" s="360" t="s">
        <v>790</v>
      </c>
      <c r="Q84" s="1836" t="s">
        <v>736</v>
      </c>
      <c r="R84" s="1837"/>
      <c r="S84" s="361">
        <v>21214.5</v>
      </c>
      <c r="T84" s="362">
        <v>191.4</v>
      </c>
      <c r="U84" s="361">
        <v>4061376.9</v>
      </c>
      <c r="V84" s="362">
        <v>95.7</v>
      </c>
      <c r="W84" s="361">
        <v>2030688.5</v>
      </c>
      <c r="X84" s="361">
        <v>7452626.5999999996</v>
      </c>
      <c r="Y84" s="290"/>
      <c r="Z84" s="290"/>
      <c r="AA84" s="1846" t="s">
        <v>798</v>
      </c>
      <c r="AB84" s="1846"/>
      <c r="AC84" s="1846"/>
      <c r="AD84" s="365"/>
      <c r="AE84" s="290"/>
      <c r="AF84" s="1847" t="s">
        <v>799</v>
      </c>
      <c r="AG84" s="1847"/>
      <c r="AH84" s="1847"/>
      <c r="AI84" s="1847"/>
      <c r="AJ84" s="1847"/>
      <c r="AK84" s="1847"/>
      <c r="AL84" s="1847"/>
      <c r="AM84" s="1847"/>
      <c r="AN84" s="290"/>
      <c r="AO84" s="1817" t="s">
        <v>800</v>
      </c>
      <c r="AP84" s="1817"/>
      <c r="AQ84" s="1817"/>
      <c r="AR84" s="1817"/>
      <c r="AS84" s="290"/>
      <c r="AT84" s="290"/>
      <c r="AU84" s="290"/>
      <c r="AV84" s="290"/>
      <c r="AW84" s="290"/>
      <c r="AX84" s="441"/>
      <c r="AY84" s="441"/>
      <c r="AZ84" s="441"/>
      <c r="BA84" s="442"/>
      <c r="BB84" s="442"/>
      <c r="BC84" s="442"/>
      <c r="BD84" s="442"/>
      <c r="BE84" s="442"/>
      <c r="BF84" s="442"/>
      <c r="BG84" s="442"/>
      <c r="BH84" s="442"/>
    </row>
    <row r="85" spans="1:60" ht="60" x14ac:dyDescent="0.25">
      <c r="A85" s="290"/>
      <c r="B85" s="290"/>
      <c r="C85" s="290"/>
      <c r="D85" s="290"/>
      <c r="E85" s="290"/>
      <c r="F85" s="290"/>
      <c r="G85" s="290"/>
      <c r="H85" s="290"/>
      <c r="I85" s="290"/>
      <c r="J85" s="290"/>
      <c r="K85" s="290"/>
      <c r="L85" s="290"/>
      <c r="M85" s="290"/>
      <c r="N85" s="290"/>
      <c r="O85" s="290"/>
      <c r="P85" s="360" t="s">
        <v>790</v>
      </c>
      <c r="Q85" s="1839" t="s">
        <v>739</v>
      </c>
      <c r="R85" s="1840"/>
      <c r="S85" s="349">
        <v>12358.2</v>
      </c>
      <c r="T85" s="350">
        <v>213.5</v>
      </c>
      <c r="U85" s="349">
        <v>2638625.5</v>
      </c>
      <c r="V85" s="350">
        <v>106.8</v>
      </c>
      <c r="W85" s="349">
        <v>1319312.7</v>
      </c>
      <c r="X85" s="349">
        <v>4841877.7</v>
      </c>
      <c r="Y85" s="290"/>
      <c r="Z85" s="290"/>
      <c r="AA85" s="1843" t="s">
        <v>801</v>
      </c>
      <c r="AB85" s="1843"/>
      <c r="AC85" s="1843"/>
      <c r="AD85" s="365"/>
      <c r="AE85" s="290"/>
      <c r="AF85" s="1844"/>
      <c r="AG85" s="366"/>
      <c r="AH85" s="1845" t="s">
        <v>802</v>
      </c>
      <c r="AI85" s="366"/>
      <c r="AJ85" s="366"/>
      <c r="AK85" s="1835" t="s">
        <v>803</v>
      </c>
      <c r="AL85" s="1835" t="s">
        <v>804</v>
      </c>
      <c r="AM85" s="366"/>
      <c r="AN85" s="290"/>
      <c r="AO85" s="367" t="s">
        <v>805</v>
      </c>
      <c r="AP85" s="368" t="s">
        <v>806</v>
      </c>
      <c r="AQ85" s="291"/>
      <c r="AR85" s="291"/>
      <c r="AS85" s="290"/>
      <c r="AT85" s="290"/>
      <c r="AU85" s="290"/>
      <c r="AV85" s="290"/>
      <c r="AW85" s="290"/>
      <c r="AX85" s="441"/>
      <c r="AY85" s="440" t="s">
        <v>1237</v>
      </c>
      <c r="AZ85" s="440" t="s">
        <v>120</v>
      </c>
      <c r="BA85" s="442"/>
      <c r="BB85" s="442"/>
      <c r="BC85" s="442"/>
      <c r="BD85" s="442"/>
      <c r="BE85" s="442"/>
      <c r="BF85" s="442"/>
      <c r="BG85" s="442"/>
      <c r="BH85" s="442"/>
    </row>
    <row r="86" spans="1:60" ht="31.5" x14ac:dyDescent="0.25">
      <c r="A86" s="290"/>
      <c r="B86" s="290"/>
      <c r="C86" s="290"/>
      <c r="D86" s="290"/>
      <c r="E86" s="290"/>
      <c r="F86" s="290"/>
      <c r="G86" s="290"/>
      <c r="H86" s="290"/>
      <c r="I86" s="290"/>
      <c r="J86" s="290"/>
      <c r="K86" s="290"/>
      <c r="L86" s="290"/>
      <c r="M86" s="290"/>
      <c r="N86" s="290"/>
      <c r="O86" s="290"/>
      <c r="P86" s="360" t="s">
        <v>790</v>
      </c>
      <c r="Q86" s="1836" t="s">
        <v>745</v>
      </c>
      <c r="R86" s="1837"/>
      <c r="S86" s="361">
        <v>1593042.3</v>
      </c>
      <c r="T86" s="362">
        <v>255.2</v>
      </c>
      <c r="U86" s="361">
        <v>406622426.19999999</v>
      </c>
      <c r="V86" s="362">
        <v>127.6</v>
      </c>
      <c r="W86" s="361">
        <v>203311213.09999999</v>
      </c>
      <c r="X86" s="361">
        <v>746152152.10000002</v>
      </c>
      <c r="Y86" s="290"/>
      <c r="Z86" s="290"/>
      <c r="AA86" s="369"/>
      <c r="AB86" s="1838" t="s">
        <v>807</v>
      </c>
      <c r="AC86" s="1838"/>
      <c r="AD86" s="1838"/>
      <c r="AE86" s="290"/>
      <c r="AF86" s="1844"/>
      <c r="AG86" s="370" t="s">
        <v>808</v>
      </c>
      <c r="AH86" s="1845"/>
      <c r="AI86" s="371" t="s">
        <v>670</v>
      </c>
      <c r="AJ86" s="368" t="s">
        <v>809</v>
      </c>
      <c r="AK86" s="1835"/>
      <c r="AL86" s="1835"/>
      <c r="AM86" s="372" t="s">
        <v>810</v>
      </c>
      <c r="AN86" s="290"/>
      <c r="AO86" s="373" t="s">
        <v>811</v>
      </c>
      <c r="AP86" s="307">
        <v>0.52</v>
      </c>
      <c r="AQ86" s="291"/>
      <c r="AR86" s="291"/>
      <c r="AS86" s="290"/>
      <c r="AT86" s="290"/>
      <c r="AU86" s="290"/>
      <c r="AV86" s="290"/>
      <c r="AW86" s="290"/>
      <c r="AX86" s="441" t="s">
        <v>1236</v>
      </c>
      <c r="AY86" s="441">
        <v>2.1</v>
      </c>
      <c r="AZ86" s="445">
        <f>SQRT((75%*75%)+(10%*10%))</f>
        <v>0.75663729752107778</v>
      </c>
      <c r="BA86" s="442"/>
      <c r="BB86" s="442"/>
      <c r="BC86" s="442"/>
      <c r="BD86" s="442"/>
      <c r="BE86" s="442"/>
      <c r="BF86" s="442"/>
      <c r="BG86" s="442"/>
      <c r="BH86" s="442"/>
    </row>
    <row r="87" spans="1:60" ht="21" x14ac:dyDescent="0.25">
      <c r="A87" s="290"/>
      <c r="B87" s="290"/>
      <c r="C87" s="290"/>
      <c r="D87" s="290"/>
      <c r="E87" s="290"/>
      <c r="F87" s="290"/>
      <c r="G87" s="290"/>
      <c r="H87" s="290"/>
      <c r="I87" s="290"/>
      <c r="J87" s="290"/>
      <c r="K87" s="290"/>
      <c r="L87" s="290"/>
      <c r="M87" s="290"/>
      <c r="N87" s="290"/>
      <c r="O87" s="290"/>
      <c r="P87" s="360" t="s">
        <v>790</v>
      </c>
      <c r="Q87" s="1839" t="s">
        <v>747</v>
      </c>
      <c r="R87" s="1840"/>
      <c r="S87" s="349">
        <v>1041765.9</v>
      </c>
      <c r="T87" s="350">
        <v>125.5</v>
      </c>
      <c r="U87" s="349">
        <v>130707512.3</v>
      </c>
      <c r="V87" s="350">
        <v>62.7</v>
      </c>
      <c r="W87" s="349">
        <v>65353756.100000001</v>
      </c>
      <c r="X87" s="349">
        <v>239848285.09999999</v>
      </c>
      <c r="Y87" s="290"/>
      <c r="Z87" s="290"/>
      <c r="AA87" s="374" t="s">
        <v>812</v>
      </c>
      <c r="AB87" s="1838" t="s">
        <v>813</v>
      </c>
      <c r="AC87" s="1838"/>
      <c r="AD87" s="1838"/>
      <c r="AE87" s="290"/>
      <c r="AF87" s="1829" t="s">
        <v>814</v>
      </c>
      <c r="AG87" s="1828" t="s">
        <v>815</v>
      </c>
      <c r="AH87" s="366"/>
      <c r="AI87" s="366"/>
      <c r="AJ87" s="366"/>
      <c r="AK87" s="366"/>
      <c r="AL87" s="366"/>
      <c r="AM87" s="373" t="s">
        <v>816</v>
      </c>
      <c r="AN87" s="290"/>
      <c r="AO87" s="373" t="s">
        <v>817</v>
      </c>
      <c r="AP87" s="307">
        <v>0.34</v>
      </c>
      <c r="AQ87" s="291"/>
      <c r="AR87" s="291"/>
      <c r="AS87" s="290"/>
      <c r="AT87" s="290"/>
      <c r="AU87" s="290"/>
      <c r="AV87" s="290"/>
      <c r="AW87" s="290"/>
      <c r="AX87" s="441" t="s">
        <v>1238</v>
      </c>
      <c r="AY87" s="441">
        <v>1.8</v>
      </c>
      <c r="AZ87" s="445">
        <f t="shared" ref="AZ87:AZ93" si="20">SQRT((75%*75%)+(10%*10%))</f>
        <v>0.75663729752107778</v>
      </c>
      <c r="BA87" s="442"/>
      <c r="BB87" s="442"/>
      <c r="BC87" s="442"/>
      <c r="BD87" s="442"/>
      <c r="BE87" s="442"/>
      <c r="BF87" s="442"/>
      <c r="BG87" s="442"/>
      <c r="BH87" s="442"/>
    </row>
    <row r="88" spans="1:60" ht="21" x14ac:dyDescent="0.25">
      <c r="A88" s="290"/>
      <c r="B88" s="290"/>
      <c r="C88" s="290"/>
      <c r="D88" s="290"/>
      <c r="E88" s="290"/>
      <c r="F88" s="290"/>
      <c r="G88" s="290"/>
      <c r="H88" s="290"/>
      <c r="I88" s="290"/>
      <c r="J88" s="290"/>
      <c r="K88" s="290"/>
      <c r="L88" s="290"/>
      <c r="M88" s="290"/>
      <c r="N88" s="290"/>
      <c r="O88" s="290"/>
      <c r="P88" s="360" t="s">
        <v>790</v>
      </c>
      <c r="Q88" s="1841" t="s">
        <v>118</v>
      </c>
      <c r="R88" s="1842"/>
      <c r="S88" s="363">
        <v>7434837.5999999996</v>
      </c>
      <c r="T88" s="364">
        <v>191.6</v>
      </c>
      <c r="U88" s="363">
        <v>1424171934.4000001</v>
      </c>
      <c r="V88" s="364">
        <v>95.8</v>
      </c>
      <c r="W88" s="363">
        <v>712085967.20000005</v>
      </c>
      <c r="X88" s="363">
        <v>2613355499.5999999</v>
      </c>
      <c r="Y88" s="290"/>
      <c r="Z88" s="290"/>
      <c r="AA88" s="376"/>
      <c r="AB88" s="374" t="s">
        <v>818</v>
      </c>
      <c r="AC88" s="374" t="s">
        <v>819</v>
      </c>
      <c r="AD88" s="377" t="s">
        <v>820</v>
      </c>
      <c r="AE88" s="290"/>
      <c r="AF88" s="1829"/>
      <c r="AG88" s="1828"/>
      <c r="AH88" s="307" t="s">
        <v>821</v>
      </c>
      <c r="AI88" s="378">
        <v>0.42</v>
      </c>
      <c r="AJ88" s="378">
        <v>0.22</v>
      </c>
      <c r="AK88" s="378">
        <v>0.14000000000000001</v>
      </c>
      <c r="AL88" s="378">
        <v>0.83</v>
      </c>
      <c r="AM88" s="373">
        <v>71</v>
      </c>
      <c r="AN88" s="290"/>
      <c r="AO88" s="373" t="s">
        <v>822</v>
      </c>
      <c r="AP88" s="307">
        <v>0.6</v>
      </c>
      <c r="AQ88" s="291"/>
      <c r="AR88" s="291"/>
      <c r="AS88" s="290"/>
      <c r="AT88" s="290"/>
      <c r="AU88" s="290"/>
      <c r="AV88" s="290"/>
      <c r="AW88" s="290"/>
      <c r="AX88" s="441" t="s">
        <v>1239</v>
      </c>
      <c r="AY88" s="441">
        <v>2.6</v>
      </c>
      <c r="AZ88" s="445">
        <f t="shared" si="20"/>
        <v>0.75663729752107778</v>
      </c>
      <c r="BA88" s="442"/>
      <c r="BB88" s="442"/>
      <c r="BC88" s="442"/>
      <c r="BD88" s="442"/>
      <c r="BE88" s="442"/>
      <c r="BF88" s="442"/>
      <c r="BG88" s="442"/>
      <c r="BH88" s="442"/>
    </row>
    <row r="89" spans="1:60" ht="21" x14ac:dyDescent="0.25">
      <c r="A89" s="290"/>
      <c r="B89" s="290"/>
      <c r="C89" s="290"/>
      <c r="D89" s="290"/>
      <c r="E89" s="290"/>
      <c r="F89" s="290"/>
      <c r="G89" s="290"/>
      <c r="H89" s="290"/>
      <c r="I89" s="290"/>
      <c r="J89" s="290"/>
      <c r="K89" s="290"/>
      <c r="L89" s="290"/>
      <c r="M89" s="290"/>
      <c r="N89" s="290"/>
      <c r="O89" s="290"/>
      <c r="P89" s="348" t="s">
        <v>823</v>
      </c>
      <c r="Q89" s="1839" t="s">
        <v>716</v>
      </c>
      <c r="R89" s="1840"/>
      <c r="S89" s="349">
        <v>18818.5</v>
      </c>
      <c r="T89" s="350">
        <v>96.2</v>
      </c>
      <c r="U89" s="349">
        <v>1809954.2</v>
      </c>
      <c r="V89" s="350">
        <v>48.1</v>
      </c>
      <c r="W89" s="349">
        <v>904977.1</v>
      </c>
      <c r="X89" s="349">
        <v>3321266</v>
      </c>
      <c r="Y89" s="290"/>
      <c r="Z89" s="290"/>
      <c r="AA89" s="379" t="s">
        <v>824</v>
      </c>
      <c r="AB89" s="380">
        <v>14</v>
      </c>
      <c r="AC89" s="381">
        <v>32</v>
      </c>
      <c r="AD89" s="382">
        <v>50</v>
      </c>
      <c r="AE89" s="290"/>
      <c r="AF89" s="1829"/>
      <c r="AG89" s="1828" t="s">
        <v>825</v>
      </c>
      <c r="AH89" s="366"/>
      <c r="AI89" s="366"/>
      <c r="AJ89" s="366"/>
      <c r="AK89" s="366"/>
      <c r="AL89" s="366"/>
      <c r="AM89" s="366"/>
      <c r="AN89" s="290"/>
      <c r="AO89" s="373" t="s">
        <v>826</v>
      </c>
      <c r="AP89" s="307">
        <v>0.38</v>
      </c>
      <c r="AQ89" s="291"/>
      <c r="AR89" s="291"/>
      <c r="AS89" s="290"/>
      <c r="AT89" s="290"/>
      <c r="AU89" s="290"/>
      <c r="AV89" s="290"/>
      <c r="AW89" s="290"/>
      <c r="AX89" s="441" t="s">
        <v>1240</v>
      </c>
      <c r="AY89" s="441">
        <v>10</v>
      </c>
      <c r="AZ89" s="445">
        <f t="shared" si="20"/>
        <v>0.75663729752107778</v>
      </c>
      <c r="BA89" s="442"/>
      <c r="BB89" s="442"/>
      <c r="BC89" s="442"/>
      <c r="BD89" s="442"/>
      <c r="BE89" s="442"/>
      <c r="BF89" s="442"/>
      <c r="BG89" s="442"/>
      <c r="BH89" s="442"/>
    </row>
    <row r="90" spans="1:60" ht="21" x14ac:dyDescent="0.25">
      <c r="A90" s="290"/>
      <c r="B90" s="290"/>
      <c r="C90" s="290"/>
      <c r="D90" s="290"/>
      <c r="E90" s="290"/>
      <c r="F90" s="290"/>
      <c r="G90" s="290"/>
      <c r="H90" s="290"/>
      <c r="I90" s="290"/>
      <c r="J90" s="290"/>
      <c r="K90" s="290"/>
      <c r="L90" s="290"/>
      <c r="M90" s="290"/>
      <c r="N90" s="290"/>
      <c r="O90" s="290"/>
      <c r="P90" s="348" t="s">
        <v>823</v>
      </c>
      <c r="Q90" s="1830" t="s">
        <v>720</v>
      </c>
      <c r="R90" s="1831"/>
      <c r="S90" s="352">
        <v>2185443.7000000002</v>
      </c>
      <c r="T90" s="353">
        <v>258.89999999999998</v>
      </c>
      <c r="U90" s="352">
        <v>565755540.29999995</v>
      </c>
      <c r="V90" s="353">
        <v>129.4</v>
      </c>
      <c r="W90" s="352">
        <v>282877770.19999999</v>
      </c>
      <c r="X90" s="352">
        <v>1038161416.5</v>
      </c>
      <c r="Y90" s="290"/>
      <c r="Z90" s="290"/>
      <c r="AA90" s="379" t="s">
        <v>827</v>
      </c>
      <c r="AB90" s="380">
        <v>10</v>
      </c>
      <c r="AC90" s="381">
        <v>25</v>
      </c>
      <c r="AD90" s="382">
        <v>40</v>
      </c>
      <c r="AE90" s="290"/>
      <c r="AF90" s="1829"/>
      <c r="AG90" s="1828"/>
      <c r="AH90" s="307" t="s">
        <v>828</v>
      </c>
      <c r="AI90" s="378">
        <v>0.24</v>
      </c>
      <c r="AJ90" s="378">
        <v>0.03</v>
      </c>
      <c r="AK90" s="378">
        <v>0.22</v>
      </c>
      <c r="AL90" s="378">
        <v>0.33</v>
      </c>
      <c r="AM90" s="373" t="s">
        <v>829</v>
      </c>
      <c r="AN90" s="290"/>
      <c r="AO90" s="383"/>
      <c r="AP90" s="383"/>
      <c r="AQ90" s="291"/>
      <c r="AR90" s="291"/>
      <c r="AS90" s="290"/>
      <c r="AT90" s="290"/>
      <c r="AU90" s="290"/>
      <c r="AV90" s="290"/>
      <c r="AW90" s="290"/>
      <c r="AX90" s="441" t="s">
        <v>1241</v>
      </c>
      <c r="AY90" s="441">
        <v>-63</v>
      </c>
      <c r="AZ90" s="445">
        <f t="shared" si="20"/>
        <v>0.75663729752107778</v>
      </c>
      <c r="BA90" s="442"/>
      <c r="BB90" s="442"/>
      <c r="BC90" s="442"/>
      <c r="BD90" s="442"/>
      <c r="BE90" s="442"/>
      <c r="BF90" s="442"/>
      <c r="BG90" s="442"/>
      <c r="BH90" s="442"/>
    </row>
    <row r="91" spans="1:60" ht="31.5" x14ac:dyDescent="0.25">
      <c r="A91" s="290"/>
      <c r="B91" s="290"/>
      <c r="C91" s="290"/>
      <c r="D91" s="290"/>
      <c r="E91" s="290"/>
      <c r="F91" s="290"/>
      <c r="G91" s="290"/>
      <c r="H91" s="290"/>
      <c r="I91" s="290"/>
      <c r="J91" s="290"/>
      <c r="K91" s="290"/>
      <c r="L91" s="290"/>
      <c r="M91" s="290"/>
      <c r="N91" s="290"/>
      <c r="O91" s="290"/>
      <c r="P91" s="348" t="s">
        <v>823</v>
      </c>
      <c r="Q91" s="1839" t="s">
        <v>724</v>
      </c>
      <c r="R91" s="1840"/>
      <c r="S91" s="349">
        <v>5191</v>
      </c>
      <c r="T91" s="350">
        <v>164.1</v>
      </c>
      <c r="U91" s="349">
        <v>851826.2</v>
      </c>
      <c r="V91" s="350">
        <v>82</v>
      </c>
      <c r="W91" s="349">
        <v>425913.1</v>
      </c>
      <c r="X91" s="349">
        <v>1563101</v>
      </c>
      <c r="Y91" s="290"/>
      <c r="Z91" s="290"/>
      <c r="AA91" s="379" t="s">
        <v>830</v>
      </c>
      <c r="AB91" s="380">
        <v>15</v>
      </c>
      <c r="AC91" s="381">
        <v>32.5</v>
      </c>
      <c r="AD91" s="382">
        <v>50</v>
      </c>
      <c r="AE91" s="290"/>
      <c r="AF91" s="1829"/>
      <c r="AG91" s="373" t="s">
        <v>831</v>
      </c>
      <c r="AH91" s="307" t="s">
        <v>828</v>
      </c>
      <c r="AI91" s="378">
        <v>0.27</v>
      </c>
      <c r="AJ91" s="378">
        <v>0.01</v>
      </c>
      <c r="AK91" s="378">
        <v>0.27</v>
      </c>
      <c r="AL91" s="378">
        <v>0.28000000000000003</v>
      </c>
      <c r="AM91" s="373">
        <v>65</v>
      </c>
      <c r="AN91" s="290"/>
      <c r="AO91" s="373" t="s">
        <v>832</v>
      </c>
      <c r="AP91" s="307">
        <v>0.41</v>
      </c>
      <c r="AQ91" s="291"/>
      <c r="AR91" s="291"/>
      <c r="AS91" s="290"/>
      <c r="AT91" s="290"/>
      <c r="AU91" s="290"/>
      <c r="AV91" s="290"/>
      <c r="AW91" s="290"/>
      <c r="AX91" s="441" t="s">
        <v>1242</v>
      </c>
      <c r="AY91" s="441">
        <v>-9</v>
      </c>
      <c r="AZ91" s="445">
        <f t="shared" si="20"/>
        <v>0.75663729752107778</v>
      </c>
      <c r="BA91" s="442"/>
      <c r="BB91" s="442"/>
      <c r="BC91" s="442"/>
      <c r="BD91" s="442"/>
      <c r="BE91" s="442"/>
      <c r="BF91" s="442"/>
      <c r="BG91" s="442"/>
      <c r="BH91" s="442"/>
    </row>
    <row r="92" spans="1:60" ht="31.5" x14ac:dyDescent="0.25">
      <c r="A92" s="290"/>
      <c r="B92" s="290"/>
      <c r="C92" s="290"/>
      <c r="D92" s="290"/>
      <c r="E92" s="290"/>
      <c r="F92" s="290"/>
      <c r="G92" s="290"/>
      <c r="H92" s="290"/>
      <c r="I92" s="290"/>
      <c r="J92" s="290"/>
      <c r="K92" s="290"/>
      <c r="L92" s="310"/>
      <c r="M92" s="310"/>
      <c r="N92" s="310"/>
      <c r="O92" s="310"/>
      <c r="P92" s="348" t="s">
        <v>823</v>
      </c>
      <c r="Q92" s="1830" t="s">
        <v>736</v>
      </c>
      <c r="R92" s="1831"/>
      <c r="S92" s="353">
        <v>546.29999999999995</v>
      </c>
      <c r="T92" s="353">
        <v>191.4</v>
      </c>
      <c r="U92" s="352">
        <v>104576.1</v>
      </c>
      <c r="V92" s="353">
        <v>95.7</v>
      </c>
      <c r="W92" s="352">
        <v>52288</v>
      </c>
      <c r="X92" s="352">
        <v>191897.1</v>
      </c>
      <c r="Y92" s="290"/>
      <c r="Z92" s="290"/>
      <c r="AA92" s="379" t="s">
        <v>833</v>
      </c>
      <c r="AB92" s="380">
        <v>10</v>
      </c>
      <c r="AC92" s="381">
        <v>32.5</v>
      </c>
      <c r="AD92" s="382">
        <v>55</v>
      </c>
      <c r="AE92" s="290"/>
      <c r="AF92" s="1829" t="s">
        <v>834</v>
      </c>
      <c r="AG92" s="373" t="s">
        <v>835</v>
      </c>
      <c r="AH92" s="307" t="s">
        <v>836</v>
      </c>
      <c r="AI92" s="378">
        <v>0.46</v>
      </c>
      <c r="AJ92" s="378">
        <v>0.21</v>
      </c>
      <c r="AK92" s="378">
        <v>0.21</v>
      </c>
      <c r="AL92" s="378">
        <v>1.06</v>
      </c>
      <c r="AM92" s="373" t="s">
        <v>837</v>
      </c>
      <c r="AN92" s="310"/>
      <c r="AO92" s="373" t="s">
        <v>838</v>
      </c>
      <c r="AP92" s="307">
        <v>0.86</v>
      </c>
      <c r="AQ92" s="384"/>
      <c r="AR92" s="384"/>
      <c r="AS92" s="310"/>
      <c r="AT92" s="310"/>
      <c r="AU92" s="310"/>
      <c r="AV92" s="310"/>
      <c r="AW92" s="310"/>
      <c r="AX92" s="441" t="s">
        <v>1243</v>
      </c>
      <c r="AY92" s="441">
        <v>-21</v>
      </c>
      <c r="AZ92" s="445">
        <f t="shared" si="20"/>
        <v>0.75663729752107778</v>
      </c>
      <c r="BA92" s="442"/>
      <c r="BB92" s="442"/>
      <c r="BC92" s="442"/>
      <c r="BD92" s="442"/>
      <c r="BE92" s="442"/>
      <c r="BF92" s="442"/>
      <c r="BG92" s="442"/>
      <c r="BH92" s="442"/>
    </row>
    <row r="93" spans="1:60" ht="33.75" x14ac:dyDescent="0.25">
      <c r="A93" s="290"/>
      <c r="B93" s="290"/>
      <c r="C93" s="290"/>
      <c r="D93" s="290"/>
      <c r="E93" s="290"/>
      <c r="F93" s="290"/>
      <c r="G93" s="290"/>
      <c r="H93" s="290"/>
      <c r="I93" s="290"/>
      <c r="J93" s="290"/>
      <c r="K93" s="290"/>
      <c r="L93" s="310"/>
      <c r="M93" s="310"/>
      <c r="N93" s="310"/>
      <c r="O93" s="310"/>
      <c r="P93" s="348" t="s">
        <v>823</v>
      </c>
      <c r="Q93" s="1832" t="s">
        <v>118</v>
      </c>
      <c r="R93" s="1833"/>
      <c r="S93" s="358">
        <v>2209999.4</v>
      </c>
      <c r="T93" s="359">
        <v>257.2</v>
      </c>
      <c r="U93" s="358">
        <v>568521896.79999995</v>
      </c>
      <c r="V93" s="359">
        <v>128.6</v>
      </c>
      <c r="W93" s="358">
        <v>284260948.39999998</v>
      </c>
      <c r="X93" s="358">
        <v>1043237680.6</v>
      </c>
      <c r="Y93" s="310"/>
      <c r="Z93" s="310"/>
      <c r="AA93" s="379" t="s">
        <v>839</v>
      </c>
      <c r="AB93" s="380">
        <v>15</v>
      </c>
      <c r="AC93" s="381">
        <v>22.5</v>
      </c>
      <c r="AD93" s="382">
        <v>30</v>
      </c>
      <c r="AE93" s="310"/>
      <c r="AF93" s="1829"/>
      <c r="AG93" s="373" t="s">
        <v>835</v>
      </c>
      <c r="AH93" s="378" t="s">
        <v>840</v>
      </c>
      <c r="AI93" s="378">
        <v>0.32</v>
      </c>
      <c r="AJ93" s="378">
        <v>0.08</v>
      </c>
      <c r="AK93" s="378">
        <v>0.24</v>
      </c>
      <c r="AL93" s="378">
        <v>0.5</v>
      </c>
      <c r="AM93" s="373" t="s">
        <v>841</v>
      </c>
      <c r="AN93" s="310"/>
      <c r="AO93" s="373" t="s">
        <v>842</v>
      </c>
      <c r="AP93" s="307">
        <v>0.67</v>
      </c>
      <c r="AQ93" s="384"/>
      <c r="AR93" s="384"/>
      <c r="AS93" s="310"/>
      <c r="AT93" s="310"/>
      <c r="AU93" s="310"/>
      <c r="AV93" s="310"/>
      <c r="AW93" s="310"/>
      <c r="AX93" s="441" t="s">
        <v>1244</v>
      </c>
      <c r="AY93" s="441">
        <v>-50</v>
      </c>
      <c r="AZ93" s="445">
        <f t="shared" si="20"/>
        <v>0.75663729752107778</v>
      </c>
      <c r="BA93" s="442"/>
      <c r="BB93" s="442"/>
      <c r="BC93" s="442"/>
      <c r="BD93" s="442"/>
      <c r="BE93" s="442"/>
      <c r="BF93" s="442"/>
      <c r="BG93" s="442"/>
      <c r="BH93" s="442"/>
    </row>
    <row r="94" spans="1:60" ht="22.5" x14ac:dyDescent="0.25">
      <c r="A94" s="290"/>
      <c r="B94" s="290"/>
      <c r="C94" s="290"/>
      <c r="D94" s="290"/>
      <c r="E94" s="290"/>
      <c r="F94" s="290"/>
      <c r="G94" s="290"/>
      <c r="H94" s="290"/>
      <c r="I94" s="290"/>
      <c r="J94" s="290"/>
      <c r="K94" s="290"/>
      <c r="L94" s="310"/>
      <c r="M94" s="310"/>
      <c r="N94" s="310"/>
      <c r="O94" s="310"/>
      <c r="P94" s="1834" t="s">
        <v>750</v>
      </c>
      <c r="Q94" s="1834"/>
      <c r="R94" s="1834"/>
      <c r="S94" s="1834"/>
      <c r="T94" s="1834"/>
      <c r="U94" s="1834"/>
      <c r="V94" s="1834"/>
      <c r="W94" s="1834"/>
      <c r="X94" s="1834"/>
      <c r="Y94" s="310"/>
      <c r="Z94" s="310"/>
      <c r="AA94" s="379" t="s">
        <v>843</v>
      </c>
      <c r="AB94" s="380">
        <v>20</v>
      </c>
      <c r="AC94" s="381">
        <v>40</v>
      </c>
      <c r="AD94" s="382">
        <v>60</v>
      </c>
      <c r="AE94" s="310"/>
      <c r="AF94" s="1829"/>
      <c r="AG94" s="366"/>
      <c r="AH94" s="366"/>
      <c r="AI94" s="366"/>
      <c r="AJ94" s="366"/>
      <c r="AK94" s="366"/>
      <c r="AL94" s="366"/>
      <c r="AM94" s="373" t="s">
        <v>844</v>
      </c>
      <c r="AN94" s="310"/>
      <c r="AO94" s="373" t="s">
        <v>845</v>
      </c>
      <c r="AP94" s="307">
        <v>0.62</v>
      </c>
      <c r="AQ94" s="384"/>
      <c r="AR94" s="384"/>
      <c r="AS94" s="310"/>
      <c r="AT94" s="310"/>
      <c r="AU94" s="310"/>
      <c r="AV94" s="310"/>
      <c r="AW94" s="310"/>
      <c r="AX94" s="441"/>
      <c r="AY94" s="441"/>
      <c r="AZ94" s="441"/>
      <c r="BA94" s="442"/>
      <c r="BB94" s="442"/>
      <c r="BC94" s="442"/>
      <c r="BD94" s="442"/>
      <c r="BE94" s="442"/>
      <c r="BF94" s="442"/>
      <c r="BG94" s="442"/>
      <c r="BH94" s="442"/>
    </row>
    <row r="95" spans="1:60" s="312" customFormat="1" ht="31.5" x14ac:dyDescent="0.25">
      <c r="A95" s="290"/>
      <c r="B95" s="290"/>
      <c r="C95" s="290"/>
      <c r="D95" s="290"/>
      <c r="E95" s="290"/>
      <c r="F95" s="290"/>
      <c r="G95" s="290"/>
      <c r="H95" s="290"/>
      <c r="I95" s="290"/>
      <c r="J95" s="290"/>
      <c r="K95" s="290"/>
      <c r="L95" s="310"/>
      <c r="M95" s="310"/>
      <c r="N95" s="310"/>
      <c r="O95" s="310"/>
      <c r="P95" s="310"/>
      <c r="Q95" s="310"/>
      <c r="R95" s="310"/>
      <c r="S95" s="310"/>
      <c r="T95" s="310"/>
      <c r="U95" s="310"/>
      <c r="V95" s="310"/>
      <c r="W95" s="310"/>
      <c r="X95" s="310"/>
      <c r="Y95" s="310"/>
      <c r="Z95" s="310"/>
      <c r="AA95" s="379" t="s">
        <v>846</v>
      </c>
      <c r="AB95" s="380">
        <v>10</v>
      </c>
      <c r="AC95" s="381">
        <v>25</v>
      </c>
      <c r="AD95" s="382">
        <v>40</v>
      </c>
      <c r="AE95" s="310"/>
      <c r="AF95" s="1829"/>
      <c r="AG95" s="373" t="s">
        <v>835</v>
      </c>
      <c r="AH95" s="307" t="s">
        <v>847</v>
      </c>
      <c r="AI95" s="378">
        <v>0.23</v>
      </c>
      <c r="AJ95" s="378">
        <v>0.09</v>
      </c>
      <c r="AK95" s="378">
        <v>0.12</v>
      </c>
      <c r="AL95" s="378">
        <v>0.49</v>
      </c>
      <c r="AM95" s="373" t="s">
        <v>848</v>
      </c>
      <c r="AN95" s="310"/>
      <c r="AO95" s="373" t="s">
        <v>849</v>
      </c>
      <c r="AP95" s="307">
        <v>0.38</v>
      </c>
      <c r="AQ95" s="384"/>
      <c r="AR95" s="384"/>
      <c r="AS95" s="310"/>
      <c r="AT95" s="310"/>
      <c r="AU95" s="310"/>
      <c r="AV95" s="310"/>
      <c r="AW95" s="310"/>
      <c r="AX95" s="441"/>
      <c r="AY95" s="441"/>
      <c r="AZ95" s="441"/>
      <c r="BA95" s="442"/>
      <c r="BB95" s="442"/>
      <c r="BC95" s="442"/>
      <c r="BD95" s="442"/>
      <c r="BE95" s="442"/>
      <c r="BF95" s="442"/>
      <c r="BG95" s="442"/>
      <c r="BH95" s="442"/>
    </row>
    <row r="96" spans="1:60" s="312" customFormat="1" ht="45" x14ac:dyDescent="0.25">
      <c r="A96" s="290"/>
      <c r="B96" s="290"/>
      <c r="C96" s="290"/>
      <c r="D96" s="290"/>
      <c r="E96" s="290"/>
      <c r="F96" s="290"/>
      <c r="G96" s="290"/>
      <c r="H96" s="290"/>
      <c r="I96" s="290"/>
      <c r="J96" s="290"/>
      <c r="K96" s="290"/>
      <c r="L96" s="310"/>
      <c r="M96" s="310"/>
      <c r="N96" s="310"/>
      <c r="O96" s="310"/>
      <c r="P96" s="310"/>
      <c r="Q96" s="310"/>
      <c r="R96" s="310"/>
      <c r="S96" s="310"/>
      <c r="T96" s="310"/>
      <c r="U96" s="310"/>
      <c r="V96" s="310"/>
      <c r="W96" s="310"/>
      <c r="X96" s="310"/>
      <c r="Y96" s="310"/>
      <c r="Z96" s="310"/>
      <c r="AA96" s="379" t="s">
        <v>850</v>
      </c>
      <c r="AB96" s="380">
        <v>10</v>
      </c>
      <c r="AC96" s="381">
        <v>19</v>
      </c>
      <c r="AD96" s="382">
        <v>28</v>
      </c>
      <c r="AE96" s="310"/>
      <c r="AF96" s="1829" t="s">
        <v>851</v>
      </c>
      <c r="AG96" s="373" t="s">
        <v>852</v>
      </c>
      <c r="AH96" s="307" t="s">
        <v>853</v>
      </c>
      <c r="AI96" s="378">
        <v>0.35</v>
      </c>
      <c r="AJ96" s="378">
        <v>0.25</v>
      </c>
      <c r="AK96" s="378">
        <v>0.2</v>
      </c>
      <c r="AL96" s="378">
        <v>1.1599999999999999</v>
      </c>
      <c r="AM96" s="373" t="s">
        <v>854</v>
      </c>
      <c r="AN96" s="310"/>
      <c r="AO96" s="373" t="s">
        <v>855</v>
      </c>
      <c r="AP96" s="307">
        <v>0.36</v>
      </c>
      <c r="AQ96" s="384"/>
      <c r="AR96" s="384"/>
      <c r="AS96" s="310"/>
      <c r="AT96" s="310"/>
      <c r="AU96" s="310"/>
      <c r="AV96" s="310"/>
      <c r="AW96" s="310"/>
      <c r="AX96" s="441"/>
      <c r="AY96" s="441"/>
      <c r="AZ96" s="441"/>
      <c r="BA96" s="442"/>
      <c r="BB96" s="442"/>
      <c r="BC96" s="442"/>
      <c r="BD96" s="442"/>
      <c r="BE96" s="442"/>
      <c r="BF96" s="442"/>
      <c r="BG96" s="442"/>
      <c r="BH96" s="442"/>
    </row>
    <row r="97" spans="1:60" s="312" customFormat="1" ht="56.25" x14ac:dyDescent="0.25">
      <c r="A97" s="290"/>
      <c r="B97" s="290"/>
      <c r="C97" s="290"/>
      <c r="D97" s="290"/>
      <c r="E97" s="290"/>
      <c r="F97" s="290"/>
      <c r="G97" s="290"/>
      <c r="H97" s="290"/>
      <c r="I97" s="290"/>
      <c r="J97" s="290"/>
      <c r="K97" s="290"/>
      <c r="L97" s="310"/>
      <c r="M97" s="310"/>
      <c r="N97" s="310"/>
      <c r="O97" s="310"/>
      <c r="P97" s="310"/>
      <c r="Q97" s="310"/>
      <c r="R97" s="310"/>
      <c r="S97" s="310"/>
      <c r="T97" s="310"/>
      <c r="U97" s="310"/>
      <c r="V97" s="310"/>
      <c r="W97" s="310"/>
      <c r="X97" s="310"/>
      <c r="Y97" s="310"/>
      <c r="Z97" s="310"/>
      <c r="AA97" s="379" t="s">
        <v>856</v>
      </c>
      <c r="AB97" s="380">
        <v>20</v>
      </c>
      <c r="AC97" s="381">
        <v>35</v>
      </c>
      <c r="AD97" s="385">
        <v>50</v>
      </c>
      <c r="AE97" s="310"/>
      <c r="AF97" s="1829"/>
      <c r="AG97" s="373" t="s">
        <v>857</v>
      </c>
      <c r="AH97" s="307" t="s">
        <v>836</v>
      </c>
      <c r="AI97" s="378">
        <v>0.45</v>
      </c>
      <c r="AJ97" s="378">
        <v>0.15</v>
      </c>
      <c r="AK97" s="378">
        <v>0.28999999999999998</v>
      </c>
      <c r="AL97" s="378">
        <v>0.81</v>
      </c>
      <c r="AM97" s="373" t="s">
        <v>858</v>
      </c>
      <c r="AN97" s="310"/>
      <c r="AO97" s="373" t="s">
        <v>859</v>
      </c>
      <c r="AP97" s="307">
        <v>0.7</v>
      </c>
      <c r="AQ97" s="384"/>
      <c r="AR97" s="384"/>
      <c r="AS97" s="310"/>
      <c r="AT97" s="310"/>
      <c r="AU97" s="310"/>
      <c r="AV97" s="310"/>
      <c r="AW97" s="310"/>
      <c r="AX97" s="441"/>
      <c r="AY97" s="441"/>
      <c r="AZ97" s="441"/>
      <c r="BA97" s="442"/>
      <c r="BB97" s="442"/>
      <c r="BC97" s="442"/>
      <c r="BD97" s="442"/>
      <c r="BE97" s="442"/>
      <c r="BF97" s="442"/>
      <c r="BG97" s="442"/>
      <c r="BH97" s="442"/>
    </row>
    <row r="98" spans="1:60" s="312" customFormat="1" ht="22.5" x14ac:dyDescent="0.25">
      <c r="A98" s="290"/>
      <c r="B98" s="290"/>
      <c r="C98" s="290"/>
      <c r="D98" s="290"/>
      <c r="E98" s="290"/>
      <c r="F98" s="290"/>
      <c r="G98" s="290"/>
      <c r="H98" s="290"/>
      <c r="I98" s="290"/>
      <c r="J98" s="290"/>
      <c r="K98" s="290"/>
      <c r="L98" s="310"/>
      <c r="M98" s="310"/>
      <c r="N98" s="310"/>
      <c r="O98" s="310"/>
      <c r="P98" s="310"/>
      <c r="Q98" s="310"/>
      <c r="R98" s="310"/>
      <c r="S98" s="310"/>
      <c r="T98" s="310"/>
      <c r="U98" s="310"/>
      <c r="V98" s="310"/>
      <c r="W98" s="310"/>
      <c r="X98" s="310"/>
      <c r="Y98" s="310"/>
      <c r="Z98" s="310"/>
      <c r="AA98" s="379" t="s">
        <v>860</v>
      </c>
      <c r="AB98" s="380">
        <v>8</v>
      </c>
      <c r="AC98" s="381">
        <v>24</v>
      </c>
      <c r="AD98" s="382">
        <v>40</v>
      </c>
      <c r="AE98" s="310"/>
      <c r="AF98" s="1829"/>
      <c r="AG98" s="373" t="s">
        <v>857</v>
      </c>
      <c r="AH98" s="378" t="s">
        <v>840</v>
      </c>
      <c r="AI98" s="378">
        <v>0.35</v>
      </c>
      <c r="AJ98" s="378">
        <v>0.23</v>
      </c>
      <c r="AK98" s="378">
        <v>0.15</v>
      </c>
      <c r="AL98" s="378">
        <v>0.81</v>
      </c>
      <c r="AM98" s="373" t="s">
        <v>861</v>
      </c>
      <c r="AN98" s="310"/>
      <c r="AO98" s="373" t="s">
        <v>862</v>
      </c>
      <c r="AP98" s="383"/>
      <c r="AQ98" s="384"/>
      <c r="AR98" s="384"/>
      <c r="AS98" s="310"/>
      <c r="AT98" s="310"/>
      <c r="AU98" s="310"/>
      <c r="AV98" s="310"/>
      <c r="AW98" s="310"/>
      <c r="AX98" s="310"/>
      <c r="AY98" s="310"/>
      <c r="AZ98" s="310"/>
    </row>
    <row r="99" spans="1:60" s="312" customFormat="1" ht="31.5" x14ac:dyDescent="0.25">
      <c r="A99" s="290"/>
      <c r="B99" s="290"/>
      <c r="C99" s="290"/>
      <c r="D99" s="290"/>
      <c r="E99" s="290"/>
      <c r="F99" s="290"/>
      <c r="G99" s="290"/>
      <c r="H99" s="290"/>
      <c r="I99" s="290"/>
      <c r="J99" s="290"/>
      <c r="K99" s="290"/>
      <c r="L99" s="310"/>
      <c r="M99" s="310"/>
      <c r="N99" s="310"/>
      <c r="O99" s="310"/>
      <c r="P99" s="310"/>
      <c r="Q99" s="310"/>
      <c r="R99" s="310"/>
      <c r="S99" s="310"/>
      <c r="T99" s="310"/>
      <c r="U99" s="310"/>
      <c r="V99" s="310"/>
      <c r="W99" s="310"/>
      <c r="X99" s="310"/>
      <c r="Y99" s="310"/>
      <c r="Z99" s="310"/>
      <c r="AA99" s="379" t="s">
        <v>863</v>
      </c>
      <c r="AB99" s="380">
        <v>12</v>
      </c>
      <c r="AC99" s="381">
        <v>23.5</v>
      </c>
      <c r="AD99" s="382">
        <v>35</v>
      </c>
      <c r="AE99" s="310"/>
      <c r="AF99" s="1829"/>
      <c r="AG99" s="373" t="s">
        <v>864</v>
      </c>
      <c r="AH99" s="307" t="s">
        <v>847</v>
      </c>
      <c r="AI99" s="378">
        <v>0.2</v>
      </c>
      <c r="AJ99" s="378">
        <v>0.08</v>
      </c>
      <c r="AK99" s="378">
        <v>0.1</v>
      </c>
      <c r="AL99" s="378">
        <v>0.33</v>
      </c>
      <c r="AM99" s="373" t="s">
        <v>865</v>
      </c>
      <c r="AN99" s="310"/>
      <c r="AO99" s="373" t="s">
        <v>866</v>
      </c>
      <c r="AP99" s="307">
        <v>0.75</v>
      </c>
      <c r="AQ99" s="384"/>
      <c r="AR99" s="384"/>
      <c r="AS99" s="310"/>
      <c r="AT99" s="310"/>
      <c r="AU99" s="310"/>
      <c r="AV99" s="310"/>
      <c r="AW99" s="310"/>
      <c r="AX99" s="310"/>
      <c r="AY99" s="310"/>
      <c r="AZ99" s="310"/>
    </row>
    <row r="100" spans="1:60" s="312" customFormat="1" ht="31.5" x14ac:dyDescent="0.25">
      <c r="A100" s="290"/>
      <c r="B100" s="290"/>
      <c r="C100" s="290"/>
      <c r="D100" s="290"/>
      <c r="E100" s="290"/>
      <c r="F100" s="290"/>
      <c r="G100" s="290"/>
      <c r="H100" s="290"/>
      <c r="I100" s="290"/>
      <c r="J100" s="290"/>
      <c r="K100" s="290"/>
      <c r="L100" s="310"/>
      <c r="M100" s="310"/>
      <c r="N100" s="310"/>
      <c r="O100" s="310"/>
      <c r="P100" s="310"/>
      <c r="Q100" s="310"/>
      <c r="R100" s="310"/>
      <c r="S100" s="310"/>
      <c r="T100" s="310"/>
      <c r="U100" s="310"/>
      <c r="V100" s="310"/>
      <c r="W100" s="310"/>
      <c r="X100" s="310"/>
      <c r="Y100" s="310"/>
      <c r="Z100" s="310"/>
      <c r="AA100" s="379" t="s">
        <v>867</v>
      </c>
      <c r="AB100" s="380">
        <v>10</v>
      </c>
      <c r="AC100" s="381">
        <v>25</v>
      </c>
      <c r="AD100" s="382">
        <v>40</v>
      </c>
      <c r="AE100" s="310"/>
      <c r="AF100" s="1829"/>
      <c r="AG100" s="373" t="s">
        <v>868</v>
      </c>
      <c r="AH100" s="307" t="s">
        <v>869</v>
      </c>
      <c r="AI100" s="378">
        <v>0.43</v>
      </c>
      <c r="AJ100" s="378">
        <v>0.24</v>
      </c>
      <c r="AK100" s="378">
        <v>0.12</v>
      </c>
      <c r="AL100" s="378">
        <v>0.93</v>
      </c>
      <c r="AM100" s="373" t="s">
        <v>870</v>
      </c>
      <c r="AN100" s="310"/>
      <c r="AO100" s="373" t="s">
        <v>871</v>
      </c>
      <c r="AP100" s="307">
        <v>0.73</v>
      </c>
      <c r="AQ100" s="384"/>
      <c r="AR100" s="384"/>
      <c r="AS100" s="310"/>
      <c r="AT100" s="310"/>
      <c r="AU100" s="310"/>
      <c r="AV100" s="310"/>
      <c r="AW100" s="310"/>
      <c r="AX100" s="310"/>
      <c r="AY100" s="310"/>
      <c r="AZ100" s="310"/>
    </row>
    <row r="101" spans="1:60" s="312" customFormat="1" ht="22.5" x14ac:dyDescent="0.25">
      <c r="A101" s="290"/>
      <c r="B101" s="290"/>
      <c r="C101" s="290"/>
      <c r="D101" s="290"/>
      <c r="E101" s="290"/>
      <c r="F101" s="290"/>
      <c r="G101" s="290"/>
      <c r="H101" s="290"/>
      <c r="I101" s="290"/>
      <c r="J101" s="290"/>
      <c r="K101" s="290"/>
      <c r="L101" s="310"/>
      <c r="M101" s="310"/>
      <c r="N101" s="310"/>
      <c r="O101" s="310"/>
      <c r="P101" s="310"/>
      <c r="Q101" s="310"/>
      <c r="R101" s="310"/>
      <c r="S101" s="310"/>
      <c r="T101" s="310"/>
      <c r="U101" s="310"/>
      <c r="V101" s="310"/>
      <c r="W101" s="310"/>
      <c r="X101" s="310"/>
      <c r="Y101" s="310"/>
      <c r="Z101" s="310"/>
      <c r="AA101" s="379" t="s">
        <v>872</v>
      </c>
      <c r="AB101" s="380">
        <v>8</v>
      </c>
      <c r="AC101" s="381">
        <v>16</v>
      </c>
      <c r="AD101" s="382">
        <v>24</v>
      </c>
      <c r="AE101" s="310"/>
      <c r="AF101" s="1829"/>
      <c r="AG101" s="366"/>
      <c r="AH101" s="366"/>
      <c r="AI101" s="366"/>
      <c r="AJ101" s="366"/>
      <c r="AK101" s="366"/>
      <c r="AL101" s="366"/>
      <c r="AM101" s="373" t="s">
        <v>873</v>
      </c>
      <c r="AN101" s="310"/>
      <c r="AO101" s="373" t="s">
        <v>874</v>
      </c>
      <c r="AP101" s="378" t="s">
        <v>875</v>
      </c>
      <c r="AQ101" s="384"/>
      <c r="AR101" s="384"/>
      <c r="AS101" s="310"/>
      <c r="AT101" s="310"/>
      <c r="AU101" s="310"/>
      <c r="AV101" s="310"/>
      <c r="AW101" s="310"/>
      <c r="AX101" s="310"/>
      <c r="AY101" s="310"/>
      <c r="AZ101" s="310"/>
    </row>
    <row r="102" spans="1:60" s="312" customFormat="1" ht="33.75" x14ac:dyDescent="0.25">
      <c r="A102" s="290"/>
      <c r="B102" s="290"/>
      <c r="C102" s="290"/>
      <c r="D102" s="290"/>
      <c r="E102" s="290"/>
      <c r="F102" s="290"/>
      <c r="G102" s="290"/>
      <c r="H102" s="290"/>
      <c r="I102" s="290"/>
      <c r="J102" s="290"/>
      <c r="K102" s="290"/>
      <c r="L102" s="310"/>
      <c r="M102" s="310"/>
      <c r="N102" s="310"/>
      <c r="O102" s="310"/>
      <c r="P102" s="310"/>
      <c r="Q102" s="310"/>
      <c r="R102" s="310"/>
      <c r="S102" s="310"/>
      <c r="T102" s="310"/>
      <c r="U102" s="310"/>
      <c r="V102" s="310"/>
      <c r="W102" s="310"/>
      <c r="X102" s="310"/>
      <c r="Y102" s="310"/>
      <c r="Z102" s="310"/>
      <c r="AA102" s="379" t="s">
        <v>876</v>
      </c>
      <c r="AB102" s="380">
        <v>10</v>
      </c>
      <c r="AC102" s="381">
        <v>14</v>
      </c>
      <c r="AD102" s="382">
        <v>18</v>
      </c>
      <c r="AE102" s="310"/>
      <c r="AF102" s="1829"/>
      <c r="AG102" s="373" t="s">
        <v>868</v>
      </c>
      <c r="AH102" s="378" t="s">
        <v>877</v>
      </c>
      <c r="AI102" s="378">
        <v>0.26</v>
      </c>
      <c r="AJ102" s="378">
        <v>0.1</v>
      </c>
      <c r="AK102" s="378">
        <v>0.13</v>
      </c>
      <c r="AL102" s="378">
        <v>0.52</v>
      </c>
      <c r="AM102" s="373" t="s">
        <v>878</v>
      </c>
      <c r="AN102" s="310"/>
      <c r="AO102" s="373" t="s">
        <v>879</v>
      </c>
      <c r="AP102" s="307">
        <v>0.61</v>
      </c>
      <c r="AQ102" s="384"/>
      <c r="AR102" s="384"/>
      <c r="AS102" s="310"/>
      <c r="AT102" s="310"/>
      <c r="AU102" s="310"/>
      <c r="AV102" s="310"/>
      <c r="AW102" s="310"/>
      <c r="AX102" s="310"/>
      <c r="AY102" s="310"/>
      <c r="AZ102" s="310"/>
    </row>
    <row r="103" spans="1:60" s="312" customFormat="1" ht="31.5" x14ac:dyDescent="0.25">
      <c r="A103" s="290"/>
      <c r="B103" s="290"/>
      <c r="C103" s="290"/>
      <c r="D103" s="290"/>
      <c r="E103" s="290"/>
      <c r="F103" s="290"/>
      <c r="G103" s="290"/>
      <c r="H103" s="290"/>
      <c r="I103" s="290"/>
      <c r="J103" s="290"/>
      <c r="K103" s="290"/>
      <c r="L103" s="310"/>
      <c r="M103" s="310"/>
      <c r="N103" s="310"/>
      <c r="O103" s="310"/>
      <c r="P103" s="310"/>
      <c r="Q103" s="310"/>
      <c r="R103" s="310"/>
      <c r="S103" s="310"/>
      <c r="T103" s="310"/>
      <c r="U103" s="310"/>
      <c r="V103" s="310"/>
      <c r="W103" s="310"/>
      <c r="X103" s="310"/>
      <c r="Y103" s="310"/>
      <c r="Z103" s="310"/>
      <c r="AA103" s="379" t="s">
        <v>880</v>
      </c>
      <c r="AB103" s="380">
        <v>12</v>
      </c>
      <c r="AC103" s="381">
        <v>31</v>
      </c>
      <c r="AD103" s="382">
        <v>50</v>
      </c>
      <c r="AE103" s="310"/>
      <c r="AF103" s="1829"/>
      <c r="AG103" s="373" t="s">
        <v>868</v>
      </c>
      <c r="AH103" s="307" t="s">
        <v>847</v>
      </c>
      <c r="AI103" s="378">
        <v>0.24</v>
      </c>
      <c r="AJ103" s="378">
        <v>0.05</v>
      </c>
      <c r="AK103" s="378">
        <v>0.17</v>
      </c>
      <c r="AL103" s="378">
        <v>0.3</v>
      </c>
      <c r="AM103" s="373" t="s">
        <v>881</v>
      </c>
      <c r="AN103" s="310"/>
      <c r="AO103" s="373" t="s">
        <v>882</v>
      </c>
      <c r="AP103" s="307">
        <v>0.57999999999999996</v>
      </c>
      <c r="AQ103" s="384"/>
      <c r="AR103" s="384"/>
      <c r="AS103" s="310"/>
      <c r="AT103" s="310"/>
      <c r="AU103" s="310"/>
      <c r="AV103" s="310"/>
      <c r="AW103" s="310"/>
      <c r="AX103" s="310"/>
      <c r="AY103" s="310"/>
      <c r="AZ103" s="310"/>
    </row>
    <row r="104" spans="1:60" s="312" customFormat="1" ht="33.75" x14ac:dyDescent="0.25">
      <c r="A104" s="290"/>
      <c r="B104" s="290"/>
      <c r="C104" s="290"/>
      <c r="D104" s="290"/>
      <c r="E104" s="290"/>
      <c r="F104" s="290"/>
      <c r="G104" s="290"/>
      <c r="H104" s="290"/>
      <c r="I104" s="290"/>
      <c r="J104" s="290"/>
      <c r="K104" s="290"/>
      <c r="L104" s="310"/>
      <c r="M104" s="310"/>
      <c r="N104" s="310"/>
      <c r="O104" s="310"/>
      <c r="P104" s="310"/>
      <c r="Q104" s="310"/>
      <c r="R104" s="310"/>
      <c r="S104" s="310"/>
      <c r="T104" s="310"/>
      <c r="U104" s="310"/>
      <c r="V104" s="310"/>
      <c r="W104" s="310"/>
      <c r="X104" s="310"/>
      <c r="Y104" s="310"/>
      <c r="Z104" s="310"/>
      <c r="AA104" s="379" t="s">
        <v>883</v>
      </c>
      <c r="AB104" s="380">
        <v>7</v>
      </c>
      <c r="AC104" s="381">
        <v>18.5</v>
      </c>
      <c r="AD104" s="382">
        <v>30</v>
      </c>
      <c r="AE104" s="310"/>
      <c r="AF104" s="1829" t="s">
        <v>884</v>
      </c>
      <c r="AG104" s="373" t="s">
        <v>885</v>
      </c>
      <c r="AH104" s="307" t="s">
        <v>828</v>
      </c>
      <c r="AI104" s="378">
        <v>3.95</v>
      </c>
      <c r="AJ104" s="378">
        <v>2.97</v>
      </c>
      <c r="AK104" s="378">
        <v>1.92</v>
      </c>
      <c r="AL104" s="378">
        <v>10.51</v>
      </c>
      <c r="AM104" s="373" t="s">
        <v>886</v>
      </c>
      <c r="AN104" s="310"/>
      <c r="AO104" s="373" t="s">
        <v>887</v>
      </c>
      <c r="AP104" s="307">
        <v>0.61</v>
      </c>
      <c r="AQ104" s="384"/>
      <c r="AR104" s="384"/>
      <c r="AS104" s="310"/>
      <c r="AT104" s="310"/>
      <c r="AU104" s="310"/>
      <c r="AV104" s="310"/>
      <c r="AW104" s="310"/>
      <c r="AX104" s="310"/>
      <c r="AY104" s="310"/>
      <c r="AZ104" s="310"/>
    </row>
    <row r="105" spans="1:60" s="312" customFormat="1" ht="22.5" x14ac:dyDescent="0.25">
      <c r="A105" s="290"/>
      <c r="B105" s="290"/>
      <c r="C105" s="290"/>
      <c r="D105" s="290"/>
      <c r="E105" s="290"/>
      <c r="F105" s="290"/>
      <c r="G105" s="290"/>
      <c r="H105" s="290"/>
      <c r="I105" s="290"/>
      <c r="J105" s="290"/>
      <c r="K105" s="290"/>
      <c r="L105" s="310"/>
      <c r="M105" s="310"/>
      <c r="N105" s="310"/>
      <c r="O105" s="310"/>
      <c r="P105" s="310"/>
      <c r="Q105" s="310"/>
      <c r="R105" s="310"/>
      <c r="S105" s="310"/>
      <c r="T105" s="310"/>
      <c r="U105" s="310"/>
      <c r="V105" s="310"/>
      <c r="W105" s="310"/>
      <c r="X105" s="310"/>
      <c r="Y105" s="310"/>
      <c r="Z105" s="310"/>
      <c r="AA105" s="379" t="s">
        <v>888</v>
      </c>
      <c r="AB105" s="380">
        <v>6</v>
      </c>
      <c r="AC105" s="381">
        <v>12</v>
      </c>
      <c r="AD105" s="382">
        <v>18</v>
      </c>
      <c r="AE105" s="310"/>
      <c r="AF105" s="1829"/>
      <c r="AG105" s="1828" t="s">
        <v>889</v>
      </c>
      <c r="AH105" s="366"/>
      <c r="AI105" s="366"/>
      <c r="AJ105" s="366"/>
      <c r="AK105" s="366"/>
      <c r="AL105" s="366"/>
      <c r="AM105" s="366"/>
      <c r="AN105" s="310"/>
      <c r="AO105" s="373" t="s">
        <v>890</v>
      </c>
      <c r="AP105" s="378" t="s">
        <v>891</v>
      </c>
      <c r="AQ105" s="384"/>
      <c r="AR105" s="384"/>
      <c r="AS105" s="310"/>
      <c r="AT105" s="310"/>
      <c r="AU105" s="310"/>
      <c r="AV105" s="310"/>
      <c r="AW105" s="310"/>
      <c r="AX105" s="310"/>
      <c r="AY105" s="310"/>
      <c r="AZ105" s="310"/>
    </row>
    <row r="106" spans="1:60" s="312" customFormat="1" ht="33.75" x14ac:dyDescent="0.25">
      <c r="A106" s="290"/>
      <c r="B106" s="290"/>
      <c r="C106" s="290"/>
      <c r="D106" s="290"/>
      <c r="E106" s="290"/>
      <c r="F106" s="290"/>
      <c r="G106" s="290"/>
      <c r="H106" s="290"/>
      <c r="I106" s="290"/>
      <c r="J106" s="290"/>
      <c r="K106" s="290"/>
      <c r="L106" s="310"/>
      <c r="M106" s="310"/>
      <c r="N106" s="310"/>
      <c r="O106" s="310"/>
      <c r="P106" s="310"/>
      <c r="Q106" s="310"/>
      <c r="R106" s="310"/>
      <c r="S106" s="310"/>
      <c r="T106" s="310"/>
      <c r="U106" s="310"/>
      <c r="V106" s="310"/>
      <c r="W106" s="310"/>
      <c r="X106" s="310"/>
      <c r="Y106" s="310"/>
      <c r="Z106" s="310"/>
      <c r="AA106" s="379" t="s">
        <v>892</v>
      </c>
      <c r="AB106" s="380">
        <v>6</v>
      </c>
      <c r="AC106" s="381">
        <v>13</v>
      </c>
      <c r="AD106" s="382">
        <v>20</v>
      </c>
      <c r="AE106" s="310"/>
      <c r="AF106" s="1829"/>
      <c r="AG106" s="1828"/>
      <c r="AH106" s="307" t="s">
        <v>828</v>
      </c>
      <c r="AI106" s="378">
        <v>1.58</v>
      </c>
      <c r="AJ106" s="378">
        <v>1.02</v>
      </c>
      <c r="AK106" s="378">
        <v>0.59</v>
      </c>
      <c r="AL106" s="378">
        <v>3.11</v>
      </c>
      <c r="AM106" s="373" t="s">
        <v>893</v>
      </c>
      <c r="AN106" s="310"/>
      <c r="AO106" s="373" t="s">
        <v>894</v>
      </c>
      <c r="AP106" s="307">
        <v>0.32</v>
      </c>
      <c r="AQ106" s="384"/>
      <c r="AR106" s="384"/>
      <c r="AS106" s="310"/>
      <c r="AT106" s="310"/>
      <c r="AU106" s="310"/>
      <c r="AV106" s="310"/>
      <c r="AW106" s="310"/>
      <c r="AX106" s="310"/>
      <c r="AY106" s="310"/>
      <c r="AZ106" s="310"/>
    </row>
    <row r="107" spans="1:60" s="312" customFormat="1" ht="33.75" x14ac:dyDescent="0.25">
      <c r="A107" s="290"/>
      <c r="B107" s="290"/>
      <c r="C107" s="290"/>
      <c r="D107" s="290"/>
      <c r="E107" s="290"/>
      <c r="F107" s="290"/>
      <c r="G107" s="290"/>
      <c r="H107" s="290"/>
      <c r="I107" s="290"/>
      <c r="J107" s="290"/>
      <c r="K107" s="290"/>
      <c r="L107" s="310"/>
      <c r="M107" s="310"/>
      <c r="N107" s="310"/>
      <c r="O107" s="310"/>
      <c r="P107" s="310"/>
      <c r="Q107" s="310"/>
      <c r="R107" s="310"/>
      <c r="S107" s="310"/>
      <c r="T107" s="310"/>
      <c r="U107" s="310"/>
      <c r="V107" s="310"/>
      <c r="W107" s="310"/>
      <c r="X107" s="310"/>
      <c r="Y107" s="310"/>
      <c r="Z107" s="310"/>
      <c r="AA107" s="379" t="s">
        <v>895</v>
      </c>
      <c r="AB107" s="380">
        <v>7</v>
      </c>
      <c r="AC107" s="381">
        <v>9</v>
      </c>
      <c r="AD107" s="382">
        <v>11</v>
      </c>
      <c r="AE107" s="310"/>
      <c r="AF107" s="1829"/>
      <c r="AG107" s="373" t="s">
        <v>896</v>
      </c>
      <c r="AH107" s="307" t="s">
        <v>828</v>
      </c>
      <c r="AI107" s="378">
        <v>2.8</v>
      </c>
      <c r="AJ107" s="378">
        <v>1.33</v>
      </c>
      <c r="AK107" s="378">
        <v>1.43</v>
      </c>
      <c r="AL107" s="378">
        <v>4.92</v>
      </c>
      <c r="AM107" s="373" t="s">
        <v>897</v>
      </c>
      <c r="AN107" s="310"/>
      <c r="AO107" s="373" t="s">
        <v>898</v>
      </c>
      <c r="AP107" s="307">
        <v>0.39</v>
      </c>
      <c r="AQ107" s="384"/>
      <c r="AR107" s="384"/>
      <c r="AS107" s="310"/>
      <c r="AT107" s="310"/>
      <c r="AU107" s="310"/>
      <c r="AV107" s="310"/>
      <c r="AW107" s="310"/>
      <c r="AX107" s="310"/>
      <c r="AY107" s="310"/>
      <c r="AZ107" s="310"/>
    </row>
    <row r="108" spans="1:60" s="312" customFormat="1" ht="22.5" x14ac:dyDescent="0.25">
      <c r="A108" s="290"/>
      <c r="B108" s="290"/>
      <c r="C108" s="290"/>
      <c r="D108" s="290"/>
      <c r="E108" s="290"/>
      <c r="F108" s="290"/>
      <c r="G108" s="290"/>
      <c r="H108" s="290"/>
      <c r="I108" s="290"/>
      <c r="J108" s="290"/>
      <c r="K108" s="290"/>
      <c r="L108" s="310"/>
      <c r="M108" s="310"/>
      <c r="N108" s="310"/>
      <c r="O108" s="310"/>
      <c r="P108" s="310"/>
      <c r="Q108" s="310"/>
      <c r="R108" s="310"/>
      <c r="S108" s="310"/>
      <c r="T108" s="310"/>
      <c r="U108" s="310"/>
      <c r="V108" s="310"/>
      <c r="W108" s="310"/>
      <c r="X108" s="310"/>
      <c r="Y108" s="310"/>
      <c r="Z108" s="310"/>
      <c r="AA108" s="379" t="s">
        <v>899</v>
      </c>
      <c r="AB108" s="380">
        <v>8</v>
      </c>
      <c r="AC108" s="381">
        <v>24</v>
      </c>
      <c r="AD108" s="382">
        <v>40</v>
      </c>
      <c r="AE108" s="310"/>
      <c r="AF108" s="1829" t="s">
        <v>900</v>
      </c>
      <c r="AG108" s="366"/>
      <c r="AH108" s="366"/>
      <c r="AI108" s="366"/>
      <c r="AJ108" s="366"/>
      <c r="AK108" s="366"/>
      <c r="AL108" s="366"/>
      <c r="AM108" s="373" t="s">
        <v>901</v>
      </c>
      <c r="AN108" s="310"/>
      <c r="AO108" s="373" t="s">
        <v>902</v>
      </c>
      <c r="AP108" s="307">
        <v>0.52</v>
      </c>
      <c r="AQ108" s="384"/>
      <c r="AR108" s="384"/>
      <c r="AS108" s="310"/>
      <c r="AT108" s="310"/>
      <c r="AU108" s="310"/>
      <c r="AV108" s="310"/>
      <c r="AW108" s="310"/>
      <c r="AX108" s="310"/>
      <c r="AY108" s="310"/>
      <c r="AZ108" s="310"/>
    </row>
    <row r="109" spans="1:60" s="312" customFormat="1" ht="22.5" x14ac:dyDescent="0.25">
      <c r="A109" s="290"/>
      <c r="B109" s="290"/>
      <c r="C109" s="290"/>
      <c r="D109" s="290"/>
      <c r="E109" s="290"/>
      <c r="F109" s="290"/>
      <c r="G109" s="290"/>
      <c r="H109" s="290"/>
      <c r="I109" s="290"/>
      <c r="J109" s="290"/>
      <c r="K109" s="290"/>
      <c r="L109" s="310"/>
      <c r="M109" s="310"/>
      <c r="N109" s="310"/>
      <c r="O109" s="310"/>
      <c r="P109" s="310"/>
      <c r="Q109" s="310"/>
      <c r="R109" s="310"/>
      <c r="S109" s="310"/>
      <c r="T109" s="310"/>
      <c r="U109" s="310"/>
      <c r="V109" s="310"/>
      <c r="W109" s="310"/>
      <c r="X109" s="310"/>
      <c r="Y109" s="310"/>
      <c r="Z109" s="310"/>
      <c r="AA109" s="379" t="s">
        <v>903</v>
      </c>
      <c r="AB109" s="380">
        <v>10</v>
      </c>
      <c r="AC109" s="381">
        <v>15</v>
      </c>
      <c r="AD109" s="382">
        <v>20</v>
      </c>
      <c r="AE109" s="310"/>
      <c r="AF109" s="1829"/>
      <c r="AG109" s="373" t="s">
        <v>904</v>
      </c>
      <c r="AH109" s="307" t="s">
        <v>828</v>
      </c>
      <c r="AI109" s="378">
        <v>0.48</v>
      </c>
      <c r="AJ109" s="378">
        <v>0.19</v>
      </c>
      <c r="AK109" s="378">
        <v>0.26</v>
      </c>
      <c r="AL109" s="378">
        <v>1.01</v>
      </c>
      <c r="AM109" s="373" t="s">
        <v>905</v>
      </c>
      <c r="AN109" s="310"/>
      <c r="AO109" s="373" t="s">
        <v>906</v>
      </c>
      <c r="AP109" s="307">
        <v>0.74</v>
      </c>
      <c r="AQ109" s="384"/>
      <c r="AR109" s="384"/>
      <c r="AS109" s="310"/>
      <c r="AT109" s="310"/>
      <c r="AU109" s="310"/>
      <c r="AV109" s="310"/>
      <c r="AW109" s="310"/>
      <c r="AX109" s="310"/>
      <c r="AY109" s="310"/>
      <c r="AZ109" s="310"/>
    </row>
    <row r="110" spans="1:60" s="312" customFormat="1" ht="33.75" x14ac:dyDescent="0.25">
      <c r="A110" s="290"/>
      <c r="B110" s="290"/>
      <c r="C110" s="290"/>
      <c r="D110" s="290"/>
      <c r="E110" s="290"/>
      <c r="F110" s="290"/>
      <c r="G110" s="290"/>
      <c r="H110" s="290"/>
      <c r="I110" s="290"/>
      <c r="J110" s="290"/>
      <c r="K110" s="290"/>
      <c r="L110" s="310"/>
      <c r="M110" s="310"/>
      <c r="N110" s="310"/>
      <c r="O110" s="310"/>
      <c r="P110" s="310"/>
      <c r="Q110" s="310"/>
      <c r="R110" s="310"/>
      <c r="S110" s="310"/>
      <c r="T110" s="310"/>
      <c r="U110" s="310"/>
      <c r="V110" s="310"/>
      <c r="W110" s="310"/>
      <c r="X110" s="310"/>
      <c r="Y110" s="310"/>
      <c r="Z110" s="310"/>
      <c r="AA110" s="379" t="s">
        <v>907</v>
      </c>
      <c r="AB110" s="380">
        <v>30</v>
      </c>
      <c r="AC110" s="381">
        <v>42.5</v>
      </c>
      <c r="AD110" s="382">
        <v>55</v>
      </c>
      <c r="AE110" s="310"/>
      <c r="AF110" s="1829"/>
      <c r="AG110" s="366"/>
      <c r="AH110" s="366"/>
      <c r="AI110" s="366"/>
      <c r="AJ110" s="366"/>
      <c r="AK110" s="366"/>
      <c r="AL110" s="366"/>
      <c r="AM110" s="373" t="s">
        <v>908</v>
      </c>
      <c r="AN110" s="310"/>
      <c r="AO110" s="1826" t="s">
        <v>909</v>
      </c>
      <c r="AP110" s="1828" t="s">
        <v>910</v>
      </c>
      <c r="AQ110" s="384"/>
      <c r="AR110" s="384"/>
      <c r="AS110" s="310"/>
      <c r="AT110" s="310"/>
      <c r="AU110" s="310"/>
      <c r="AV110" s="310"/>
      <c r="AW110" s="310"/>
      <c r="AX110" s="310"/>
      <c r="AY110" s="310"/>
      <c r="AZ110" s="310"/>
    </row>
    <row r="111" spans="1:60" s="312" customFormat="1" ht="33.75" x14ac:dyDescent="0.25">
      <c r="A111" s="290"/>
      <c r="B111" s="290"/>
      <c r="C111" s="290"/>
      <c r="D111" s="290"/>
      <c r="E111" s="290"/>
      <c r="F111" s="290"/>
      <c r="G111" s="290"/>
      <c r="H111" s="290"/>
      <c r="I111" s="290"/>
      <c r="J111" s="290"/>
      <c r="K111" s="290"/>
      <c r="L111" s="310"/>
      <c r="M111" s="310"/>
      <c r="N111" s="310"/>
      <c r="O111" s="310"/>
      <c r="P111" s="310"/>
      <c r="Q111" s="310"/>
      <c r="R111" s="310"/>
      <c r="S111" s="310"/>
      <c r="T111" s="310"/>
      <c r="U111" s="310"/>
      <c r="V111" s="310"/>
      <c r="W111" s="310"/>
      <c r="X111" s="310"/>
      <c r="Y111" s="310"/>
      <c r="Z111" s="310"/>
      <c r="AA111" s="379" t="s">
        <v>911</v>
      </c>
      <c r="AB111" s="380">
        <v>6</v>
      </c>
      <c r="AC111" s="381">
        <v>13</v>
      </c>
      <c r="AD111" s="382">
        <v>20</v>
      </c>
      <c r="AE111" s="310"/>
      <c r="AF111" s="1829"/>
      <c r="AG111" s="373" t="s">
        <v>912</v>
      </c>
      <c r="AH111" s="307" t="s">
        <v>828</v>
      </c>
      <c r="AI111" s="378">
        <v>2.83</v>
      </c>
      <c r="AJ111" s="378">
        <v>2.04</v>
      </c>
      <c r="AK111" s="378">
        <v>0.34</v>
      </c>
      <c r="AL111" s="378">
        <v>6.49</v>
      </c>
      <c r="AM111" s="373" t="s">
        <v>913</v>
      </c>
      <c r="AN111" s="310"/>
      <c r="AO111" s="1826"/>
      <c r="AP111" s="1828"/>
      <c r="AQ111" s="384"/>
      <c r="AR111" s="384"/>
      <c r="AS111" s="310"/>
      <c r="AT111" s="310"/>
      <c r="AU111" s="310"/>
      <c r="AV111" s="310"/>
      <c r="AW111" s="310"/>
      <c r="AX111" s="310"/>
      <c r="AY111" s="310"/>
      <c r="AZ111" s="310"/>
    </row>
    <row r="112" spans="1:60" s="312" customFormat="1" ht="22.5" x14ac:dyDescent="0.25">
      <c r="A112" s="290"/>
      <c r="B112" s="290"/>
      <c r="C112" s="290"/>
      <c r="D112" s="290"/>
      <c r="E112" s="290"/>
      <c r="F112" s="290"/>
      <c r="G112" s="290"/>
      <c r="H112" s="290"/>
      <c r="I112" s="290"/>
      <c r="J112" s="290"/>
      <c r="K112" s="290"/>
      <c r="L112" s="310"/>
      <c r="M112" s="310"/>
      <c r="N112" s="310"/>
      <c r="O112" s="310"/>
      <c r="P112" s="310"/>
      <c r="Q112" s="310"/>
      <c r="R112" s="310"/>
      <c r="S112" s="310"/>
      <c r="T112" s="310"/>
      <c r="U112" s="310"/>
      <c r="V112" s="310"/>
      <c r="W112" s="310"/>
      <c r="X112" s="310"/>
      <c r="Y112" s="310"/>
      <c r="Z112" s="310"/>
      <c r="AA112" s="379" t="s">
        <v>914</v>
      </c>
      <c r="AB112" s="380">
        <v>14</v>
      </c>
      <c r="AC112" s="381">
        <v>19.5</v>
      </c>
      <c r="AD112" s="382">
        <v>25</v>
      </c>
      <c r="AE112" s="310"/>
      <c r="AF112" s="1829"/>
      <c r="AG112" s="373" t="s">
        <v>915</v>
      </c>
      <c r="AH112" s="307" t="s">
        <v>828</v>
      </c>
      <c r="AI112" s="378">
        <v>1.04</v>
      </c>
      <c r="AJ112" s="378">
        <v>0.21</v>
      </c>
      <c r="AK112" s="378">
        <v>0.74</v>
      </c>
      <c r="AL112" s="378">
        <v>1.23</v>
      </c>
      <c r="AM112" s="373" t="s">
        <v>916</v>
      </c>
      <c r="AN112" s="310"/>
      <c r="AO112" s="373" t="s">
        <v>917</v>
      </c>
      <c r="AP112" s="378" t="s">
        <v>918</v>
      </c>
      <c r="AQ112" s="384"/>
      <c r="AR112" s="384"/>
      <c r="AS112" s="310"/>
      <c r="AT112" s="310"/>
      <c r="AU112" s="310"/>
      <c r="AV112" s="310"/>
      <c r="AW112" s="310"/>
      <c r="AX112" s="310"/>
      <c r="AY112" s="310"/>
      <c r="AZ112" s="310"/>
    </row>
    <row r="113" spans="1:52" s="312" customFormat="1" ht="22.5" x14ac:dyDescent="0.25">
      <c r="A113" s="290"/>
      <c r="B113" s="290"/>
      <c r="C113" s="290"/>
      <c r="D113" s="290"/>
      <c r="E113" s="290"/>
      <c r="F113" s="290"/>
      <c r="G113" s="290"/>
      <c r="H113" s="290"/>
      <c r="I113" s="290"/>
      <c r="J113" s="290"/>
      <c r="K113" s="290"/>
      <c r="L113" s="310"/>
      <c r="M113" s="310"/>
      <c r="N113" s="310"/>
      <c r="O113" s="310"/>
      <c r="P113" s="310"/>
      <c r="Q113" s="310"/>
      <c r="R113" s="310"/>
      <c r="S113" s="310"/>
      <c r="T113" s="310"/>
      <c r="U113" s="310"/>
      <c r="V113" s="310"/>
      <c r="W113" s="310"/>
      <c r="X113" s="310"/>
      <c r="Y113" s="310"/>
      <c r="Z113" s="310"/>
      <c r="AA113" s="379" t="s">
        <v>919</v>
      </c>
      <c r="AB113" s="380">
        <v>10</v>
      </c>
      <c r="AC113" s="381">
        <v>12</v>
      </c>
      <c r="AD113" s="382">
        <v>14</v>
      </c>
      <c r="AE113" s="310"/>
      <c r="AF113" s="1826" t="s">
        <v>920</v>
      </c>
      <c r="AG113" s="1826"/>
      <c r="AH113" s="1826"/>
      <c r="AI113" s="1826"/>
      <c r="AJ113" s="1826"/>
      <c r="AK113" s="1826"/>
      <c r="AL113" s="1826"/>
      <c r="AM113" s="1826"/>
      <c r="AN113" s="310"/>
      <c r="AO113" s="373" t="s">
        <v>921</v>
      </c>
      <c r="AP113" s="307">
        <v>0.54</v>
      </c>
      <c r="AQ113" s="384"/>
      <c r="AR113" s="384"/>
      <c r="AS113" s="310"/>
      <c r="AT113" s="310"/>
      <c r="AU113" s="310"/>
      <c r="AV113" s="310"/>
      <c r="AW113" s="310"/>
      <c r="AX113" s="310"/>
      <c r="AY113" s="310"/>
      <c r="AZ113" s="310"/>
    </row>
    <row r="114" spans="1:52" s="312" customFormat="1" ht="22.5" x14ac:dyDescent="0.25">
      <c r="A114" s="290"/>
      <c r="B114" s="290"/>
      <c r="C114" s="290"/>
      <c r="D114" s="290"/>
      <c r="E114" s="290"/>
      <c r="F114" s="290"/>
      <c r="G114" s="290"/>
      <c r="H114" s="290"/>
      <c r="I114" s="290"/>
      <c r="J114" s="290"/>
      <c r="K114" s="290"/>
      <c r="L114" s="310"/>
      <c r="M114" s="310"/>
      <c r="N114" s="310"/>
      <c r="O114" s="310"/>
      <c r="P114" s="310"/>
      <c r="Q114" s="310"/>
      <c r="R114" s="310"/>
      <c r="S114" s="310"/>
      <c r="T114" s="310"/>
      <c r="U114" s="310"/>
      <c r="V114" s="310"/>
      <c r="W114" s="310"/>
      <c r="X114" s="310"/>
      <c r="Y114" s="310"/>
      <c r="Z114" s="310"/>
      <c r="AA114" s="379" t="s">
        <v>922</v>
      </c>
      <c r="AB114" s="380">
        <v>8</v>
      </c>
      <c r="AC114" s="381">
        <v>12.5</v>
      </c>
      <c r="AD114" s="382">
        <v>17</v>
      </c>
      <c r="AE114" s="310"/>
      <c r="AF114" s="310"/>
      <c r="AG114" s="310"/>
      <c r="AH114" s="310"/>
      <c r="AI114" s="310"/>
      <c r="AJ114" s="310"/>
      <c r="AK114" s="310"/>
      <c r="AL114" s="310"/>
      <c r="AM114" s="310"/>
      <c r="AN114" s="310"/>
      <c r="AO114" s="373" t="s">
        <v>923</v>
      </c>
      <c r="AP114" s="378" t="s">
        <v>924</v>
      </c>
      <c r="AQ114" s="384"/>
      <c r="AR114" s="384"/>
      <c r="AS114" s="310"/>
      <c r="AT114" s="310"/>
      <c r="AU114" s="310"/>
      <c r="AV114" s="310"/>
      <c r="AW114" s="310"/>
      <c r="AX114" s="310"/>
      <c r="AY114" s="310"/>
      <c r="AZ114" s="310"/>
    </row>
    <row r="115" spans="1:52" s="312" customFormat="1" ht="22.5" x14ac:dyDescent="0.25">
      <c r="A115" s="290"/>
      <c r="B115" s="290"/>
      <c r="C115" s="290"/>
      <c r="D115" s="290"/>
      <c r="E115" s="290"/>
      <c r="F115" s="290"/>
      <c r="G115" s="290"/>
      <c r="H115" s="290"/>
      <c r="I115" s="290"/>
      <c r="J115" s="290"/>
      <c r="K115" s="290"/>
      <c r="L115" s="310"/>
      <c r="M115" s="310"/>
      <c r="N115" s="310"/>
      <c r="O115" s="310"/>
      <c r="P115" s="310"/>
      <c r="Q115" s="310"/>
      <c r="R115" s="310"/>
      <c r="S115" s="310"/>
      <c r="T115" s="310"/>
      <c r="U115" s="310"/>
      <c r="V115" s="310"/>
      <c r="W115" s="310"/>
      <c r="X115" s="310"/>
      <c r="Y115" s="310"/>
      <c r="Z115" s="310"/>
      <c r="AA115" s="379" t="s">
        <v>925</v>
      </c>
      <c r="AB115" s="380">
        <v>5</v>
      </c>
      <c r="AC115" s="381">
        <v>6.5</v>
      </c>
      <c r="AD115" s="382">
        <v>8</v>
      </c>
      <c r="AE115" s="310"/>
      <c r="AF115" s="310"/>
      <c r="AG115" s="310"/>
      <c r="AH115" s="310"/>
      <c r="AI115" s="310"/>
      <c r="AJ115" s="310"/>
      <c r="AK115" s="310"/>
      <c r="AL115" s="310"/>
      <c r="AM115" s="310"/>
      <c r="AN115" s="310"/>
      <c r="AO115" s="373" t="s">
        <v>926</v>
      </c>
      <c r="AP115" s="307">
        <v>0.93</v>
      </c>
      <c r="AQ115" s="384"/>
      <c r="AR115" s="384"/>
      <c r="AS115" s="310"/>
      <c r="AT115" s="310"/>
      <c r="AU115" s="310"/>
      <c r="AV115" s="310"/>
      <c r="AW115" s="310"/>
      <c r="AX115" s="310"/>
      <c r="AY115" s="310"/>
      <c r="AZ115" s="310"/>
    </row>
    <row r="116" spans="1:52" s="312" customFormat="1" ht="21" x14ac:dyDescent="0.25">
      <c r="A116" s="290"/>
      <c r="B116" s="290"/>
      <c r="C116" s="290"/>
      <c r="D116" s="290"/>
      <c r="E116" s="290"/>
      <c r="F116" s="290"/>
      <c r="G116" s="290"/>
      <c r="H116" s="290"/>
      <c r="I116" s="290"/>
      <c r="J116" s="290"/>
      <c r="K116" s="290"/>
      <c r="L116" s="310"/>
      <c r="M116" s="310"/>
      <c r="N116" s="310"/>
      <c r="O116" s="310"/>
      <c r="P116" s="310"/>
      <c r="Q116" s="310"/>
      <c r="R116" s="310"/>
      <c r="S116" s="310"/>
      <c r="T116" s="310"/>
      <c r="U116" s="310"/>
      <c r="V116" s="310"/>
      <c r="W116" s="310"/>
      <c r="X116" s="310"/>
      <c r="Y116" s="310"/>
      <c r="Z116" s="310"/>
      <c r="AA116" s="1827" t="s">
        <v>927</v>
      </c>
      <c r="AB116" s="1827"/>
      <c r="AC116" s="1827"/>
      <c r="AD116" s="386"/>
      <c r="AE116" s="310"/>
      <c r="AF116" s="310"/>
      <c r="AG116" s="310"/>
      <c r="AH116" s="310"/>
      <c r="AI116" s="310"/>
      <c r="AJ116" s="310"/>
      <c r="AK116" s="310"/>
      <c r="AL116" s="310"/>
      <c r="AM116" s="310"/>
      <c r="AN116" s="310"/>
      <c r="AO116" s="373" t="s">
        <v>928</v>
      </c>
      <c r="AP116" s="307">
        <v>1</v>
      </c>
      <c r="AQ116" s="384"/>
      <c r="AR116" s="384"/>
      <c r="AS116" s="310"/>
      <c r="AT116" s="310"/>
      <c r="AU116" s="310"/>
      <c r="AV116" s="310"/>
      <c r="AW116" s="310"/>
      <c r="AX116" s="310"/>
      <c r="AY116" s="310"/>
      <c r="AZ116" s="310"/>
    </row>
    <row r="117" spans="1:52" s="312" customFormat="1" ht="21" x14ac:dyDescent="0.25">
      <c r="A117" s="290"/>
      <c r="B117" s="290"/>
      <c r="C117" s="290"/>
      <c r="D117" s="290"/>
      <c r="E117" s="290"/>
      <c r="F117" s="290"/>
      <c r="G117" s="290"/>
      <c r="H117" s="290"/>
      <c r="I117" s="290"/>
      <c r="J117" s="290"/>
      <c r="K117" s="290"/>
      <c r="L117" s="310"/>
      <c r="M117" s="310"/>
      <c r="N117" s="310"/>
      <c r="O117" s="310"/>
      <c r="P117" s="310"/>
      <c r="Q117" s="310"/>
      <c r="R117" s="310"/>
      <c r="S117" s="310"/>
      <c r="T117" s="310"/>
      <c r="U117" s="310"/>
      <c r="V117" s="310"/>
      <c r="W117" s="310"/>
      <c r="X117" s="310"/>
      <c r="Y117" s="310"/>
      <c r="Z117" s="310"/>
      <c r="AA117" s="310"/>
      <c r="AB117" s="310"/>
      <c r="AC117" s="310"/>
      <c r="AD117" s="310"/>
      <c r="AE117" s="310"/>
      <c r="AF117" s="310"/>
      <c r="AG117" s="310"/>
      <c r="AH117" s="310"/>
      <c r="AI117" s="310"/>
      <c r="AJ117" s="310"/>
      <c r="AK117" s="310"/>
      <c r="AL117" s="310"/>
      <c r="AM117" s="310"/>
      <c r="AN117" s="310"/>
      <c r="AO117" s="373" t="s">
        <v>929</v>
      </c>
      <c r="AP117" s="378" t="s">
        <v>930</v>
      </c>
      <c r="AQ117" s="384"/>
      <c r="AR117" s="384"/>
      <c r="AS117" s="310"/>
      <c r="AT117" s="310"/>
      <c r="AU117" s="310"/>
      <c r="AV117" s="310"/>
      <c r="AW117" s="310"/>
      <c r="AX117" s="310"/>
      <c r="AY117" s="310"/>
      <c r="AZ117" s="310"/>
    </row>
    <row r="118" spans="1:52" s="312" customFormat="1" ht="21" x14ac:dyDescent="0.25">
      <c r="A118" s="290"/>
      <c r="B118" s="290"/>
      <c r="C118" s="290"/>
      <c r="D118" s="290"/>
      <c r="E118" s="290"/>
      <c r="F118" s="290"/>
      <c r="G118" s="290"/>
      <c r="H118" s="290"/>
      <c r="I118" s="290"/>
      <c r="J118" s="290"/>
      <c r="K118" s="290"/>
      <c r="L118" s="310"/>
      <c r="M118" s="310"/>
      <c r="N118" s="310"/>
      <c r="O118" s="310"/>
      <c r="P118" s="310"/>
      <c r="Q118" s="310"/>
      <c r="R118" s="310"/>
      <c r="S118" s="310"/>
      <c r="T118" s="310"/>
      <c r="U118" s="310"/>
      <c r="V118" s="310"/>
      <c r="W118" s="310"/>
      <c r="X118" s="310"/>
      <c r="Y118" s="310"/>
      <c r="Z118" s="310"/>
      <c r="AA118" s="310"/>
      <c r="AB118" s="310"/>
      <c r="AC118" s="310"/>
      <c r="AD118" s="310"/>
      <c r="AE118" s="310"/>
      <c r="AF118" s="310"/>
      <c r="AG118" s="310"/>
      <c r="AH118" s="310"/>
      <c r="AI118" s="310"/>
      <c r="AJ118" s="310"/>
      <c r="AK118" s="310"/>
      <c r="AL118" s="310"/>
      <c r="AM118" s="310"/>
      <c r="AN118" s="310"/>
      <c r="AO118" s="373" t="s">
        <v>931</v>
      </c>
      <c r="AP118" s="307">
        <v>0.64</v>
      </c>
      <c r="AQ118" s="384"/>
      <c r="AR118" s="384"/>
      <c r="AS118" s="310"/>
      <c r="AT118" s="310"/>
      <c r="AU118" s="310"/>
      <c r="AV118" s="310"/>
      <c r="AW118" s="310"/>
      <c r="AX118" s="310"/>
      <c r="AY118" s="310"/>
      <c r="AZ118" s="310"/>
    </row>
    <row r="119" spans="1:52" s="312" customFormat="1" ht="21" x14ac:dyDescent="0.25">
      <c r="A119" s="290"/>
      <c r="B119" s="290"/>
      <c r="C119" s="290"/>
      <c r="D119" s="290"/>
      <c r="E119" s="290"/>
      <c r="F119" s="290"/>
      <c r="G119" s="290"/>
      <c r="H119" s="290"/>
      <c r="I119" s="290"/>
      <c r="J119" s="290"/>
      <c r="K119" s="290"/>
      <c r="L119" s="310"/>
      <c r="M119" s="310"/>
      <c r="N119" s="310"/>
      <c r="O119" s="310"/>
      <c r="P119" s="310"/>
      <c r="Q119" s="310"/>
      <c r="R119" s="310"/>
      <c r="S119" s="310"/>
      <c r="T119" s="310"/>
      <c r="U119" s="310"/>
      <c r="V119" s="310"/>
      <c r="W119" s="310"/>
      <c r="X119" s="310"/>
      <c r="Y119" s="310"/>
      <c r="Z119" s="310"/>
      <c r="AA119" s="310"/>
      <c r="AB119" s="310"/>
      <c r="AC119" s="310"/>
      <c r="AD119" s="310"/>
      <c r="AE119" s="310"/>
      <c r="AF119" s="310"/>
      <c r="AG119" s="310"/>
      <c r="AH119" s="310"/>
      <c r="AI119" s="310"/>
      <c r="AJ119" s="310"/>
      <c r="AK119" s="310"/>
      <c r="AL119" s="310"/>
      <c r="AM119" s="310"/>
      <c r="AN119" s="310"/>
      <c r="AO119" s="373" t="s">
        <v>932</v>
      </c>
      <c r="AP119" s="307">
        <v>0.55000000000000004</v>
      </c>
      <c r="AQ119" s="384"/>
      <c r="AR119" s="384"/>
      <c r="AS119" s="310"/>
      <c r="AT119" s="310"/>
      <c r="AU119" s="310"/>
      <c r="AV119" s="310"/>
      <c r="AW119" s="310"/>
      <c r="AX119" s="310"/>
      <c r="AY119" s="310"/>
      <c r="AZ119" s="310"/>
    </row>
    <row r="120" spans="1:52" s="312" customFormat="1" ht="21" x14ac:dyDescent="0.25">
      <c r="A120" s="290"/>
      <c r="B120" s="290"/>
      <c r="C120" s="290"/>
      <c r="D120" s="290"/>
      <c r="E120" s="290"/>
      <c r="F120" s="290"/>
      <c r="G120" s="290"/>
      <c r="H120" s="290"/>
      <c r="I120" s="290"/>
      <c r="J120" s="290"/>
      <c r="K120" s="290"/>
      <c r="L120" s="310"/>
      <c r="M120" s="310"/>
      <c r="N120" s="310"/>
      <c r="O120" s="310"/>
      <c r="P120" s="310"/>
      <c r="Q120" s="310"/>
      <c r="R120" s="310"/>
      <c r="S120" s="310"/>
      <c r="T120" s="310"/>
      <c r="U120" s="310"/>
      <c r="V120" s="310"/>
      <c r="W120" s="310"/>
      <c r="X120" s="310"/>
      <c r="Y120" s="310"/>
      <c r="Z120" s="310"/>
      <c r="AA120" s="310"/>
      <c r="AB120" s="310"/>
      <c r="AC120" s="310"/>
      <c r="AD120" s="310"/>
      <c r="AE120" s="310"/>
      <c r="AF120" s="310"/>
      <c r="AG120" s="310"/>
      <c r="AH120" s="310"/>
      <c r="AI120" s="310"/>
      <c r="AJ120" s="310"/>
      <c r="AK120" s="310"/>
      <c r="AL120" s="310"/>
      <c r="AM120" s="310"/>
      <c r="AN120" s="310"/>
      <c r="AO120" s="373" t="s">
        <v>933</v>
      </c>
      <c r="AP120" s="307">
        <v>1.05</v>
      </c>
      <c r="AQ120" s="384"/>
      <c r="AR120" s="384"/>
      <c r="AS120" s="310"/>
      <c r="AT120" s="310"/>
      <c r="AU120" s="310"/>
      <c r="AV120" s="310"/>
      <c r="AW120" s="310"/>
      <c r="AX120" s="310"/>
      <c r="AY120" s="310"/>
      <c r="AZ120" s="310"/>
    </row>
    <row r="121" spans="1:52" s="312" customFormat="1" x14ac:dyDescent="0.25">
      <c r="A121" s="290"/>
      <c r="B121" s="290"/>
      <c r="C121" s="290"/>
      <c r="D121" s="290"/>
      <c r="E121" s="290"/>
      <c r="F121" s="290"/>
      <c r="G121" s="290"/>
      <c r="H121" s="290"/>
      <c r="I121" s="290"/>
      <c r="J121" s="290"/>
      <c r="K121" s="290"/>
      <c r="L121" s="310"/>
      <c r="M121" s="310"/>
      <c r="N121" s="310"/>
      <c r="O121" s="310"/>
      <c r="P121" s="310"/>
      <c r="Q121" s="310"/>
      <c r="R121" s="310"/>
      <c r="S121" s="310"/>
      <c r="T121" s="310"/>
      <c r="U121" s="310"/>
      <c r="V121" s="310"/>
      <c r="W121" s="310"/>
      <c r="X121" s="310"/>
      <c r="Y121" s="310"/>
      <c r="Z121" s="310"/>
      <c r="AA121" s="310"/>
      <c r="AB121" s="310"/>
      <c r="AC121" s="310"/>
      <c r="AD121" s="310"/>
      <c r="AE121" s="310"/>
      <c r="AF121" s="310"/>
      <c r="AG121" s="310"/>
      <c r="AH121" s="310"/>
      <c r="AI121" s="310"/>
      <c r="AJ121" s="310"/>
      <c r="AK121" s="310"/>
      <c r="AL121" s="310"/>
      <c r="AM121" s="310"/>
      <c r="AN121" s="310"/>
      <c r="AO121" s="383"/>
      <c r="AP121" s="383"/>
      <c r="AQ121" s="384"/>
      <c r="AR121" s="384"/>
      <c r="AS121" s="310"/>
      <c r="AT121" s="310"/>
      <c r="AU121" s="310"/>
      <c r="AV121" s="310"/>
      <c r="AW121" s="310"/>
      <c r="AX121" s="310"/>
      <c r="AY121" s="310"/>
      <c r="AZ121" s="310"/>
    </row>
    <row r="122" spans="1:52" s="312" customFormat="1" ht="21" x14ac:dyDescent="0.25">
      <c r="A122" s="290"/>
      <c r="B122" s="290"/>
      <c r="C122" s="290"/>
      <c r="D122" s="290"/>
      <c r="E122" s="290"/>
      <c r="F122" s="290"/>
      <c r="G122" s="290"/>
      <c r="H122" s="290"/>
      <c r="I122" s="290"/>
      <c r="J122" s="290"/>
      <c r="K122" s="290"/>
      <c r="L122" s="310"/>
      <c r="M122" s="310"/>
      <c r="N122" s="310"/>
      <c r="O122" s="310"/>
      <c r="P122" s="310"/>
      <c r="Q122" s="310"/>
      <c r="R122" s="310"/>
      <c r="S122" s="310"/>
      <c r="T122" s="310"/>
      <c r="U122" s="310"/>
      <c r="V122" s="310"/>
      <c r="W122" s="310"/>
      <c r="X122" s="310"/>
      <c r="Y122" s="310"/>
      <c r="Z122" s="310"/>
      <c r="AA122" s="310"/>
      <c r="AB122" s="310"/>
      <c r="AC122" s="310"/>
      <c r="AD122" s="310"/>
      <c r="AE122" s="310"/>
      <c r="AF122" s="310"/>
      <c r="AG122" s="310"/>
      <c r="AH122" s="310"/>
      <c r="AI122" s="310"/>
      <c r="AJ122" s="310"/>
      <c r="AK122" s="310"/>
      <c r="AL122" s="310"/>
      <c r="AM122" s="310"/>
      <c r="AN122" s="310"/>
      <c r="AO122" s="373" t="s">
        <v>934</v>
      </c>
      <c r="AP122" s="307">
        <v>0.65</v>
      </c>
      <c r="AQ122" s="384"/>
      <c r="AR122" s="384"/>
      <c r="AS122" s="310"/>
      <c r="AT122" s="310"/>
      <c r="AU122" s="310"/>
      <c r="AV122" s="310"/>
      <c r="AW122" s="310"/>
      <c r="AX122" s="310"/>
      <c r="AY122" s="310"/>
      <c r="AZ122" s="310"/>
    </row>
    <row r="123" spans="1:52" s="312" customFormat="1" x14ac:dyDescent="0.25">
      <c r="A123" s="290"/>
      <c r="B123" s="290"/>
      <c r="C123" s="290"/>
      <c r="D123" s="290"/>
      <c r="E123" s="290"/>
      <c r="F123" s="290"/>
      <c r="G123" s="290"/>
      <c r="H123" s="290"/>
      <c r="I123" s="290"/>
      <c r="J123" s="290"/>
      <c r="K123" s="290"/>
      <c r="L123" s="310"/>
      <c r="M123" s="310"/>
      <c r="N123" s="310"/>
      <c r="O123" s="310"/>
      <c r="P123" s="310"/>
      <c r="Q123" s="310"/>
      <c r="R123" s="310"/>
      <c r="S123" s="310"/>
      <c r="T123" s="310"/>
      <c r="U123" s="310"/>
      <c r="V123" s="310"/>
      <c r="W123" s="310"/>
      <c r="X123" s="310"/>
      <c r="Y123" s="310"/>
      <c r="Z123" s="310"/>
      <c r="AA123" s="310"/>
      <c r="AB123" s="310"/>
      <c r="AC123" s="310"/>
      <c r="AD123" s="310"/>
      <c r="AE123" s="310"/>
      <c r="AF123" s="310"/>
      <c r="AG123" s="310"/>
      <c r="AH123" s="310"/>
      <c r="AI123" s="310"/>
      <c r="AJ123" s="310"/>
      <c r="AK123" s="310"/>
      <c r="AL123" s="310"/>
      <c r="AM123" s="310"/>
      <c r="AN123" s="310"/>
      <c r="AO123" s="1826" t="s">
        <v>935</v>
      </c>
      <c r="AP123" s="383"/>
      <c r="AQ123" s="384"/>
      <c r="AR123" s="384"/>
      <c r="AS123" s="310"/>
      <c r="AT123" s="310"/>
      <c r="AU123" s="310"/>
      <c r="AV123" s="310"/>
      <c r="AW123" s="310"/>
      <c r="AX123" s="310"/>
      <c r="AY123" s="310"/>
      <c r="AZ123" s="310"/>
    </row>
    <row r="124" spans="1:52" s="312" customFormat="1" x14ac:dyDescent="0.25">
      <c r="A124" s="290"/>
      <c r="B124" s="290"/>
      <c r="C124" s="290"/>
      <c r="D124" s="290"/>
      <c r="E124" s="290"/>
      <c r="F124" s="290"/>
      <c r="G124" s="290"/>
      <c r="H124" s="290"/>
      <c r="I124" s="290"/>
      <c r="J124" s="290"/>
      <c r="K124" s="290"/>
      <c r="L124" s="310"/>
      <c r="M124" s="310"/>
      <c r="N124" s="310"/>
      <c r="O124" s="310"/>
      <c r="P124" s="310"/>
      <c r="Q124" s="310"/>
      <c r="R124" s="310"/>
      <c r="S124" s="310"/>
      <c r="T124" s="310"/>
      <c r="U124" s="310"/>
      <c r="V124" s="310"/>
      <c r="W124" s="310"/>
      <c r="X124" s="310"/>
      <c r="Y124" s="310"/>
      <c r="Z124" s="310"/>
      <c r="AA124" s="310"/>
      <c r="AB124" s="310"/>
      <c r="AC124" s="310"/>
      <c r="AD124" s="310"/>
      <c r="AE124" s="310"/>
      <c r="AF124" s="310"/>
      <c r="AG124" s="310"/>
      <c r="AH124" s="310"/>
      <c r="AI124" s="310"/>
      <c r="AJ124" s="310"/>
      <c r="AK124" s="310"/>
      <c r="AL124" s="310"/>
      <c r="AM124" s="310"/>
      <c r="AN124" s="310"/>
      <c r="AO124" s="1826"/>
      <c r="AP124" s="378" t="s">
        <v>936</v>
      </c>
      <c r="AQ124" s="384"/>
      <c r="AR124" s="384"/>
      <c r="AS124" s="310"/>
      <c r="AT124" s="310"/>
      <c r="AU124" s="310"/>
      <c r="AV124" s="310"/>
      <c r="AW124" s="310"/>
      <c r="AX124" s="310"/>
      <c r="AY124" s="310"/>
      <c r="AZ124" s="310"/>
    </row>
    <row r="125" spans="1:52" s="312" customFormat="1" x14ac:dyDescent="0.25">
      <c r="A125" s="290"/>
      <c r="B125" s="290"/>
      <c r="C125" s="290"/>
      <c r="D125" s="290"/>
      <c r="E125" s="290"/>
      <c r="F125" s="290"/>
      <c r="G125" s="290"/>
      <c r="H125" s="290"/>
      <c r="I125" s="290"/>
      <c r="J125" s="290"/>
      <c r="K125" s="290"/>
      <c r="L125" s="310"/>
      <c r="M125" s="310"/>
      <c r="N125" s="310"/>
      <c r="O125" s="310"/>
      <c r="P125" s="310"/>
      <c r="Q125" s="310"/>
      <c r="R125" s="310"/>
      <c r="S125" s="310"/>
      <c r="T125" s="310"/>
      <c r="U125" s="310"/>
      <c r="V125" s="310"/>
      <c r="W125" s="310"/>
      <c r="X125" s="310"/>
      <c r="Y125" s="310"/>
      <c r="Z125" s="310"/>
      <c r="AA125" s="310"/>
      <c r="AB125" s="310"/>
      <c r="AC125" s="310"/>
      <c r="AD125" s="310"/>
      <c r="AE125" s="310"/>
      <c r="AF125" s="310"/>
      <c r="AG125" s="310"/>
      <c r="AH125" s="310"/>
      <c r="AI125" s="310"/>
      <c r="AJ125" s="310"/>
      <c r="AK125" s="310"/>
      <c r="AL125" s="310"/>
      <c r="AM125" s="310"/>
      <c r="AN125" s="310"/>
      <c r="AO125" s="373" t="s">
        <v>937</v>
      </c>
      <c r="AP125" s="307">
        <v>0.47</v>
      </c>
      <c r="AQ125" s="384"/>
      <c r="AR125" s="384"/>
      <c r="AS125" s="310"/>
      <c r="AT125" s="310"/>
      <c r="AU125" s="310"/>
      <c r="AV125" s="310"/>
      <c r="AW125" s="310"/>
      <c r="AX125" s="310"/>
      <c r="AY125" s="310"/>
      <c r="AZ125" s="310"/>
    </row>
    <row r="126" spans="1:52" s="312" customFormat="1" ht="21" x14ac:dyDescent="0.25">
      <c r="A126" s="290"/>
      <c r="B126" s="290"/>
      <c r="C126" s="290"/>
      <c r="D126" s="290"/>
      <c r="E126" s="290"/>
      <c r="F126" s="290"/>
      <c r="G126" s="290"/>
      <c r="H126" s="290"/>
      <c r="I126" s="290"/>
      <c r="J126" s="290"/>
      <c r="K126" s="290"/>
      <c r="L126" s="310"/>
      <c r="M126" s="310"/>
      <c r="N126" s="310"/>
      <c r="O126" s="310"/>
      <c r="P126" s="310"/>
      <c r="Q126" s="310"/>
      <c r="R126" s="310"/>
      <c r="S126" s="310"/>
      <c r="T126" s="310"/>
      <c r="U126" s="310"/>
      <c r="V126" s="310"/>
      <c r="W126" s="310"/>
      <c r="X126" s="310"/>
      <c r="Y126" s="310"/>
      <c r="Z126" s="310"/>
      <c r="AA126" s="310"/>
      <c r="AB126" s="310"/>
      <c r="AC126" s="310"/>
      <c r="AD126" s="310"/>
      <c r="AE126" s="310"/>
      <c r="AF126" s="310"/>
      <c r="AG126" s="310"/>
      <c r="AH126" s="310"/>
      <c r="AI126" s="310"/>
      <c r="AJ126" s="310"/>
      <c r="AK126" s="310"/>
      <c r="AL126" s="310"/>
      <c r="AM126" s="310"/>
      <c r="AN126" s="310"/>
      <c r="AO126" s="373" t="s">
        <v>938</v>
      </c>
      <c r="AP126" s="378" t="s">
        <v>939</v>
      </c>
      <c r="AQ126" s="384"/>
      <c r="AR126" s="384"/>
      <c r="AS126" s="310"/>
      <c r="AT126" s="310"/>
      <c r="AU126" s="310"/>
      <c r="AV126" s="310"/>
      <c r="AW126" s="310"/>
      <c r="AX126" s="310"/>
      <c r="AY126" s="310"/>
      <c r="AZ126" s="310"/>
    </row>
    <row r="127" spans="1:52" s="312" customFormat="1" x14ac:dyDescent="0.25">
      <c r="A127" s="290"/>
      <c r="B127" s="290"/>
      <c r="C127" s="290"/>
      <c r="D127" s="290"/>
      <c r="E127" s="290"/>
      <c r="F127" s="290"/>
      <c r="G127" s="290"/>
      <c r="H127" s="290"/>
      <c r="I127" s="290"/>
      <c r="J127" s="290"/>
      <c r="K127" s="290"/>
      <c r="L127" s="310"/>
      <c r="M127" s="310"/>
      <c r="N127" s="310"/>
      <c r="O127" s="310"/>
      <c r="P127" s="310"/>
      <c r="Q127" s="310"/>
      <c r="R127" s="310"/>
      <c r="S127" s="310"/>
      <c r="T127" s="310"/>
      <c r="U127" s="310"/>
      <c r="V127" s="310"/>
      <c r="W127" s="310"/>
      <c r="X127" s="310"/>
      <c r="Y127" s="310"/>
      <c r="Z127" s="310"/>
      <c r="AA127" s="310"/>
      <c r="AB127" s="310"/>
      <c r="AC127" s="310"/>
      <c r="AD127" s="310"/>
      <c r="AE127" s="310"/>
      <c r="AF127" s="310"/>
      <c r="AG127" s="310"/>
      <c r="AH127" s="310"/>
      <c r="AI127" s="310"/>
      <c r="AJ127" s="310"/>
      <c r="AK127" s="310"/>
      <c r="AL127" s="310"/>
      <c r="AM127" s="310"/>
      <c r="AN127" s="310"/>
      <c r="AO127" s="373" t="s">
        <v>940</v>
      </c>
      <c r="AP127" s="307">
        <v>0.62</v>
      </c>
      <c r="AQ127" s="384"/>
      <c r="AR127" s="384"/>
      <c r="AS127" s="310"/>
      <c r="AT127" s="310"/>
      <c r="AU127" s="310"/>
      <c r="AV127" s="310"/>
      <c r="AW127" s="310"/>
      <c r="AX127" s="310"/>
      <c r="AY127" s="310"/>
      <c r="AZ127" s="310"/>
    </row>
    <row r="128" spans="1:52" s="312" customFormat="1" ht="21" x14ac:dyDescent="0.25">
      <c r="A128" s="290"/>
      <c r="B128" s="290"/>
      <c r="C128" s="290"/>
      <c r="D128" s="290"/>
      <c r="E128" s="290"/>
      <c r="F128" s="290"/>
      <c r="G128" s="290"/>
      <c r="H128" s="290"/>
      <c r="I128" s="290"/>
      <c r="J128" s="290"/>
      <c r="K128" s="290"/>
      <c r="L128" s="310"/>
      <c r="M128" s="310"/>
      <c r="N128" s="310"/>
      <c r="O128" s="310"/>
      <c r="P128" s="310"/>
      <c r="Q128" s="310"/>
      <c r="R128" s="310"/>
      <c r="S128" s="310"/>
      <c r="T128" s="310"/>
      <c r="U128" s="310"/>
      <c r="V128" s="310"/>
      <c r="W128" s="310"/>
      <c r="X128" s="310"/>
      <c r="Y128" s="310"/>
      <c r="Z128" s="310"/>
      <c r="AA128" s="310"/>
      <c r="AB128" s="310"/>
      <c r="AC128" s="310"/>
      <c r="AD128" s="310"/>
      <c r="AE128" s="310"/>
      <c r="AF128" s="310"/>
      <c r="AG128" s="310"/>
      <c r="AH128" s="310"/>
      <c r="AI128" s="310"/>
      <c r="AJ128" s="310"/>
      <c r="AK128" s="310"/>
      <c r="AL128" s="310"/>
      <c r="AM128" s="310"/>
      <c r="AN128" s="310"/>
      <c r="AO128" s="373" t="s">
        <v>941</v>
      </c>
      <c r="AP128" s="307">
        <v>0.71</v>
      </c>
      <c r="AQ128" s="384"/>
      <c r="AR128" s="384"/>
      <c r="AS128" s="310"/>
      <c r="AT128" s="310"/>
      <c r="AU128" s="310"/>
      <c r="AV128" s="310"/>
      <c r="AW128" s="310"/>
      <c r="AX128" s="310"/>
      <c r="AY128" s="310"/>
      <c r="AZ128" s="310"/>
    </row>
    <row r="129" spans="1:52" s="312" customFormat="1" ht="21" x14ac:dyDescent="0.25">
      <c r="A129" s="290"/>
      <c r="B129" s="290"/>
      <c r="C129" s="290"/>
      <c r="D129" s="290"/>
      <c r="E129" s="290"/>
      <c r="F129" s="290"/>
      <c r="G129" s="290"/>
      <c r="H129" s="290"/>
      <c r="I129" s="290"/>
      <c r="J129" s="290"/>
      <c r="K129" s="290"/>
      <c r="L129" s="310"/>
      <c r="M129" s="310"/>
      <c r="N129" s="310"/>
      <c r="O129" s="310"/>
      <c r="P129" s="310"/>
      <c r="Q129" s="310"/>
      <c r="R129" s="310"/>
      <c r="S129" s="310"/>
      <c r="T129" s="310"/>
      <c r="U129" s="310"/>
      <c r="V129" s="310"/>
      <c r="W129" s="310"/>
      <c r="X129" s="310"/>
      <c r="Y129" s="310"/>
      <c r="Z129" s="310"/>
      <c r="AA129" s="310"/>
      <c r="AB129" s="310"/>
      <c r="AC129" s="310"/>
      <c r="AD129" s="310"/>
      <c r="AE129" s="310"/>
      <c r="AF129" s="310"/>
      <c r="AG129" s="310"/>
      <c r="AH129" s="310"/>
      <c r="AI129" s="310"/>
      <c r="AJ129" s="310"/>
      <c r="AK129" s="310"/>
      <c r="AL129" s="310"/>
      <c r="AM129" s="310"/>
      <c r="AN129" s="310"/>
      <c r="AO129" s="373" t="s">
        <v>892</v>
      </c>
      <c r="AP129" s="307">
        <v>0.81</v>
      </c>
      <c r="AQ129" s="384"/>
      <c r="AR129" s="384"/>
      <c r="AS129" s="310"/>
      <c r="AT129" s="310"/>
      <c r="AU129" s="310"/>
      <c r="AV129" s="310"/>
      <c r="AW129" s="310"/>
      <c r="AX129" s="310"/>
      <c r="AY129" s="310"/>
      <c r="AZ129" s="310"/>
    </row>
    <row r="130" spans="1:52" s="312" customFormat="1" ht="21" x14ac:dyDescent="0.25">
      <c r="A130" s="290"/>
      <c r="B130" s="290"/>
      <c r="C130" s="290"/>
      <c r="D130" s="290"/>
      <c r="E130" s="290"/>
      <c r="F130" s="290"/>
      <c r="G130" s="290"/>
      <c r="H130" s="290"/>
      <c r="I130" s="290"/>
      <c r="J130" s="290"/>
      <c r="K130" s="290"/>
      <c r="L130" s="310"/>
      <c r="M130" s="310"/>
      <c r="N130" s="310"/>
      <c r="O130" s="310"/>
      <c r="P130" s="310"/>
      <c r="Q130" s="310"/>
      <c r="R130" s="310"/>
      <c r="S130" s="310"/>
      <c r="T130" s="310"/>
      <c r="U130" s="310"/>
      <c r="V130" s="310"/>
      <c r="W130" s="310"/>
      <c r="X130" s="310"/>
      <c r="Y130" s="310"/>
      <c r="Z130" s="310"/>
      <c r="AA130" s="310"/>
      <c r="AB130" s="310"/>
      <c r="AC130" s="310"/>
      <c r="AD130" s="310"/>
      <c r="AE130" s="310"/>
      <c r="AF130" s="310"/>
      <c r="AG130" s="310"/>
      <c r="AH130" s="310"/>
      <c r="AI130" s="310"/>
      <c r="AJ130" s="310"/>
      <c r="AK130" s="310"/>
      <c r="AL130" s="310"/>
      <c r="AM130" s="310"/>
      <c r="AN130" s="310"/>
      <c r="AO130" s="373" t="s">
        <v>942</v>
      </c>
      <c r="AP130" s="307">
        <v>0.55000000000000004</v>
      </c>
      <c r="AQ130" s="384"/>
      <c r="AR130" s="384"/>
      <c r="AS130" s="310"/>
      <c r="AT130" s="310"/>
      <c r="AU130" s="310"/>
      <c r="AV130" s="310"/>
      <c r="AW130" s="310"/>
      <c r="AX130" s="310"/>
      <c r="AY130" s="310"/>
      <c r="AZ130" s="310"/>
    </row>
    <row r="131" spans="1:52" s="312" customFormat="1" ht="21" x14ac:dyDescent="0.25">
      <c r="A131" s="290"/>
      <c r="B131" s="290"/>
      <c r="C131" s="290"/>
      <c r="D131" s="290"/>
      <c r="E131" s="290"/>
      <c r="F131" s="290"/>
      <c r="G131" s="290"/>
      <c r="H131" s="290"/>
      <c r="I131" s="290"/>
      <c r="J131" s="290"/>
      <c r="K131" s="290"/>
      <c r="L131" s="310"/>
      <c r="M131" s="310"/>
      <c r="N131" s="310"/>
      <c r="O131" s="310"/>
      <c r="P131" s="310"/>
      <c r="Q131" s="310"/>
      <c r="R131" s="310"/>
      <c r="S131" s="310"/>
      <c r="T131" s="310"/>
      <c r="U131" s="310"/>
      <c r="V131" s="310"/>
      <c r="W131" s="310"/>
      <c r="X131" s="310"/>
      <c r="Y131" s="310"/>
      <c r="Z131" s="310"/>
      <c r="AA131" s="310"/>
      <c r="AB131" s="310"/>
      <c r="AC131" s="310"/>
      <c r="AD131" s="310"/>
      <c r="AE131" s="310"/>
      <c r="AF131" s="310"/>
      <c r="AG131" s="310"/>
      <c r="AH131" s="310"/>
      <c r="AI131" s="310"/>
      <c r="AJ131" s="310"/>
      <c r="AK131" s="310"/>
      <c r="AL131" s="310"/>
      <c r="AM131" s="310"/>
      <c r="AN131" s="310"/>
      <c r="AO131" s="373" t="s">
        <v>943</v>
      </c>
      <c r="AP131" s="307">
        <v>0.36</v>
      </c>
      <c r="AQ131" s="384"/>
      <c r="AR131" s="384"/>
      <c r="AS131" s="310"/>
      <c r="AT131" s="310"/>
      <c r="AU131" s="310"/>
      <c r="AV131" s="310"/>
      <c r="AW131" s="310"/>
      <c r="AX131" s="310"/>
      <c r="AY131" s="310"/>
      <c r="AZ131" s="310"/>
    </row>
    <row r="132" spans="1:52" s="312" customFormat="1" ht="21" x14ac:dyDescent="0.25">
      <c r="A132" s="290"/>
      <c r="B132" s="290"/>
      <c r="C132" s="290"/>
      <c r="D132" s="290"/>
      <c r="E132" s="290"/>
      <c r="F132" s="290"/>
      <c r="G132" s="290"/>
      <c r="H132" s="290"/>
      <c r="I132" s="290"/>
      <c r="J132" s="290"/>
      <c r="K132" s="290"/>
      <c r="L132" s="310"/>
      <c r="M132" s="310"/>
      <c r="N132" s="310"/>
      <c r="O132" s="310"/>
      <c r="P132" s="310"/>
      <c r="Q132" s="310"/>
      <c r="R132" s="310"/>
      <c r="S132" s="310"/>
      <c r="T132" s="310"/>
      <c r="U132" s="310"/>
      <c r="V132" s="310"/>
      <c r="W132" s="310"/>
      <c r="X132" s="310"/>
      <c r="Y132" s="310"/>
      <c r="Z132" s="310"/>
      <c r="AA132" s="310"/>
      <c r="AB132" s="310"/>
      <c r="AC132" s="310"/>
      <c r="AD132" s="310"/>
      <c r="AE132" s="310"/>
      <c r="AF132" s="310"/>
      <c r="AG132" s="310"/>
      <c r="AH132" s="310"/>
      <c r="AI132" s="310"/>
      <c r="AJ132" s="310"/>
      <c r="AK132" s="310"/>
      <c r="AL132" s="310"/>
      <c r="AM132" s="310"/>
      <c r="AN132" s="310"/>
      <c r="AO132" s="373" t="s">
        <v>944</v>
      </c>
      <c r="AP132" s="378" t="s">
        <v>945</v>
      </c>
      <c r="AQ132" s="384"/>
      <c r="AR132" s="384"/>
      <c r="AS132" s="310"/>
      <c r="AT132" s="310"/>
      <c r="AU132" s="310"/>
      <c r="AV132" s="310"/>
      <c r="AW132" s="310"/>
      <c r="AX132" s="310"/>
      <c r="AY132" s="310"/>
      <c r="AZ132" s="310"/>
    </row>
    <row r="133" spans="1:52" s="312" customFormat="1" x14ac:dyDescent="0.25">
      <c r="A133" s="290"/>
      <c r="B133" s="290"/>
      <c r="C133" s="290"/>
      <c r="D133" s="290"/>
      <c r="E133" s="290"/>
      <c r="F133" s="290"/>
      <c r="G133" s="290"/>
      <c r="H133" s="290"/>
      <c r="I133" s="290"/>
      <c r="J133" s="290"/>
      <c r="K133" s="290"/>
      <c r="L133" s="310"/>
      <c r="M133" s="310"/>
      <c r="N133" s="310"/>
      <c r="O133" s="310"/>
      <c r="P133" s="310"/>
      <c r="Q133" s="310"/>
      <c r="R133" s="310"/>
      <c r="S133" s="310"/>
      <c r="T133" s="310"/>
      <c r="U133" s="310"/>
      <c r="V133" s="310"/>
      <c r="W133" s="310"/>
      <c r="X133" s="310"/>
      <c r="Y133" s="310"/>
      <c r="Z133" s="310"/>
      <c r="AA133" s="310"/>
      <c r="AB133" s="310"/>
      <c r="AC133" s="310"/>
      <c r="AD133" s="310"/>
      <c r="AE133" s="310"/>
      <c r="AF133" s="310"/>
      <c r="AG133" s="310"/>
      <c r="AH133" s="310"/>
      <c r="AI133" s="310"/>
      <c r="AJ133" s="310"/>
      <c r="AK133" s="310"/>
      <c r="AL133" s="310"/>
      <c r="AM133" s="310"/>
      <c r="AN133" s="310"/>
      <c r="AO133" s="383"/>
      <c r="AP133" s="1828" t="s">
        <v>946</v>
      </c>
      <c r="AQ133" s="384"/>
      <c r="AR133" s="384"/>
      <c r="AS133" s="310"/>
      <c r="AT133" s="310"/>
      <c r="AU133" s="310"/>
      <c r="AV133" s="310"/>
      <c r="AW133" s="310"/>
      <c r="AX133" s="310"/>
      <c r="AY133" s="310"/>
      <c r="AZ133" s="310"/>
    </row>
    <row r="134" spans="1:52" s="312" customFormat="1" ht="31.5" x14ac:dyDescent="0.25">
      <c r="A134" s="290"/>
      <c r="B134" s="290"/>
      <c r="C134" s="290"/>
      <c r="D134" s="290"/>
      <c r="E134" s="290"/>
      <c r="F134" s="290"/>
      <c r="G134" s="290"/>
      <c r="H134" s="290"/>
      <c r="I134" s="290"/>
      <c r="J134" s="290"/>
      <c r="K134" s="290"/>
      <c r="L134" s="310"/>
      <c r="M134" s="310"/>
      <c r="N134" s="310"/>
      <c r="O134" s="310"/>
      <c r="P134" s="310"/>
      <c r="Q134" s="310"/>
      <c r="R134" s="310"/>
      <c r="S134" s="310"/>
      <c r="T134" s="310"/>
      <c r="U134" s="310"/>
      <c r="V134" s="310"/>
      <c r="W134" s="310"/>
      <c r="X134" s="310"/>
      <c r="Y134" s="310"/>
      <c r="Z134" s="310"/>
      <c r="AA134" s="310"/>
      <c r="AB134" s="310"/>
      <c r="AC134" s="310"/>
      <c r="AD134" s="310"/>
      <c r="AE134" s="310"/>
      <c r="AF134" s="310"/>
      <c r="AG134" s="310"/>
      <c r="AH134" s="310"/>
      <c r="AI134" s="310"/>
      <c r="AJ134" s="310"/>
      <c r="AK134" s="310"/>
      <c r="AL134" s="310"/>
      <c r="AM134" s="310"/>
      <c r="AN134" s="310"/>
      <c r="AO134" s="373" t="s">
        <v>947</v>
      </c>
      <c r="AP134" s="1828"/>
      <c r="AQ134" s="384"/>
      <c r="AR134" s="384"/>
      <c r="AS134" s="310"/>
      <c r="AT134" s="310"/>
      <c r="AU134" s="310"/>
      <c r="AV134" s="310"/>
      <c r="AW134" s="310"/>
      <c r="AX134" s="310"/>
      <c r="AY134" s="310"/>
      <c r="AZ134" s="310"/>
    </row>
    <row r="135" spans="1:52" s="312" customFormat="1" ht="21" x14ac:dyDescent="0.25">
      <c r="A135" s="290"/>
      <c r="B135" s="290"/>
      <c r="C135" s="290"/>
      <c r="D135" s="290"/>
      <c r="E135" s="290"/>
      <c r="F135" s="290"/>
      <c r="G135" s="290"/>
      <c r="H135" s="290"/>
      <c r="I135" s="290"/>
      <c r="J135" s="290"/>
      <c r="K135" s="290"/>
      <c r="L135" s="310"/>
      <c r="M135" s="310"/>
      <c r="N135" s="310"/>
      <c r="O135" s="310"/>
      <c r="P135" s="310"/>
      <c r="Q135" s="310"/>
      <c r="R135" s="310"/>
      <c r="S135" s="310"/>
      <c r="T135" s="310"/>
      <c r="U135" s="310"/>
      <c r="V135" s="310"/>
      <c r="W135" s="310"/>
      <c r="X135" s="310"/>
      <c r="Y135" s="310"/>
      <c r="Z135" s="310"/>
      <c r="AA135" s="310"/>
      <c r="AB135" s="310"/>
      <c r="AC135" s="310"/>
      <c r="AD135" s="310"/>
      <c r="AE135" s="310"/>
      <c r="AF135" s="310"/>
      <c r="AG135" s="310"/>
      <c r="AH135" s="310"/>
      <c r="AI135" s="310"/>
      <c r="AJ135" s="310"/>
      <c r="AK135" s="310"/>
      <c r="AL135" s="310"/>
      <c r="AM135" s="310"/>
      <c r="AN135" s="310"/>
      <c r="AO135" s="383"/>
      <c r="AP135" s="373" t="s">
        <v>948</v>
      </c>
      <c r="AQ135" s="384"/>
      <c r="AR135" s="384"/>
      <c r="AS135" s="310"/>
      <c r="AT135" s="310"/>
      <c r="AU135" s="310"/>
      <c r="AV135" s="310"/>
      <c r="AW135" s="310"/>
      <c r="AX135" s="310"/>
      <c r="AY135" s="310"/>
      <c r="AZ135" s="310"/>
    </row>
    <row r="136" spans="1:52" s="312" customFormat="1" ht="21" x14ac:dyDescent="0.25">
      <c r="A136" s="290"/>
      <c r="B136" s="290"/>
      <c r="C136" s="290"/>
      <c r="D136" s="290"/>
      <c r="E136" s="290"/>
      <c r="F136" s="290"/>
      <c r="G136" s="290"/>
      <c r="H136" s="290"/>
      <c r="I136" s="290"/>
      <c r="J136" s="290"/>
      <c r="K136" s="290"/>
      <c r="L136" s="310"/>
      <c r="M136" s="310"/>
      <c r="N136" s="310"/>
      <c r="O136" s="310"/>
      <c r="P136" s="310"/>
      <c r="Q136" s="310"/>
      <c r="R136" s="310"/>
      <c r="S136" s="310"/>
      <c r="T136" s="310"/>
      <c r="U136" s="310"/>
      <c r="V136" s="310"/>
      <c r="W136" s="310"/>
      <c r="X136" s="310"/>
      <c r="Y136" s="310"/>
      <c r="Z136" s="310"/>
      <c r="AA136" s="310"/>
      <c r="AB136" s="310"/>
      <c r="AC136" s="310"/>
      <c r="AD136" s="310"/>
      <c r="AE136" s="310"/>
      <c r="AF136" s="310"/>
      <c r="AG136" s="310"/>
      <c r="AH136" s="310"/>
      <c r="AI136" s="310"/>
      <c r="AJ136" s="310"/>
      <c r="AK136" s="310"/>
      <c r="AL136" s="310"/>
      <c r="AM136" s="310"/>
      <c r="AN136" s="310"/>
      <c r="AO136" s="373" t="s">
        <v>949</v>
      </c>
      <c r="AP136" s="307" t="s">
        <v>950</v>
      </c>
      <c r="AQ136" s="384"/>
      <c r="AR136" s="384"/>
      <c r="AS136" s="310"/>
      <c r="AT136" s="310"/>
      <c r="AU136" s="310"/>
      <c r="AV136" s="310"/>
      <c r="AW136" s="310"/>
      <c r="AX136" s="310"/>
      <c r="AY136" s="310"/>
      <c r="AZ136" s="310"/>
    </row>
    <row r="137" spans="1:52" s="312" customFormat="1" ht="21" x14ac:dyDescent="0.25">
      <c r="A137" s="290"/>
      <c r="B137" s="290"/>
      <c r="C137" s="290"/>
      <c r="D137" s="290"/>
      <c r="E137" s="290"/>
      <c r="F137" s="290"/>
      <c r="G137" s="290"/>
      <c r="H137" s="290"/>
      <c r="I137" s="290"/>
      <c r="J137" s="290"/>
      <c r="K137" s="290"/>
      <c r="L137" s="310"/>
      <c r="M137" s="310"/>
      <c r="N137" s="310"/>
      <c r="O137" s="310"/>
      <c r="P137" s="310"/>
      <c r="Q137" s="310"/>
      <c r="R137" s="310"/>
      <c r="S137" s="310"/>
      <c r="T137" s="310"/>
      <c r="U137" s="310"/>
      <c r="V137" s="310"/>
      <c r="W137" s="310"/>
      <c r="X137" s="310"/>
      <c r="Y137" s="310"/>
      <c r="Z137" s="310"/>
      <c r="AA137" s="310"/>
      <c r="AB137" s="310"/>
      <c r="AC137" s="310"/>
      <c r="AD137" s="310"/>
      <c r="AE137" s="310"/>
      <c r="AF137" s="310"/>
      <c r="AG137" s="310"/>
      <c r="AH137" s="310"/>
      <c r="AI137" s="310"/>
      <c r="AJ137" s="310"/>
      <c r="AK137" s="310"/>
      <c r="AL137" s="310"/>
      <c r="AM137" s="310"/>
      <c r="AN137" s="310"/>
      <c r="AO137" s="373" t="s">
        <v>951</v>
      </c>
      <c r="AP137" s="307" t="s">
        <v>952</v>
      </c>
      <c r="AQ137" s="384"/>
      <c r="AR137" s="384"/>
      <c r="AS137" s="310"/>
      <c r="AT137" s="310"/>
      <c r="AU137" s="310"/>
      <c r="AV137" s="310"/>
      <c r="AW137" s="310"/>
      <c r="AX137" s="310"/>
      <c r="AY137" s="310"/>
      <c r="AZ137" s="310"/>
    </row>
    <row r="138" spans="1:52" s="312" customFormat="1" ht="21" x14ac:dyDescent="0.25">
      <c r="A138" s="290"/>
      <c r="B138" s="290"/>
      <c r="C138" s="290"/>
      <c r="D138" s="290"/>
      <c r="E138" s="290"/>
      <c r="F138" s="290"/>
      <c r="G138" s="290"/>
      <c r="H138" s="290"/>
      <c r="I138" s="290"/>
      <c r="J138" s="290"/>
      <c r="K138" s="290"/>
      <c r="L138" s="310"/>
      <c r="M138" s="310"/>
      <c r="N138" s="310"/>
      <c r="O138" s="310"/>
      <c r="P138" s="310"/>
      <c r="Q138" s="310"/>
      <c r="R138" s="310"/>
      <c r="S138" s="310"/>
      <c r="T138" s="310"/>
      <c r="U138" s="310"/>
      <c r="V138" s="310"/>
      <c r="W138" s="310"/>
      <c r="X138" s="310"/>
      <c r="Y138" s="310"/>
      <c r="Z138" s="310"/>
      <c r="AA138" s="310"/>
      <c r="AB138" s="310"/>
      <c r="AC138" s="310"/>
      <c r="AD138" s="310"/>
      <c r="AE138" s="310"/>
      <c r="AF138" s="310"/>
      <c r="AG138" s="310"/>
      <c r="AH138" s="310"/>
      <c r="AI138" s="310"/>
      <c r="AJ138" s="310"/>
      <c r="AK138" s="310"/>
      <c r="AL138" s="310"/>
      <c r="AM138" s="310"/>
      <c r="AN138" s="310"/>
      <c r="AO138" s="373" t="s">
        <v>953</v>
      </c>
      <c r="AP138" s="307" t="s">
        <v>954</v>
      </c>
      <c r="AQ138" s="384"/>
      <c r="AR138" s="384"/>
      <c r="AS138" s="310"/>
      <c r="AT138" s="310"/>
      <c r="AU138" s="310"/>
      <c r="AV138" s="310"/>
      <c r="AW138" s="310"/>
      <c r="AX138" s="310"/>
      <c r="AY138" s="310"/>
      <c r="AZ138" s="310"/>
    </row>
    <row r="139" spans="1:52" s="312" customFormat="1" x14ac:dyDescent="0.25">
      <c r="A139" s="290"/>
      <c r="B139" s="290"/>
      <c r="C139" s="290"/>
      <c r="D139" s="290"/>
      <c r="E139" s="290"/>
      <c r="F139" s="290"/>
      <c r="G139" s="290"/>
      <c r="H139" s="290"/>
      <c r="I139" s="290"/>
      <c r="J139" s="290"/>
      <c r="K139" s="290"/>
      <c r="L139" s="310"/>
      <c r="M139" s="310"/>
      <c r="N139" s="310"/>
      <c r="O139" s="310"/>
      <c r="P139" s="310"/>
      <c r="Q139" s="310"/>
      <c r="R139" s="310"/>
      <c r="S139" s="310"/>
      <c r="T139" s="310"/>
      <c r="U139" s="310"/>
      <c r="V139" s="310"/>
      <c r="W139" s="310"/>
      <c r="X139" s="310"/>
      <c r="Y139" s="310"/>
      <c r="Z139" s="310"/>
      <c r="AA139" s="310"/>
      <c r="AB139" s="310"/>
      <c r="AC139" s="310"/>
      <c r="AD139" s="310"/>
      <c r="AE139" s="310"/>
      <c r="AF139" s="310"/>
      <c r="AG139" s="310"/>
      <c r="AH139" s="310"/>
      <c r="AI139" s="310"/>
      <c r="AJ139" s="310"/>
      <c r="AK139" s="310"/>
      <c r="AL139" s="310"/>
      <c r="AM139" s="310"/>
      <c r="AN139" s="310"/>
      <c r="AO139" s="1826" t="s">
        <v>955</v>
      </c>
      <c r="AP139" s="383"/>
      <c r="AQ139" s="384"/>
      <c r="AR139" s="384"/>
      <c r="AS139" s="310"/>
      <c r="AT139" s="310"/>
      <c r="AU139" s="310"/>
      <c r="AV139" s="310"/>
      <c r="AW139" s="310"/>
      <c r="AX139" s="310"/>
      <c r="AY139" s="310"/>
      <c r="AZ139" s="310"/>
    </row>
    <row r="140" spans="1:52" s="312" customFormat="1" x14ac:dyDescent="0.25">
      <c r="A140" s="290"/>
      <c r="B140" s="290"/>
      <c r="C140" s="290"/>
      <c r="D140" s="290"/>
      <c r="E140" s="290"/>
      <c r="F140" s="290"/>
      <c r="G140" s="290"/>
      <c r="H140" s="290"/>
      <c r="I140" s="290"/>
      <c r="J140" s="290"/>
      <c r="K140" s="290"/>
      <c r="L140" s="310"/>
      <c r="M140" s="310"/>
      <c r="N140" s="310"/>
      <c r="O140" s="310"/>
      <c r="P140" s="310"/>
      <c r="Q140" s="310"/>
      <c r="R140" s="310"/>
      <c r="S140" s="310"/>
      <c r="T140" s="310"/>
      <c r="U140" s="310"/>
      <c r="V140" s="310"/>
      <c r="W140" s="310"/>
      <c r="X140" s="310"/>
      <c r="Y140" s="310"/>
      <c r="Z140" s="310"/>
      <c r="AA140" s="310"/>
      <c r="AB140" s="310"/>
      <c r="AC140" s="310"/>
      <c r="AD140" s="310"/>
      <c r="AE140" s="310"/>
      <c r="AF140" s="310"/>
      <c r="AG140" s="310"/>
      <c r="AH140" s="310"/>
      <c r="AI140" s="310"/>
      <c r="AJ140" s="310"/>
      <c r="AK140" s="310"/>
      <c r="AL140" s="310"/>
      <c r="AM140" s="310"/>
      <c r="AN140" s="310"/>
      <c r="AO140" s="1826"/>
      <c r="AP140" s="307" t="s">
        <v>956</v>
      </c>
      <c r="AQ140" s="384"/>
      <c r="AR140" s="384"/>
      <c r="AS140" s="310"/>
      <c r="AT140" s="310"/>
      <c r="AU140" s="310"/>
      <c r="AV140" s="310"/>
      <c r="AW140" s="310"/>
      <c r="AX140" s="310"/>
      <c r="AY140" s="310"/>
      <c r="AZ140" s="310"/>
    </row>
    <row r="141" spans="1:52" s="312" customFormat="1" ht="21" x14ac:dyDescent="0.25">
      <c r="A141" s="290"/>
      <c r="B141" s="290"/>
      <c r="C141" s="290"/>
      <c r="D141" s="290"/>
      <c r="E141" s="290"/>
      <c r="F141" s="290"/>
      <c r="G141" s="290"/>
      <c r="H141" s="290"/>
      <c r="I141" s="290"/>
      <c r="J141" s="290"/>
      <c r="K141" s="290"/>
      <c r="L141" s="310"/>
      <c r="M141" s="310"/>
      <c r="N141" s="310"/>
      <c r="O141" s="310"/>
      <c r="P141" s="310"/>
      <c r="Q141" s="310"/>
      <c r="R141" s="310"/>
      <c r="S141" s="310"/>
      <c r="T141" s="310"/>
      <c r="U141" s="310"/>
      <c r="V141" s="310"/>
      <c r="W141" s="310"/>
      <c r="X141" s="310"/>
      <c r="Y141" s="310"/>
      <c r="Z141" s="310"/>
      <c r="AA141" s="310"/>
      <c r="AB141" s="310"/>
      <c r="AC141" s="310"/>
      <c r="AD141" s="310"/>
      <c r="AE141" s="310"/>
      <c r="AF141" s="310"/>
      <c r="AG141" s="310"/>
      <c r="AH141" s="310"/>
      <c r="AI141" s="310"/>
      <c r="AJ141" s="310"/>
      <c r="AK141" s="310"/>
      <c r="AL141" s="310"/>
      <c r="AM141" s="310"/>
      <c r="AN141" s="310"/>
      <c r="AO141" s="373" t="s">
        <v>957</v>
      </c>
      <c r="AP141" s="378" t="s">
        <v>958</v>
      </c>
      <c r="AQ141" s="384"/>
      <c r="AR141" s="384"/>
      <c r="AS141" s="310"/>
      <c r="AT141" s="310"/>
      <c r="AU141" s="310"/>
      <c r="AV141" s="310"/>
      <c r="AW141" s="310"/>
      <c r="AX141" s="310"/>
      <c r="AY141" s="310"/>
      <c r="AZ141" s="310"/>
    </row>
    <row r="142" spans="1:52" s="312" customFormat="1" ht="21" x14ac:dyDescent="0.25">
      <c r="A142" s="290"/>
      <c r="B142" s="290"/>
      <c r="C142" s="290"/>
      <c r="D142" s="290"/>
      <c r="E142" s="290"/>
      <c r="F142" s="290"/>
      <c r="G142" s="290"/>
      <c r="H142" s="290"/>
      <c r="I142" s="290"/>
      <c r="J142" s="290"/>
      <c r="K142" s="290"/>
      <c r="L142" s="310"/>
      <c r="M142" s="310"/>
      <c r="N142" s="310"/>
      <c r="O142" s="310"/>
      <c r="P142" s="310"/>
      <c r="Q142" s="310"/>
      <c r="R142" s="310"/>
      <c r="S142" s="310"/>
      <c r="T142" s="310"/>
      <c r="U142" s="310"/>
      <c r="V142" s="310"/>
      <c r="W142" s="310"/>
      <c r="X142" s="310"/>
      <c r="Y142" s="310"/>
      <c r="Z142" s="310"/>
      <c r="AA142" s="310"/>
      <c r="AB142" s="310"/>
      <c r="AC142" s="310"/>
      <c r="AD142" s="310"/>
      <c r="AE142" s="310"/>
      <c r="AF142" s="310"/>
      <c r="AG142" s="310"/>
      <c r="AH142" s="310"/>
      <c r="AI142" s="310"/>
      <c r="AJ142" s="310"/>
      <c r="AK142" s="310"/>
      <c r="AL142" s="310"/>
      <c r="AM142" s="310"/>
      <c r="AN142" s="310"/>
      <c r="AO142" s="373" t="s">
        <v>959</v>
      </c>
      <c r="AP142" s="378" t="s">
        <v>960</v>
      </c>
      <c r="AQ142" s="384"/>
      <c r="AR142" s="384"/>
      <c r="AS142" s="310"/>
      <c r="AT142" s="310"/>
      <c r="AU142" s="310"/>
      <c r="AV142" s="310"/>
      <c r="AW142" s="310"/>
      <c r="AX142" s="310"/>
      <c r="AY142" s="310"/>
      <c r="AZ142" s="310"/>
    </row>
    <row r="143" spans="1:52" s="312" customFormat="1" x14ac:dyDescent="0.25">
      <c r="A143" s="290"/>
      <c r="B143" s="290"/>
      <c r="C143" s="290"/>
      <c r="D143" s="290"/>
      <c r="E143" s="290"/>
      <c r="F143" s="290"/>
      <c r="G143" s="290"/>
      <c r="H143" s="290"/>
      <c r="I143" s="290"/>
      <c r="J143" s="290"/>
      <c r="K143" s="290"/>
      <c r="L143" s="310"/>
      <c r="M143" s="310"/>
      <c r="N143" s="310"/>
      <c r="O143" s="310"/>
      <c r="P143" s="310"/>
      <c r="Q143" s="310"/>
      <c r="R143" s="310"/>
      <c r="S143" s="310"/>
      <c r="T143" s="310"/>
      <c r="U143" s="310"/>
      <c r="V143" s="310"/>
      <c r="W143" s="310"/>
      <c r="X143" s="310"/>
      <c r="Y143" s="310"/>
      <c r="Z143" s="310"/>
      <c r="AA143" s="310"/>
      <c r="AB143" s="310"/>
      <c r="AC143" s="310"/>
      <c r="AD143" s="310"/>
      <c r="AE143" s="310"/>
      <c r="AF143" s="310"/>
      <c r="AG143" s="310"/>
      <c r="AH143" s="310"/>
      <c r="AI143" s="310"/>
      <c r="AJ143" s="310"/>
      <c r="AK143" s="310"/>
      <c r="AL143" s="310"/>
      <c r="AM143" s="310"/>
      <c r="AN143" s="310"/>
      <c r="AO143" s="373" t="s">
        <v>961</v>
      </c>
      <c r="AP143" s="307" t="s">
        <v>962</v>
      </c>
      <c r="AQ143" s="384"/>
      <c r="AR143" s="384"/>
      <c r="AS143" s="310"/>
      <c r="AT143" s="310"/>
      <c r="AU143" s="310"/>
      <c r="AV143" s="310"/>
      <c r="AW143" s="310"/>
      <c r="AX143" s="310"/>
      <c r="AY143" s="310"/>
      <c r="AZ143" s="310"/>
    </row>
    <row r="144" spans="1:52" s="312" customFormat="1" x14ac:dyDescent="0.25">
      <c r="A144" s="290"/>
      <c r="B144" s="290"/>
      <c r="C144" s="290"/>
      <c r="D144" s="290"/>
      <c r="E144" s="290"/>
      <c r="F144" s="290"/>
      <c r="G144" s="290"/>
      <c r="H144" s="290"/>
      <c r="I144" s="290"/>
      <c r="J144" s="290"/>
      <c r="K144" s="290"/>
      <c r="L144" s="310"/>
      <c r="M144" s="310"/>
      <c r="N144" s="310"/>
      <c r="O144" s="310"/>
      <c r="P144" s="310"/>
      <c r="Q144" s="310"/>
      <c r="R144" s="310"/>
      <c r="S144" s="310"/>
      <c r="T144" s="310"/>
      <c r="U144" s="310"/>
      <c r="V144" s="310"/>
      <c r="W144" s="310"/>
      <c r="X144" s="310"/>
      <c r="Y144" s="310"/>
      <c r="Z144" s="310"/>
      <c r="AA144" s="310"/>
      <c r="AB144" s="310"/>
      <c r="AC144" s="310"/>
      <c r="AD144" s="310"/>
      <c r="AE144" s="310"/>
      <c r="AF144" s="310"/>
      <c r="AG144" s="310"/>
      <c r="AH144" s="310"/>
      <c r="AI144" s="310"/>
      <c r="AJ144" s="310"/>
      <c r="AK144" s="310"/>
      <c r="AL144" s="310"/>
      <c r="AM144" s="310"/>
      <c r="AN144" s="310"/>
      <c r="AO144" s="1826" t="s">
        <v>963</v>
      </c>
      <c r="AP144" s="383"/>
      <c r="AQ144" s="384"/>
      <c r="AR144" s="384"/>
      <c r="AS144" s="310"/>
      <c r="AT144" s="310"/>
      <c r="AU144" s="310"/>
      <c r="AV144" s="310"/>
      <c r="AW144" s="310"/>
      <c r="AX144" s="310"/>
      <c r="AY144" s="310"/>
      <c r="AZ144" s="310"/>
    </row>
    <row r="145" spans="1:52" s="312" customFormat="1" x14ac:dyDescent="0.25">
      <c r="A145" s="290"/>
      <c r="B145" s="290"/>
      <c r="C145" s="290"/>
      <c r="D145" s="290"/>
      <c r="E145" s="290"/>
      <c r="F145" s="290"/>
      <c r="G145" s="290"/>
      <c r="H145" s="290"/>
      <c r="I145" s="290"/>
      <c r="J145" s="290"/>
      <c r="K145" s="290"/>
      <c r="L145" s="310"/>
      <c r="M145" s="31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c r="AJ145" s="310"/>
      <c r="AK145" s="310"/>
      <c r="AL145" s="310"/>
      <c r="AM145" s="310"/>
      <c r="AN145" s="310"/>
      <c r="AO145" s="1826"/>
      <c r="AP145" s="307" t="s">
        <v>964</v>
      </c>
      <c r="AQ145" s="384"/>
      <c r="AR145" s="384"/>
      <c r="AS145" s="310"/>
      <c r="AT145" s="310"/>
      <c r="AU145" s="310"/>
      <c r="AV145" s="310"/>
      <c r="AW145" s="310"/>
      <c r="AX145" s="310"/>
      <c r="AY145" s="310"/>
      <c r="AZ145" s="310"/>
    </row>
    <row r="146" spans="1:52" s="312" customFormat="1" ht="21" x14ac:dyDescent="0.25">
      <c r="A146" s="290"/>
      <c r="B146" s="290"/>
      <c r="C146" s="290"/>
      <c r="D146" s="290"/>
      <c r="E146" s="290"/>
      <c r="F146" s="290"/>
      <c r="G146" s="290"/>
      <c r="H146" s="290"/>
      <c r="I146" s="290"/>
      <c r="J146" s="290"/>
      <c r="K146" s="290"/>
      <c r="L146" s="310"/>
      <c r="M146" s="310"/>
      <c r="N146" s="310"/>
      <c r="O146" s="310"/>
      <c r="P146" s="310"/>
      <c r="Q146" s="310"/>
      <c r="R146" s="310"/>
      <c r="S146" s="310"/>
      <c r="T146" s="310"/>
      <c r="U146" s="310"/>
      <c r="V146" s="310"/>
      <c r="W146" s="310"/>
      <c r="X146" s="310"/>
      <c r="Y146" s="310"/>
      <c r="Z146" s="310"/>
      <c r="AA146" s="310"/>
      <c r="AB146" s="310"/>
      <c r="AC146" s="310"/>
      <c r="AD146" s="310"/>
      <c r="AE146" s="310"/>
      <c r="AF146" s="310"/>
      <c r="AG146" s="310"/>
      <c r="AH146" s="310"/>
      <c r="AI146" s="310"/>
      <c r="AJ146" s="310"/>
      <c r="AK146" s="310"/>
      <c r="AL146" s="310"/>
      <c r="AM146" s="310"/>
      <c r="AN146" s="310"/>
      <c r="AO146" s="373" t="s">
        <v>965</v>
      </c>
      <c r="AP146" s="378" t="s">
        <v>966</v>
      </c>
      <c r="AQ146" s="384"/>
      <c r="AR146" s="384"/>
      <c r="AS146" s="310"/>
      <c r="AT146" s="310"/>
      <c r="AU146" s="310"/>
      <c r="AV146" s="310"/>
      <c r="AW146" s="310"/>
      <c r="AX146" s="310"/>
      <c r="AY146" s="310"/>
      <c r="AZ146" s="310"/>
    </row>
    <row r="147" spans="1:52" s="312" customFormat="1" x14ac:dyDescent="0.25">
      <c r="A147" s="290"/>
      <c r="B147" s="290"/>
      <c r="C147" s="290"/>
      <c r="D147" s="290"/>
      <c r="E147" s="290"/>
      <c r="F147" s="290"/>
      <c r="G147" s="290"/>
      <c r="H147" s="290"/>
      <c r="I147" s="290"/>
      <c r="J147" s="290"/>
      <c r="K147" s="290"/>
      <c r="L147" s="310"/>
      <c r="M147" s="310"/>
      <c r="N147" s="310"/>
      <c r="O147" s="310"/>
      <c r="P147" s="310"/>
      <c r="Q147" s="310"/>
      <c r="R147" s="310"/>
      <c r="S147" s="310"/>
      <c r="T147" s="310"/>
      <c r="U147" s="310"/>
      <c r="V147" s="310"/>
      <c r="W147" s="310"/>
      <c r="X147" s="310"/>
      <c r="Y147" s="310"/>
      <c r="Z147" s="310"/>
      <c r="AA147" s="310"/>
      <c r="AB147" s="310"/>
      <c r="AC147" s="310"/>
      <c r="AD147" s="310"/>
      <c r="AE147" s="310"/>
      <c r="AF147" s="310"/>
      <c r="AG147" s="310"/>
      <c r="AH147" s="310"/>
      <c r="AI147" s="310"/>
      <c r="AJ147" s="310"/>
      <c r="AK147" s="310"/>
      <c r="AL147" s="310"/>
      <c r="AM147" s="310"/>
      <c r="AN147" s="310"/>
      <c r="AO147" s="1826" t="s">
        <v>967</v>
      </c>
      <c r="AP147" s="383"/>
      <c r="AQ147" s="384"/>
      <c r="AR147" s="384"/>
      <c r="AS147" s="310"/>
      <c r="AT147" s="310"/>
      <c r="AU147" s="310"/>
      <c r="AV147" s="310"/>
      <c r="AW147" s="310"/>
      <c r="AX147" s="310"/>
      <c r="AY147" s="310"/>
      <c r="AZ147" s="310"/>
    </row>
    <row r="148" spans="1:52" s="312" customFormat="1" x14ac:dyDescent="0.25">
      <c r="A148" s="290"/>
      <c r="B148" s="290"/>
      <c r="C148" s="290"/>
      <c r="D148" s="290"/>
      <c r="E148" s="290"/>
      <c r="F148" s="290"/>
      <c r="G148" s="290"/>
      <c r="H148" s="290"/>
      <c r="I148" s="290"/>
      <c r="J148" s="290"/>
      <c r="K148" s="290"/>
      <c r="L148" s="310"/>
      <c r="M148" s="310"/>
      <c r="N148" s="310"/>
      <c r="O148" s="310"/>
      <c r="P148" s="310"/>
      <c r="Q148" s="310"/>
      <c r="R148" s="310"/>
      <c r="S148" s="310"/>
      <c r="T148" s="310"/>
      <c r="U148" s="310"/>
      <c r="V148" s="310"/>
      <c r="W148" s="310"/>
      <c r="X148" s="310"/>
      <c r="Y148" s="310"/>
      <c r="Z148" s="310"/>
      <c r="AA148" s="310"/>
      <c r="AB148" s="310"/>
      <c r="AC148" s="310"/>
      <c r="AD148" s="310"/>
      <c r="AE148" s="310"/>
      <c r="AF148" s="310"/>
      <c r="AG148" s="310"/>
      <c r="AH148" s="310"/>
      <c r="AI148" s="310"/>
      <c r="AJ148" s="310"/>
      <c r="AK148" s="310"/>
      <c r="AL148" s="310"/>
      <c r="AM148" s="310"/>
      <c r="AN148" s="310"/>
      <c r="AO148" s="1826"/>
      <c r="AP148" s="307" t="s">
        <v>968</v>
      </c>
      <c r="AQ148" s="384"/>
      <c r="AR148" s="384"/>
      <c r="AS148" s="310"/>
      <c r="AT148" s="310"/>
      <c r="AU148" s="310"/>
      <c r="AV148" s="310"/>
      <c r="AW148" s="310"/>
      <c r="AX148" s="310"/>
      <c r="AY148" s="310"/>
      <c r="AZ148" s="310"/>
    </row>
    <row r="149" spans="1:52" s="312" customFormat="1" x14ac:dyDescent="0.25">
      <c r="A149" s="290"/>
      <c r="B149" s="290"/>
      <c r="C149" s="290"/>
      <c r="D149" s="290"/>
      <c r="E149" s="290"/>
      <c r="F149" s="290"/>
      <c r="G149" s="290"/>
      <c r="H149" s="290"/>
      <c r="I149" s="290"/>
      <c r="J149" s="290"/>
      <c r="K149" s="290"/>
      <c r="L149" s="310"/>
      <c r="M149" s="310"/>
      <c r="N149" s="310"/>
      <c r="O149" s="310"/>
      <c r="P149" s="310"/>
      <c r="Q149" s="310"/>
      <c r="R149" s="310"/>
      <c r="S149" s="310"/>
      <c r="T149" s="310"/>
      <c r="U149" s="310"/>
      <c r="V149" s="310"/>
      <c r="W149" s="310"/>
      <c r="X149" s="310"/>
      <c r="Y149" s="310"/>
      <c r="Z149" s="310"/>
      <c r="AA149" s="310"/>
      <c r="AB149" s="310"/>
      <c r="AC149" s="310"/>
      <c r="AD149" s="310"/>
      <c r="AE149" s="310"/>
      <c r="AF149" s="310"/>
      <c r="AG149" s="310"/>
      <c r="AH149" s="310"/>
      <c r="AI149" s="310"/>
      <c r="AJ149" s="310"/>
      <c r="AK149" s="310"/>
      <c r="AL149" s="310"/>
      <c r="AM149" s="310"/>
      <c r="AN149" s="310"/>
      <c r="AO149" s="1826" t="s">
        <v>969</v>
      </c>
      <c r="AP149" s="383"/>
      <c r="AQ149" s="384"/>
      <c r="AR149" s="384"/>
      <c r="AS149" s="310"/>
      <c r="AT149" s="310"/>
      <c r="AU149" s="310"/>
      <c r="AV149" s="310"/>
      <c r="AW149" s="310"/>
      <c r="AX149" s="310"/>
      <c r="AY149" s="310"/>
      <c r="AZ149" s="310"/>
    </row>
    <row r="150" spans="1:52" s="312" customFormat="1" x14ac:dyDescent="0.25">
      <c r="A150" s="290"/>
      <c r="B150" s="290"/>
      <c r="C150" s="290"/>
      <c r="D150" s="290"/>
      <c r="E150" s="290"/>
      <c r="F150" s="290"/>
      <c r="G150" s="290"/>
      <c r="H150" s="290"/>
      <c r="I150" s="290"/>
      <c r="J150" s="290"/>
      <c r="K150" s="290"/>
      <c r="L150" s="310"/>
      <c r="M150" s="310"/>
      <c r="N150" s="310"/>
      <c r="O150" s="310"/>
      <c r="P150" s="310"/>
      <c r="Q150" s="310"/>
      <c r="R150" s="310"/>
      <c r="S150" s="310"/>
      <c r="T150" s="310"/>
      <c r="U150" s="310"/>
      <c r="V150" s="310"/>
      <c r="W150" s="310"/>
      <c r="X150" s="310"/>
      <c r="Y150" s="310"/>
      <c r="Z150" s="310"/>
      <c r="AA150" s="310"/>
      <c r="AB150" s="310"/>
      <c r="AC150" s="310"/>
      <c r="AD150" s="310"/>
      <c r="AE150" s="310"/>
      <c r="AF150" s="310"/>
      <c r="AG150" s="310"/>
      <c r="AH150" s="310"/>
      <c r="AI150" s="310"/>
      <c r="AJ150" s="310"/>
      <c r="AK150" s="310"/>
      <c r="AL150" s="310"/>
      <c r="AM150" s="310"/>
      <c r="AN150" s="310"/>
      <c r="AO150" s="1826"/>
      <c r="AP150" s="307" t="s">
        <v>970</v>
      </c>
      <c r="AQ150" s="384"/>
      <c r="AR150" s="384"/>
      <c r="AS150" s="310"/>
      <c r="AT150" s="310"/>
      <c r="AU150" s="310"/>
      <c r="AV150" s="310"/>
      <c r="AW150" s="310"/>
      <c r="AX150" s="310"/>
      <c r="AY150" s="310"/>
      <c r="AZ150" s="310"/>
    </row>
    <row r="151" spans="1:52" s="312" customFormat="1" x14ac:dyDescent="0.25">
      <c r="A151" s="290"/>
      <c r="B151" s="290"/>
      <c r="C151" s="290"/>
      <c r="D151" s="290"/>
      <c r="E151" s="290"/>
      <c r="F151" s="290"/>
      <c r="G151" s="290"/>
      <c r="H151" s="290"/>
      <c r="I151" s="290"/>
      <c r="J151" s="290"/>
      <c r="K151" s="290"/>
      <c r="L151" s="310"/>
      <c r="M151" s="310"/>
      <c r="N151" s="310"/>
      <c r="O151" s="310"/>
      <c r="P151" s="310"/>
      <c r="Q151" s="310"/>
      <c r="R151" s="310"/>
      <c r="S151" s="310"/>
      <c r="T151" s="310"/>
      <c r="U151" s="310"/>
      <c r="V151" s="310"/>
      <c r="W151" s="310"/>
      <c r="X151" s="310"/>
      <c r="Y151" s="310"/>
      <c r="Z151" s="310"/>
      <c r="AA151" s="310"/>
      <c r="AB151" s="310"/>
      <c r="AC151" s="310"/>
      <c r="AD151" s="310"/>
      <c r="AE151" s="310"/>
      <c r="AF151" s="310"/>
      <c r="AG151" s="310"/>
      <c r="AH151" s="310"/>
      <c r="AI151" s="310"/>
      <c r="AJ151" s="310"/>
      <c r="AK151" s="310"/>
      <c r="AL151" s="310"/>
      <c r="AM151" s="310"/>
      <c r="AN151" s="310"/>
      <c r="AO151" s="373" t="s">
        <v>971</v>
      </c>
      <c r="AP151" s="307" t="s">
        <v>972</v>
      </c>
      <c r="AQ151" s="384"/>
      <c r="AR151" s="384"/>
      <c r="AS151" s="310"/>
      <c r="AT151" s="310"/>
      <c r="AU151" s="310"/>
      <c r="AV151" s="310"/>
      <c r="AW151" s="310"/>
      <c r="AX151" s="310"/>
      <c r="AY151" s="310"/>
      <c r="AZ151" s="310"/>
    </row>
    <row r="152" spans="1:52" s="312" customFormat="1" ht="21" x14ac:dyDescent="0.25">
      <c r="A152" s="290"/>
      <c r="B152" s="290"/>
      <c r="C152" s="290"/>
      <c r="D152" s="290"/>
      <c r="E152" s="290"/>
      <c r="F152" s="290"/>
      <c r="G152" s="290"/>
      <c r="H152" s="290"/>
      <c r="I152" s="290"/>
      <c r="J152" s="290"/>
      <c r="K152" s="290"/>
      <c r="L152" s="310"/>
      <c r="M152" s="310"/>
      <c r="N152" s="310"/>
      <c r="O152" s="310"/>
      <c r="P152" s="310"/>
      <c r="Q152" s="310"/>
      <c r="R152" s="310"/>
      <c r="S152" s="310"/>
      <c r="T152" s="310"/>
      <c r="U152" s="310"/>
      <c r="V152" s="310"/>
      <c r="W152" s="310"/>
      <c r="X152" s="310"/>
      <c r="Y152" s="310"/>
      <c r="Z152" s="310"/>
      <c r="AA152" s="310"/>
      <c r="AB152" s="310"/>
      <c r="AC152" s="310"/>
      <c r="AD152" s="310"/>
      <c r="AE152" s="310"/>
      <c r="AF152" s="310"/>
      <c r="AG152" s="310"/>
      <c r="AH152" s="310"/>
      <c r="AI152" s="310"/>
      <c r="AJ152" s="310"/>
      <c r="AK152" s="310"/>
      <c r="AL152" s="310"/>
      <c r="AM152" s="310"/>
      <c r="AN152" s="310"/>
      <c r="AO152" s="373" t="s">
        <v>973</v>
      </c>
      <c r="AP152" s="378" t="s">
        <v>974</v>
      </c>
      <c r="AQ152" s="384"/>
      <c r="AR152" s="384"/>
      <c r="AS152" s="310"/>
      <c r="AT152" s="310"/>
      <c r="AU152" s="310"/>
      <c r="AV152" s="310"/>
      <c r="AW152" s="310"/>
      <c r="AX152" s="310"/>
      <c r="AY152" s="310"/>
      <c r="AZ152" s="310"/>
    </row>
    <row r="153" spans="1:52" s="312" customFormat="1" ht="21" x14ac:dyDescent="0.25">
      <c r="A153" s="290"/>
      <c r="B153" s="290"/>
      <c r="C153" s="290"/>
      <c r="D153" s="290"/>
      <c r="E153" s="290"/>
      <c r="F153" s="290"/>
      <c r="G153" s="290"/>
      <c r="H153" s="290"/>
      <c r="I153" s="290"/>
      <c r="J153" s="290"/>
      <c r="K153" s="290"/>
      <c r="L153" s="310"/>
      <c r="M153" s="310"/>
      <c r="N153" s="310"/>
      <c r="O153" s="310"/>
      <c r="P153" s="310"/>
      <c r="Q153" s="310"/>
      <c r="R153" s="310"/>
      <c r="S153" s="310"/>
      <c r="T153" s="310"/>
      <c r="U153" s="310"/>
      <c r="V153" s="310"/>
      <c r="W153" s="310"/>
      <c r="X153" s="310"/>
      <c r="Y153" s="310"/>
      <c r="Z153" s="310"/>
      <c r="AA153" s="310"/>
      <c r="AB153" s="310"/>
      <c r="AC153" s="310"/>
      <c r="AD153" s="310"/>
      <c r="AE153" s="310"/>
      <c r="AF153" s="310"/>
      <c r="AG153" s="310"/>
      <c r="AH153" s="310"/>
      <c r="AI153" s="310"/>
      <c r="AJ153" s="310"/>
      <c r="AK153" s="310"/>
      <c r="AL153" s="310"/>
      <c r="AM153" s="310"/>
      <c r="AN153" s="310"/>
      <c r="AO153" s="373" t="s">
        <v>975</v>
      </c>
      <c r="AP153" s="307" t="s">
        <v>976</v>
      </c>
      <c r="AQ153" s="384"/>
      <c r="AR153" s="384"/>
      <c r="AS153" s="310"/>
      <c r="AT153" s="310"/>
      <c r="AU153" s="310"/>
      <c r="AV153" s="310"/>
      <c r="AW153" s="310"/>
      <c r="AX153" s="310"/>
      <c r="AY153" s="310"/>
      <c r="AZ153" s="310"/>
    </row>
    <row r="154" spans="1:52" s="312" customFormat="1" ht="31.5" x14ac:dyDescent="0.25">
      <c r="A154" s="290"/>
      <c r="B154" s="290"/>
      <c r="C154" s="290"/>
      <c r="D154" s="290"/>
      <c r="E154" s="290"/>
      <c r="F154" s="290"/>
      <c r="G154" s="290"/>
      <c r="H154" s="290"/>
      <c r="I154" s="290"/>
      <c r="J154" s="290"/>
      <c r="K154" s="290"/>
      <c r="L154" s="310"/>
      <c r="M154" s="310"/>
      <c r="N154" s="310"/>
      <c r="O154" s="310"/>
      <c r="P154" s="310"/>
      <c r="Q154" s="310"/>
      <c r="R154" s="310"/>
      <c r="S154" s="310"/>
      <c r="T154" s="310"/>
      <c r="U154" s="310"/>
      <c r="V154" s="310"/>
      <c r="W154" s="310"/>
      <c r="X154" s="310"/>
      <c r="Y154" s="310"/>
      <c r="Z154" s="310"/>
      <c r="AA154" s="310"/>
      <c r="AB154" s="310"/>
      <c r="AC154" s="310"/>
      <c r="AD154" s="310"/>
      <c r="AE154" s="310"/>
      <c r="AF154" s="310"/>
      <c r="AG154" s="310"/>
      <c r="AH154" s="310"/>
      <c r="AI154" s="310"/>
      <c r="AJ154" s="310"/>
      <c r="AK154" s="310"/>
      <c r="AL154" s="310"/>
      <c r="AM154" s="310"/>
      <c r="AN154" s="310"/>
      <c r="AO154" s="373" t="s">
        <v>977</v>
      </c>
      <c r="AP154" s="307" t="s">
        <v>970</v>
      </c>
      <c r="AQ154" s="384"/>
      <c r="AR154" s="384"/>
      <c r="AS154" s="310"/>
      <c r="AT154" s="310"/>
      <c r="AU154" s="310"/>
      <c r="AV154" s="310"/>
      <c r="AW154" s="310"/>
      <c r="AX154" s="310"/>
      <c r="AY154" s="310"/>
      <c r="AZ154" s="310"/>
    </row>
    <row r="155" spans="1:52" s="312" customFormat="1" ht="21" x14ac:dyDescent="0.25">
      <c r="A155" s="290"/>
      <c r="B155" s="290"/>
      <c r="C155" s="290"/>
      <c r="D155" s="290"/>
      <c r="E155" s="290"/>
      <c r="F155" s="290"/>
      <c r="G155" s="290"/>
      <c r="H155" s="290"/>
      <c r="I155" s="290"/>
      <c r="J155" s="290"/>
      <c r="K155" s="290"/>
      <c r="L155" s="310"/>
      <c r="M155" s="310"/>
      <c r="N155" s="310"/>
      <c r="O155" s="310"/>
      <c r="P155" s="310"/>
      <c r="Q155" s="310"/>
      <c r="R155" s="310"/>
      <c r="S155" s="310"/>
      <c r="T155" s="310"/>
      <c r="U155" s="310"/>
      <c r="V155" s="310"/>
      <c r="W155" s="310"/>
      <c r="X155" s="310"/>
      <c r="Y155" s="310"/>
      <c r="Z155" s="310"/>
      <c r="AA155" s="310"/>
      <c r="AB155" s="310"/>
      <c r="AC155" s="310"/>
      <c r="AD155" s="310"/>
      <c r="AE155" s="310"/>
      <c r="AF155" s="310"/>
      <c r="AG155" s="310"/>
      <c r="AH155" s="310"/>
      <c r="AI155" s="310"/>
      <c r="AJ155" s="310"/>
      <c r="AK155" s="310"/>
      <c r="AL155" s="310"/>
      <c r="AM155" s="310"/>
      <c r="AN155" s="310"/>
      <c r="AO155" s="373" t="s">
        <v>899</v>
      </c>
      <c r="AP155" s="378" t="s">
        <v>978</v>
      </c>
      <c r="AQ155" s="384"/>
      <c r="AR155" s="384"/>
      <c r="AS155" s="310"/>
      <c r="AT155" s="310"/>
      <c r="AU155" s="310"/>
      <c r="AV155" s="310"/>
      <c r="AW155" s="310"/>
      <c r="AX155" s="310"/>
      <c r="AY155" s="310"/>
      <c r="AZ155" s="310"/>
    </row>
    <row r="156" spans="1:52" s="312" customFormat="1" ht="21" x14ac:dyDescent="0.25">
      <c r="A156" s="290"/>
      <c r="B156" s="290"/>
      <c r="C156" s="290"/>
      <c r="D156" s="290"/>
      <c r="E156" s="290"/>
      <c r="F156" s="290"/>
      <c r="G156" s="290"/>
      <c r="H156" s="290"/>
      <c r="I156" s="290"/>
      <c r="J156" s="290"/>
      <c r="K156" s="290"/>
      <c r="L156" s="310"/>
      <c r="M156" s="310"/>
      <c r="N156" s="310"/>
      <c r="O156" s="310"/>
      <c r="P156" s="310"/>
      <c r="Q156" s="310"/>
      <c r="R156" s="310"/>
      <c r="S156" s="310"/>
      <c r="T156" s="310"/>
      <c r="U156" s="310"/>
      <c r="V156" s="310"/>
      <c r="W156" s="310"/>
      <c r="X156" s="310"/>
      <c r="Y156" s="310"/>
      <c r="Z156" s="310"/>
      <c r="AA156" s="310"/>
      <c r="AB156" s="310"/>
      <c r="AC156" s="310"/>
      <c r="AD156" s="310"/>
      <c r="AE156" s="310"/>
      <c r="AF156" s="310"/>
      <c r="AG156" s="310"/>
      <c r="AH156" s="310"/>
      <c r="AI156" s="310"/>
      <c r="AJ156" s="310"/>
      <c r="AK156" s="310"/>
      <c r="AL156" s="310"/>
      <c r="AM156" s="310"/>
      <c r="AN156" s="310"/>
      <c r="AO156" s="373" t="s">
        <v>979</v>
      </c>
      <c r="AP156" s="307" t="s">
        <v>980</v>
      </c>
      <c r="AQ156" s="384"/>
      <c r="AR156" s="384"/>
      <c r="AS156" s="310"/>
      <c r="AT156" s="310"/>
      <c r="AU156" s="310"/>
      <c r="AV156" s="310"/>
      <c r="AW156" s="310"/>
      <c r="AX156" s="310"/>
      <c r="AY156" s="310"/>
      <c r="AZ156" s="310"/>
    </row>
    <row r="157" spans="1:52" s="312" customFormat="1" x14ac:dyDescent="0.25">
      <c r="A157" s="290"/>
      <c r="B157" s="290"/>
      <c r="C157" s="290"/>
      <c r="D157" s="290"/>
      <c r="E157" s="290"/>
      <c r="F157" s="290"/>
      <c r="G157" s="290"/>
      <c r="H157" s="290"/>
      <c r="I157" s="290"/>
      <c r="J157" s="290"/>
      <c r="K157" s="290"/>
      <c r="L157" s="310"/>
      <c r="M157" s="310"/>
      <c r="N157" s="310"/>
      <c r="O157" s="310"/>
      <c r="P157" s="310"/>
      <c r="Q157" s="310"/>
      <c r="R157" s="310"/>
      <c r="S157" s="310"/>
      <c r="T157" s="310"/>
      <c r="U157" s="310"/>
      <c r="V157" s="310"/>
      <c r="W157" s="310"/>
      <c r="X157" s="310"/>
      <c r="Y157" s="310"/>
      <c r="Z157" s="310"/>
      <c r="AA157" s="310"/>
      <c r="AB157" s="310"/>
      <c r="AC157" s="310"/>
      <c r="AD157" s="310"/>
      <c r="AE157" s="310"/>
      <c r="AF157" s="310"/>
      <c r="AG157" s="310"/>
      <c r="AH157" s="310"/>
      <c r="AI157" s="310"/>
      <c r="AJ157" s="310"/>
      <c r="AK157" s="310"/>
      <c r="AL157" s="310"/>
      <c r="AM157" s="310"/>
      <c r="AN157" s="310"/>
      <c r="AO157" s="383"/>
      <c r="AP157" s="383"/>
      <c r="AQ157" s="384"/>
      <c r="AR157" s="384"/>
      <c r="AS157" s="310"/>
      <c r="AT157" s="310"/>
      <c r="AU157" s="310"/>
      <c r="AV157" s="310"/>
      <c r="AW157" s="310"/>
      <c r="AX157" s="310"/>
      <c r="AY157" s="310"/>
      <c r="AZ157" s="310"/>
    </row>
    <row r="158" spans="1:52" s="312" customFormat="1" ht="21" x14ac:dyDescent="0.25">
      <c r="A158" s="290"/>
      <c r="B158" s="290"/>
      <c r="C158" s="290"/>
      <c r="D158" s="290"/>
      <c r="E158" s="290"/>
      <c r="F158" s="290"/>
      <c r="G158" s="290"/>
      <c r="H158" s="290"/>
      <c r="I158" s="290"/>
      <c r="J158" s="290"/>
      <c r="K158" s="290"/>
      <c r="L158" s="310"/>
      <c r="M158" s="310"/>
      <c r="N158" s="310"/>
      <c r="O158" s="310"/>
      <c r="P158" s="310"/>
      <c r="Q158" s="310"/>
      <c r="R158" s="310"/>
      <c r="S158" s="310"/>
      <c r="T158" s="310"/>
      <c r="U158" s="310"/>
      <c r="V158" s="310"/>
      <c r="W158" s="310"/>
      <c r="X158" s="310"/>
      <c r="Y158" s="310"/>
      <c r="Z158" s="310"/>
      <c r="AA158" s="310"/>
      <c r="AB158" s="310"/>
      <c r="AC158" s="310"/>
      <c r="AD158" s="310"/>
      <c r="AE158" s="310"/>
      <c r="AF158" s="310"/>
      <c r="AG158" s="310"/>
      <c r="AH158" s="310"/>
      <c r="AI158" s="310"/>
      <c r="AJ158" s="310"/>
      <c r="AK158" s="310"/>
      <c r="AL158" s="310"/>
      <c r="AM158" s="310"/>
      <c r="AN158" s="310"/>
      <c r="AO158" s="373" t="s">
        <v>981</v>
      </c>
      <c r="AP158" s="307" t="s">
        <v>982</v>
      </c>
      <c r="AQ158" s="384"/>
      <c r="AR158" s="384"/>
      <c r="AS158" s="310"/>
      <c r="AT158" s="310"/>
      <c r="AU158" s="310"/>
      <c r="AV158" s="310"/>
      <c r="AW158" s="310"/>
      <c r="AX158" s="310"/>
      <c r="AY158" s="310"/>
      <c r="AZ158" s="310"/>
    </row>
    <row r="159" spans="1:52" s="312" customFormat="1" ht="21" x14ac:dyDescent="0.25">
      <c r="A159" s="290"/>
      <c r="B159" s="290"/>
      <c r="C159" s="290"/>
      <c r="D159" s="290"/>
      <c r="E159" s="290"/>
      <c r="F159" s="290"/>
      <c r="G159" s="290"/>
      <c r="H159" s="290"/>
      <c r="I159" s="290"/>
      <c r="J159" s="290"/>
      <c r="K159" s="290"/>
      <c r="L159" s="310"/>
      <c r="M159" s="310"/>
      <c r="N159" s="310"/>
      <c r="O159" s="310"/>
      <c r="P159" s="310"/>
      <c r="Q159" s="310"/>
      <c r="R159" s="310"/>
      <c r="S159" s="310"/>
      <c r="T159" s="310"/>
      <c r="U159" s="310"/>
      <c r="V159" s="310"/>
      <c r="W159" s="310"/>
      <c r="X159" s="310"/>
      <c r="Y159" s="310"/>
      <c r="Z159" s="310"/>
      <c r="AA159" s="310"/>
      <c r="AB159" s="310"/>
      <c r="AC159" s="310"/>
      <c r="AD159" s="310"/>
      <c r="AE159" s="310"/>
      <c r="AF159" s="310"/>
      <c r="AG159" s="310"/>
      <c r="AH159" s="310"/>
      <c r="AI159" s="310"/>
      <c r="AJ159" s="310"/>
      <c r="AK159" s="310"/>
      <c r="AL159" s="310"/>
      <c r="AM159" s="310"/>
      <c r="AN159" s="310"/>
      <c r="AO159" s="373" t="s">
        <v>983</v>
      </c>
      <c r="AP159" s="378" t="s">
        <v>984</v>
      </c>
      <c r="AQ159" s="384"/>
      <c r="AR159" s="384"/>
      <c r="AS159" s="310"/>
      <c r="AT159" s="310"/>
      <c r="AU159" s="310"/>
      <c r="AV159" s="310"/>
      <c r="AW159" s="310"/>
      <c r="AX159" s="310"/>
      <c r="AY159" s="310"/>
      <c r="AZ159" s="310"/>
    </row>
    <row r="160" spans="1:52" s="312" customFormat="1" ht="21" x14ac:dyDescent="0.25">
      <c r="A160" s="290"/>
      <c r="B160" s="290"/>
      <c r="C160" s="290"/>
      <c r="D160" s="290"/>
      <c r="E160" s="290"/>
      <c r="F160" s="290"/>
      <c r="G160" s="290"/>
      <c r="H160" s="290"/>
      <c r="I160" s="290"/>
      <c r="J160" s="290"/>
      <c r="K160" s="290"/>
      <c r="L160" s="310"/>
      <c r="M160" s="310"/>
      <c r="N160" s="310"/>
      <c r="O160" s="310"/>
      <c r="P160" s="310"/>
      <c r="Q160" s="310"/>
      <c r="R160" s="310"/>
      <c r="S160" s="310"/>
      <c r="T160" s="310"/>
      <c r="U160" s="310"/>
      <c r="V160" s="310"/>
      <c r="W160" s="310"/>
      <c r="X160" s="310"/>
      <c r="Y160" s="310"/>
      <c r="Z160" s="310"/>
      <c r="AA160" s="310"/>
      <c r="AB160" s="310"/>
      <c r="AC160" s="310"/>
      <c r="AD160" s="310"/>
      <c r="AE160" s="310"/>
      <c r="AF160" s="310"/>
      <c r="AG160" s="310"/>
      <c r="AH160" s="310"/>
      <c r="AI160" s="310"/>
      <c r="AJ160" s="310"/>
      <c r="AK160" s="310"/>
      <c r="AL160" s="310"/>
      <c r="AM160" s="310"/>
      <c r="AN160" s="310"/>
      <c r="AO160" s="373" t="s">
        <v>985</v>
      </c>
      <c r="AP160" s="307" t="s">
        <v>986</v>
      </c>
      <c r="AQ160" s="384"/>
      <c r="AR160" s="384"/>
      <c r="AS160" s="310"/>
      <c r="AT160" s="310"/>
      <c r="AU160" s="310"/>
      <c r="AV160" s="310"/>
      <c r="AW160" s="310"/>
      <c r="AX160" s="310"/>
      <c r="AY160" s="310"/>
      <c r="AZ160" s="310"/>
    </row>
    <row r="161" spans="1:52" s="312" customFormat="1" ht="21" x14ac:dyDescent="0.25">
      <c r="A161" s="290"/>
      <c r="B161" s="290"/>
      <c r="C161" s="290"/>
      <c r="D161" s="290"/>
      <c r="E161" s="290"/>
      <c r="F161" s="290"/>
      <c r="G161" s="290"/>
      <c r="H161" s="290"/>
      <c r="I161" s="290"/>
      <c r="J161" s="290"/>
      <c r="K161" s="290"/>
      <c r="L161" s="310"/>
      <c r="M161" s="310"/>
      <c r="N161" s="310"/>
      <c r="O161" s="310"/>
      <c r="P161" s="310"/>
      <c r="Q161" s="310"/>
      <c r="R161" s="310"/>
      <c r="S161" s="310"/>
      <c r="T161" s="310"/>
      <c r="U161" s="310"/>
      <c r="V161" s="310"/>
      <c r="W161" s="310"/>
      <c r="X161" s="310"/>
      <c r="Y161" s="310"/>
      <c r="Z161" s="310"/>
      <c r="AA161" s="310"/>
      <c r="AB161" s="310"/>
      <c r="AC161" s="310"/>
      <c r="AD161" s="310"/>
      <c r="AE161" s="310"/>
      <c r="AF161" s="310"/>
      <c r="AG161" s="310"/>
      <c r="AH161" s="310"/>
      <c r="AI161" s="310"/>
      <c r="AJ161" s="310"/>
      <c r="AK161" s="310"/>
      <c r="AL161" s="310"/>
      <c r="AM161" s="310"/>
      <c r="AN161" s="310"/>
      <c r="AO161" s="373" t="s">
        <v>987</v>
      </c>
      <c r="AP161" s="307" t="s">
        <v>988</v>
      </c>
      <c r="AQ161" s="384"/>
      <c r="AR161" s="384"/>
      <c r="AS161" s="310"/>
      <c r="AT161" s="310"/>
      <c r="AU161" s="310"/>
      <c r="AV161" s="310"/>
      <c r="AW161" s="310"/>
      <c r="AX161" s="310"/>
      <c r="AY161" s="310"/>
      <c r="AZ161" s="310"/>
    </row>
    <row r="162" spans="1:52" s="312" customFormat="1" ht="21" x14ac:dyDescent="0.25">
      <c r="A162" s="290"/>
      <c r="B162" s="290"/>
      <c r="C162" s="290"/>
      <c r="D162" s="290"/>
      <c r="E162" s="290"/>
      <c r="F162" s="290"/>
      <c r="G162" s="290"/>
      <c r="H162" s="290"/>
      <c r="I162" s="290"/>
      <c r="J162" s="290"/>
      <c r="K162" s="290"/>
      <c r="L162" s="310"/>
      <c r="M162" s="310"/>
      <c r="N162" s="310"/>
      <c r="O162" s="310"/>
      <c r="P162" s="310"/>
      <c r="Q162" s="310"/>
      <c r="R162" s="310"/>
      <c r="S162" s="310"/>
      <c r="T162" s="310"/>
      <c r="U162" s="310"/>
      <c r="V162" s="310"/>
      <c r="W162" s="310"/>
      <c r="X162" s="310"/>
      <c r="Y162" s="310"/>
      <c r="Z162" s="310"/>
      <c r="AA162" s="310"/>
      <c r="AB162" s="310"/>
      <c r="AC162" s="310"/>
      <c r="AD162" s="310"/>
      <c r="AE162" s="310"/>
      <c r="AF162" s="310"/>
      <c r="AG162" s="310"/>
      <c r="AH162" s="310"/>
      <c r="AI162" s="310"/>
      <c r="AJ162" s="310"/>
      <c r="AK162" s="310"/>
      <c r="AL162" s="310"/>
      <c r="AM162" s="310"/>
      <c r="AN162" s="310"/>
      <c r="AO162" s="373" t="s">
        <v>989</v>
      </c>
      <c r="AP162" s="307" t="s">
        <v>990</v>
      </c>
      <c r="AQ162" s="384"/>
      <c r="AR162" s="384"/>
      <c r="AS162" s="310"/>
      <c r="AT162" s="310"/>
      <c r="AU162" s="310"/>
      <c r="AV162" s="310"/>
      <c r="AW162" s="310"/>
      <c r="AX162" s="310"/>
      <c r="AY162" s="310"/>
      <c r="AZ162" s="310"/>
    </row>
    <row r="163" spans="1:52" s="312" customFormat="1" ht="21" x14ac:dyDescent="0.25">
      <c r="A163" s="290"/>
      <c r="B163" s="290"/>
      <c r="C163" s="290"/>
      <c r="D163" s="290"/>
      <c r="E163" s="290"/>
      <c r="F163" s="290"/>
      <c r="G163" s="290"/>
      <c r="H163" s="290"/>
      <c r="I163" s="290"/>
      <c r="J163" s="290"/>
      <c r="K163" s="290"/>
      <c r="L163" s="310"/>
      <c r="M163" s="310"/>
      <c r="N163" s="310"/>
      <c r="O163" s="310"/>
      <c r="P163" s="310"/>
      <c r="Q163" s="310"/>
      <c r="R163" s="310"/>
      <c r="S163" s="310"/>
      <c r="T163" s="310"/>
      <c r="U163" s="310"/>
      <c r="V163" s="310"/>
      <c r="W163" s="310"/>
      <c r="X163" s="310"/>
      <c r="Y163" s="310"/>
      <c r="Z163" s="310"/>
      <c r="AA163" s="310"/>
      <c r="AB163" s="310"/>
      <c r="AC163" s="310"/>
      <c r="AD163" s="310"/>
      <c r="AE163" s="310"/>
      <c r="AF163" s="310"/>
      <c r="AG163" s="310"/>
      <c r="AH163" s="310"/>
      <c r="AI163" s="310"/>
      <c r="AJ163" s="310"/>
      <c r="AK163" s="310"/>
      <c r="AL163" s="310"/>
      <c r="AM163" s="310"/>
      <c r="AN163" s="310"/>
      <c r="AO163" s="373" t="s">
        <v>991</v>
      </c>
      <c r="AP163" s="307" t="s">
        <v>992</v>
      </c>
      <c r="AQ163" s="384"/>
      <c r="AR163" s="384"/>
      <c r="AS163" s="310"/>
      <c r="AT163" s="310"/>
      <c r="AU163" s="310"/>
      <c r="AV163" s="310"/>
      <c r="AW163" s="310"/>
      <c r="AX163" s="310"/>
      <c r="AY163" s="310"/>
      <c r="AZ163" s="310"/>
    </row>
    <row r="164" spans="1:52" s="312" customFormat="1" ht="21" x14ac:dyDescent="0.25">
      <c r="A164" s="290"/>
      <c r="B164" s="290"/>
      <c r="C164" s="290"/>
      <c r="D164" s="290"/>
      <c r="E164" s="290"/>
      <c r="F164" s="290"/>
      <c r="G164" s="290"/>
      <c r="H164" s="290"/>
      <c r="I164" s="290"/>
      <c r="J164" s="290"/>
      <c r="K164" s="290"/>
      <c r="L164" s="310"/>
      <c r="M164" s="310"/>
      <c r="N164" s="310"/>
      <c r="O164" s="310"/>
      <c r="P164" s="310"/>
      <c r="Q164" s="310"/>
      <c r="R164" s="310"/>
      <c r="S164" s="310"/>
      <c r="T164" s="310"/>
      <c r="U164" s="310"/>
      <c r="V164" s="310"/>
      <c r="W164" s="310"/>
      <c r="X164" s="310"/>
      <c r="Y164" s="310"/>
      <c r="Z164" s="310"/>
      <c r="AA164" s="310"/>
      <c r="AB164" s="310"/>
      <c r="AC164" s="310"/>
      <c r="AD164" s="310"/>
      <c r="AE164" s="310"/>
      <c r="AF164" s="310"/>
      <c r="AG164" s="310"/>
      <c r="AH164" s="310"/>
      <c r="AI164" s="310"/>
      <c r="AJ164" s="310"/>
      <c r="AK164" s="310"/>
      <c r="AL164" s="310"/>
      <c r="AM164" s="310"/>
      <c r="AN164" s="310"/>
      <c r="AO164" s="373" t="s">
        <v>993</v>
      </c>
      <c r="AP164" s="378" t="s">
        <v>994</v>
      </c>
      <c r="AQ164" s="384"/>
      <c r="AR164" s="384"/>
      <c r="AS164" s="310"/>
      <c r="AT164" s="310"/>
      <c r="AU164" s="310"/>
      <c r="AV164" s="310"/>
      <c r="AW164" s="310"/>
      <c r="AX164" s="310"/>
      <c r="AY164" s="310"/>
      <c r="AZ164" s="310"/>
    </row>
    <row r="165" spans="1:52" s="312" customFormat="1" ht="21" x14ac:dyDescent="0.25">
      <c r="A165" s="290"/>
      <c r="B165" s="290"/>
      <c r="C165" s="290"/>
      <c r="D165" s="290"/>
      <c r="E165" s="290"/>
      <c r="F165" s="290"/>
      <c r="G165" s="290"/>
      <c r="H165" s="290"/>
      <c r="I165" s="290"/>
      <c r="J165" s="290"/>
      <c r="K165" s="290"/>
      <c r="L165" s="310"/>
      <c r="M165" s="310"/>
      <c r="N165" s="310"/>
      <c r="O165" s="310"/>
      <c r="P165" s="310"/>
      <c r="Q165" s="310"/>
      <c r="R165" s="310"/>
      <c r="S165" s="310"/>
      <c r="T165" s="310"/>
      <c r="U165" s="310"/>
      <c r="V165" s="310"/>
      <c r="W165" s="310"/>
      <c r="X165" s="310"/>
      <c r="Y165" s="310"/>
      <c r="Z165" s="310"/>
      <c r="AA165" s="310"/>
      <c r="AB165" s="310"/>
      <c r="AC165" s="310"/>
      <c r="AD165" s="310"/>
      <c r="AE165" s="310"/>
      <c r="AF165" s="310"/>
      <c r="AG165" s="310"/>
      <c r="AH165" s="310"/>
      <c r="AI165" s="310"/>
      <c r="AJ165" s="310"/>
      <c r="AK165" s="310"/>
      <c r="AL165" s="310"/>
      <c r="AM165" s="310"/>
      <c r="AN165" s="310"/>
      <c r="AO165" s="373" t="s">
        <v>995</v>
      </c>
      <c r="AP165" s="307" t="s">
        <v>996</v>
      </c>
      <c r="AQ165" s="384"/>
      <c r="AR165" s="384"/>
      <c r="AS165" s="310"/>
      <c r="AT165" s="310"/>
      <c r="AU165" s="310"/>
      <c r="AV165" s="310"/>
      <c r="AW165" s="310"/>
      <c r="AX165" s="310"/>
      <c r="AY165" s="310"/>
      <c r="AZ165" s="310"/>
    </row>
    <row r="166" spans="1:52" s="312" customFormat="1" ht="21" x14ac:dyDescent="0.25">
      <c r="A166" s="290"/>
      <c r="B166" s="290"/>
      <c r="C166" s="290"/>
      <c r="D166" s="290"/>
      <c r="E166" s="290"/>
      <c r="F166" s="290"/>
      <c r="G166" s="290"/>
      <c r="H166" s="290"/>
      <c r="I166" s="290"/>
      <c r="J166" s="290"/>
      <c r="K166" s="290"/>
      <c r="L166" s="310"/>
      <c r="M166" s="310"/>
      <c r="N166" s="310"/>
      <c r="O166" s="310"/>
      <c r="P166" s="310"/>
      <c r="Q166" s="310"/>
      <c r="R166" s="310"/>
      <c r="S166" s="310"/>
      <c r="T166" s="310"/>
      <c r="U166" s="310"/>
      <c r="V166" s="310"/>
      <c r="W166" s="310"/>
      <c r="X166" s="310"/>
      <c r="Y166" s="310"/>
      <c r="Z166" s="310"/>
      <c r="AA166" s="310"/>
      <c r="AB166" s="310"/>
      <c r="AC166" s="310"/>
      <c r="AD166" s="310"/>
      <c r="AE166" s="310"/>
      <c r="AF166" s="310"/>
      <c r="AG166" s="310"/>
      <c r="AH166" s="310"/>
      <c r="AI166" s="310"/>
      <c r="AJ166" s="310"/>
      <c r="AK166" s="310"/>
      <c r="AL166" s="310"/>
      <c r="AM166" s="310"/>
      <c r="AN166" s="310"/>
      <c r="AO166" s="373" t="s">
        <v>997</v>
      </c>
      <c r="AP166" s="307" t="s">
        <v>968</v>
      </c>
      <c r="AQ166" s="384"/>
      <c r="AR166" s="384"/>
      <c r="AS166" s="310"/>
      <c r="AT166" s="310"/>
      <c r="AU166" s="310"/>
      <c r="AV166" s="310"/>
      <c r="AW166" s="310"/>
      <c r="AX166" s="310"/>
      <c r="AY166" s="310"/>
      <c r="AZ166" s="310"/>
    </row>
    <row r="167" spans="1:52" s="312" customFormat="1" ht="21" x14ac:dyDescent="0.25">
      <c r="A167" s="290"/>
      <c r="B167" s="290"/>
      <c r="C167" s="290"/>
      <c r="D167" s="290"/>
      <c r="E167" s="290"/>
      <c r="F167" s="290"/>
      <c r="G167" s="290"/>
      <c r="H167" s="290"/>
      <c r="I167" s="290"/>
      <c r="J167" s="290"/>
      <c r="K167" s="290"/>
      <c r="L167" s="310"/>
      <c r="M167" s="310"/>
      <c r="N167" s="310"/>
      <c r="O167" s="310"/>
      <c r="P167" s="310"/>
      <c r="Q167" s="310"/>
      <c r="R167" s="310"/>
      <c r="S167" s="310"/>
      <c r="T167" s="310"/>
      <c r="U167" s="310"/>
      <c r="V167" s="310"/>
      <c r="W167" s="310"/>
      <c r="X167" s="310"/>
      <c r="Y167" s="310"/>
      <c r="Z167" s="310"/>
      <c r="AA167" s="310"/>
      <c r="AB167" s="310"/>
      <c r="AC167" s="310"/>
      <c r="AD167" s="310"/>
      <c r="AE167" s="310"/>
      <c r="AF167" s="310"/>
      <c r="AG167" s="310"/>
      <c r="AH167" s="310"/>
      <c r="AI167" s="310"/>
      <c r="AJ167" s="310"/>
      <c r="AK167" s="310"/>
      <c r="AL167" s="310"/>
      <c r="AM167" s="310"/>
      <c r="AN167" s="310"/>
      <c r="AO167" s="373" t="s">
        <v>998</v>
      </c>
      <c r="AP167" s="307" t="s">
        <v>999</v>
      </c>
      <c r="AQ167" s="384"/>
      <c r="AR167" s="384"/>
      <c r="AS167" s="310"/>
      <c r="AT167" s="310"/>
      <c r="AU167" s="310"/>
      <c r="AV167" s="310"/>
      <c r="AW167" s="310"/>
      <c r="AX167" s="310"/>
      <c r="AY167" s="310"/>
      <c r="AZ167" s="310"/>
    </row>
    <row r="168" spans="1:52" s="312" customFormat="1" ht="21" x14ac:dyDescent="0.25">
      <c r="A168" s="290"/>
      <c r="B168" s="290"/>
      <c r="C168" s="290"/>
      <c r="D168" s="290"/>
      <c r="E168" s="290"/>
      <c r="F168" s="290"/>
      <c r="G168" s="290"/>
      <c r="H168" s="290"/>
      <c r="I168" s="290"/>
      <c r="J168" s="290"/>
      <c r="K168" s="290"/>
      <c r="L168" s="310"/>
      <c r="M168" s="310"/>
      <c r="N168" s="310"/>
      <c r="O168" s="310"/>
      <c r="P168" s="310"/>
      <c r="Q168" s="310"/>
      <c r="R168" s="310"/>
      <c r="S168" s="310"/>
      <c r="T168" s="310"/>
      <c r="U168" s="310"/>
      <c r="V168" s="310"/>
      <c r="W168" s="310"/>
      <c r="X168" s="310"/>
      <c r="Y168" s="310"/>
      <c r="Z168" s="310"/>
      <c r="AA168" s="310"/>
      <c r="AB168" s="310"/>
      <c r="AC168" s="310"/>
      <c r="AD168" s="310"/>
      <c r="AE168" s="310"/>
      <c r="AF168" s="310"/>
      <c r="AG168" s="310"/>
      <c r="AH168" s="310"/>
      <c r="AI168" s="310"/>
      <c r="AJ168" s="310"/>
      <c r="AK168" s="310"/>
      <c r="AL168" s="310"/>
      <c r="AM168" s="310"/>
      <c r="AN168" s="310"/>
      <c r="AO168" s="373" t="s">
        <v>1000</v>
      </c>
      <c r="AP168" s="373" t="s">
        <v>1001</v>
      </c>
      <c r="AQ168" s="384"/>
      <c r="AR168" s="384"/>
      <c r="AS168" s="310"/>
      <c r="AT168" s="310"/>
      <c r="AU168" s="310"/>
      <c r="AV168" s="310"/>
      <c r="AW168" s="310"/>
      <c r="AX168" s="310"/>
      <c r="AY168" s="310"/>
      <c r="AZ168" s="310"/>
    </row>
    <row r="169" spans="1:52" s="312" customFormat="1" ht="21" x14ac:dyDescent="0.25">
      <c r="A169" s="290"/>
      <c r="B169" s="290"/>
      <c r="C169" s="290"/>
      <c r="D169" s="290"/>
      <c r="E169" s="290"/>
      <c r="F169" s="290"/>
      <c r="G169" s="290"/>
      <c r="H169" s="290"/>
      <c r="I169" s="290"/>
      <c r="J169" s="290"/>
      <c r="K169" s="290"/>
      <c r="L169" s="310"/>
      <c r="M169" s="310"/>
      <c r="N169" s="310"/>
      <c r="O169" s="310"/>
      <c r="P169" s="310"/>
      <c r="Q169" s="310"/>
      <c r="R169" s="310"/>
      <c r="S169" s="310"/>
      <c r="T169" s="310"/>
      <c r="U169" s="310"/>
      <c r="V169" s="310"/>
      <c r="W169" s="310"/>
      <c r="X169" s="310"/>
      <c r="Y169" s="310"/>
      <c r="Z169" s="310"/>
      <c r="AA169" s="310"/>
      <c r="AB169" s="310"/>
      <c r="AC169" s="310"/>
      <c r="AD169" s="310"/>
      <c r="AE169" s="310"/>
      <c r="AF169" s="310"/>
      <c r="AG169" s="310"/>
      <c r="AH169" s="310"/>
      <c r="AI169" s="310"/>
      <c r="AJ169" s="310"/>
      <c r="AK169" s="310"/>
      <c r="AL169" s="310"/>
      <c r="AM169" s="310"/>
      <c r="AN169" s="310"/>
      <c r="AO169" s="373" t="s">
        <v>1002</v>
      </c>
      <c r="AP169" s="373" t="s">
        <v>1003</v>
      </c>
      <c r="AQ169" s="384"/>
      <c r="AR169" s="384"/>
      <c r="AS169" s="310"/>
      <c r="AT169" s="310"/>
      <c r="AU169" s="310"/>
      <c r="AV169" s="310"/>
      <c r="AW169" s="310"/>
      <c r="AX169" s="310"/>
      <c r="AY169" s="310"/>
      <c r="AZ169" s="310"/>
    </row>
    <row r="170" spans="1:52" s="312" customFormat="1" ht="21" x14ac:dyDescent="0.25">
      <c r="A170" s="290"/>
      <c r="B170" s="290"/>
      <c r="C170" s="290"/>
      <c r="D170" s="290"/>
      <c r="E170" s="290"/>
      <c r="F170" s="290"/>
      <c r="G170" s="290"/>
      <c r="H170" s="290"/>
      <c r="I170" s="290"/>
      <c r="J170" s="290"/>
      <c r="K170" s="290"/>
      <c r="L170" s="310"/>
      <c r="M170" s="310"/>
      <c r="N170" s="310"/>
      <c r="O170" s="310"/>
      <c r="P170" s="310"/>
      <c r="Q170" s="310"/>
      <c r="R170" s="310"/>
      <c r="S170" s="310"/>
      <c r="T170" s="310"/>
      <c r="U170" s="310"/>
      <c r="V170" s="310"/>
      <c r="W170" s="310"/>
      <c r="X170" s="310"/>
      <c r="Y170" s="310"/>
      <c r="Z170" s="310"/>
      <c r="AA170" s="310"/>
      <c r="AB170" s="310"/>
      <c r="AC170" s="310"/>
      <c r="AD170" s="310"/>
      <c r="AE170" s="310"/>
      <c r="AF170" s="310"/>
      <c r="AG170" s="310"/>
      <c r="AH170" s="310"/>
      <c r="AI170" s="310"/>
      <c r="AJ170" s="310"/>
      <c r="AK170" s="310"/>
      <c r="AL170" s="310"/>
      <c r="AM170" s="310"/>
      <c r="AN170" s="310"/>
      <c r="AO170" s="373" t="s">
        <v>1004</v>
      </c>
      <c r="AP170" s="307" t="s">
        <v>1005</v>
      </c>
      <c r="AQ170" s="384"/>
      <c r="AR170" s="384"/>
      <c r="AS170" s="310"/>
      <c r="AT170" s="310"/>
      <c r="AU170" s="310"/>
      <c r="AV170" s="310"/>
      <c r="AW170" s="310"/>
      <c r="AX170" s="310"/>
      <c r="AY170" s="310"/>
      <c r="AZ170" s="310"/>
    </row>
    <row r="171" spans="1:52" s="312" customFormat="1" ht="21" x14ac:dyDescent="0.25">
      <c r="A171" s="290"/>
      <c r="B171" s="290"/>
      <c r="C171" s="290"/>
      <c r="D171" s="290"/>
      <c r="E171" s="290"/>
      <c r="F171" s="290"/>
      <c r="G171" s="290"/>
      <c r="H171" s="290"/>
      <c r="I171" s="290"/>
      <c r="J171" s="290"/>
      <c r="K171" s="290"/>
      <c r="L171" s="310"/>
      <c r="M171" s="310"/>
      <c r="N171" s="310"/>
      <c r="O171" s="310"/>
      <c r="P171" s="310"/>
      <c r="Q171" s="310"/>
      <c r="R171" s="310"/>
      <c r="S171" s="310"/>
      <c r="T171" s="310"/>
      <c r="U171" s="310"/>
      <c r="V171" s="310"/>
      <c r="W171" s="310"/>
      <c r="X171" s="310"/>
      <c r="Y171" s="310"/>
      <c r="Z171" s="310"/>
      <c r="AA171" s="310"/>
      <c r="AB171" s="310"/>
      <c r="AC171" s="310"/>
      <c r="AD171" s="310"/>
      <c r="AE171" s="310"/>
      <c r="AF171" s="310"/>
      <c r="AG171" s="310"/>
      <c r="AH171" s="310"/>
      <c r="AI171" s="310"/>
      <c r="AJ171" s="310"/>
      <c r="AK171" s="310"/>
      <c r="AL171" s="310"/>
      <c r="AM171" s="310"/>
      <c r="AN171" s="310"/>
      <c r="AO171" s="373" t="s">
        <v>1006</v>
      </c>
      <c r="AP171" s="307" t="s">
        <v>1007</v>
      </c>
      <c r="AQ171" s="384"/>
      <c r="AR171" s="384"/>
      <c r="AS171" s="310"/>
      <c r="AT171" s="310"/>
      <c r="AU171" s="310"/>
      <c r="AV171" s="310"/>
      <c r="AW171" s="310"/>
      <c r="AX171" s="310"/>
      <c r="AY171" s="310"/>
      <c r="AZ171" s="310"/>
    </row>
    <row r="172" spans="1:52" s="312" customFormat="1" ht="21" x14ac:dyDescent="0.25">
      <c r="A172" s="290"/>
      <c r="B172" s="290"/>
      <c r="C172" s="290"/>
      <c r="D172" s="290"/>
      <c r="E172" s="290"/>
      <c r="F172" s="290"/>
      <c r="G172" s="290"/>
      <c r="H172" s="290"/>
      <c r="I172" s="290"/>
      <c r="J172" s="290"/>
      <c r="K172" s="290"/>
      <c r="L172" s="310"/>
      <c r="M172" s="310"/>
      <c r="N172" s="310"/>
      <c r="O172" s="310"/>
      <c r="P172" s="310"/>
      <c r="Q172" s="310"/>
      <c r="R172" s="310"/>
      <c r="S172" s="310"/>
      <c r="T172" s="310"/>
      <c r="U172" s="310"/>
      <c r="V172" s="310"/>
      <c r="W172" s="310"/>
      <c r="X172" s="310"/>
      <c r="Y172" s="310"/>
      <c r="Z172" s="310"/>
      <c r="AA172" s="310"/>
      <c r="AB172" s="310"/>
      <c r="AC172" s="310"/>
      <c r="AD172" s="310"/>
      <c r="AE172" s="310"/>
      <c r="AF172" s="310"/>
      <c r="AG172" s="310"/>
      <c r="AH172" s="310"/>
      <c r="AI172" s="310"/>
      <c r="AJ172" s="310"/>
      <c r="AK172" s="310"/>
      <c r="AL172" s="310"/>
      <c r="AM172" s="310"/>
      <c r="AN172" s="310"/>
      <c r="AO172" s="373" t="s">
        <v>1008</v>
      </c>
      <c r="AP172" s="307" t="s">
        <v>954</v>
      </c>
      <c r="AQ172" s="384"/>
      <c r="AR172" s="384"/>
      <c r="AS172" s="310"/>
      <c r="AT172" s="310"/>
      <c r="AU172" s="310"/>
      <c r="AV172" s="310"/>
      <c r="AW172" s="310"/>
      <c r="AX172" s="310"/>
      <c r="AY172" s="310"/>
      <c r="AZ172" s="310"/>
    </row>
    <row r="173" spans="1:52" s="312" customFormat="1" ht="21" x14ac:dyDescent="0.25">
      <c r="A173" s="290"/>
      <c r="B173" s="290"/>
      <c r="C173" s="290"/>
      <c r="D173" s="290"/>
      <c r="E173" s="290"/>
      <c r="F173" s="290"/>
      <c r="G173" s="290"/>
      <c r="H173" s="290"/>
      <c r="I173" s="290"/>
      <c r="J173" s="290"/>
      <c r="K173" s="290"/>
      <c r="L173" s="310"/>
      <c r="M173" s="310"/>
      <c r="N173" s="310"/>
      <c r="O173" s="310"/>
      <c r="P173" s="310"/>
      <c r="Q173" s="310"/>
      <c r="R173" s="310"/>
      <c r="S173" s="310"/>
      <c r="T173" s="310"/>
      <c r="U173" s="310"/>
      <c r="V173" s="310"/>
      <c r="W173" s="310"/>
      <c r="X173" s="310"/>
      <c r="Y173" s="310"/>
      <c r="Z173" s="310"/>
      <c r="AA173" s="310"/>
      <c r="AB173" s="310"/>
      <c r="AC173" s="310"/>
      <c r="AD173" s="310"/>
      <c r="AE173" s="310"/>
      <c r="AF173" s="310"/>
      <c r="AG173" s="310"/>
      <c r="AH173" s="310"/>
      <c r="AI173" s="310"/>
      <c r="AJ173" s="310"/>
      <c r="AK173" s="310"/>
      <c r="AL173" s="310"/>
      <c r="AM173" s="310"/>
      <c r="AN173" s="310"/>
      <c r="AO173" s="373" t="s">
        <v>1009</v>
      </c>
      <c r="AP173" s="307" t="s">
        <v>1010</v>
      </c>
      <c r="AQ173" s="384"/>
      <c r="AR173" s="384"/>
      <c r="AS173" s="310"/>
      <c r="AT173" s="310"/>
      <c r="AU173" s="310"/>
      <c r="AV173" s="310"/>
      <c r="AW173" s="310"/>
      <c r="AX173" s="310"/>
      <c r="AY173" s="310"/>
      <c r="AZ173" s="310"/>
    </row>
    <row r="174" spans="1:52" s="312" customFormat="1" x14ac:dyDescent="0.25">
      <c r="A174" s="290"/>
      <c r="B174" s="290"/>
      <c r="C174" s="290"/>
      <c r="D174" s="290"/>
      <c r="E174" s="290"/>
      <c r="F174" s="290"/>
      <c r="G174" s="290"/>
      <c r="H174" s="290"/>
      <c r="I174" s="290"/>
      <c r="J174" s="290"/>
      <c r="K174" s="290"/>
      <c r="L174" s="310"/>
      <c r="M174" s="310"/>
      <c r="N174" s="310"/>
      <c r="O174" s="310"/>
      <c r="P174" s="310"/>
      <c r="Q174" s="310"/>
      <c r="R174" s="310"/>
      <c r="S174" s="310"/>
      <c r="T174" s="310"/>
      <c r="U174" s="310"/>
      <c r="V174" s="310"/>
      <c r="W174" s="310"/>
      <c r="X174" s="310"/>
      <c r="Y174" s="310"/>
      <c r="Z174" s="310"/>
      <c r="AA174" s="310"/>
      <c r="AB174" s="310"/>
      <c r="AC174" s="310"/>
      <c r="AD174" s="310"/>
      <c r="AE174" s="310"/>
      <c r="AF174" s="310"/>
      <c r="AG174" s="310"/>
      <c r="AH174" s="310"/>
      <c r="AI174" s="310"/>
      <c r="AJ174" s="310"/>
      <c r="AK174" s="310"/>
      <c r="AL174" s="310"/>
      <c r="AM174" s="310"/>
      <c r="AN174" s="310"/>
      <c r="AO174" s="1826" t="s">
        <v>1011</v>
      </c>
      <c r="AP174" s="383"/>
      <c r="AQ174" s="384"/>
      <c r="AR174" s="384"/>
      <c r="AS174" s="310"/>
      <c r="AT174" s="310"/>
      <c r="AU174" s="310"/>
      <c r="AV174" s="310"/>
      <c r="AW174" s="310"/>
      <c r="AX174" s="310"/>
      <c r="AY174" s="310"/>
      <c r="AZ174" s="310"/>
    </row>
    <row r="175" spans="1:52" s="312" customFormat="1" x14ac:dyDescent="0.25">
      <c r="A175" s="290"/>
      <c r="B175" s="290"/>
      <c r="C175" s="290"/>
      <c r="D175" s="290"/>
      <c r="E175" s="290"/>
      <c r="F175" s="290"/>
      <c r="G175" s="290"/>
      <c r="H175" s="290"/>
      <c r="I175" s="290"/>
      <c r="J175" s="290"/>
      <c r="K175" s="290"/>
      <c r="L175" s="290"/>
      <c r="M175" s="290"/>
      <c r="N175" s="290"/>
      <c r="O175" s="290"/>
      <c r="P175" s="290"/>
      <c r="Q175" s="290"/>
      <c r="R175" s="290"/>
      <c r="S175" s="290"/>
      <c r="T175" s="290"/>
      <c r="U175" s="290"/>
      <c r="V175" s="290"/>
      <c r="W175" s="290"/>
      <c r="X175" s="290"/>
      <c r="Y175" s="290"/>
      <c r="Z175" s="290"/>
      <c r="AA175" s="290"/>
      <c r="AB175" s="290"/>
      <c r="AC175" s="290"/>
      <c r="AD175" s="290"/>
      <c r="AE175" s="290"/>
      <c r="AF175" s="290"/>
      <c r="AG175" s="290"/>
      <c r="AH175" s="290"/>
      <c r="AI175" s="290"/>
      <c r="AJ175" s="290"/>
      <c r="AK175" s="290"/>
      <c r="AL175" s="290"/>
      <c r="AM175" s="290"/>
      <c r="AN175" s="290"/>
      <c r="AO175" s="1826"/>
      <c r="AP175" s="307" t="s">
        <v>988</v>
      </c>
      <c r="AQ175" s="291"/>
      <c r="AR175" s="291"/>
      <c r="AS175" s="290"/>
      <c r="AT175" s="290"/>
      <c r="AU175" s="290"/>
      <c r="AV175" s="290"/>
      <c r="AW175" s="290"/>
      <c r="AX175" s="290"/>
      <c r="AY175" s="290"/>
      <c r="AZ175" s="290"/>
    </row>
    <row r="176" spans="1:52" s="312" customFormat="1" x14ac:dyDescent="0.25">
      <c r="A176" s="290"/>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c r="AA176" s="290"/>
      <c r="AB176" s="290"/>
      <c r="AC176" s="290"/>
      <c r="AD176" s="290"/>
      <c r="AE176" s="290"/>
      <c r="AF176" s="290"/>
      <c r="AG176" s="290"/>
      <c r="AH176" s="290"/>
      <c r="AI176" s="290"/>
      <c r="AJ176" s="290"/>
      <c r="AK176" s="290"/>
      <c r="AL176" s="290"/>
      <c r="AM176" s="290"/>
      <c r="AN176" s="290"/>
      <c r="AO176" s="373" t="s">
        <v>1012</v>
      </c>
      <c r="AP176" s="307" t="s">
        <v>1013</v>
      </c>
      <c r="AQ176" s="291"/>
      <c r="AR176" s="291"/>
      <c r="AS176" s="290"/>
      <c r="AT176" s="290"/>
      <c r="AU176" s="290"/>
      <c r="AV176" s="290"/>
      <c r="AW176" s="290"/>
      <c r="AX176" s="290"/>
      <c r="AY176" s="290"/>
      <c r="AZ176" s="290"/>
    </row>
    <row r="177" spans="1:52" s="312" customFormat="1" ht="21" x14ac:dyDescent="0.25">
      <c r="A177" s="290"/>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c r="AE177" s="290"/>
      <c r="AF177" s="290"/>
      <c r="AG177" s="290"/>
      <c r="AH177" s="290"/>
      <c r="AI177" s="290"/>
      <c r="AJ177" s="290"/>
      <c r="AK177" s="290"/>
      <c r="AL177" s="290"/>
      <c r="AM177" s="290"/>
      <c r="AN177" s="290"/>
      <c r="AO177" s="373" t="s">
        <v>1014</v>
      </c>
      <c r="AP177" s="307" t="s">
        <v>1015</v>
      </c>
      <c r="AQ177" s="291"/>
      <c r="AR177" s="291"/>
      <c r="AS177" s="290"/>
      <c r="AT177" s="290"/>
      <c r="AU177" s="290"/>
      <c r="AV177" s="290"/>
      <c r="AW177" s="290"/>
      <c r="AX177" s="290"/>
      <c r="AY177" s="290"/>
      <c r="AZ177" s="290"/>
    </row>
    <row r="178" spans="1:52" ht="21" x14ac:dyDescent="0.25">
      <c r="A178" s="290"/>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90"/>
      <c r="AE178" s="290"/>
      <c r="AF178" s="290"/>
      <c r="AG178" s="290"/>
      <c r="AH178" s="290"/>
      <c r="AI178" s="290"/>
      <c r="AJ178" s="290"/>
      <c r="AK178" s="290"/>
      <c r="AL178" s="290"/>
      <c r="AM178" s="290"/>
      <c r="AN178" s="290"/>
      <c r="AO178" s="373" t="s">
        <v>1016</v>
      </c>
      <c r="AP178" s="378" t="s">
        <v>1017</v>
      </c>
      <c r="AQ178" s="291"/>
      <c r="AR178" s="291"/>
      <c r="AS178" s="290"/>
      <c r="AT178" s="290"/>
      <c r="AU178" s="290"/>
      <c r="AV178" s="290"/>
      <c r="AW178" s="290"/>
      <c r="AX178" s="290"/>
      <c r="AY178" s="290"/>
      <c r="AZ178" s="290"/>
    </row>
    <row r="179" spans="1:52" x14ac:dyDescent="0.25">
      <c r="A179" s="290"/>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c r="AE179" s="290"/>
      <c r="AF179" s="290"/>
      <c r="AG179" s="290"/>
      <c r="AH179" s="290"/>
      <c r="AI179" s="290"/>
      <c r="AJ179" s="290"/>
      <c r="AK179" s="290"/>
      <c r="AL179" s="290"/>
      <c r="AM179" s="290"/>
      <c r="AN179" s="290"/>
      <c r="AO179" s="383"/>
      <c r="AP179" s="383"/>
      <c r="AQ179" s="291"/>
      <c r="AR179" s="291"/>
      <c r="AS179" s="290"/>
      <c r="AT179" s="290"/>
      <c r="AU179" s="290"/>
      <c r="AV179" s="290"/>
      <c r="AW179" s="290"/>
      <c r="AX179" s="290"/>
      <c r="AY179" s="290"/>
      <c r="AZ179" s="290"/>
    </row>
    <row r="180" spans="1:52" x14ac:dyDescent="0.25">
      <c r="A180" s="290"/>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90"/>
      <c r="AE180" s="290"/>
      <c r="AF180" s="290"/>
      <c r="AG180" s="290"/>
      <c r="AH180" s="290"/>
      <c r="AI180" s="290"/>
      <c r="AJ180" s="290"/>
      <c r="AK180" s="290"/>
      <c r="AL180" s="290"/>
      <c r="AM180" s="290"/>
      <c r="AN180" s="290"/>
      <c r="AO180" s="373" t="s">
        <v>1018</v>
      </c>
      <c r="AP180" s="307" t="s">
        <v>1019</v>
      </c>
      <c r="AQ180" s="291"/>
      <c r="AR180" s="291"/>
      <c r="AS180" s="290"/>
      <c r="AT180" s="290"/>
      <c r="AU180" s="290"/>
      <c r="AV180" s="290"/>
      <c r="AW180" s="290"/>
      <c r="AX180" s="290"/>
      <c r="AY180" s="290"/>
      <c r="AZ180" s="290"/>
    </row>
    <row r="181" spans="1:52" x14ac:dyDescent="0.25">
      <c r="A181" s="290"/>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c r="AE181" s="290"/>
      <c r="AF181" s="290"/>
      <c r="AG181" s="290"/>
      <c r="AH181" s="290"/>
      <c r="AI181" s="290"/>
      <c r="AJ181" s="290"/>
      <c r="AK181" s="290"/>
      <c r="AL181" s="290"/>
      <c r="AM181" s="290"/>
      <c r="AN181" s="290"/>
      <c r="AO181" s="383"/>
      <c r="AP181" s="383"/>
      <c r="AQ181" s="291"/>
      <c r="AR181" s="291"/>
      <c r="AS181" s="290"/>
      <c r="AT181" s="290"/>
      <c r="AU181" s="290"/>
      <c r="AV181" s="290"/>
      <c r="AW181" s="290"/>
      <c r="AX181" s="290"/>
      <c r="AY181" s="290"/>
      <c r="AZ181" s="290"/>
    </row>
    <row r="182" spans="1:52" ht="21" x14ac:dyDescent="0.25">
      <c r="A182" s="290"/>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90"/>
      <c r="AE182" s="290"/>
      <c r="AF182" s="290"/>
      <c r="AG182" s="290"/>
      <c r="AH182" s="290"/>
      <c r="AI182" s="290"/>
      <c r="AJ182" s="290"/>
      <c r="AK182" s="290"/>
      <c r="AL182" s="290"/>
      <c r="AM182" s="290"/>
      <c r="AN182" s="290"/>
      <c r="AO182" s="373" t="s">
        <v>1020</v>
      </c>
      <c r="AP182" s="373" t="s">
        <v>1021</v>
      </c>
      <c r="AQ182" s="291"/>
      <c r="AR182" s="291"/>
      <c r="AS182" s="290"/>
      <c r="AT182" s="290"/>
      <c r="AU182" s="290"/>
      <c r="AV182" s="290"/>
      <c r="AW182" s="290"/>
      <c r="AX182" s="290"/>
      <c r="AY182" s="290"/>
      <c r="AZ182" s="290"/>
    </row>
    <row r="183" spans="1:52" ht="21" x14ac:dyDescent="0.25">
      <c r="A183" s="290"/>
      <c r="B183" s="290"/>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c r="AA183" s="290"/>
      <c r="AB183" s="290"/>
      <c r="AC183" s="290"/>
      <c r="AD183" s="290"/>
      <c r="AE183" s="290"/>
      <c r="AF183" s="290"/>
      <c r="AG183" s="290"/>
      <c r="AH183" s="290"/>
      <c r="AI183" s="290"/>
      <c r="AJ183" s="290"/>
      <c r="AK183" s="290"/>
      <c r="AL183" s="290"/>
      <c r="AM183" s="290"/>
      <c r="AN183" s="290"/>
      <c r="AO183" s="373" t="s">
        <v>1022</v>
      </c>
      <c r="AP183" s="307" t="s">
        <v>982</v>
      </c>
      <c r="AQ183" s="291"/>
      <c r="AR183" s="291"/>
      <c r="AS183" s="290"/>
      <c r="AT183" s="290"/>
      <c r="AU183" s="290"/>
      <c r="AV183" s="290"/>
      <c r="AW183" s="290"/>
      <c r="AX183" s="290"/>
      <c r="AY183" s="290"/>
      <c r="AZ183" s="290"/>
    </row>
    <row r="184" spans="1:52" ht="21" x14ac:dyDescent="0.25">
      <c r="A184" s="290"/>
      <c r="B184" s="290"/>
      <c r="C184" s="290"/>
      <c r="D184" s="290"/>
      <c r="E184" s="290"/>
      <c r="F184" s="290"/>
      <c r="G184" s="290"/>
      <c r="H184" s="290"/>
      <c r="I184" s="290"/>
      <c r="J184" s="290"/>
      <c r="K184" s="290"/>
      <c r="L184" s="290"/>
      <c r="M184" s="290"/>
      <c r="N184" s="290"/>
      <c r="O184" s="290"/>
      <c r="P184" s="290"/>
      <c r="Q184" s="290"/>
      <c r="R184" s="290"/>
      <c r="S184" s="290"/>
      <c r="T184" s="290"/>
      <c r="U184" s="290"/>
      <c r="V184" s="290"/>
      <c r="W184" s="290"/>
      <c r="X184" s="290"/>
      <c r="Y184" s="290"/>
      <c r="Z184" s="290"/>
      <c r="AA184" s="290"/>
      <c r="AB184" s="290"/>
      <c r="AC184" s="290"/>
      <c r="AD184" s="290"/>
      <c r="AE184" s="290"/>
      <c r="AF184" s="290"/>
      <c r="AG184" s="290"/>
      <c r="AH184" s="290"/>
      <c r="AI184" s="290"/>
      <c r="AJ184" s="290"/>
      <c r="AK184" s="290"/>
      <c r="AL184" s="290"/>
      <c r="AM184" s="290"/>
      <c r="AN184" s="290"/>
      <c r="AO184" s="373" t="s">
        <v>1023</v>
      </c>
      <c r="AP184" s="307" t="s">
        <v>1024</v>
      </c>
      <c r="AQ184" s="291"/>
      <c r="AR184" s="291"/>
      <c r="AS184" s="290"/>
      <c r="AT184" s="290"/>
      <c r="AU184" s="290"/>
      <c r="AV184" s="290"/>
      <c r="AW184" s="290"/>
      <c r="AX184" s="290"/>
      <c r="AY184" s="290"/>
      <c r="AZ184" s="290"/>
    </row>
    <row r="185" spans="1:52" ht="21" x14ac:dyDescent="0.25">
      <c r="A185" s="290"/>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290"/>
      <c r="AD185" s="290"/>
      <c r="AE185" s="290"/>
      <c r="AF185" s="290"/>
      <c r="AG185" s="290"/>
      <c r="AH185" s="290"/>
      <c r="AI185" s="290"/>
      <c r="AJ185" s="290"/>
      <c r="AK185" s="290"/>
      <c r="AL185" s="290"/>
      <c r="AM185" s="290"/>
      <c r="AN185" s="290"/>
      <c r="AO185" s="373" t="s">
        <v>1025</v>
      </c>
      <c r="AP185" s="378" t="s">
        <v>1026</v>
      </c>
      <c r="AQ185" s="291"/>
      <c r="AR185" s="291"/>
      <c r="AS185" s="290"/>
      <c r="AT185" s="290"/>
      <c r="AU185" s="290"/>
      <c r="AV185" s="290"/>
      <c r="AW185" s="290"/>
      <c r="AX185" s="290"/>
      <c r="AY185" s="290"/>
      <c r="AZ185" s="290"/>
    </row>
    <row r="186" spans="1:52" x14ac:dyDescent="0.25">
      <c r="A186" s="290"/>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c r="AE186" s="290"/>
      <c r="AF186" s="290"/>
      <c r="AG186" s="290"/>
      <c r="AH186" s="290"/>
      <c r="AI186" s="290"/>
      <c r="AJ186" s="290"/>
      <c r="AK186" s="290"/>
      <c r="AL186" s="290"/>
      <c r="AM186" s="290"/>
      <c r="AN186" s="290"/>
      <c r="AO186" s="383"/>
      <c r="AP186" s="383"/>
      <c r="AQ186" s="291"/>
      <c r="AR186" s="291"/>
      <c r="AS186" s="290"/>
      <c r="AT186" s="290"/>
      <c r="AU186" s="290"/>
      <c r="AV186" s="290"/>
      <c r="AW186" s="290"/>
      <c r="AX186" s="290"/>
      <c r="AY186" s="290"/>
      <c r="AZ186" s="290"/>
    </row>
    <row r="187" spans="1:52" x14ac:dyDescent="0.25">
      <c r="A187" s="290"/>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c r="AE187" s="290"/>
      <c r="AF187" s="290"/>
      <c r="AG187" s="290"/>
      <c r="AH187" s="290"/>
      <c r="AI187" s="290"/>
      <c r="AJ187" s="290"/>
      <c r="AK187" s="290"/>
      <c r="AL187" s="290"/>
      <c r="AM187" s="290"/>
      <c r="AN187" s="290"/>
      <c r="AO187" s="373" t="s">
        <v>1027</v>
      </c>
      <c r="AP187" s="307" t="s">
        <v>1005</v>
      </c>
      <c r="AQ187" s="291"/>
      <c r="AR187" s="291"/>
      <c r="AS187" s="290"/>
      <c r="AT187" s="290"/>
      <c r="AU187" s="290"/>
      <c r="AV187" s="290"/>
      <c r="AW187" s="290"/>
      <c r="AX187" s="290"/>
      <c r="AY187" s="290"/>
      <c r="AZ187" s="290"/>
    </row>
    <row r="188" spans="1:52" x14ac:dyDescent="0.25">
      <c r="A188" s="290"/>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290"/>
      <c r="AE188" s="290"/>
      <c r="AF188" s="290"/>
      <c r="AG188" s="290"/>
      <c r="AH188" s="290"/>
      <c r="AI188" s="290"/>
      <c r="AJ188" s="290"/>
      <c r="AK188" s="290"/>
      <c r="AL188" s="290"/>
      <c r="AM188" s="290"/>
      <c r="AN188" s="290"/>
      <c r="AO188" s="373" t="s">
        <v>1028</v>
      </c>
      <c r="AP188" s="307" t="s">
        <v>1029</v>
      </c>
      <c r="AQ188" s="291"/>
      <c r="AR188" s="291"/>
      <c r="AS188" s="290"/>
      <c r="AT188" s="290"/>
      <c r="AU188" s="290"/>
      <c r="AV188" s="290"/>
      <c r="AW188" s="290"/>
      <c r="AX188" s="290"/>
      <c r="AY188" s="290"/>
      <c r="AZ188" s="290"/>
    </row>
    <row r="189" spans="1:52" x14ac:dyDescent="0.25">
      <c r="A189" s="290"/>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c r="AF189" s="290"/>
      <c r="AG189" s="290"/>
      <c r="AH189" s="290"/>
      <c r="AI189" s="290"/>
      <c r="AJ189" s="290"/>
      <c r="AK189" s="290"/>
      <c r="AL189" s="290"/>
      <c r="AM189" s="290"/>
      <c r="AN189" s="290"/>
      <c r="AO189" s="373" t="s">
        <v>1030</v>
      </c>
      <c r="AP189" s="307" t="s">
        <v>1031</v>
      </c>
      <c r="AQ189" s="291"/>
      <c r="AR189" s="291"/>
      <c r="AS189" s="290"/>
      <c r="AT189" s="290"/>
      <c r="AU189" s="290"/>
      <c r="AV189" s="290"/>
      <c r="AW189" s="290"/>
      <c r="AX189" s="290"/>
      <c r="AY189" s="290"/>
      <c r="AZ189" s="290"/>
    </row>
    <row r="190" spans="1:52" ht="21" x14ac:dyDescent="0.25">
      <c r="A190" s="290"/>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c r="AE190" s="290"/>
      <c r="AF190" s="290"/>
      <c r="AG190" s="290"/>
      <c r="AH190" s="290"/>
      <c r="AI190" s="290"/>
      <c r="AJ190" s="290"/>
      <c r="AK190" s="290"/>
      <c r="AL190" s="290"/>
      <c r="AM190" s="290"/>
      <c r="AN190" s="290"/>
      <c r="AO190" s="373" t="s">
        <v>1032</v>
      </c>
      <c r="AP190" s="378" t="s">
        <v>1033</v>
      </c>
      <c r="AQ190" s="291"/>
      <c r="AR190" s="291"/>
      <c r="AS190" s="290"/>
      <c r="AT190" s="290"/>
      <c r="AU190" s="290"/>
      <c r="AV190" s="290"/>
      <c r="AW190" s="290"/>
      <c r="AX190" s="290"/>
      <c r="AY190" s="290"/>
      <c r="AZ190" s="290"/>
    </row>
    <row r="191" spans="1:52" ht="21" x14ac:dyDescent="0.25">
      <c r="A191" s="290"/>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90"/>
      <c r="AE191" s="290"/>
      <c r="AF191" s="290"/>
      <c r="AG191" s="290"/>
      <c r="AH191" s="290"/>
      <c r="AI191" s="290"/>
      <c r="AJ191" s="290"/>
      <c r="AK191" s="290"/>
      <c r="AL191" s="290"/>
      <c r="AM191" s="290"/>
      <c r="AN191" s="290"/>
      <c r="AO191" s="373" t="s">
        <v>1034</v>
      </c>
      <c r="AP191" s="307" t="s">
        <v>1035</v>
      </c>
      <c r="AQ191" s="291"/>
      <c r="AR191" s="291"/>
      <c r="AS191" s="290"/>
      <c r="AT191" s="290"/>
      <c r="AU191" s="290"/>
      <c r="AV191" s="290"/>
      <c r="AW191" s="290"/>
      <c r="AX191" s="290"/>
      <c r="AY191" s="290"/>
      <c r="AZ191" s="290"/>
    </row>
    <row r="192" spans="1:52" x14ac:dyDescent="0.25">
      <c r="A192" s="290"/>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90"/>
      <c r="AE192" s="290"/>
      <c r="AF192" s="290"/>
      <c r="AG192" s="290"/>
      <c r="AH192" s="290"/>
      <c r="AI192" s="290"/>
      <c r="AJ192" s="290"/>
      <c r="AK192" s="290"/>
      <c r="AL192" s="290"/>
      <c r="AM192" s="290"/>
      <c r="AN192" s="290"/>
      <c r="AO192" s="373" t="s">
        <v>1036</v>
      </c>
      <c r="AP192" s="307" t="s">
        <v>1035</v>
      </c>
      <c r="AQ192" s="291"/>
      <c r="AR192" s="291"/>
      <c r="AS192" s="290"/>
      <c r="AT192" s="290"/>
      <c r="AU192" s="290"/>
      <c r="AV192" s="290"/>
      <c r="AW192" s="290"/>
      <c r="AX192" s="290"/>
      <c r="AY192" s="290"/>
      <c r="AZ192" s="290"/>
    </row>
    <row r="193" spans="1:52" ht="21" x14ac:dyDescent="0.25">
      <c r="A193" s="290"/>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c r="AD193" s="290"/>
      <c r="AE193" s="290"/>
      <c r="AF193" s="290"/>
      <c r="AG193" s="290"/>
      <c r="AH193" s="290"/>
      <c r="AI193" s="290"/>
      <c r="AJ193" s="290"/>
      <c r="AK193" s="290"/>
      <c r="AL193" s="290"/>
      <c r="AM193" s="290"/>
      <c r="AN193" s="290"/>
      <c r="AO193" s="373" t="s">
        <v>1037</v>
      </c>
      <c r="AP193" s="307" t="s">
        <v>1038</v>
      </c>
      <c r="AQ193" s="291"/>
      <c r="AR193" s="291"/>
      <c r="AS193" s="290"/>
      <c r="AT193" s="290"/>
      <c r="AU193" s="290"/>
      <c r="AV193" s="290"/>
      <c r="AW193" s="290"/>
      <c r="AX193" s="290"/>
      <c r="AY193" s="290"/>
      <c r="AZ193" s="290"/>
    </row>
    <row r="194" spans="1:52" ht="21" x14ac:dyDescent="0.25">
      <c r="A194" s="290"/>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290"/>
      <c r="AE194" s="290"/>
      <c r="AF194" s="290"/>
      <c r="AG194" s="290"/>
      <c r="AH194" s="290"/>
      <c r="AI194" s="290"/>
      <c r="AJ194" s="290"/>
      <c r="AK194" s="290"/>
      <c r="AL194" s="290"/>
      <c r="AM194" s="290"/>
      <c r="AN194" s="290"/>
      <c r="AO194" s="373" t="s">
        <v>1039</v>
      </c>
      <c r="AP194" s="378" t="s">
        <v>1040</v>
      </c>
      <c r="AQ194" s="291"/>
      <c r="AR194" s="291"/>
      <c r="AS194" s="290"/>
      <c r="AT194" s="290"/>
      <c r="AU194" s="290"/>
      <c r="AV194" s="290"/>
      <c r="AW194" s="290"/>
      <c r="AX194" s="290"/>
      <c r="AY194" s="290"/>
      <c r="AZ194" s="290"/>
    </row>
    <row r="195" spans="1:52" ht="21" x14ac:dyDescent="0.25">
      <c r="A195" s="290"/>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290"/>
      <c r="AD195" s="290"/>
      <c r="AE195" s="290"/>
      <c r="AF195" s="290"/>
      <c r="AG195" s="290"/>
      <c r="AH195" s="290"/>
      <c r="AI195" s="290"/>
      <c r="AJ195" s="290"/>
      <c r="AK195" s="290"/>
      <c r="AL195" s="290"/>
      <c r="AM195" s="290"/>
      <c r="AN195" s="290"/>
      <c r="AO195" s="373" t="s">
        <v>1041</v>
      </c>
      <c r="AP195" s="307" t="s">
        <v>952</v>
      </c>
      <c r="AQ195" s="291"/>
      <c r="AR195" s="291"/>
      <c r="AS195" s="290"/>
      <c r="AT195" s="290"/>
      <c r="AU195" s="290"/>
      <c r="AV195" s="290"/>
      <c r="AW195" s="290"/>
      <c r="AX195" s="290"/>
      <c r="AY195" s="290"/>
      <c r="AZ195" s="290"/>
    </row>
    <row r="196" spans="1:52" ht="21" x14ac:dyDescent="0.25">
      <c r="A196" s="290"/>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c r="AE196" s="290"/>
      <c r="AF196" s="290"/>
      <c r="AG196" s="290"/>
      <c r="AH196" s="290"/>
      <c r="AI196" s="290"/>
      <c r="AJ196" s="290"/>
      <c r="AK196" s="290"/>
      <c r="AL196" s="290"/>
      <c r="AM196" s="290"/>
      <c r="AN196" s="290"/>
      <c r="AO196" s="373" t="s">
        <v>1042</v>
      </c>
      <c r="AP196" s="378" t="s">
        <v>1043</v>
      </c>
      <c r="AQ196" s="291"/>
      <c r="AR196" s="291"/>
      <c r="AS196" s="290"/>
      <c r="AT196" s="290"/>
      <c r="AU196" s="290"/>
      <c r="AV196" s="290"/>
      <c r="AW196" s="290"/>
      <c r="AX196" s="290"/>
      <c r="AY196" s="290"/>
      <c r="AZ196" s="290"/>
    </row>
    <row r="197" spans="1:52" x14ac:dyDescent="0.25">
      <c r="A197" s="290"/>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290"/>
      <c r="AE197" s="290"/>
      <c r="AF197" s="290"/>
      <c r="AG197" s="290"/>
      <c r="AH197" s="290"/>
      <c r="AI197" s="290"/>
      <c r="AJ197" s="290"/>
      <c r="AK197" s="290"/>
      <c r="AL197" s="290"/>
      <c r="AM197" s="290"/>
      <c r="AN197" s="290"/>
      <c r="AO197" s="373" t="s">
        <v>1044</v>
      </c>
      <c r="AP197" s="307" t="s">
        <v>1045</v>
      </c>
      <c r="AQ197" s="291"/>
      <c r="AR197" s="291"/>
      <c r="AS197" s="290"/>
      <c r="AT197" s="290"/>
      <c r="AU197" s="290"/>
      <c r="AV197" s="290"/>
      <c r="AW197" s="290"/>
      <c r="AX197" s="290"/>
      <c r="AY197" s="290"/>
      <c r="AZ197" s="290"/>
    </row>
    <row r="198" spans="1:52" ht="21" x14ac:dyDescent="0.25">
      <c r="A198" s="290"/>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c r="AE198" s="290"/>
      <c r="AF198" s="290"/>
      <c r="AG198" s="290"/>
      <c r="AH198" s="290"/>
      <c r="AI198" s="290"/>
      <c r="AJ198" s="290"/>
      <c r="AK198" s="290"/>
      <c r="AL198" s="290"/>
      <c r="AM198" s="290"/>
      <c r="AN198" s="290"/>
      <c r="AO198" s="373" t="s">
        <v>1046</v>
      </c>
      <c r="AP198" s="378" t="s">
        <v>1047</v>
      </c>
      <c r="AQ198" s="291"/>
      <c r="AR198" s="291"/>
      <c r="AS198" s="290"/>
      <c r="AT198" s="290"/>
      <c r="AU198" s="290"/>
      <c r="AV198" s="290"/>
      <c r="AW198" s="290"/>
      <c r="AX198" s="290"/>
      <c r="AY198" s="290"/>
      <c r="AZ198" s="290"/>
    </row>
    <row r="199" spans="1:52" ht="21" x14ac:dyDescent="0.25">
      <c r="A199" s="290"/>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290"/>
      <c r="AE199" s="290"/>
      <c r="AF199" s="290"/>
      <c r="AG199" s="290"/>
      <c r="AH199" s="290"/>
      <c r="AI199" s="290"/>
      <c r="AJ199" s="290"/>
      <c r="AK199" s="290"/>
      <c r="AL199" s="290"/>
      <c r="AM199" s="290"/>
      <c r="AN199" s="290"/>
      <c r="AO199" s="373" t="s">
        <v>1048</v>
      </c>
      <c r="AP199" s="307" t="s">
        <v>1049</v>
      </c>
      <c r="AQ199" s="291"/>
      <c r="AR199" s="291"/>
      <c r="AS199" s="290"/>
      <c r="AT199" s="290"/>
      <c r="AU199" s="290"/>
      <c r="AV199" s="290"/>
      <c r="AW199" s="290"/>
      <c r="AX199" s="290"/>
      <c r="AY199" s="290"/>
      <c r="AZ199" s="290"/>
    </row>
    <row r="200" spans="1:52" ht="21" x14ac:dyDescent="0.25">
      <c r="A200" s="290"/>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c r="AE200" s="290"/>
      <c r="AF200" s="290"/>
      <c r="AG200" s="290"/>
      <c r="AH200" s="290"/>
      <c r="AI200" s="290"/>
      <c r="AJ200" s="290"/>
      <c r="AK200" s="290"/>
      <c r="AL200" s="290"/>
      <c r="AM200" s="290"/>
      <c r="AN200" s="290"/>
      <c r="AO200" s="373" t="s">
        <v>1050</v>
      </c>
      <c r="AP200" s="307" t="s">
        <v>1051</v>
      </c>
      <c r="AQ200" s="291"/>
      <c r="AR200" s="291"/>
      <c r="AS200" s="290"/>
      <c r="AT200" s="290"/>
      <c r="AU200" s="290"/>
      <c r="AV200" s="290"/>
      <c r="AW200" s="290"/>
      <c r="AX200" s="290"/>
      <c r="AY200" s="290"/>
      <c r="AZ200" s="290"/>
    </row>
    <row r="201" spans="1:52" ht="21" x14ac:dyDescent="0.25">
      <c r="A201" s="290"/>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290"/>
      <c r="AD201" s="290"/>
      <c r="AE201" s="290"/>
      <c r="AF201" s="290"/>
      <c r="AG201" s="290"/>
      <c r="AH201" s="290"/>
      <c r="AI201" s="290"/>
      <c r="AJ201" s="290"/>
      <c r="AK201" s="290"/>
      <c r="AL201" s="290"/>
      <c r="AM201" s="290"/>
      <c r="AN201" s="290"/>
      <c r="AO201" s="373" t="s">
        <v>1052</v>
      </c>
      <c r="AP201" s="378" t="s">
        <v>1053</v>
      </c>
      <c r="AQ201" s="291"/>
      <c r="AR201" s="291"/>
      <c r="AS201" s="290"/>
      <c r="AT201" s="290"/>
      <c r="AU201" s="290"/>
      <c r="AV201" s="290"/>
      <c r="AW201" s="290"/>
      <c r="AX201" s="290"/>
      <c r="AY201" s="290"/>
      <c r="AZ201" s="290"/>
    </row>
    <row r="202" spans="1:52" x14ac:dyDescent="0.25">
      <c r="A202" s="290"/>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290"/>
      <c r="AE202" s="290"/>
      <c r="AF202" s="290"/>
      <c r="AG202" s="290"/>
      <c r="AH202" s="290"/>
      <c r="AI202" s="290"/>
      <c r="AJ202" s="290"/>
      <c r="AK202" s="290"/>
      <c r="AL202" s="290"/>
      <c r="AM202" s="290"/>
      <c r="AN202" s="290"/>
      <c r="AO202" s="383"/>
      <c r="AP202" s="383"/>
      <c r="AQ202" s="291"/>
      <c r="AR202" s="291"/>
      <c r="AS202" s="290"/>
      <c r="AT202" s="290"/>
      <c r="AU202" s="290"/>
      <c r="AV202" s="290"/>
      <c r="AW202" s="290"/>
      <c r="AX202" s="290"/>
      <c r="AY202" s="290"/>
      <c r="AZ202" s="290"/>
    </row>
    <row r="203" spans="1:52" ht="21" x14ac:dyDescent="0.25">
      <c r="A203" s="290"/>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290"/>
      <c r="AE203" s="290"/>
      <c r="AF203" s="290"/>
      <c r="AG203" s="290"/>
      <c r="AH203" s="290"/>
      <c r="AI203" s="290"/>
      <c r="AJ203" s="290"/>
      <c r="AK203" s="290"/>
      <c r="AL203" s="290"/>
      <c r="AM203" s="290"/>
      <c r="AN203" s="290"/>
      <c r="AO203" s="373" t="s">
        <v>1054</v>
      </c>
      <c r="AP203" s="307" t="s">
        <v>968</v>
      </c>
      <c r="AQ203" s="291"/>
      <c r="AR203" s="291"/>
      <c r="AS203" s="290"/>
      <c r="AT203" s="290"/>
      <c r="AU203" s="290"/>
      <c r="AV203" s="290"/>
      <c r="AW203" s="290"/>
      <c r="AX203" s="290"/>
      <c r="AY203" s="290"/>
      <c r="AZ203" s="290"/>
    </row>
    <row r="204" spans="1:52" x14ac:dyDescent="0.25">
      <c r="A204" s="290"/>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c r="AD204" s="290"/>
      <c r="AE204" s="290"/>
      <c r="AF204" s="290"/>
      <c r="AG204" s="290"/>
      <c r="AH204" s="290"/>
      <c r="AI204" s="290"/>
      <c r="AJ204" s="290"/>
      <c r="AK204" s="290"/>
      <c r="AL204" s="290"/>
      <c r="AM204" s="290"/>
      <c r="AN204" s="290"/>
      <c r="AO204" s="383"/>
      <c r="AP204" s="383"/>
      <c r="AQ204" s="291"/>
      <c r="AR204" s="291"/>
      <c r="AS204" s="290"/>
      <c r="AT204" s="290"/>
      <c r="AU204" s="290"/>
      <c r="AV204" s="290"/>
      <c r="AW204" s="290"/>
      <c r="AX204" s="290"/>
      <c r="AY204" s="290"/>
      <c r="AZ204" s="290"/>
    </row>
    <row r="205" spans="1:52" ht="21" x14ac:dyDescent="0.25">
      <c r="A205" s="290"/>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c r="AD205" s="290"/>
      <c r="AE205" s="290"/>
      <c r="AF205" s="290"/>
      <c r="AG205" s="290"/>
      <c r="AH205" s="290"/>
      <c r="AI205" s="290"/>
      <c r="AJ205" s="290"/>
      <c r="AK205" s="290"/>
      <c r="AL205" s="290"/>
      <c r="AM205" s="290"/>
      <c r="AN205" s="290"/>
      <c r="AO205" s="373" t="s">
        <v>1055</v>
      </c>
      <c r="AP205" s="378" t="s">
        <v>1056</v>
      </c>
      <c r="AQ205" s="291"/>
      <c r="AR205" s="291"/>
      <c r="AS205" s="290"/>
      <c r="AT205" s="290"/>
      <c r="AU205" s="290"/>
      <c r="AV205" s="290"/>
      <c r="AW205" s="290"/>
      <c r="AX205" s="290"/>
      <c r="AY205" s="290"/>
      <c r="AZ205" s="290"/>
    </row>
    <row r="206" spans="1:52" x14ac:dyDescent="0.25">
      <c r="A206" s="290"/>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290"/>
      <c r="AF206" s="290"/>
      <c r="AG206" s="290"/>
      <c r="AH206" s="290"/>
      <c r="AI206" s="290"/>
      <c r="AJ206" s="290"/>
      <c r="AK206" s="290"/>
      <c r="AL206" s="290"/>
      <c r="AM206" s="290"/>
      <c r="AN206" s="290"/>
      <c r="AO206" s="383"/>
      <c r="AP206" s="383"/>
      <c r="AQ206" s="291"/>
      <c r="AR206" s="291"/>
      <c r="AS206" s="290"/>
      <c r="AT206" s="290"/>
      <c r="AU206" s="290"/>
      <c r="AV206" s="290"/>
      <c r="AW206" s="290"/>
      <c r="AX206" s="290"/>
      <c r="AY206" s="290"/>
      <c r="AZ206" s="290"/>
    </row>
    <row r="207" spans="1:52" ht="21" x14ac:dyDescent="0.25">
      <c r="A207" s="290"/>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290"/>
      <c r="AF207" s="290"/>
      <c r="AG207" s="290"/>
      <c r="AH207" s="290"/>
      <c r="AI207" s="290"/>
      <c r="AJ207" s="290"/>
      <c r="AK207" s="290"/>
      <c r="AL207" s="290"/>
      <c r="AM207" s="290"/>
      <c r="AN207" s="290"/>
      <c r="AO207" s="373" t="s">
        <v>1057</v>
      </c>
      <c r="AP207" s="307" t="s">
        <v>972</v>
      </c>
      <c r="AQ207" s="291"/>
      <c r="AR207" s="291"/>
      <c r="AS207" s="290"/>
      <c r="AT207" s="290"/>
      <c r="AU207" s="290"/>
      <c r="AV207" s="290"/>
      <c r="AW207" s="290"/>
      <c r="AX207" s="290"/>
      <c r="AY207" s="290"/>
      <c r="AZ207" s="290"/>
    </row>
    <row r="208" spans="1:52" ht="21" x14ac:dyDescent="0.25">
      <c r="A208" s="290"/>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90"/>
      <c r="AE208" s="290"/>
      <c r="AF208" s="290"/>
      <c r="AG208" s="290"/>
      <c r="AH208" s="290"/>
      <c r="AI208" s="290"/>
      <c r="AJ208" s="290"/>
      <c r="AK208" s="290"/>
      <c r="AL208" s="290"/>
      <c r="AM208" s="290"/>
      <c r="AN208" s="290"/>
      <c r="AO208" s="373" t="s">
        <v>1058</v>
      </c>
      <c r="AP208" s="373" t="s">
        <v>1059</v>
      </c>
      <c r="AQ208" s="291"/>
      <c r="AR208" s="291"/>
      <c r="AS208" s="290"/>
      <c r="AT208" s="290"/>
      <c r="AU208" s="290"/>
      <c r="AV208" s="290"/>
      <c r="AW208" s="290"/>
      <c r="AX208" s="290"/>
      <c r="AY208" s="290"/>
      <c r="AZ208" s="290"/>
    </row>
    <row r="209" spans="1:52" ht="31.5" x14ac:dyDescent="0.25">
      <c r="A209" s="290"/>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290"/>
      <c r="AE209" s="290"/>
      <c r="AF209" s="290"/>
      <c r="AG209" s="290"/>
      <c r="AH209" s="290"/>
      <c r="AI209" s="290"/>
      <c r="AJ209" s="290"/>
      <c r="AK209" s="290"/>
      <c r="AL209" s="290"/>
      <c r="AM209" s="290"/>
      <c r="AN209" s="290"/>
      <c r="AO209" s="373" t="s">
        <v>1060</v>
      </c>
      <c r="AP209" s="378" t="s">
        <v>1061</v>
      </c>
      <c r="AQ209" s="291"/>
      <c r="AR209" s="291"/>
      <c r="AS209" s="290"/>
      <c r="AT209" s="290"/>
      <c r="AU209" s="290"/>
      <c r="AV209" s="290"/>
      <c r="AW209" s="290"/>
      <c r="AX209" s="290"/>
      <c r="AY209" s="290"/>
      <c r="AZ209" s="290"/>
    </row>
    <row r="210" spans="1:52" ht="21" x14ac:dyDescent="0.25">
      <c r="A210" s="290"/>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c r="AF210" s="290"/>
      <c r="AG210" s="290"/>
      <c r="AH210" s="290"/>
      <c r="AI210" s="290"/>
      <c r="AJ210" s="290"/>
      <c r="AK210" s="290"/>
      <c r="AL210" s="290"/>
      <c r="AM210" s="290"/>
      <c r="AN210" s="290"/>
      <c r="AO210" s="373" t="s">
        <v>1062</v>
      </c>
      <c r="AP210" s="307" t="s">
        <v>1007</v>
      </c>
      <c r="AQ210" s="291"/>
      <c r="AR210" s="291"/>
      <c r="AS210" s="290"/>
      <c r="AT210" s="290"/>
      <c r="AU210" s="290"/>
      <c r="AV210" s="290"/>
      <c r="AW210" s="290"/>
      <c r="AX210" s="290"/>
      <c r="AY210" s="290"/>
      <c r="AZ210" s="290"/>
    </row>
    <row r="211" spans="1:52" ht="21" x14ac:dyDescent="0.25">
      <c r="A211" s="290"/>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290"/>
      <c r="AE211" s="290"/>
      <c r="AF211" s="290"/>
      <c r="AG211" s="290"/>
      <c r="AH211" s="290"/>
      <c r="AI211" s="290"/>
      <c r="AJ211" s="290"/>
      <c r="AK211" s="290"/>
      <c r="AL211" s="290"/>
      <c r="AM211" s="290"/>
      <c r="AN211" s="290"/>
      <c r="AO211" s="373" t="s">
        <v>1063</v>
      </c>
      <c r="AP211" s="307" t="s">
        <v>962</v>
      </c>
      <c r="AQ211" s="291"/>
      <c r="AR211" s="291"/>
      <c r="AS211" s="290"/>
      <c r="AT211" s="290"/>
      <c r="AU211" s="290"/>
      <c r="AV211" s="290"/>
      <c r="AW211" s="290"/>
      <c r="AX211" s="290"/>
      <c r="AY211" s="290"/>
      <c r="AZ211" s="290"/>
    </row>
    <row r="212" spans="1:52" x14ac:dyDescent="0.25">
      <c r="A212" s="290"/>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290"/>
      <c r="AE212" s="290"/>
      <c r="AF212" s="290"/>
      <c r="AG212" s="290"/>
      <c r="AH212" s="290"/>
      <c r="AI212" s="290"/>
      <c r="AJ212" s="290"/>
      <c r="AK212" s="290"/>
      <c r="AL212" s="290"/>
      <c r="AM212" s="290"/>
      <c r="AN212" s="290"/>
      <c r="AO212" s="383"/>
      <c r="AP212" s="383"/>
      <c r="AQ212" s="291"/>
      <c r="AR212" s="291"/>
      <c r="AS212" s="290"/>
      <c r="AT212" s="290"/>
      <c r="AU212" s="290"/>
      <c r="AV212" s="290"/>
      <c r="AW212" s="290"/>
      <c r="AX212" s="290"/>
      <c r="AY212" s="290"/>
      <c r="AZ212" s="290"/>
    </row>
    <row r="213" spans="1:52" ht="21" x14ac:dyDescent="0.25">
      <c r="A213" s="290"/>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290"/>
      <c r="AE213" s="290"/>
      <c r="AF213" s="290"/>
      <c r="AG213" s="290"/>
      <c r="AH213" s="290"/>
      <c r="AI213" s="290"/>
      <c r="AJ213" s="290"/>
      <c r="AK213" s="290"/>
      <c r="AL213" s="290"/>
      <c r="AM213" s="290"/>
      <c r="AN213" s="290"/>
      <c r="AO213" s="373" t="s">
        <v>1064</v>
      </c>
      <c r="AP213" s="307" t="s">
        <v>1065</v>
      </c>
      <c r="AQ213" s="291"/>
      <c r="AR213" s="291"/>
      <c r="AS213" s="290"/>
      <c r="AT213" s="290"/>
      <c r="AU213" s="290"/>
      <c r="AV213" s="290"/>
      <c r="AW213" s="290"/>
      <c r="AX213" s="290"/>
      <c r="AY213" s="290"/>
      <c r="AZ213" s="290"/>
    </row>
    <row r="214" spans="1:52" ht="21" x14ac:dyDescent="0.25">
      <c r="A214" s="290"/>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X214" s="290"/>
      <c r="Y214" s="290"/>
      <c r="Z214" s="290"/>
      <c r="AA214" s="290"/>
      <c r="AB214" s="290"/>
      <c r="AC214" s="290"/>
      <c r="AD214" s="290"/>
      <c r="AE214" s="290"/>
      <c r="AF214" s="290"/>
      <c r="AG214" s="290"/>
      <c r="AH214" s="290"/>
      <c r="AI214" s="290"/>
      <c r="AJ214" s="290"/>
      <c r="AK214" s="290"/>
      <c r="AL214" s="290"/>
      <c r="AM214" s="290"/>
      <c r="AN214" s="290"/>
      <c r="AO214" s="383"/>
      <c r="AP214" s="373" t="s">
        <v>1066</v>
      </c>
      <c r="AQ214" s="291"/>
      <c r="AR214" s="291"/>
      <c r="AS214" s="290"/>
      <c r="AT214" s="290"/>
      <c r="AU214" s="290"/>
      <c r="AV214" s="290"/>
      <c r="AW214" s="290"/>
      <c r="AX214" s="290"/>
      <c r="AY214" s="290"/>
      <c r="AZ214" s="290"/>
    </row>
    <row r="215" spans="1:52" x14ac:dyDescent="0.25">
      <c r="A215" s="290"/>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c r="AE215" s="290"/>
      <c r="AF215" s="290"/>
      <c r="AG215" s="290"/>
      <c r="AH215" s="290"/>
      <c r="AI215" s="290"/>
      <c r="AJ215" s="290"/>
      <c r="AK215" s="290"/>
      <c r="AL215" s="290"/>
      <c r="AM215" s="290"/>
      <c r="AN215" s="290"/>
      <c r="AO215" s="373" t="s">
        <v>1067</v>
      </c>
      <c r="AP215" s="307" t="s">
        <v>1068</v>
      </c>
      <c r="AQ215" s="291"/>
      <c r="AR215" s="291"/>
      <c r="AS215" s="290"/>
      <c r="AT215" s="290"/>
      <c r="AU215" s="290"/>
      <c r="AV215" s="290"/>
      <c r="AW215" s="290"/>
      <c r="AX215" s="290"/>
      <c r="AY215" s="290"/>
      <c r="AZ215" s="290"/>
    </row>
    <row r="216" spans="1:52" ht="21" x14ac:dyDescent="0.25">
      <c r="A216" s="290"/>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c r="AE216" s="290"/>
      <c r="AF216" s="290"/>
      <c r="AG216" s="290"/>
      <c r="AH216" s="290"/>
      <c r="AI216" s="290"/>
      <c r="AJ216" s="290"/>
      <c r="AK216" s="290"/>
      <c r="AL216" s="290"/>
      <c r="AM216" s="290"/>
      <c r="AN216" s="290"/>
      <c r="AO216" s="373" t="s">
        <v>1069</v>
      </c>
      <c r="AP216" s="307" t="s">
        <v>1070</v>
      </c>
      <c r="AQ216" s="291"/>
      <c r="AR216" s="291"/>
      <c r="AS216" s="290"/>
      <c r="AT216" s="290"/>
      <c r="AU216" s="290"/>
      <c r="AV216" s="290"/>
      <c r="AW216" s="290"/>
      <c r="AX216" s="290"/>
      <c r="AY216" s="290"/>
      <c r="AZ216" s="290"/>
    </row>
    <row r="217" spans="1:52" ht="21" x14ac:dyDescent="0.25">
      <c r="A217" s="290"/>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90"/>
      <c r="AE217" s="290"/>
      <c r="AF217" s="290"/>
      <c r="AG217" s="290"/>
      <c r="AH217" s="290"/>
      <c r="AI217" s="290"/>
      <c r="AJ217" s="290"/>
      <c r="AK217" s="290"/>
      <c r="AL217" s="290"/>
      <c r="AM217" s="290"/>
      <c r="AN217" s="290"/>
      <c r="AO217" s="373" t="s">
        <v>1071</v>
      </c>
      <c r="AP217" s="307" t="s">
        <v>1072</v>
      </c>
      <c r="AQ217" s="291"/>
      <c r="AR217" s="291"/>
      <c r="AS217" s="290"/>
      <c r="AT217" s="290"/>
      <c r="AU217" s="290"/>
      <c r="AV217" s="290"/>
      <c r="AW217" s="290"/>
      <c r="AX217" s="290"/>
      <c r="AY217" s="290"/>
      <c r="AZ217" s="290"/>
    </row>
    <row r="218" spans="1:52" x14ac:dyDescent="0.25">
      <c r="A218" s="290"/>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90"/>
      <c r="AE218" s="290"/>
      <c r="AF218" s="290"/>
      <c r="AG218" s="290"/>
      <c r="AH218" s="290"/>
      <c r="AI218" s="290"/>
      <c r="AJ218" s="290"/>
      <c r="AK218" s="290"/>
      <c r="AL218" s="290"/>
      <c r="AM218" s="290"/>
      <c r="AN218" s="290"/>
      <c r="AO218" s="383"/>
      <c r="AP218" s="383"/>
      <c r="AQ218" s="291"/>
      <c r="AR218" s="291"/>
      <c r="AS218" s="290"/>
      <c r="AT218" s="290"/>
      <c r="AU218" s="290"/>
      <c r="AV218" s="290"/>
      <c r="AW218" s="290"/>
      <c r="AX218" s="290"/>
      <c r="AY218" s="290"/>
      <c r="AZ218" s="290"/>
    </row>
    <row r="219" spans="1:52" ht="21" x14ac:dyDescent="0.25">
      <c r="A219" s="290"/>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90"/>
      <c r="AE219" s="290"/>
      <c r="AF219" s="290"/>
      <c r="AG219" s="290"/>
      <c r="AH219" s="290"/>
      <c r="AI219" s="290"/>
      <c r="AJ219" s="290"/>
      <c r="AK219" s="290"/>
      <c r="AL219" s="290"/>
      <c r="AM219" s="290"/>
      <c r="AN219" s="290"/>
      <c r="AO219" s="373" t="s">
        <v>1073</v>
      </c>
      <c r="AP219" s="307" t="s">
        <v>1010</v>
      </c>
      <c r="AQ219" s="291"/>
      <c r="AR219" s="291"/>
      <c r="AS219" s="290"/>
      <c r="AT219" s="290"/>
      <c r="AU219" s="290"/>
      <c r="AV219" s="290"/>
      <c r="AW219" s="290"/>
      <c r="AX219" s="290"/>
      <c r="AY219" s="290"/>
      <c r="AZ219" s="290"/>
    </row>
    <row r="220" spans="1:52" ht="21" x14ac:dyDescent="0.25">
      <c r="A220" s="290"/>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c r="AE220" s="290"/>
      <c r="AF220" s="290"/>
      <c r="AG220" s="290"/>
      <c r="AH220" s="290"/>
      <c r="AI220" s="290"/>
      <c r="AJ220" s="290"/>
      <c r="AK220" s="290"/>
      <c r="AL220" s="290"/>
      <c r="AM220" s="290"/>
      <c r="AN220" s="290"/>
      <c r="AO220" s="373" t="s">
        <v>1074</v>
      </c>
      <c r="AP220" s="307" t="s">
        <v>1024</v>
      </c>
      <c r="AQ220" s="291"/>
      <c r="AR220" s="291"/>
      <c r="AS220" s="290"/>
      <c r="AT220" s="290"/>
      <c r="AU220" s="290"/>
      <c r="AV220" s="290"/>
      <c r="AW220" s="290"/>
      <c r="AX220" s="290"/>
      <c r="AY220" s="290"/>
      <c r="AZ220" s="290"/>
    </row>
    <row r="221" spans="1:52" ht="21" x14ac:dyDescent="0.25">
      <c r="A221" s="290"/>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290"/>
      <c r="AE221" s="290"/>
      <c r="AF221" s="290"/>
      <c r="AG221" s="290"/>
      <c r="AH221" s="290"/>
      <c r="AI221" s="290"/>
      <c r="AJ221" s="290"/>
      <c r="AK221" s="290"/>
      <c r="AL221" s="290"/>
      <c r="AM221" s="290"/>
      <c r="AN221" s="290"/>
      <c r="AO221" s="373" t="s">
        <v>1075</v>
      </c>
      <c r="AP221" s="307" t="s">
        <v>1076</v>
      </c>
      <c r="AQ221" s="291"/>
      <c r="AR221" s="291"/>
      <c r="AS221" s="290"/>
      <c r="AT221" s="290"/>
      <c r="AU221" s="290"/>
      <c r="AV221" s="290"/>
      <c r="AW221" s="290"/>
      <c r="AX221" s="290"/>
      <c r="AY221" s="290"/>
      <c r="AZ221" s="290"/>
    </row>
    <row r="222" spans="1:52" ht="21" x14ac:dyDescent="0.25">
      <c r="A222" s="290"/>
      <c r="B222" s="290"/>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c r="AA222" s="290"/>
      <c r="AB222" s="290"/>
      <c r="AC222" s="290"/>
      <c r="AD222" s="290"/>
      <c r="AE222" s="290"/>
      <c r="AF222" s="290"/>
      <c r="AG222" s="290"/>
      <c r="AH222" s="290"/>
      <c r="AI222" s="290"/>
      <c r="AJ222" s="290"/>
      <c r="AK222" s="290"/>
      <c r="AL222" s="290"/>
      <c r="AM222" s="290"/>
      <c r="AN222" s="290"/>
      <c r="AO222" s="373" t="s">
        <v>1077</v>
      </c>
      <c r="AP222" s="307" t="s">
        <v>1078</v>
      </c>
      <c r="AQ222" s="291"/>
      <c r="AR222" s="291"/>
      <c r="AS222" s="290"/>
      <c r="AT222" s="290"/>
      <c r="AU222" s="290"/>
      <c r="AV222" s="290"/>
      <c r="AW222" s="290"/>
      <c r="AX222" s="290"/>
      <c r="AY222" s="290"/>
      <c r="AZ222" s="290"/>
    </row>
    <row r="223" spans="1:52" x14ac:dyDescent="0.25">
      <c r="A223" s="290"/>
      <c r="B223" s="290"/>
      <c r="C223" s="290"/>
      <c r="D223" s="290"/>
      <c r="E223" s="290"/>
      <c r="F223" s="290"/>
      <c r="G223" s="290"/>
      <c r="H223" s="290"/>
      <c r="I223" s="290"/>
      <c r="J223" s="290"/>
      <c r="K223" s="290"/>
      <c r="L223" s="290"/>
      <c r="M223" s="290"/>
      <c r="N223" s="290"/>
      <c r="O223" s="290"/>
      <c r="P223" s="290"/>
      <c r="Q223" s="290"/>
      <c r="R223" s="290"/>
      <c r="S223" s="290"/>
      <c r="T223" s="290"/>
      <c r="U223" s="290"/>
      <c r="V223" s="290"/>
      <c r="W223" s="290"/>
      <c r="X223" s="290"/>
      <c r="Y223" s="290"/>
      <c r="Z223" s="290"/>
      <c r="AA223" s="290"/>
      <c r="AB223" s="290"/>
      <c r="AC223" s="290"/>
      <c r="AD223" s="290"/>
      <c r="AE223" s="290"/>
      <c r="AF223" s="290"/>
      <c r="AG223" s="290"/>
      <c r="AH223" s="290"/>
      <c r="AI223" s="290"/>
      <c r="AJ223" s="290"/>
      <c r="AK223" s="290"/>
      <c r="AL223" s="290"/>
      <c r="AM223" s="290"/>
      <c r="AN223" s="290"/>
      <c r="AO223" s="383"/>
      <c r="AP223" s="383"/>
      <c r="AQ223" s="291"/>
      <c r="AR223" s="291"/>
      <c r="AS223" s="290"/>
      <c r="AT223" s="290"/>
      <c r="AU223" s="290"/>
      <c r="AV223" s="290"/>
      <c r="AW223" s="290"/>
      <c r="AX223" s="290"/>
      <c r="AY223" s="290"/>
      <c r="AZ223" s="290"/>
    </row>
    <row r="224" spans="1:52" x14ac:dyDescent="0.25">
      <c r="A224" s="290"/>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c r="AE224" s="290"/>
      <c r="AF224" s="290"/>
      <c r="AG224" s="290"/>
      <c r="AH224" s="290"/>
      <c r="AI224" s="290"/>
      <c r="AJ224" s="290"/>
      <c r="AK224" s="290"/>
      <c r="AL224" s="290"/>
      <c r="AM224" s="290"/>
      <c r="AN224" s="290"/>
      <c r="AO224" s="373" t="s">
        <v>1079</v>
      </c>
      <c r="AP224" s="307" t="s">
        <v>1013</v>
      </c>
      <c r="AQ224" s="291"/>
      <c r="AR224" s="291"/>
      <c r="AS224" s="290"/>
      <c r="AT224" s="290"/>
      <c r="AU224" s="290"/>
      <c r="AV224" s="290"/>
      <c r="AW224" s="290"/>
      <c r="AX224" s="290"/>
      <c r="AY224" s="290"/>
      <c r="AZ224" s="290"/>
    </row>
    <row r="225" spans="1:52" x14ac:dyDescent="0.25">
      <c r="A225" s="290"/>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290"/>
      <c r="AF225" s="290"/>
      <c r="AG225" s="290"/>
      <c r="AH225" s="290"/>
      <c r="AI225" s="290"/>
      <c r="AJ225" s="290"/>
      <c r="AK225" s="290"/>
      <c r="AL225" s="290"/>
      <c r="AM225" s="290"/>
      <c r="AN225" s="290"/>
      <c r="AO225" s="373" t="s">
        <v>1080</v>
      </c>
      <c r="AP225" s="307" t="s">
        <v>988</v>
      </c>
      <c r="AQ225" s="291"/>
      <c r="AR225" s="291"/>
      <c r="AS225" s="290"/>
      <c r="AT225" s="290"/>
      <c r="AU225" s="290"/>
      <c r="AV225" s="290"/>
      <c r="AW225" s="290"/>
      <c r="AX225" s="290"/>
      <c r="AY225" s="290"/>
      <c r="AZ225" s="290"/>
    </row>
    <row r="226" spans="1:52" ht="21" x14ac:dyDescent="0.25">
      <c r="A226" s="290"/>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c r="AA226" s="290"/>
      <c r="AB226" s="290"/>
      <c r="AC226" s="290"/>
      <c r="AD226" s="290"/>
      <c r="AE226" s="290"/>
      <c r="AF226" s="290"/>
      <c r="AG226" s="290"/>
      <c r="AH226" s="290"/>
      <c r="AI226" s="290"/>
      <c r="AJ226" s="290"/>
      <c r="AK226" s="290"/>
      <c r="AL226" s="290"/>
      <c r="AM226" s="290"/>
      <c r="AN226" s="290"/>
      <c r="AO226" s="373" t="s">
        <v>1081</v>
      </c>
      <c r="AP226" s="307" t="s">
        <v>1082</v>
      </c>
      <c r="AQ226" s="291"/>
      <c r="AR226" s="291"/>
      <c r="AS226" s="290"/>
      <c r="AT226" s="290"/>
      <c r="AU226" s="290"/>
      <c r="AV226" s="290"/>
      <c r="AW226" s="290"/>
      <c r="AX226" s="290"/>
      <c r="AY226" s="290"/>
      <c r="AZ226" s="290"/>
    </row>
    <row r="227" spans="1:52" ht="21" x14ac:dyDescent="0.25">
      <c r="A227" s="290"/>
      <c r="B227" s="290"/>
      <c r="C227" s="290"/>
      <c r="D227" s="290"/>
      <c r="E227" s="290"/>
      <c r="F227" s="290"/>
      <c r="G227" s="290"/>
      <c r="H227" s="290"/>
      <c r="I227" s="290"/>
      <c r="J227" s="290"/>
      <c r="K227" s="290"/>
      <c r="L227" s="290"/>
      <c r="M227" s="290"/>
      <c r="N227" s="290"/>
      <c r="O227" s="290"/>
      <c r="P227" s="290"/>
      <c r="Q227" s="290"/>
      <c r="R227" s="290"/>
      <c r="S227" s="290"/>
      <c r="T227" s="290"/>
      <c r="U227" s="290"/>
      <c r="V227" s="290"/>
      <c r="W227" s="290"/>
      <c r="X227" s="290"/>
      <c r="Y227" s="290"/>
      <c r="Z227" s="290"/>
      <c r="AA227" s="290"/>
      <c r="AB227" s="290"/>
      <c r="AC227" s="290"/>
      <c r="AD227" s="290"/>
      <c r="AE227" s="290"/>
      <c r="AF227" s="290"/>
      <c r="AG227" s="290"/>
      <c r="AH227" s="290"/>
      <c r="AI227" s="290"/>
      <c r="AJ227" s="290"/>
      <c r="AK227" s="290"/>
      <c r="AL227" s="290"/>
      <c r="AM227" s="290"/>
      <c r="AN227" s="290"/>
      <c r="AO227" s="373" t="s">
        <v>1083</v>
      </c>
      <c r="AP227" s="307" t="s">
        <v>1084</v>
      </c>
      <c r="AQ227" s="291"/>
      <c r="AR227" s="291"/>
      <c r="AS227" s="290"/>
      <c r="AT227" s="290"/>
      <c r="AU227" s="290"/>
      <c r="AV227" s="290"/>
      <c r="AW227" s="290"/>
      <c r="AX227" s="290"/>
      <c r="AY227" s="290"/>
      <c r="AZ227" s="290"/>
    </row>
    <row r="228" spans="1:52" ht="21" x14ac:dyDescent="0.25">
      <c r="A228" s="290"/>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c r="AF228" s="290"/>
      <c r="AG228" s="290"/>
      <c r="AH228" s="290"/>
      <c r="AI228" s="290"/>
      <c r="AJ228" s="290"/>
      <c r="AK228" s="290"/>
      <c r="AL228" s="290"/>
      <c r="AM228" s="290"/>
      <c r="AN228" s="290"/>
      <c r="AO228" s="373" t="s">
        <v>1085</v>
      </c>
      <c r="AP228" s="307" t="s">
        <v>1005</v>
      </c>
      <c r="AQ228" s="291"/>
      <c r="AR228" s="291"/>
      <c r="AS228" s="290"/>
      <c r="AT228" s="290"/>
      <c r="AU228" s="290"/>
      <c r="AV228" s="290"/>
      <c r="AW228" s="290"/>
      <c r="AX228" s="290"/>
      <c r="AY228" s="290"/>
      <c r="AZ228" s="290"/>
    </row>
    <row r="229" spans="1:52" ht="21" x14ac:dyDescent="0.25">
      <c r="A229" s="290"/>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c r="AE229" s="290"/>
      <c r="AF229" s="290"/>
      <c r="AG229" s="290"/>
      <c r="AH229" s="290"/>
      <c r="AI229" s="290"/>
      <c r="AJ229" s="290"/>
      <c r="AK229" s="290"/>
      <c r="AL229" s="290"/>
      <c r="AM229" s="290"/>
      <c r="AN229" s="290"/>
      <c r="AO229" s="373" t="s">
        <v>1086</v>
      </c>
      <c r="AP229" s="307" t="s">
        <v>1045</v>
      </c>
      <c r="AQ229" s="291"/>
      <c r="AR229" s="291"/>
      <c r="AS229" s="290"/>
      <c r="AT229" s="290"/>
      <c r="AU229" s="290"/>
      <c r="AV229" s="290"/>
      <c r="AW229" s="290"/>
      <c r="AX229" s="290"/>
      <c r="AY229" s="290"/>
      <c r="AZ229" s="290"/>
    </row>
    <row r="230" spans="1:52" x14ac:dyDescent="0.25">
      <c r="A230" s="290"/>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c r="AA230" s="290"/>
      <c r="AB230" s="290"/>
      <c r="AC230" s="290"/>
      <c r="AD230" s="290"/>
      <c r="AE230" s="290"/>
      <c r="AF230" s="290"/>
      <c r="AG230" s="290"/>
      <c r="AH230" s="290"/>
      <c r="AI230" s="290"/>
      <c r="AJ230" s="290"/>
      <c r="AK230" s="290"/>
      <c r="AL230" s="290"/>
      <c r="AM230" s="290"/>
      <c r="AN230" s="290"/>
      <c r="AO230" s="373" t="s">
        <v>1087</v>
      </c>
      <c r="AP230" s="307" t="s">
        <v>1088</v>
      </c>
      <c r="AQ230" s="291"/>
      <c r="AR230" s="291"/>
      <c r="AS230" s="290"/>
      <c r="AT230" s="290"/>
      <c r="AU230" s="290"/>
      <c r="AV230" s="290"/>
      <c r="AW230" s="290"/>
      <c r="AX230" s="290"/>
      <c r="AY230" s="290"/>
      <c r="AZ230" s="290"/>
    </row>
    <row r="231" spans="1:52" x14ac:dyDescent="0.25">
      <c r="A231" s="290"/>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90"/>
      <c r="AE231" s="290"/>
      <c r="AF231" s="290"/>
      <c r="AG231" s="290"/>
      <c r="AH231" s="290"/>
      <c r="AI231" s="290"/>
      <c r="AJ231" s="290"/>
      <c r="AK231" s="290"/>
      <c r="AL231" s="290"/>
      <c r="AM231" s="290"/>
      <c r="AN231" s="290"/>
      <c r="AO231" s="373" t="s">
        <v>1089</v>
      </c>
      <c r="AP231" s="307" t="s">
        <v>976</v>
      </c>
      <c r="AQ231" s="291"/>
      <c r="AR231" s="291"/>
      <c r="AS231" s="290"/>
      <c r="AT231" s="290"/>
      <c r="AU231" s="290"/>
      <c r="AV231" s="290"/>
      <c r="AW231" s="290"/>
      <c r="AX231" s="290"/>
      <c r="AY231" s="290"/>
      <c r="AZ231" s="290"/>
    </row>
    <row r="232" spans="1:52" ht="21" x14ac:dyDescent="0.25">
      <c r="A232" s="290"/>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290"/>
      <c r="AE232" s="290"/>
      <c r="AF232" s="290"/>
      <c r="AG232" s="290"/>
      <c r="AH232" s="290"/>
      <c r="AI232" s="290"/>
      <c r="AJ232" s="290"/>
      <c r="AK232" s="290"/>
      <c r="AL232" s="290"/>
      <c r="AM232" s="290"/>
      <c r="AN232" s="290"/>
      <c r="AO232" s="373" t="s">
        <v>1090</v>
      </c>
      <c r="AP232" s="307" t="s">
        <v>1065</v>
      </c>
      <c r="AQ232" s="291"/>
      <c r="AR232" s="291"/>
      <c r="AS232" s="290"/>
      <c r="AT232" s="290"/>
      <c r="AU232" s="290"/>
      <c r="AV232" s="290"/>
      <c r="AW232" s="290"/>
      <c r="AX232" s="290"/>
      <c r="AY232" s="290"/>
      <c r="AZ232" s="290"/>
    </row>
    <row r="233" spans="1:52" x14ac:dyDescent="0.25">
      <c r="A233" s="290"/>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c r="AE233" s="290"/>
      <c r="AF233" s="290"/>
      <c r="AG233" s="290"/>
      <c r="AH233" s="290"/>
      <c r="AI233" s="290"/>
      <c r="AJ233" s="290"/>
      <c r="AK233" s="290"/>
      <c r="AL233" s="290"/>
      <c r="AM233" s="290"/>
      <c r="AN233" s="290"/>
      <c r="AO233" s="373" t="s">
        <v>1091</v>
      </c>
      <c r="AP233" s="307" t="s">
        <v>1007</v>
      </c>
      <c r="AQ233" s="291"/>
      <c r="AR233" s="291"/>
      <c r="AS233" s="290"/>
      <c r="AT233" s="290"/>
      <c r="AU233" s="290"/>
      <c r="AV233" s="290"/>
      <c r="AW233" s="290"/>
      <c r="AX233" s="290"/>
      <c r="AY233" s="290"/>
      <c r="AZ233" s="290"/>
    </row>
    <row r="234" spans="1:52" ht="21" x14ac:dyDescent="0.25">
      <c r="A234" s="290"/>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90"/>
      <c r="AE234" s="290"/>
      <c r="AF234" s="290"/>
      <c r="AG234" s="290"/>
      <c r="AH234" s="290"/>
      <c r="AI234" s="290"/>
      <c r="AJ234" s="290"/>
      <c r="AK234" s="290"/>
      <c r="AL234" s="290"/>
      <c r="AM234" s="290"/>
      <c r="AN234" s="290"/>
      <c r="AO234" s="373" t="s">
        <v>1092</v>
      </c>
      <c r="AP234" s="307" t="s">
        <v>972</v>
      </c>
      <c r="AQ234" s="291"/>
      <c r="AR234" s="291"/>
      <c r="AS234" s="290"/>
      <c r="AT234" s="290"/>
      <c r="AU234" s="290"/>
      <c r="AV234" s="290"/>
      <c r="AW234" s="290"/>
      <c r="AX234" s="290"/>
      <c r="AY234" s="290"/>
      <c r="AZ234" s="290"/>
    </row>
    <row r="235" spans="1:52" ht="21" x14ac:dyDescent="0.25">
      <c r="A235" s="290"/>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90"/>
      <c r="AE235" s="290"/>
      <c r="AF235" s="290"/>
      <c r="AG235" s="290"/>
      <c r="AH235" s="290"/>
      <c r="AI235" s="290"/>
      <c r="AJ235" s="290"/>
      <c r="AK235" s="290"/>
      <c r="AL235" s="290"/>
      <c r="AM235" s="290"/>
      <c r="AN235" s="290"/>
      <c r="AO235" s="373" t="s">
        <v>1093</v>
      </c>
      <c r="AP235" s="307" t="s">
        <v>1094</v>
      </c>
      <c r="AQ235" s="291"/>
      <c r="AR235" s="291"/>
      <c r="AS235" s="290"/>
      <c r="AT235" s="290"/>
      <c r="AU235" s="290"/>
      <c r="AV235" s="290"/>
      <c r="AW235" s="290"/>
      <c r="AX235" s="290"/>
      <c r="AY235" s="290"/>
      <c r="AZ235" s="290"/>
    </row>
    <row r="236" spans="1:52" ht="21" x14ac:dyDescent="0.25">
      <c r="A236" s="290"/>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c r="AA236" s="290"/>
      <c r="AB236" s="290"/>
      <c r="AC236" s="290"/>
      <c r="AD236" s="290"/>
      <c r="AE236" s="290"/>
      <c r="AF236" s="290"/>
      <c r="AG236" s="290"/>
      <c r="AH236" s="290"/>
      <c r="AI236" s="290"/>
      <c r="AJ236" s="290"/>
      <c r="AK236" s="290"/>
      <c r="AL236" s="290"/>
      <c r="AM236" s="290"/>
      <c r="AN236" s="290"/>
      <c r="AO236" s="373" t="s">
        <v>1095</v>
      </c>
      <c r="AP236" s="307" t="s">
        <v>1035</v>
      </c>
      <c r="AQ236" s="291"/>
      <c r="AR236" s="291"/>
      <c r="AS236" s="290"/>
      <c r="AT236" s="290"/>
      <c r="AU236" s="290"/>
      <c r="AV236" s="290"/>
      <c r="AW236" s="290"/>
      <c r="AX236" s="290"/>
      <c r="AY236" s="290"/>
      <c r="AZ236" s="290"/>
    </row>
    <row r="237" spans="1:52" ht="21" x14ac:dyDescent="0.25">
      <c r="A237" s="290"/>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c r="AA237" s="290"/>
      <c r="AB237" s="290"/>
      <c r="AC237" s="290"/>
      <c r="AD237" s="290"/>
      <c r="AE237" s="290"/>
      <c r="AF237" s="290"/>
      <c r="AG237" s="290"/>
      <c r="AH237" s="290"/>
      <c r="AI237" s="290"/>
      <c r="AJ237" s="290"/>
      <c r="AK237" s="290"/>
      <c r="AL237" s="290"/>
      <c r="AM237" s="290"/>
      <c r="AN237" s="290"/>
      <c r="AO237" s="373" t="s">
        <v>1096</v>
      </c>
      <c r="AP237" s="307" t="s">
        <v>1097</v>
      </c>
      <c r="AQ237" s="291"/>
      <c r="AR237" s="291"/>
      <c r="AS237" s="290"/>
      <c r="AT237" s="290"/>
      <c r="AU237" s="290"/>
      <c r="AV237" s="290"/>
      <c r="AW237" s="290"/>
      <c r="AX237" s="290"/>
      <c r="AY237" s="290"/>
      <c r="AZ237" s="290"/>
    </row>
    <row r="238" spans="1:52" ht="21" x14ac:dyDescent="0.25">
      <c r="A238" s="290"/>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c r="AA238" s="290"/>
      <c r="AB238" s="290"/>
      <c r="AC238" s="290"/>
      <c r="AD238" s="290"/>
      <c r="AE238" s="290"/>
      <c r="AF238" s="290"/>
      <c r="AG238" s="290"/>
      <c r="AH238" s="290"/>
      <c r="AI238" s="290"/>
      <c r="AJ238" s="290"/>
      <c r="AK238" s="290"/>
      <c r="AL238" s="290"/>
      <c r="AM238" s="290"/>
      <c r="AN238" s="290"/>
      <c r="AO238" s="373" t="s">
        <v>1098</v>
      </c>
      <c r="AP238" s="307" t="s">
        <v>1099</v>
      </c>
      <c r="AQ238" s="291"/>
      <c r="AR238" s="291"/>
      <c r="AS238" s="290"/>
      <c r="AT238" s="290"/>
      <c r="AU238" s="290"/>
      <c r="AV238" s="290"/>
      <c r="AW238" s="290"/>
      <c r="AX238" s="290"/>
      <c r="AY238" s="290"/>
      <c r="AZ238" s="290"/>
    </row>
    <row r="239" spans="1:52" ht="21" x14ac:dyDescent="0.25">
      <c r="A239" s="290"/>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c r="AA239" s="290"/>
      <c r="AB239" s="290"/>
      <c r="AC239" s="290"/>
      <c r="AD239" s="290"/>
      <c r="AE239" s="290"/>
      <c r="AF239" s="290"/>
      <c r="AG239" s="290"/>
      <c r="AH239" s="290"/>
      <c r="AI239" s="290"/>
      <c r="AJ239" s="290"/>
      <c r="AK239" s="290"/>
      <c r="AL239" s="290"/>
      <c r="AM239" s="290"/>
      <c r="AN239" s="290"/>
      <c r="AO239" s="373" t="s">
        <v>1100</v>
      </c>
      <c r="AP239" s="307" t="s">
        <v>1072</v>
      </c>
      <c r="AQ239" s="291"/>
      <c r="AR239" s="291"/>
      <c r="AS239" s="290"/>
      <c r="AT239" s="290"/>
      <c r="AU239" s="290"/>
      <c r="AV239" s="290"/>
      <c r="AW239" s="290"/>
      <c r="AX239" s="290"/>
      <c r="AY239" s="290"/>
      <c r="AZ239" s="290"/>
    </row>
    <row r="240" spans="1:52" ht="21" x14ac:dyDescent="0.25">
      <c r="A240" s="290"/>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c r="AA240" s="290"/>
      <c r="AB240" s="290"/>
      <c r="AC240" s="290"/>
      <c r="AD240" s="290"/>
      <c r="AE240" s="290"/>
      <c r="AF240" s="290"/>
      <c r="AG240" s="290"/>
      <c r="AH240" s="290"/>
      <c r="AI240" s="290"/>
      <c r="AJ240" s="290"/>
      <c r="AK240" s="290"/>
      <c r="AL240" s="290"/>
      <c r="AM240" s="290"/>
      <c r="AN240" s="290"/>
      <c r="AO240" s="373" t="s">
        <v>1101</v>
      </c>
      <c r="AP240" s="307" t="s">
        <v>986</v>
      </c>
      <c r="AQ240" s="291"/>
      <c r="AR240" s="291"/>
      <c r="AS240" s="290"/>
      <c r="AT240" s="290"/>
      <c r="AU240" s="290"/>
      <c r="AV240" s="290"/>
      <c r="AW240" s="290"/>
      <c r="AX240" s="290"/>
      <c r="AY240" s="290"/>
      <c r="AZ240" s="290"/>
    </row>
    <row r="241" spans="1:52" x14ac:dyDescent="0.25">
      <c r="A241" s="290"/>
      <c r="B241" s="290"/>
      <c r="C241" s="290"/>
      <c r="D241" s="290"/>
      <c r="E241" s="290"/>
      <c r="F241" s="290"/>
      <c r="G241" s="290"/>
      <c r="H241" s="290"/>
      <c r="I241" s="290"/>
      <c r="J241" s="290"/>
      <c r="K241" s="290"/>
      <c r="L241" s="290"/>
      <c r="M241" s="290"/>
      <c r="N241" s="290"/>
      <c r="O241" s="290"/>
      <c r="P241" s="290"/>
      <c r="Q241" s="290"/>
      <c r="R241" s="290"/>
      <c r="S241" s="290"/>
      <c r="T241" s="290"/>
      <c r="U241" s="290"/>
      <c r="V241" s="290"/>
      <c r="W241" s="290"/>
      <c r="X241" s="290"/>
      <c r="Y241" s="290"/>
      <c r="Z241" s="290"/>
      <c r="AA241" s="290"/>
      <c r="AB241" s="290"/>
      <c r="AC241" s="290"/>
      <c r="AD241" s="290"/>
      <c r="AE241" s="290"/>
      <c r="AF241" s="290"/>
      <c r="AG241" s="290"/>
      <c r="AH241" s="290"/>
      <c r="AI241" s="290"/>
      <c r="AJ241" s="290"/>
      <c r="AK241" s="290"/>
      <c r="AL241" s="290"/>
      <c r="AM241" s="290"/>
      <c r="AN241" s="290"/>
      <c r="AO241" s="373" t="s">
        <v>1102</v>
      </c>
      <c r="AP241" s="307" t="s">
        <v>954</v>
      </c>
      <c r="AQ241" s="291"/>
      <c r="AR241" s="291"/>
      <c r="AS241" s="290"/>
      <c r="AT241" s="290"/>
      <c r="AU241" s="290"/>
      <c r="AV241" s="290"/>
      <c r="AW241" s="290"/>
      <c r="AX241" s="290"/>
      <c r="AY241" s="290"/>
      <c r="AZ241" s="290"/>
    </row>
    <row r="242" spans="1:52" ht="21" x14ac:dyDescent="0.25">
      <c r="A242" s="290"/>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c r="AE242" s="290"/>
      <c r="AF242" s="290"/>
      <c r="AG242" s="290"/>
      <c r="AH242" s="290"/>
      <c r="AI242" s="290"/>
      <c r="AJ242" s="290"/>
      <c r="AK242" s="290"/>
      <c r="AL242" s="290"/>
      <c r="AM242" s="290"/>
      <c r="AN242" s="290"/>
      <c r="AO242" s="373" t="s">
        <v>1032</v>
      </c>
      <c r="AP242" s="378" t="s">
        <v>1033</v>
      </c>
      <c r="AQ242" s="291"/>
      <c r="AR242" s="291"/>
      <c r="AS242" s="290"/>
      <c r="AT242" s="290"/>
      <c r="AU242" s="290"/>
      <c r="AV242" s="290"/>
      <c r="AW242" s="290"/>
      <c r="AX242" s="290"/>
      <c r="AY242" s="290"/>
      <c r="AZ242" s="290"/>
    </row>
    <row r="243" spans="1:52" ht="21" x14ac:dyDescent="0.25">
      <c r="A243" s="290"/>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c r="AA243" s="290"/>
      <c r="AB243" s="290"/>
      <c r="AC243" s="290"/>
      <c r="AD243" s="290"/>
      <c r="AE243" s="290"/>
      <c r="AF243" s="290"/>
      <c r="AG243" s="290"/>
      <c r="AH243" s="290"/>
      <c r="AI243" s="290"/>
      <c r="AJ243" s="290"/>
      <c r="AK243" s="290"/>
      <c r="AL243" s="290"/>
      <c r="AM243" s="290"/>
      <c r="AN243" s="290"/>
      <c r="AO243" s="373" t="s">
        <v>1034</v>
      </c>
      <c r="AP243" s="307" t="s">
        <v>1035</v>
      </c>
      <c r="AQ243" s="291"/>
      <c r="AR243" s="291"/>
      <c r="AS243" s="290"/>
      <c r="AT243" s="290"/>
      <c r="AU243" s="290"/>
      <c r="AV243" s="290"/>
      <c r="AW243" s="290"/>
      <c r="AX243" s="290"/>
      <c r="AY243" s="290"/>
      <c r="AZ243" s="290"/>
    </row>
    <row r="244" spans="1:52" x14ac:dyDescent="0.25">
      <c r="A244" s="290"/>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c r="AE244" s="290"/>
      <c r="AF244" s="290"/>
      <c r="AG244" s="290"/>
      <c r="AH244" s="290"/>
      <c r="AI244" s="290"/>
      <c r="AJ244" s="290"/>
      <c r="AK244" s="290"/>
      <c r="AL244" s="290"/>
      <c r="AM244" s="290"/>
      <c r="AN244" s="290"/>
      <c r="AO244" s="373" t="s">
        <v>1036</v>
      </c>
      <c r="AP244" s="307" t="s">
        <v>1035</v>
      </c>
      <c r="AQ244" s="291"/>
      <c r="AR244" s="291"/>
      <c r="AS244" s="290"/>
      <c r="AT244" s="290"/>
      <c r="AU244" s="290"/>
      <c r="AV244" s="290"/>
      <c r="AW244" s="290"/>
      <c r="AX244" s="290"/>
      <c r="AY244" s="290"/>
      <c r="AZ244" s="290"/>
    </row>
    <row r="245" spans="1:52" ht="21" x14ac:dyDescent="0.25">
      <c r="A245" s="290"/>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90"/>
      <c r="AE245" s="290"/>
      <c r="AF245" s="290"/>
      <c r="AG245" s="290"/>
      <c r="AH245" s="290"/>
      <c r="AI245" s="290"/>
      <c r="AJ245" s="290"/>
      <c r="AK245" s="290"/>
      <c r="AL245" s="290"/>
      <c r="AM245" s="290"/>
      <c r="AN245" s="290"/>
      <c r="AO245" s="373" t="s">
        <v>1037</v>
      </c>
      <c r="AP245" s="307" t="s">
        <v>1038</v>
      </c>
      <c r="AQ245" s="291"/>
      <c r="AR245" s="291"/>
      <c r="AS245" s="290"/>
      <c r="AT245" s="290"/>
      <c r="AU245" s="290"/>
      <c r="AV245" s="290"/>
      <c r="AW245" s="290"/>
      <c r="AX245" s="290"/>
      <c r="AY245" s="290"/>
      <c r="AZ245" s="290"/>
    </row>
    <row r="246" spans="1:52" ht="21" x14ac:dyDescent="0.25">
      <c r="A246" s="290"/>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290"/>
      <c r="AE246" s="290"/>
      <c r="AF246" s="290"/>
      <c r="AG246" s="290"/>
      <c r="AH246" s="290"/>
      <c r="AI246" s="290"/>
      <c r="AJ246" s="290"/>
      <c r="AK246" s="290"/>
      <c r="AL246" s="290"/>
      <c r="AM246" s="290"/>
      <c r="AN246" s="290"/>
      <c r="AO246" s="373" t="s">
        <v>1039</v>
      </c>
      <c r="AP246" s="378" t="s">
        <v>1040</v>
      </c>
      <c r="AQ246" s="291"/>
      <c r="AR246" s="291"/>
      <c r="AS246" s="290"/>
      <c r="AT246" s="290"/>
      <c r="AU246" s="290"/>
      <c r="AV246" s="290"/>
      <c r="AW246" s="290"/>
      <c r="AX246" s="290"/>
      <c r="AY246" s="290"/>
      <c r="AZ246" s="290"/>
    </row>
    <row r="247" spans="1:52" ht="21" x14ac:dyDescent="0.25">
      <c r="A247" s="290"/>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290"/>
      <c r="AE247" s="290"/>
      <c r="AF247" s="290"/>
      <c r="AG247" s="290"/>
      <c r="AH247" s="290"/>
      <c r="AI247" s="290"/>
      <c r="AJ247" s="290"/>
      <c r="AK247" s="290"/>
      <c r="AL247" s="290"/>
      <c r="AM247" s="290"/>
      <c r="AN247" s="290"/>
      <c r="AO247" s="373" t="s">
        <v>1041</v>
      </c>
      <c r="AP247" s="307" t="s">
        <v>952</v>
      </c>
      <c r="AQ247" s="291"/>
      <c r="AR247" s="291"/>
      <c r="AS247" s="290"/>
      <c r="AT247" s="290"/>
      <c r="AU247" s="290"/>
      <c r="AV247" s="290"/>
      <c r="AW247" s="290"/>
      <c r="AX247" s="290"/>
      <c r="AY247" s="290"/>
      <c r="AZ247" s="290"/>
    </row>
    <row r="248" spans="1:52" ht="21" x14ac:dyDescent="0.25">
      <c r="A248" s="290"/>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290"/>
      <c r="AE248" s="290"/>
      <c r="AF248" s="290"/>
      <c r="AG248" s="290"/>
      <c r="AH248" s="290"/>
      <c r="AI248" s="290"/>
      <c r="AJ248" s="290"/>
      <c r="AK248" s="290"/>
      <c r="AL248" s="290"/>
      <c r="AM248" s="290"/>
      <c r="AN248" s="290"/>
      <c r="AO248" s="373" t="s">
        <v>1042</v>
      </c>
      <c r="AP248" s="378" t="s">
        <v>1043</v>
      </c>
      <c r="AQ248" s="291"/>
      <c r="AR248" s="291"/>
      <c r="AS248" s="290"/>
      <c r="AT248" s="290"/>
      <c r="AU248" s="290"/>
      <c r="AV248" s="290"/>
      <c r="AW248" s="290"/>
      <c r="AX248" s="290"/>
      <c r="AY248" s="290"/>
      <c r="AZ248" s="290"/>
    </row>
    <row r="249" spans="1:52" x14ac:dyDescent="0.25">
      <c r="A249" s="290"/>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c r="AE249" s="290"/>
      <c r="AF249" s="290"/>
      <c r="AG249" s="290"/>
      <c r="AH249" s="290"/>
      <c r="AI249" s="290"/>
      <c r="AJ249" s="290"/>
      <c r="AK249" s="290"/>
      <c r="AL249" s="290"/>
      <c r="AM249" s="290"/>
      <c r="AN249" s="290"/>
      <c r="AO249" s="373" t="s">
        <v>1044</v>
      </c>
      <c r="AP249" s="307" t="s">
        <v>1045</v>
      </c>
      <c r="AQ249" s="291"/>
      <c r="AR249" s="291"/>
      <c r="AS249" s="290"/>
      <c r="AT249" s="290"/>
      <c r="AU249" s="290"/>
      <c r="AV249" s="290"/>
      <c r="AW249" s="290"/>
      <c r="AX249" s="290"/>
      <c r="AY249" s="290"/>
      <c r="AZ249" s="290"/>
    </row>
    <row r="250" spans="1:52" ht="21" x14ac:dyDescent="0.25">
      <c r="A250" s="290"/>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c r="AE250" s="290"/>
      <c r="AF250" s="290"/>
      <c r="AG250" s="290"/>
      <c r="AH250" s="290"/>
      <c r="AI250" s="290"/>
      <c r="AJ250" s="290"/>
      <c r="AK250" s="290"/>
      <c r="AL250" s="290"/>
      <c r="AM250" s="290"/>
      <c r="AN250" s="290"/>
      <c r="AO250" s="373" t="s">
        <v>1046</v>
      </c>
      <c r="AP250" s="378" t="s">
        <v>1047</v>
      </c>
      <c r="AQ250" s="291"/>
      <c r="AR250" s="291"/>
      <c r="AS250" s="290"/>
      <c r="AT250" s="290"/>
      <c r="AU250" s="290"/>
      <c r="AV250" s="290"/>
      <c r="AW250" s="290"/>
      <c r="AX250" s="290"/>
      <c r="AY250" s="290"/>
      <c r="AZ250" s="290"/>
    </row>
    <row r="251" spans="1:52" ht="21" x14ac:dyDescent="0.25">
      <c r="A251" s="290"/>
      <c r="B251" s="290"/>
      <c r="C251" s="290"/>
      <c r="D251" s="290"/>
      <c r="E251" s="290"/>
      <c r="F251" s="290"/>
      <c r="G251" s="290"/>
      <c r="H251" s="290"/>
      <c r="I251" s="290"/>
      <c r="J251" s="290"/>
      <c r="K251" s="290"/>
      <c r="L251" s="290"/>
      <c r="M251" s="290"/>
      <c r="N251" s="290"/>
      <c r="O251" s="290"/>
      <c r="P251" s="290"/>
      <c r="Q251" s="290"/>
      <c r="R251" s="290"/>
      <c r="S251" s="290"/>
      <c r="T251" s="290"/>
      <c r="U251" s="290"/>
      <c r="V251" s="290"/>
      <c r="W251" s="290"/>
      <c r="X251" s="290"/>
      <c r="Y251" s="290"/>
      <c r="Z251" s="290"/>
      <c r="AA251" s="290"/>
      <c r="AB251" s="290"/>
      <c r="AC251" s="290"/>
      <c r="AD251" s="290"/>
      <c r="AE251" s="290"/>
      <c r="AF251" s="290"/>
      <c r="AG251" s="290"/>
      <c r="AH251" s="290"/>
      <c r="AI251" s="290"/>
      <c r="AJ251" s="290"/>
      <c r="AK251" s="290"/>
      <c r="AL251" s="290"/>
      <c r="AM251" s="290"/>
      <c r="AN251" s="290"/>
      <c r="AO251" s="373" t="s">
        <v>1048</v>
      </c>
      <c r="AP251" s="307" t="s">
        <v>1049</v>
      </c>
      <c r="AQ251" s="291"/>
      <c r="AR251" s="291"/>
      <c r="AS251" s="290"/>
      <c r="AT251" s="290"/>
      <c r="AU251" s="290"/>
      <c r="AV251" s="290"/>
      <c r="AW251" s="290"/>
      <c r="AX251" s="290"/>
      <c r="AY251" s="290"/>
      <c r="AZ251" s="290"/>
    </row>
    <row r="252" spans="1:52" ht="21" x14ac:dyDescent="0.25">
      <c r="A252" s="290"/>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290"/>
      <c r="AE252" s="290"/>
      <c r="AF252" s="290"/>
      <c r="AG252" s="290"/>
      <c r="AH252" s="290"/>
      <c r="AI252" s="290"/>
      <c r="AJ252" s="290"/>
      <c r="AK252" s="290"/>
      <c r="AL252" s="290"/>
      <c r="AM252" s="290"/>
      <c r="AN252" s="290"/>
      <c r="AO252" s="373" t="s">
        <v>1050</v>
      </c>
      <c r="AP252" s="307" t="s">
        <v>1051</v>
      </c>
      <c r="AQ252" s="291"/>
      <c r="AR252" s="291"/>
      <c r="AS252" s="290"/>
      <c r="AT252" s="290"/>
      <c r="AU252" s="290"/>
      <c r="AV252" s="290"/>
      <c r="AW252" s="290"/>
      <c r="AX252" s="290"/>
      <c r="AY252" s="290"/>
      <c r="AZ252" s="290"/>
    </row>
    <row r="253" spans="1:52" ht="21" x14ac:dyDescent="0.25">
      <c r="A253" s="290"/>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c r="AE253" s="290"/>
      <c r="AF253" s="290"/>
      <c r="AG253" s="290"/>
      <c r="AH253" s="290"/>
      <c r="AI253" s="290"/>
      <c r="AJ253" s="290"/>
      <c r="AK253" s="290"/>
      <c r="AL253" s="290"/>
      <c r="AM253" s="290"/>
      <c r="AN253" s="290"/>
      <c r="AO253" s="373" t="s">
        <v>1052</v>
      </c>
      <c r="AP253" s="378" t="s">
        <v>1053</v>
      </c>
      <c r="AQ253" s="291"/>
      <c r="AR253" s="291"/>
      <c r="AS253" s="290"/>
      <c r="AT253" s="290"/>
      <c r="AU253" s="290"/>
      <c r="AV253" s="290"/>
      <c r="AW253" s="290"/>
      <c r="AX253" s="290"/>
      <c r="AY253" s="290"/>
      <c r="AZ253" s="290"/>
    </row>
    <row r="254" spans="1:52" x14ac:dyDescent="0.25">
      <c r="A254" s="290"/>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c r="AE254" s="290"/>
      <c r="AF254" s="290"/>
      <c r="AG254" s="290"/>
      <c r="AH254" s="290"/>
      <c r="AI254" s="290"/>
      <c r="AJ254" s="290"/>
      <c r="AK254" s="290"/>
      <c r="AL254" s="290"/>
      <c r="AM254" s="290"/>
      <c r="AN254" s="290"/>
      <c r="AO254" s="383"/>
      <c r="AP254" s="383"/>
      <c r="AQ254" s="291"/>
      <c r="AR254" s="291"/>
      <c r="AS254" s="290"/>
      <c r="AT254" s="290"/>
      <c r="AU254" s="290"/>
      <c r="AV254" s="290"/>
      <c r="AW254" s="290"/>
      <c r="AX254" s="290"/>
      <c r="AY254" s="290"/>
      <c r="AZ254" s="290"/>
    </row>
    <row r="255" spans="1:52" ht="21" x14ac:dyDescent="0.25">
      <c r="A255" s="290"/>
      <c r="B255" s="290"/>
      <c r="C255" s="290"/>
      <c r="D255" s="290"/>
      <c r="E255" s="290"/>
      <c r="F255" s="290"/>
      <c r="G255" s="290"/>
      <c r="H255" s="290"/>
      <c r="I255" s="290"/>
      <c r="J255" s="290"/>
      <c r="K255" s="290"/>
      <c r="L255" s="290"/>
      <c r="M255" s="290"/>
      <c r="N255" s="290"/>
      <c r="O255" s="290"/>
      <c r="P255" s="290"/>
      <c r="Q255" s="290"/>
      <c r="R255" s="290"/>
      <c r="S255" s="290"/>
      <c r="T255" s="290"/>
      <c r="U255" s="290"/>
      <c r="V255" s="290"/>
      <c r="W255" s="290"/>
      <c r="X255" s="290"/>
      <c r="Y255" s="290"/>
      <c r="Z255" s="290"/>
      <c r="AA255" s="290"/>
      <c r="AB255" s="290"/>
      <c r="AC255" s="290"/>
      <c r="AD255" s="290"/>
      <c r="AE255" s="290"/>
      <c r="AF255" s="290"/>
      <c r="AG255" s="290"/>
      <c r="AH255" s="290"/>
      <c r="AI255" s="290"/>
      <c r="AJ255" s="290"/>
      <c r="AK255" s="290"/>
      <c r="AL255" s="290"/>
      <c r="AM255" s="290"/>
      <c r="AN255" s="290"/>
      <c r="AO255" s="373" t="s">
        <v>1054</v>
      </c>
      <c r="AP255" s="307" t="s">
        <v>968</v>
      </c>
      <c r="AQ255" s="291"/>
      <c r="AR255" s="291"/>
      <c r="AS255" s="290"/>
      <c r="AT255" s="290"/>
      <c r="AU255" s="290"/>
      <c r="AV255" s="290"/>
      <c r="AW255" s="290"/>
      <c r="AX255" s="290"/>
      <c r="AY255" s="290"/>
      <c r="AZ255" s="290"/>
    </row>
    <row r="256" spans="1:52" x14ac:dyDescent="0.25">
      <c r="A256" s="290"/>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383"/>
      <c r="AP256" s="383"/>
      <c r="AQ256" s="291"/>
      <c r="AR256" s="291"/>
      <c r="AS256" s="290"/>
      <c r="AT256" s="290"/>
      <c r="AU256" s="290"/>
      <c r="AV256" s="290"/>
      <c r="AW256" s="290"/>
      <c r="AX256" s="290"/>
      <c r="AY256" s="290"/>
      <c r="AZ256" s="290"/>
    </row>
    <row r="257" spans="1:52" ht="21" x14ac:dyDescent="0.25">
      <c r="A257" s="290"/>
      <c r="B257" s="290"/>
      <c r="C257" s="290"/>
      <c r="D257" s="290"/>
      <c r="E257" s="290"/>
      <c r="F257" s="290"/>
      <c r="G257" s="290"/>
      <c r="H257" s="290"/>
      <c r="I257" s="290"/>
      <c r="J257" s="290"/>
      <c r="K257" s="290"/>
      <c r="L257" s="290"/>
      <c r="M257" s="290"/>
      <c r="N257" s="290"/>
      <c r="O257" s="290"/>
      <c r="P257" s="290"/>
      <c r="Q257" s="290"/>
      <c r="R257" s="290"/>
      <c r="S257" s="290"/>
      <c r="T257" s="290"/>
      <c r="U257" s="290"/>
      <c r="V257" s="290"/>
      <c r="W257" s="290"/>
      <c r="X257" s="290"/>
      <c r="Y257" s="290"/>
      <c r="Z257" s="290"/>
      <c r="AA257" s="290"/>
      <c r="AB257" s="290"/>
      <c r="AC257" s="290"/>
      <c r="AD257" s="290"/>
      <c r="AE257" s="290"/>
      <c r="AF257" s="290"/>
      <c r="AG257" s="290"/>
      <c r="AH257" s="290"/>
      <c r="AI257" s="290"/>
      <c r="AJ257" s="290"/>
      <c r="AK257" s="290"/>
      <c r="AL257" s="290"/>
      <c r="AM257" s="290"/>
      <c r="AN257" s="290"/>
      <c r="AO257" s="373" t="s">
        <v>1055</v>
      </c>
      <c r="AP257" s="378" t="s">
        <v>1056</v>
      </c>
      <c r="AQ257" s="291"/>
      <c r="AR257" s="291"/>
      <c r="AS257" s="290"/>
      <c r="AT257" s="290"/>
      <c r="AU257" s="290"/>
      <c r="AV257" s="290"/>
      <c r="AW257" s="290"/>
      <c r="AX257" s="290"/>
      <c r="AY257" s="290"/>
      <c r="AZ257" s="290"/>
    </row>
    <row r="258" spans="1:52" x14ac:dyDescent="0.25">
      <c r="A258" s="290"/>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c r="AE258" s="290"/>
      <c r="AF258" s="290"/>
      <c r="AG258" s="290"/>
      <c r="AH258" s="290"/>
      <c r="AI258" s="290"/>
      <c r="AJ258" s="290"/>
      <c r="AK258" s="290"/>
      <c r="AL258" s="290"/>
      <c r="AM258" s="290"/>
      <c r="AN258" s="290"/>
      <c r="AO258" s="383"/>
      <c r="AP258" s="383"/>
      <c r="AQ258" s="291"/>
      <c r="AR258" s="291"/>
      <c r="AS258" s="290"/>
      <c r="AT258" s="290"/>
      <c r="AU258" s="290"/>
      <c r="AV258" s="290"/>
      <c r="AW258" s="290"/>
      <c r="AX258" s="290"/>
      <c r="AY258" s="290"/>
      <c r="AZ258" s="290"/>
    </row>
    <row r="259" spans="1:52" ht="21" x14ac:dyDescent="0.25">
      <c r="A259" s="290"/>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c r="AE259" s="290"/>
      <c r="AF259" s="290"/>
      <c r="AG259" s="290"/>
      <c r="AH259" s="290"/>
      <c r="AI259" s="290"/>
      <c r="AJ259" s="290"/>
      <c r="AK259" s="290"/>
      <c r="AL259" s="290"/>
      <c r="AM259" s="290"/>
      <c r="AN259" s="290"/>
      <c r="AO259" s="373" t="s">
        <v>1057</v>
      </c>
      <c r="AP259" s="307" t="s">
        <v>972</v>
      </c>
      <c r="AQ259" s="291"/>
      <c r="AR259" s="291"/>
      <c r="AS259" s="290"/>
      <c r="AT259" s="290"/>
      <c r="AU259" s="290"/>
      <c r="AV259" s="290"/>
      <c r="AW259" s="290"/>
      <c r="AX259" s="290"/>
      <c r="AY259" s="290"/>
      <c r="AZ259" s="290"/>
    </row>
    <row r="260" spans="1:52" ht="21" x14ac:dyDescent="0.25">
      <c r="A260" s="290"/>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290"/>
      <c r="AE260" s="290"/>
      <c r="AF260" s="290"/>
      <c r="AG260" s="290"/>
      <c r="AH260" s="290"/>
      <c r="AI260" s="290"/>
      <c r="AJ260" s="290"/>
      <c r="AK260" s="290"/>
      <c r="AL260" s="290"/>
      <c r="AM260" s="290"/>
      <c r="AN260" s="290"/>
      <c r="AO260" s="373" t="s">
        <v>1058</v>
      </c>
      <c r="AP260" s="373" t="s">
        <v>1059</v>
      </c>
      <c r="AQ260" s="291"/>
      <c r="AR260" s="291"/>
      <c r="AS260" s="290"/>
      <c r="AT260" s="290"/>
      <c r="AU260" s="290"/>
      <c r="AV260" s="290"/>
      <c r="AW260" s="290"/>
      <c r="AX260" s="290"/>
      <c r="AY260" s="290"/>
      <c r="AZ260" s="290"/>
    </row>
    <row r="261" spans="1:52" ht="31.5" x14ac:dyDescent="0.25">
      <c r="A261" s="290"/>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90"/>
      <c r="AE261" s="290"/>
      <c r="AF261" s="290"/>
      <c r="AG261" s="290"/>
      <c r="AH261" s="290"/>
      <c r="AI261" s="290"/>
      <c r="AJ261" s="290"/>
      <c r="AK261" s="290"/>
      <c r="AL261" s="290"/>
      <c r="AM261" s="290"/>
      <c r="AN261" s="290"/>
      <c r="AO261" s="373" t="s">
        <v>1060</v>
      </c>
      <c r="AP261" s="378" t="s">
        <v>1061</v>
      </c>
      <c r="AQ261" s="291"/>
      <c r="AR261" s="291"/>
      <c r="AS261" s="290"/>
      <c r="AT261" s="290"/>
      <c r="AU261" s="290"/>
      <c r="AV261" s="290"/>
      <c r="AW261" s="290"/>
      <c r="AX261" s="290"/>
      <c r="AY261" s="290"/>
      <c r="AZ261" s="290"/>
    </row>
    <row r="262" spans="1:52" ht="21" x14ac:dyDescent="0.25">
      <c r="A262" s="290"/>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c r="AF262" s="290"/>
      <c r="AG262" s="290"/>
      <c r="AH262" s="290"/>
      <c r="AI262" s="290"/>
      <c r="AJ262" s="290"/>
      <c r="AK262" s="290"/>
      <c r="AL262" s="290"/>
      <c r="AM262" s="290"/>
      <c r="AN262" s="290"/>
      <c r="AO262" s="373" t="s">
        <v>1062</v>
      </c>
      <c r="AP262" s="307" t="s">
        <v>1007</v>
      </c>
      <c r="AQ262" s="291"/>
      <c r="AR262" s="291"/>
      <c r="AS262" s="290"/>
      <c r="AT262" s="290"/>
      <c r="AU262" s="290"/>
      <c r="AV262" s="290"/>
      <c r="AW262" s="290"/>
      <c r="AX262" s="290"/>
      <c r="AY262" s="290"/>
      <c r="AZ262" s="290"/>
    </row>
    <row r="263" spans="1:52" ht="21" x14ac:dyDescent="0.25">
      <c r="A263" s="290"/>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c r="AA263" s="290"/>
      <c r="AB263" s="290"/>
      <c r="AC263" s="290"/>
      <c r="AD263" s="290"/>
      <c r="AE263" s="290"/>
      <c r="AF263" s="290"/>
      <c r="AG263" s="290"/>
      <c r="AH263" s="290"/>
      <c r="AI263" s="290"/>
      <c r="AJ263" s="290"/>
      <c r="AK263" s="290"/>
      <c r="AL263" s="290"/>
      <c r="AM263" s="290"/>
      <c r="AN263" s="290"/>
      <c r="AO263" s="373" t="s">
        <v>1063</v>
      </c>
      <c r="AP263" s="307" t="s">
        <v>962</v>
      </c>
      <c r="AQ263" s="291"/>
      <c r="AR263" s="291"/>
      <c r="AS263" s="290"/>
      <c r="AT263" s="290"/>
      <c r="AU263" s="290"/>
      <c r="AV263" s="290"/>
      <c r="AW263" s="290"/>
      <c r="AX263" s="290"/>
      <c r="AY263" s="290"/>
      <c r="AZ263" s="290"/>
    </row>
    <row r="264" spans="1:52" x14ac:dyDescent="0.25">
      <c r="A264" s="290"/>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c r="AA264" s="290"/>
      <c r="AB264" s="290"/>
      <c r="AC264" s="290"/>
      <c r="AD264" s="290"/>
      <c r="AE264" s="290"/>
      <c r="AF264" s="290"/>
      <c r="AG264" s="290"/>
      <c r="AH264" s="290"/>
      <c r="AI264" s="290"/>
      <c r="AJ264" s="290"/>
      <c r="AK264" s="290"/>
      <c r="AL264" s="290"/>
      <c r="AM264" s="290"/>
      <c r="AN264" s="290"/>
      <c r="AO264" s="383"/>
      <c r="AP264" s="383"/>
      <c r="AQ264" s="291"/>
      <c r="AR264" s="291"/>
      <c r="AS264" s="290"/>
      <c r="AT264" s="290"/>
      <c r="AU264" s="290"/>
      <c r="AV264" s="290"/>
      <c r="AW264" s="290"/>
      <c r="AX264" s="290"/>
      <c r="AY264" s="290"/>
      <c r="AZ264" s="290"/>
    </row>
    <row r="265" spans="1:52" ht="21" x14ac:dyDescent="0.25">
      <c r="A265" s="290"/>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290"/>
      <c r="AE265" s="290"/>
      <c r="AF265" s="290"/>
      <c r="AG265" s="290"/>
      <c r="AH265" s="290"/>
      <c r="AI265" s="290"/>
      <c r="AJ265" s="290"/>
      <c r="AK265" s="290"/>
      <c r="AL265" s="290"/>
      <c r="AM265" s="290"/>
      <c r="AN265" s="290"/>
      <c r="AO265" s="373" t="s">
        <v>1064</v>
      </c>
      <c r="AP265" s="307" t="s">
        <v>1065</v>
      </c>
      <c r="AQ265" s="291"/>
      <c r="AR265" s="291"/>
      <c r="AS265" s="290"/>
      <c r="AT265" s="290"/>
      <c r="AU265" s="290"/>
      <c r="AV265" s="290"/>
      <c r="AW265" s="290"/>
      <c r="AX265" s="290"/>
      <c r="AY265" s="290"/>
      <c r="AZ265" s="290"/>
    </row>
    <row r="266" spans="1:52" ht="21" x14ac:dyDescent="0.25">
      <c r="A266" s="290"/>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c r="AE266" s="290"/>
      <c r="AF266" s="290"/>
      <c r="AG266" s="290"/>
      <c r="AH266" s="290"/>
      <c r="AI266" s="290"/>
      <c r="AJ266" s="290"/>
      <c r="AK266" s="290"/>
      <c r="AL266" s="290"/>
      <c r="AM266" s="290"/>
      <c r="AN266" s="290"/>
      <c r="AO266" s="383"/>
      <c r="AP266" s="373" t="s">
        <v>1066</v>
      </c>
      <c r="AQ266" s="291"/>
      <c r="AR266" s="291"/>
      <c r="AS266" s="290"/>
      <c r="AT266" s="290"/>
      <c r="AU266" s="290"/>
      <c r="AV266" s="290"/>
      <c r="AW266" s="290"/>
      <c r="AX266" s="290"/>
      <c r="AY266" s="290"/>
      <c r="AZ266" s="290"/>
    </row>
    <row r="267" spans="1:52" x14ac:dyDescent="0.25">
      <c r="A267" s="290"/>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c r="AE267" s="290"/>
      <c r="AF267" s="290"/>
      <c r="AG267" s="290"/>
      <c r="AH267" s="290"/>
      <c r="AI267" s="290"/>
      <c r="AJ267" s="290"/>
      <c r="AK267" s="290"/>
      <c r="AL267" s="290"/>
      <c r="AM267" s="290"/>
      <c r="AN267" s="290"/>
      <c r="AO267" s="373" t="s">
        <v>1067</v>
      </c>
      <c r="AP267" s="307" t="s">
        <v>1068</v>
      </c>
      <c r="AQ267" s="291"/>
      <c r="AR267" s="291"/>
      <c r="AS267" s="290"/>
      <c r="AT267" s="290"/>
      <c r="AU267" s="290"/>
      <c r="AV267" s="290"/>
      <c r="AW267" s="290"/>
      <c r="AX267" s="290"/>
      <c r="AY267" s="290"/>
      <c r="AZ267" s="290"/>
    </row>
    <row r="268" spans="1:52" ht="21" x14ac:dyDescent="0.25">
      <c r="A268" s="290"/>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290"/>
      <c r="AE268" s="290"/>
      <c r="AF268" s="290"/>
      <c r="AG268" s="290"/>
      <c r="AH268" s="290"/>
      <c r="AI268" s="290"/>
      <c r="AJ268" s="290"/>
      <c r="AK268" s="290"/>
      <c r="AL268" s="290"/>
      <c r="AM268" s="290"/>
      <c r="AN268" s="290"/>
      <c r="AO268" s="373" t="s">
        <v>1069</v>
      </c>
      <c r="AP268" s="307" t="s">
        <v>1070</v>
      </c>
      <c r="AQ268" s="291"/>
      <c r="AR268" s="291"/>
      <c r="AS268" s="290"/>
      <c r="AT268" s="290"/>
      <c r="AU268" s="290"/>
      <c r="AV268" s="290"/>
      <c r="AW268" s="290"/>
      <c r="AX268" s="290"/>
      <c r="AY268" s="290"/>
      <c r="AZ268" s="290"/>
    </row>
    <row r="269" spans="1:52" ht="21" x14ac:dyDescent="0.25">
      <c r="A269" s="290"/>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c r="AA269" s="290"/>
      <c r="AB269" s="290"/>
      <c r="AC269" s="290"/>
      <c r="AD269" s="290"/>
      <c r="AE269" s="290"/>
      <c r="AF269" s="290"/>
      <c r="AG269" s="290"/>
      <c r="AH269" s="290"/>
      <c r="AI269" s="290"/>
      <c r="AJ269" s="290"/>
      <c r="AK269" s="290"/>
      <c r="AL269" s="290"/>
      <c r="AM269" s="290"/>
      <c r="AN269" s="290"/>
      <c r="AO269" s="373" t="s">
        <v>1071</v>
      </c>
      <c r="AP269" s="307" t="s">
        <v>1072</v>
      </c>
      <c r="AQ269" s="291"/>
      <c r="AR269" s="291"/>
      <c r="AS269" s="290"/>
      <c r="AT269" s="290"/>
      <c r="AU269" s="290"/>
      <c r="AV269" s="290"/>
      <c r="AW269" s="290"/>
      <c r="AX269" s="290"/>
      <c r="AY269" s="290"/>
      <c r="AZ269" s="290"/>
    </row>
    <row r="270" spans="1:52" x14ac:dyDescent="0.25">
      <c r="A270" s="290"/>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90"/>
      <c r="AE270" s="290"/>
      <c r="AF270" s="290"/>
      <c r="AG270" s="290"/>
      <c r="AH270" s="290"/>
      <c r="AI270" s="290"/>
      <c r="AJ270" s="290"/>
      <c r="AK270" s="290"/>
      <c r="AL270" s="290"/>
      <c r="AM270" s="290"/>
      <c r="AN270" s="290"/>
      <c r="AO270" s="383"/>
      <c r="AP270" s="383"/>
      <c r="AQ270" s="291"/>
      <c r="AR270" s="291"/>
      <c r="AS270" s="290"/>
      <c r="AT270" s="290"/>
      <c r="AU270" s="290"/>
      <c r="AV270" s="290"/>
      <c r="AW270" s="290"/>
      <c r="AX270" s="290"/>
      <c r="AY270" s="290"/>
      <c r="AZ270" s="290"/>
    </row>
    <row r="271" spans="1:52" ht="21" x14ac:dyDescent="0.25">
      <c r="A271" s="290"/>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90"/>
      <c r="AE271" s="290"/>
      <c r="AF271" s="290"/>
      <c r="AG271" s="290"/>
      <c r="AH271" s="290"/>
      <c r="AI271" s="290"/>
      <c r="AJ271" s="290"/>
      <c r="AK271" s="290"/>
      <c r="AL271" s="290"/>
      <c r="AM271" s="290"/>
      <c r="AN271" s="290"/>
      <c r="AO271" s="373" t="s">
        <v>1073</v>
      </c>
      <c r="AP271" s="307" t="s">
        <v>1010</v>
      </c>
      <c r="AQ271" s="291"/>
      <c r="AR271" s="291"/>
      <c r="AS271" s="290"/>
      <c r="AT271" s="290"/>
      <c r="AU271" s="290"/>
      <c r="AV271" s="290"/>
      <c r="AW271" s="290"/>
      <c r="AX271" s="290"/>
      <c r="AY271" s="290"/>
      <c r="AZ271" s="290"/>
    </row>
    <row r="272" spans="1:52" ht="21" x14ac:dyDescent="0.25">
      <c r="A272" s="290"/>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c r="AA272" s="290"/>
      <c r="AB272" s="290"/>
      <c r="AC272" s="290"/>
      <c r="AD272" s="290"/>
      <c r="AE272" s="290"/>
      <c r="AF272" s="290"/>
      <c r="AG272" s="290"/>
      <c r="AH272" s="290"/>
      <c r="AI272" s="290"/>
      <c r="AJ272" s="290"/>
      <c r="AK272" s="290"/>
      <c r="AL272" s="290"/>
      <c r="AM272" s="290"/>
      <c r="AN272" s="290"/>
      <c r="AO272" s="373" t="s">
        <v>1074</v>
      </c>
      <c r="AP272" s="307" t="s">
        <v>1024</v>
      </c>
      <c r="AQ272" s="291"/>
      <c r="AR272" s="291"/>
      <c r="AS272" s="290"/>
      <c r="AT272" s="290"/>
      <c r="AU272" s="290"/>
      <c r="AV272" s="290"/>
      <c r="AW272" s="290"/>
      <c r="AX272" s="290"/>
      <c r="AY272" s="290"/>
      <c r="AZ272" s="290"/>
    </row>
    <row r="273" spans="1:52" ht="21" x14ac:dyDescent="0.25">
      <c r="A273" s="290"/>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0"/>
      <c r="AD273" s="290"/>
      <c r="AE273" s="290"/>
      <c r="AF273" s="290"/>
      <c r="AG273" s="290"/>
      <c r="AH273" s="290"/>
      <c r="AI273" s="290"/>
      <c r="AJ273" s="290"/>
      <c r="AK273" s="290"/>
      <c r="AL273" s="290"/>
      <c r="AM273" s="290"/>
      <c r="AN273" s="290"/>
      <c r="AO273" s="373" t="s">
        <v>1075</v>
      </c>
      <c r="AP273" s="307" t="s">
        <v>1076</v>
      </c>
      <c r="AQ273" s="291"/>
      <c r="AR273" s="291"/>
      <c r="AS273" s="290"/>
      <c r="AT273" s="290"/>
      <c r="AU273" s="290"/>
      <c r="AV273" s="290"/>
      <c r="AW273" s="290"/>
      <c r="AX273" s="290"/>
      <c r="AY273" s="290"/>
      <c r="AZ273" s="290"/>
    </row>
    <row r="274" spans="1:52" ht="21" x14ac:dyDescent="0.25">
      <c r="A274" s="290"/>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c r="AA274" s="290"/>
      <c r="AB274" s="290"/>
      <c r="AC274" s="290"/>
      <c r="AD274" s="290"/>
      <c r="AE274" s="290"/>
      <c r="AF274" s="290"/>
      <c r="AG274" s="290"/>
      <c r="AH274" s="290"/>
      <c r="AI274" s="290"/>
      <c r="AJ274" s="290"/>
      <c r="AK274" s="290"/>
      <c r="AL274" s="290"/>
      <c r="AM274" s="290"/>
      <c r="AN274" s="290"/>
      <c r="AO274" s="373" t="s">
        <v>1077</v>
      </c>
      <c r="AP274" s="307" t="s">
        <v>1078</v>
      </c>
      <c r="AQ274" s="291"/>
      <c r="AR274" s="291"/>
      <c r="AS274" s="290"/>
      <c r="AT274" s="290"/>
      <c r="AU274" s="290"/>
      <c r="AV274" s="290"/>
      <c r="AW274" s="290"/>
      <c r="AX274" s="290"/>
      <c r="AY274" s="290"/>
      <c r="AZ274" s="290"/>
    </row>
    <row r="275" spans="1:52" x14ac:dyDescent="0.25">
      <c r="A275" s="290"/>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c r="AE275" s="290"/>
      <c r="AF275" s="290"/>
      <c r="AG275" s="290"/>
      <c r="AH275" s="290"/>
      <c r="AI275" s="290"/>
      <c r="AJ275" s="290"/>
      <c r="AK275" s="290"/>
      <c r="AL275" s="290"/>
      <c r="AM275" s="290"/>
      <c r="AN275" s="290"/>
      <c r="AO275" s="383"/>
      <c r="AP275" s="383"/>
      <c r="AQ275" s="291"/>
      <c r="AR275" s="291"/>
      <c r="AS275" s="290"/>
      <c r="AT275" s="290"/>
      <c r="AU275" s="290"/>
      <c r="AV275" s="290"/>
      <c r="AW275" s="290"/>
      <c r="AX275" s="290"/>
      <c r="AY275" s="290"/>
      <c r="AZ275" s="290"/>
    </row>
    <row r="276" spans="1:52" x14ac:dyDescent="0.25">
      <c r="A276" s="290"/>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290"/>
      <c r="AE276" s="290"/>
      <c r="AF276" s="290"/>
      <c r="AG276" s="290"/>
      <c r="AH276" s="290"/>
      <c r="AI276" s="290"/>
      <c r="AJ276" s="290"/>
      <c r="AK276" s="290"/>
      <c r="AL276" s="290"/>
      <c r="AM276" s="290"/>
      <c r="AN276" s="290"/>
      <c r="AO276" s="373" t="s">
        <v>1079</v>
      </c>
      <c r="AP276" s="307" t="s">
        <v>1013</v>
      </c>
      <c r="AQ276" s="291"/>
      <c r="AR276" s="291"/>
      <c r="AS276" s="290"/>
      <c r="AT276" s="290"/>
      <c r="AU276" s="290"/>
      <c r="AV276" s="290"/>
      <c r="AW276" s="290"/>
      <c r="AX276" s="290"/>
      <c r="AY276" s="290"/>
      <c r="AZ276" s="290"/>
    </row>
    <row r="277" spans="1:52" x14ac:dyDescent="0.25">
      <c r="A277" s="290"/>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90"/>
      <c r="AE277" s="290"/>
      <c r="AF277" s="290"/>
      <c r="AG277" s="290"/>
      <c r="AH277" s="290"/>
      <c r="AI277" s="290"/>
      <c r="AJ277" s="290"/>
      <c r="AK277" s="290"/>
      <c r="AL277" s="290"/>
      <c r="AM277" s="290"/>
      <c r="AN277" s="290"/>
      <c r="AO277" s="373" t="s">
        <v>1080</v>
      </c>
      <c r="AP277" s="307" t="s">
        <v>988</v>
      </c>
      <c r="AQ277" s="291"/>
      <c r="AR277" s="291"/>
      <c r="AS277" s="290"/>
      <c r="AT277" s="290"/>
      <c r="AU277" s="290"/>
      <c r="AV277" s="290"/>
      <c r="AW277" s="290"/>
      <c r="AX277" s="290"/>
      <c r="AY277" s="290"/>
      <c r="AZ277" s="290"/>
    </row>
    <row r="278" spans="1:52" ht="21" x14ac:dyDescent="0.25">
      <c r="A278" s="290"/>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90"/>
      <c r="AE278" s="290"/>
      <c r="AF278" s="290"/>
      <c r="AG278" s="290"/>
      <c r="AH278" s="290"/>
      <c r="AI278" s="290"/>
      <c r="AJ278" s="290"/>
      <c r="AK278" s="290"/>
      <c r="AL278" s="290"/>
      <c r="AM278" s="290"/>
      <c r="AN278" s="290"/>
      <c r="AO278" s="373" t="s">
        <v>1081</v>
      </c>
      <c r="AP278" s="307" t="s">
        <v>1082</v>
      </c>
      <c r="AQ278" s="291"/>
      <c r="AR278" s="291"/>
      <c r="AS278" s="290"/>
      <c r="AT278" s="290"/>
      <c r="AU278" s="290"/>
      <c r="AV278" s="290"/>
      <c r="AW278" s="290"/>
      <c r="AX278" s="290"/>
      <c r="AY278" s="290"/>
      <c r="AZ278" s="290"/>
    </row>
    <row r="279" spans="1:52" ht="21" x14ac:dyDescent="0.25">
      <c r="A279" s="290"/>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0"/>
      <c r="AD279" s="290"/>
      <c r="AE279" s="290"/>
      <c r="AF279" s="290"/>
      <c r="AG279" s="290"/>
      <c r="AH279" s="290"/>
      <c r="AI279" s="290"/>
      <c r="AJ279" s="290"/>
      <c r="AK279" s="290"/>
      <c r="AL279" s="290"/>
      <c r="AM279" s="290"/>
      <c r="AN279" s="290"/>
      <c r="AO279" s="373" t="s">
        <v>1083</v>
      </c>
      <c r="AP279" s="307" t="s">
        <v>1084</v>
      </c>
      <c r="AQ279" s="291"/>
      <c r="AR279" s="291"/>
      <c r="AS279" s="290"/>
      <c r="AT279" s="290"/>
      <c r="AU279" s="290"/>
      <c r="AV279" s="290"/>
      <c r="AW279" s="290"/>
      <c r="AX279" s="290"/>
      <c r="AY279" s="290"/>
      <c r="AZ279" s="290"/>
    </row>
    <row r="280" spans="1:52" ht="21" x14ac:dyDescent="0.25">
      <c r="A280" s="290"/>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c r="AA280" s="290"/>
      <c r="AB280" s="290"/>
      <c r="AC280" s="290"/>
      <c r="AD280" s="290"/>
      <c r="AE280" s="290"/>
      <c r="AF280" s="290"/>
      <c r="AG280" s="290"/>
      <c r="AH280" s="290"/>
      <c r="AI280" s="290"/>
      <c r="AJ280" s="290"/>
      <c r="AK280" s="290"/>
      <c r="AL280" s="290"/>
      <c r="AM280" s="290"/>
      <c r="AN280" s="290"/>
      <c r="AO280" s="373" t="s">
        <v>1085</v>
      </c>
      <c r="AP280" s="307" t="s">
        <v>1005</v>
      </c>
      <c r="AQ280" s="291"/>
      <c r="AR280" s="291"/>
      <c r="AS280" s="290"/>
      <c r="AT280" s="290"/>
      <c r="AU280" s="290"/>
      <c r="AV280" s="290"/>
      <c r="AW280" s="290"/>
      <c r="AX280" s="290"/>
      <c r="AY280" s="290"/>
      <c r="AZ280" s="290"/>
    </row>
    <row r="281" spans="1:52" ht="21" x14ac:dyDescent="0.25">
      <c r="A281" s="290"/>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290"/>
      <c r="AE281" s="290"/>
      <c r="AF281" s="290"/>
      <c r="AG281" s="290"/>
      <c r="AH281" s="290"/>
      <c r="AI281" s="290"/>
      <c r="AJ281" s="290"/>
      <c r="AK281" s="290"/>
      <c r="AL281" s="290"/>
      <c r="AM281" s="290"/>
      <c r="AN281" s="290"/>
      <c r="AO281" s="373" t="s">
        <v>1086</v>
      </c>
      <c r="AP281" s="307" t="s">
        <v>1045</v>
      </c>
      <c r="AQ281" s="291"/>
      <c r="AR281" s="291"/>
      <c r="AS281" s="290"/>
      <c r="AT281" s="290"/>
      <c r="AU281" s="290"/>
      <c r="AV281" s="290"/>
      <c r="AW281" s="290"/>
      <c r="AX281" s="290"/>
      <c r="AY281" s="290"/>
      <c r="AZ281" s="290"/>
    </row>
    <row r="282" spans="1:52" x14ac:dyDescent="0.25">
      <c r="A282" s="290"/>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90"/>
      <c r="AE282" s="290"/>
      <c r="AF282" s="290"/>
      <c r="AG282" s="290"/>
      <c r="AH282" s="290"/>
      <c r="AI282" s="290"/>
      <c r="AJ282" s="290"/>
      <c r="AK282" s="290"/>
      <c r="AL282" s="290"/>
      <c r="AM282" s="290"/>
      <c r="AN282" s="290"/>
      <c r="AO282" s="373" t="s">
        <v>1087</v>
      </c>
      <c r="AP282" s="307" t="s">
        <v>1088</v>
      </c>
      <c r="AQ282" s="291"/>
      <c r="AR282" s="291"/>
      <c r="AS282" s="290"/>
      <c r="AT282" s="290"/>
      <c r="AU282" s="290"/>
      <c r="AV282" s="290"/>
      <c r="AW282" s="290"/>
      <c r="AX282" s="290"/>
      <c r="AY282" s="290"/>
      <c r="AZ282" s="290"/>
    </row>
    <row r="283" spans="1:52" x14ac:dyDescent="0.25">
      <c r="A283" s="290"/>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c r="AA283" s="290"/>
      <c r="AB283" s="290"/>
      <c r="AC283" s="290"/>
      <c r="AD283" s="290"/>
      <c r="AE283" s="290"/>
      <c r="AF283" s="290"/>
      <c r="AG283" s="290"/>
      <c r="AH283" s="290"/>
      <c r="AI283" s="290"/>
      <c r="AJ283" s="290"/>
      <c r="AK283" s="290"/>
      <c r="AL283" s="290"/>
      <c r="AM283" s="290"/>
      <c r="AN283" s="290"/>
      <c r="AO283" s="373" t="s">
        <v>1089</v>
      </c>
      <c r="AP283" s="307" t="s">
        <v>976</v>
      </c>
      <c r="AQ283" s="291"/>
      <c r="AR283" s="291"/>
      <c r="AS283" s="290"/>
      <c r="AT283" s="290"/>
      <c r="AU283" s="290"/>
      <c r="AV283" s="290"/>
      <c r="AW283" s="290"/>
      <c r="AX283" s="290"/>
      <c r="AY283" s="290"/>
      <c r="AZ283" s="290"/>
    </row>
    <row r="284" spans="1:52" ht="21" x14ac:dyDescent="0.25">
      <c r="A284" s="290"/>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90"/>
      <c r="AE284" s="290"/>
      <c r="AF284" s="290"/>
      <c r="AG284" s="290"/>
      <c r="AH284" s="290"/>
      <c r="AI284" s="290"/>
      <c r="AJ284" s="290"/>
      <c r="AK284" s="290"/>
      <c r="AL284" s="290"/>
      <c r="AM284" s="290"/>
      <c r="AN284" s="290"/>
      <c r="AO284" s="373" t="s">
        <v>1090</v>
      </c>
      <c r="AP284" s="307" t="s">
        <v>1065</v>
      </c>
      <c r="AQ284" s="291"/>
      <c r="AR284" s="291"/>
      <c r="AS284" s="290"/>
      <c r="AT284" s="290"/>
      <c r="AU284" s="290"/>
      <c r="AV284" s="290"/>
      <c r="AW284" s="290"/>
      <c r="AX284" s="290"/>
      <c r="AY284" s="290"/>
      <c r="AZ284" s="290"/>
    </row>
    <row r="285" spans="1:52" x14ac:dyDescent="0.25">
      <c r="A285" s="290"/>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90"/>
      <c r="AE285" s="290"/>
      <c r="AF285" s="290"/>
      <c r="AG285" s="290"/>
      <c r="AH285" s="290"/>
      <c r="AI285" s="290"/>
      <c r="AJ285" s="290"/>
      <c r="AK285" s="290"/>
      <c r="AL285" s="290"/>
      <c r="AM285" s="290"/>
      <c r="AN285" s="290"/>
      <c r="AO285" s="373" t="s">
        <v>1091</v>
      </c>
      <c r="AP285" s="307" t="s">
        <v>1007</v>
      </c>
      <c r="AQ285" s="291"/>
      <c r="AR285" s="291"/>
      <c r="AS285" s="290"/>
      <c r="AT285" s="290"/>
      <c r="AU285" s="290"/>
      <c r="AV285" s="290"/>
      <c r="AW285" s="290"/>
      <c r="AX285" s="290"/>
      <c r="AY285" s="290"/>
      <c r="AZ285" s="290"/>
    </row>
    <row r="286" spans="1:52" ht="21" x14ac:dyDescent="0.25">
      <c r="A286" s="290"/>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c r="AA286" s="290"/>
      <c r="AB286" s="290"/>
      <c r="AC286" s="290"/>
      <c r="AD286" s="290"/>
      <c r="AE286" s="290"/>
      <c r="AF286" s="290"/>
      <c r="AG286" s="290"/>
      <c r="AH286" s="290"/>
      <c r="AI286" s="290"/>
      <c r="AJ286" s="290"/>
      <c r="AK286" s="290"/>
      <c r="AL286" s="290"/>
      <c r="AM286" s="290"/>
      <c r="AN286" s="290"/>
      <c r="AO286" s="373" t="s">
        <v>1092</v>
      </c>
      <c r="AP286" s="307" t="s">
        <v>972</v>
      </c>
      <c r="AQ286" s="291"/>
      <c r="AR286" s="291"/>
      <c r="AS286" s="290"/>
      <c r="AT286" s="290"/>
      <c r="AU286" s="290"/>
      <c r="AV286" s="290"/>
      <c r="AW286" s="290"/>
      <c r="AX286" s="290"/>
      <c r="AY286" s="290"/>
      <c r="AZ286" s="290"/>
    </row>
    <row r="287" spans="1:52" ht="21" x14ac:dyDescent="0.25">
      <c r="A287" s="290"/>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290"/>
      <c r="AE287" s="290"/>
      <c r="AF287" s="290"/>
      <c r="AG287" s="290"/>
      <c r="AH287" s="290"/>
      <c r="AI287" s="290"/>
      <c r="AJ287" s="290"/>
      <c r="AK287" s="290"/>
      <c r="AL287" s="290"/>
      <c r="AM287" s="290"/>
      <c r="AN287" s="290"/>
      <c r="AO287" s="373" t="s">
        <v>1093</v>
      </c>
      <c r="AP287" s="307" t="s">
        <v>1094</v>
      </c>
      <c r="AQ287" s="291"/>
      <c r="AR287" s="291"/>
      <c r="AS287" s="290"/>
      <c r="AT287" s="290"/>
      <c r="AU287" s="290"/>
      <c r="AV287" s="290"/>
      <c r="AW287" s="290"/>
      <c r="AX287" s="290"/>
      <c r="AY287" s="290"/>
      <c r="AZ287" s="290"/>
    </row>
    <row r="288" spans="1:52" ht="21" x14ac:dyDescent="0.25">
      <c r="A288" s="290"/>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c r="AA288" s="290"/>
      <c r="AB288" s="290"/>
      <c r="AC288" s="290"/>
      <c r="AD288" s="290"/>
      <c r="AE288" s="290"/>
      <c r="AF288" s="290"/>
      <c r="AG288" s="290"/>
      <c r="AH288" s="290"/>
      <c r="AI288" s="290"/>
      <c r="AJ288" s="290"/>
      <c r="AK288" s="290"/>
      <c r="AL288" s="290"/>
      <c r="AM288" s="290"/>
      <c r="AN288" s="290"/>
      <c r="AO288" s="373" t="s">
        <v>1095</v>
      </c>
      <c r="AP288" s="307" t="s">
        <v>1035</v>
      </c>
      <c r="AQ288" s="291"/>
      <c r="AR288" s="291"/>
      <c r="AS288" s="290"/>
      <c r="AT288" s="290"/>
      <c r="AU288" s="290"/>
      <c r="AV288" s="290"/>
      <c r="AW288" s="290"/>
      <c r="AX288" s="290"/>
      <c r="AY288" s="290"/>
      <c r="AZ288" s="290"/>
    </row>
    <row r="289" spans="1:52" ht="21" x14ac:dyDescent="0.25">
      <c r="A289" s="290"/>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290"/>
      <c r="AE289" s="290"/>
      <c r="AF289" s="290"/>
      <c r="AG289" s="290"/>
      <c r="AH289" s="290"/>
      <c r="AI289" s="290"/>
      <c r="AJ289" s="290"/>
      <c r="AK289" s="290"/>
      <c r="AL289" s="290"/>
      <c r="AM289" s="290"/>
      <c r="AN289" s="290"/>
      <c r="AO289" s="373" t="s">
        <v>1096</v>
      </c>
      <c r="AP289" s="307" t="s">
        <v>1097</v>
      </c>
      <c r="AQ289" s="291"/>
      <c r="AR289" s="291"/>
      <c r="AS289" s="290"/>
      <c r="AT289" s="290"/>
      <c r="AU289" s="290"/>
      <c r="AV289" s="290"/>
      <c r="AW289" s="290"/>
      <c r="AX289" s="290"/>
      <c r="AY289" s="290"/>
      <c r="AZ289" s="290"/>
    </row>
    <row r="290" spans="1:52" ht="21" x14ac:dyDescent="0.25">
      <c r="A290" s="290"/>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290"/>
      <c r="AE290" s="290"/>
      <c r="AF290" s="290"/>
      <c r="AG290" s="290"/>
      <c r="AH290" s="290"/>
      <c r="AI290" s="290"/>
      <c r="AJ290" s="290"/>
      <c r="AK290" s="290"/>
      <c r="AL290" s="290"/>
      <c r="AM290" s="290"/>
      <c r="AN290" s="290"/>
      <c r="AO290" s="373" t="s">
        <v>1098</v>
      </c>
      <c r="AP290" s="307" t="s">
        <v>1099</v>
      </c>
      <c r="AQ290" s="291"/>
      <c r="AR290" s="291"/>
      <c r="AS290" s="290"/>
      <c r="AT290" s="290"/>
      <c r="AU290" s="290"/>
      <c r="AV290" s="290"/>
      <c r="AW290" s="290"/>
      <c r="AX290" s="290"/>
      <c r="AY290" s="290"/>
      <c r="AZ290" s="290"/>
    </row>
    <row r="291" spans="1:52" ht="21" x14ac:dyDescent="0.25">
      <c r="A291" s="290"/>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90"/>
      <c r="AE291" s="290"/>
      <c r="AF291" s="290"/>
      <c r="AG291" s="290"/>
      <c r="AH291" s="290"/>
      <c r="AI291" s="290"/>
      <c r="AJ291" s="290"/>
      <c r="AK291" s="290"/>
      <c r="AL291" s="290"/>
      <c r="AM291" s="290"/>
      <c r="AN291" s="290"/>
      <c r="AO291" s="373" t="s">
        <v>1100</v>
      </c>
      <c r="AP291" s="307" t="s">
        <v>1072</v>
      </c>
      <c r="AQ291" s="291"/>
      <c r="AR291" s="291"/>
      <c r="AS291" s="290"/>
      <c r="AT291" s="290"/>
      <c r="AU291" s="290"/>
      <c r="AV291" s="290"/>
      <c r="AW291" s="290"/>
      <c r="AX291" s="290"/>
      <c r="AY291" s="290"/>
      <c r="AZ291" s="290"/>
    </row>
    <row r="292" spans="1:52" ht="21" x14ac:dyDescent="0.25">
      <c r="A292" s="290"/>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90"/>
      <c r="AE292" s="290"/>
      <c r="AF292" s="290"/>
      <c r="AG292" s="290"/>
      <c r="AH292" s="290"/>
      <c r="AI292" s="290"/>
      <c r="AJ292" s="290"/>
      <c r="AK292" s="290"/>
      <c r="AL292" s="290"/>
      <c r="AM292" s="290"/>
      <c r="AN292" s="290"/>
      <c r="AO292" s="373" t="s">
        <v>1101</v>
      </c>
      <c r="AP292" s="307" t="s">
        <v>986</v>
      </c>
      <c r="AQ292" s="291"/>
      <c r="AR292" s="291"/>
      <c r="AS292" s="290"/>
      <c r="AT292" s="290"/>
      <c r="AU292" s="290"/>
      <c r="AV292" s="290"/>
      <c r="AW292" s="290"/>
      <c r="AX292" s="290"/>
      <c r="AY292" s="290"/>
      <c r="AZ292" s="290"/>
    </row>
    <row r="293" spans="1:52" x14ac:dyDescent="0.25">
      <c r="A293" s="290"/>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90"/>
      <c r="AE293" s="290"/>
      <c r="AF293" s="290"/>
      <c r="AG293" s="290"/>
      <c r="AH293" s="290"/>
      <c r="AI293" s="290"/>
      <c r="AJ293" s="290"/>
      <c r="AK293" s="290"/>
      <c r="AL293" s="290"/>
      <c r="AM293" s="290"/>
      <c r="AN293" s="290"/>
      <c r="AO293" s="373" t="s">
        <v>1102</v>
      </c>
      <c r="AP293" s="307" t="s">
        <v>954</v>
      </c>
      <c r="AQ293" s="291"/>
      <c r="AR293" s="291"/>
      <c r="AS293" s="290"/>
      <c r="AT293" s="290"/>
      <c r="AU293" s="290"/>
      <c r="AV293" s="290"/>
      <c r="AW293" s="290"/>
      <c r="AX293" s="290"/>
      <c r="AY293" s="290"/>
      <c r="AZ293" s="290"/>
    </row>
    <row r="294" spans="1:52" x14ac:dyDescent="0.25">
      <c r="A294" s="290"/>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290"/>
      <c r="AE294" s="290"/>
      <c r="AF294" s="290"/>
      <c r="AG294" s="290"/>
      <c r="AH294" s="290"/>
      <c r="AI294" s="290"/>
      <c r="AJ294" s="290"/>
      <c r="AK294" s="290"/>
      <c r="AL294" s="290"/>
      <c r="AM294" s="290"/>
      <c r="AN294" s="290"/>
      <c r="AO294" s="373" t="s">
        <v>1103</v>
      </c>
      <c r="AP294" s="307" t="s">
        <v>1072</v>
      </c>
      <c r="AQ294" s="291"/>
      <c r="AR294" s="291"/>
      <c r="AS294" s="290"/>
      <c r="AT294" s="290"/>
      <c r="AU294" s="290"/>
      <c r="AV294" s="290"/>
      <c r="AW294" s="290"/>
      <c r="AX294" s="290"/>
      <c r="AY294" s="290"/>
      <c r="AZ294" s="290"/>
    </row>
    <row r="295" spans="1:52" ht="21" x14ac:dyDescent="0.25">
      <c r="A295" s="290"/>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290"/>
      <c r="AE295" s="290"/>
      <c r="AF295" s="290"/>
      <c r="AG295" s="290"/>
      <c r="AH295" s="290"/>
      <c r="AI295" s="290"/>
      <c r="AJ295" s="290"/>
      <c r="AK295" s="290"/>
      <c r="AL295" s="290"/>
      <c r="AM295" s="290"/>
      <c r="AN295" s="290"/>
      <c r="AO295" s="373" t="s">
        <v>1104</v>
      </c>
      <c r="AP295" s="307" t="s">
        <v>1105</v>
      </c>
      <c r="AQ295" s="291"/>
      <c r="AR295" s="291"/>
      <c r="AS295" s="290"/>
      <c r="AT295" s="290"/>
      <c r="AU295" s="290"/>
      <c r="AV295" s="290"/>
      <c r="AW295" s="290"/>
      <c r="AX295" s="290"/>
      <c r="AY295" s="290"/>
      <c r="AZ295" s="290"/>
    </row>
    <row r="296" spans="1:52" ht="21" x14ac:dyDescent="0.25">
      <c r="A296" s="290"/>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c r="AA296" s="290"/>
      <c r="AB296" s="290"/>
      <c r="AC296" s="290"/>
      <c r="AD296" s="290"/>
      <c r="AE296" s="290"/>
      <c r="AF296" s="290"/>
      <c r="AG296" s="290"/>
      <c r="AH296" s="290"/>
      <c r="AI296" s="290"/>
      <c r="AJ296" s="290"/>
      <c r="AK296" s="290"/>
      <c r="AL296" s="290"/>
      <c r="AM296" s="290"/>
      <c r="AN296" s="290"/>
      <c r="AO296" s="373" t="s">
        <v>1106</v>
      </c>
      <c r="AP296" s="307" t="s">
        <v>1107</v>
      </c>
      <c r="AQ296" s="291"/>
      <c r="AR296" s="291"/>
      <c r="AS296" s="290"/>
      <c r="AT296" s="290"/>
      <c r="AU296" s="290"/>
      <c r="AV296" s="290"/>
      <c r="AW296" s="290"/>
      <c r="AX296" s="290"/>
      <c r="AY296" s="290"/>
      <c r="AZ296" s="290"/>
    </row>
    <row r="297" spans="1:52" ht="21" x14ac:dyDescent="0.25">
      <c r="A297" s="290"/>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290"/>
      <c r="AE297" s="290"/>
      <c r="AF297" s="290"/>
      <c r="AG297" s="290"/>
      <c r="AH297" s="290"/>
      <c r="AI297" s="290"/>
      <c r="AJ297" s="290"/>
      <c r="AK297" s="290"/>
      <c r="AL297" s="290"/>
      <c r="AM297" s="290"/>
      <c r="AN297" s="290"/>
      <c r="AO297" s="373" t="s">
        <v>1108</v>
      </c>
      <c r="AP297" s="307" t="s">
        <v>1109</v>
      </c>
      <c r="AQ297" s="291"/>
      <c r="AR297" s="291"/>
      <c r="AS297" s="290"/>
      <c r="AT297" s="290"/>
      <c r="AU297" s="290"/>
      <c r="AV297" s="290"/>
      <c r="AW297" s="290"/>
      <c r="AX297" s="290"/>
      <c r="AY297" s="290"/>
      <c r="AZ297" s="290"/>
    </row>
    <row r="298" spans="1:52" ht="31.5" x14ac:dyDescent="0.25">
      <c r="A298" s="290"/>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c r="AA298" s="290"/>
      <c r="AB298" s="290"/>
      <c r="AC298" s="290"/>
      <c r="AD298" s="290"/>
      <c r="AE298" s="290"/>
      <c r="AF298" s="290"/>
      <c r="AG298" s="290"/>
      <c r="AH298" s="290"/>
      <c r="AI298" s="290"/>
      <c r="AJ298" s="290"/>
      <c r="AK298" s="290"/>
      <c r="AL298" s="290"/>
      <c r="AM298" s="290"/>
      <c r="AN298" s="290"/>
      <c r="AO298" s="373" t="s">
        <v>1110</v>
      </c>
      <c r="AP298" s="307" t="s">
        <v>962</v>
      </c>
      <c r="AQ298" s="291"/>
      <c r="AR298" s="291"/>
      <c r="AS298" s="290"/>
      <c r="AT298" s="290"/>
      <c r="AU298" s="290"/>
      <c r="AV298" s="290"/>
      <c r="AW298" s="290"/>
      <c r="AX298" s="290"/>
      <c r="AY298" s="290"/>
      <c r="AZ298" s="290"/>
    </row>
    <row r="299" spans="1:52" ht="21" x14ac:dyDescent="0.25">
      <c r="A299" s="290"/>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90"/>
      <c r="AE299" s="290"/>
      <c r="AF299" s="290"/>
      <c r="AG299" s="290"/>
      <c r="AH299" s="290"/>
      <c r="AI299" s="290"/>
      <c r="AJ299" s="290"/>
      <c r="AK299" s="290"/>
      <c r="AL299" s="290"/>
      <c r="AM299" s="290"/>
      <c r="AN299" s="290"/>
      <c r="AO299" s="373" t="s">
        <v>1111</v>
      </c>
      <c r="AP299" s="307" t="s">
        <v>972</v>
      </c>
      <c r="AQ299" s="291"/>
      <c r="AR299" s="291"/>
      <c r="AS299" s="290"/>
      <c r="AT299" s="290"/>
      <c r="AU299" s="290"/>
      <c r="AV299" s="290"/>
      <c r="AW299" s="290"/>
      <c r="AX299" s="290"/>
      <c r="AY299" s="290"/>
      <c r="AZ299" s="290"/>
    </row>
    <row r="300" spans="1:52" x14ac:dyDescent="0.25">
      <c r="A300" s="290"/>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90"/>
      <c r="AE300" s="290"/>
      <c r="AF300" s="290"/>
      <c r="AG300" s="290"/>
      <c r="AH300" s="290"/>
      <c r="AI300" s="290"/>
      <c r="AJ300" s="290"/>
      <c r="AK300" s="290"/>
      <c r="AL300" s="290"/>
      <c r="AM300" s="290"/>
      <c r="AN300" s="290"/>
      <c r="AO300" s="373" t="s">
        <v>1112</v>
      </c>
      <c r="AP300" s="307" t="s">
        <v>1072</v>
      </c>
      <c r="AQ300" s="291"/>
      <c r="AR300" s="291"/>
      <c r="AS300" s="290"/>
      <c r="AT300" s="290"/>
      <c r="AU300" s="290"/>
      <c r="AV300" s="290"/>
      <c r="AW300" s="290"/>
      <c r="AX300" s="290"/>
      <c r="AY300" s="290"/>
      <c r="AZ300" s="290"/>
    </row>
    <row r="301" spans="1:52" ht="21" x14ac:dyDescent="0.25">
      <c r="A301" s="290"/>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c r="AA301" s="290"/>
      <c r="AB301" s="290"/>
      <c r="AC301" s="290"/>
      <c r="AD301" s="290"/>
      <c r="AE301" s="290"/>
      <c r="AF301" s="290"/>
      <c r="AG301" s="290"/>
      <c r="AH301" s="290"/>
      <c r="AI301" s="290"/>
      <c r="AJ301" s="290"/>
      <c r="AK301" s="290"/>
      <c r="AL301" s="290"/>
      <c r="AM301" s="290"/>
      <c r="AN301" s="290"/>
      <c r="AO301" s="373" t="s">
        <v>1113</v>
      </c>
      <c r="AP301" s="307" t="s">
        <v>1114</v>
      </c>
      <c r="AQ301" s="291"/>
      <c r="AR301" s="291"/>
      <c r="AS301" s="290"/>
      <c r="AT301" s="290"/>
      <c r="AU301" s="290"/>
      <c r="AV301" s="290"/>
      <c r="AW301" s="290"/>
      <c r="AX301" s="290"/>
      <c r="AY301" s="290"/>
      <c r="AZ301" s="290"/>
    </row>
    <row r="302" spans="1:52" x14ac:dyDescent="0.25">
      <c r="A302" s="290"/>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290"/>
      <c r="AE302" s="290"/>
      <c r="AF302" s="290"/>
      <c r="AG302" s="290"/>
      <c r="AH302" s="290"/>
      <c r="AI302" s="290"/>
      <c r="AJ302" s="290"/>
      <c r="AK302" s="290"/>
      <c r="AL302" s="290"/>
      <c r="AM302" s="290"/>
      <c r="AN302" s="290"/>
      <c r="AO302" s="373" t="s">
        <v>1115</v>
      </c>
      <c r="AP302" s="307" t="s">
        <v>1038</v>
      </c>
      <c r="AQ302" s="291"/>
      <c r="AR302" s="291"/>
      <c r="AS302" s="290"/>
      <c r="AT302" s="290"/>
      <c r="AU302" s="290"/>
      <c r="AV302" s="290"/>
      <c r="AW302" s="290"/>
      <c r="AX302" s="290"/>
      <c r="AY302" s="290"/>
      <c r="AZ302" s="290"/>
    </row>
    <row r="303" spans="1:52" ht="21" x14ac:dyDescent="0.25">
      <c r="A303" s="290"/>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c r="AA303" s="290"/>
      <c r="AB303" s="290"/>
      <c r="AC303" s="290"/>
      <c r="AD303" s="290"/>
      <c r="AE303" s="290"/>
      <c r="AF303" s="290"/>
      <c r="AG303" s="290"/>
      <c r="AH303" s="290"/>
      <c r="AI303" s="290"/>
      <c r="AJ303" s="290"/>
      <c r="AK303" s="290"/>
      <c r="AL303" s="290"/>
      <c r="AM303" s="290"/>
      <c r="AN303" s="290"/>
      <c r="AO303" s="373" t="s">
        <v>1116</v>
      </c>
      <c r="AP303" s="307" t="s">
        <v>1114</v>
      </c>
      <c r="AQ303" s="291"/>
      <c r="AR303" s="291"/>
      <c r="AS303" s="290"/>
      <c r="AT303" s="290"/>
      <c r="AU303" s="290"/>
      <c r="AV303" s="290"/>
      <c r="AW303" s="290"/>
      <c r="AX303" s="290"/>
      <c r="AY303" s="290"/>
      <c r="AZ303" s="290"/>
    </row>
    <row r="304" spans="1:52" x14ac:dyDescent="0.25">
      <c r="A304" s="290"/>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c r="AA304" s="290"/>
      <c r="AB304" s="290"/>
      <c r="AC304" s="290"/>
      <c r="AD304" s="290"/>
      <c r="AE304" s="290"/>
      <c r="AF304" s="290"/>
      <c r="AG304" s="290"/>
      <c r="AH304" s="290"/>
      <c r="AI304" s="290"/>
      <c r="AJ304" s="290"/>
      <c r="AK304" s="290"/>
      <c r="AL304" s="290"/>
      <c r="AM304" s="290"/>
      <c r="AN304" s="290"/>
      <c r="AO304" s="373" t="s">
        <v>1117</v>
      </c>
      <c r="AP304" s="378" t="s">
        <v>1118</v>
      </c>
      <c r="AQ304" s="291"/>
      <c r="AR304" s="291"/>
      <c r="AS304" s="290"/>
      <c r="AT304" s="290"/>
      <c r="AU304" s="290"/>
      <c r="AV304" s="290"/>
      <c r="AW304" s="290"/>
      <c r="AX304" s="290"/>
      <c r="AY304" s="290"/>
      <c r="AZ304" s="290"/>
    </row>
    <row r="305" spans="1:52" ht="21" x14ac:dyDescent="0.25">
      <c r="A305" s="290"/>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c r="AA305" s="290"/>
      <c r="AB305" s="290"/>
      <c r="AC305" s="290"/>
      <c r="AD305" s="290"/>
      <c r="AE305" s="290"/>
      <c r="AF305" s="290"/>
      <c r="AG305" s="290"/>
      <c r="AH305" s="290"/>
      <c r="AI305" s="290"/>
      <c r="AJ305" s="290"/>
      <c r="AK305" s="290"/>
      <c r="AL305" s="290"/>
      <c r="AM305" s="290"/>
      <c r="AN305" s="290"/>
      <c r="AO305" s="373" t="s">
        <v>1119</v>
      </c>
      <c r="AP305" s="307" t="s">
        <v>1120</v>
      </c>
      <c r="AQ305" s="291"/>
      <c r="AR305" s="291"/>
      <c r="AS305" s="290"/>
      <c r="AT305" s="290"/>
      <c r="AU305" s="290"/>
      <c r="AV305" s="290"/>
      <c r="AW305" s="290"/>
      <c r="AX305" s="290"/>
      <c r="AY305" s="290"/>
      <c r="AZ305" s="290"/>
    </row>
    <row r="306" spans="1:52" ht="21" x14ac:dyDescent="0.25">
      <c r="A306" s="290"/>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90"/>
      <c r="AE306" s="290"/>
      <c r="AF306" s="290"/>
      <c r="AG306" s="290"/>
      <c r="AH306" s="290"/>
      <c r="AI306" s="290"/>
      <c r="AJ306" s="290"/>
      <c r="AK306" s="290"/>
      <c r="AL306" s="290"/>
      <c r="AM306" s="290"/>
      <c r="AN306" s="290"/>
      <c r="AO306" s="373" t="s">
        <v>1121</v>
      </c>
      <c r="AP306" s="307" t="s">
        <v>990</v>
      </c>
      <c r="AQ306" s="291"/>
      <c r="AR306" s="291"/>
      <c r="AS306" s="290"/>
      <c r="AT306" s="290"/>
      <c r="AU306" s="290"/>
      <c r="AV306" s="290"/>
      <c r="AW306" s="290"/>
      <c r="AX306" s="290"/>
      <c r="AY306" s="290"/>
      <c r="AZ306" s="290"/>
    </row>
    <row r="307" spans="1:52" ht="21" x14ac:dyDescent="0.25">
      <c r="A307" s="290"/>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90"/>
      <c r="AE307" s="290"/>
      <c r="AF307" s="290"/>
      <c r="AG307" s="290"/>
      <c r="AH307" s="290"/>
      <c r="AI307" s="290"/>
      <c r="AJ307" s="290"/>
      <c r="AK307" s="290"/>
      <c r="AL307" s="290"/>
      <c r="AM307" s="290"/>
      <c r="AN307" s="290"/>
      <c r="AO307" s="373" t="s">
        <v>1122</v>
      </c>
      <c r="AP307" s="307" t="s">
        <v>1035</v>
      </c>
      <c r="AQ307" s="291"/>
      <c r="AR307" s="291"/>
      <c r="AS307" s="290"/>
      <c r="AT307" s="290"/>
      <c r="AU307" s="290"/>
      <c r="AV307" s="290"/>
      <c r="AW307" s="290"/>
      <c r="AX307" s="290"/>
      <c r="AY307" s="290"/>
      <c r="AZ307" s="290"/>
    </row>
    <row r="308" spans="1:52" ht="21" x14ac:dyDescent="0.25">
      <c r="A308" s="290"/>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90"/>
      <c r="AE308" s="290"/>
      <c r="AF308" s="290"/>
      <c r="AG308" s="290"/>
      <c r="AH308" s="290"/>
      <c r="AI308" s="290"/>
      <c r="AJ308" s="290"/>
      <c r="AK308" s="290"/>
      <c r="AL308" s="290"/>
      <c r="AM308" s="290"/>
      <c r="AN308" s="290"/>
      <c r="AO308" s="373" t="s">
        <v>1123</v>
      </c>
      <c r="AP308" s="307" t="s">
        <v>982</v>
      </c>
      <c r="AQ308" s="291"/>
      <c r="AR308" s="291"/>
      <c r="AS308" s="290"/>
      <c r="AT308" s="290"/>
      <c r="AU308" s="290"/>
      <c r="AV308" s="290"/>
      <c r="AW308" s="290"/>
      <c r="AX308" s="290"/>
      <c r="AY308" s="290"/>
      <c r="AZ308" s="290"/>
    </row>
    <row r="309" spans="1:52" ht="21" x14ac:dyDescent="0.25">
      <c r="A309" s="290"/>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0"/>
      <c r="AB309" s="290"/>
      <c r="AC309" s="290"/>
      <c r="AD309" s="290"/>
      <c r="AE309" s="290"/>
      <c r="AF309" s="290"/>
      <c r="AG309" s="290"/>
      <c r="AH309" s="290"/>
      <c r="AI309" s="290"/>
      <c r="AJ309" s="290"/>
      <c r="AK309" s="290"/>
      <c r="AL309" s="290"/>
      <c r="AM309" s="290"/>
      <c r="AN309" s="290"/>
      <c r="AO309" s="373" t="s">
        <v>1124</v>
      </c>
      <c r="AP309" s="373" t="s">
        <v>1125</v>
      </c>
      <c r="AQ309" s="291"/>
      <c r="AR309" s="291"/>
      <c r="AS309" s="290"/>
      <c r="AT309" s="290"/>
      <c r="AU309" s="290"/>
      <c r="AV309" s="290"/>
      <c r="AW309" s="290"/>
      <c r="AX309" s="290"/>
      <c r="AY309" s="290"/>
      <c r="AZ309" s="290"/>
    </row>
    <row r="310" spans="1:52" ht="21" x14ac:dyDescent="0.25">
      <c r="A310" s="290"/>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90"/>
      <c r="AE310" s="290"/>
      <c r="AF310" s="290"/>
      <c r="AG310" s="290"/>
      <c r="AH310" s="290"/>
      <c r="AI310" s="290"/>
      <c r="AJ310" s="290"/>
      <c r="AK310" s="290"/>
      <c r="AL310" s="290"/>
      <c r="AM310" s="290"/>
      <c r="AN310" s="290"/>
      <c r="AO310" s="373" t="s">
        <v>1126</v>
      </c>
      <c r="AP310" s="307" t="s">
        <v>1088</v>
      </c>
      <c r="AQ310" s="291"/>
      <c r="AR310" s="291"/>
      <c r="AS310" s="290"/>
      <c r="AT310" s="290"/>
      <c r="AU310" s="290"/>
      <c r="AV310" s="290"/>
      <c r="AW310" s="290"/>
      <c r="AX310" s="290"/>
      <c r="AY310" s="290"/>
      <c r="AZ310" s="290"/>
    </row>
    <row r="311" spans="1:52" ht="21" x14ac:dyDescent="0.25">
      <c r="A311" s="290"/>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90"/>
      <c r="AE311" s="290"/>
      <c r="AF311" s="290"/>
      <c r="AG311" s="290"/>
      <c r="AH311" s="290"/>
      <c r="AI311" s="290"/>
      <c r="AJ311" s="290"/>
      <c r="AK311" s="290"/>
      <c r="AL311" s="290"/>
      <c r="AM311" s="290"/>
      <c r="AN311" s="290"/>
      <c r="AO311" s="373" t="s">
        <v>1127</v>
      </c>
      <c r="AP311" s="373" t="s">
        <v>1128</v>
      </c>
      <c r="AQ311" s="291"/>
      <c r="AR311" s="291"/>
      <c r="AS311" s="290"/>
      <c r="AT311" s="290"/>
      <c r="AU311" s="290"/>
      <c r="AV311" s="290"/>
      <c r="AW311" s="290"/>
      <c r="AX311" s="290"/>
      <c r="AY311" s="290"/>
      <c r="AZ311" s="290"/>
    </row>
    <row r="312" spans="1:52" ht="21" x14ac:dyDescent="0.25">
      <c r="A312" s="290"/>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90"/>
      <c r="AE312" s="290"/>
      <c r="AF312" s="290"/>
      <c r="AG312" s="290"/>
      <c r="AH312" s="290"/>
      <c r="AI312" s="290"/>
      <c r="AJ312" s="290"/>
      <c r="AK312" s="290"/>
      <c r="AL312" s="290"/>
      <c r="AM312" s="290"/>
      <c r="AN312" s="290"/>
      <c r="AO312" s="373" t="s">
        <v>1129</v>
      </c>
      <c r="AP312" s="307" t="s">
        <v>1072</v>
      </c>
      <c r="AQ312" s="291"/>
      <c r="AR312" s="291"/>
      <c r="AS312" s="290"/>
      <c r="AT312" s="290"/>
      <c r="AU312" s="290"/>
      <c r="AV312" s="290"/>
      <c r="AW312" s="290"/>
      <c r="AX312" s="290"/>
      <c r="AY312" s="290"/>
      <c r="AZ312" s="290"/>
    </row>
    <row r="313" spans="1:52" ht="21" x14ac:dyDescent="0.25">
      <c r="A313" s="290"/>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c r="AA313" s="290"/>
      <c r="AB313" s="290"/>
      <c r="AC313" s="290"/>
      <c r="AD313" s="290"/>
      <c r="AE313" s="290"/>
      <c r="AF313" s="290"/>
      <c r="AG313" s="290"/>
      <c r="AH313" s="290"/>
      <c r="AI313" s="290"/>
      <c r="AJ313" s="290"/>
      <c r="AK313" s="290"/>
      <c r="AL313" s="290"/>
      <c r="AM313" s="290"/>
      <c r="AN313" s="290"/>
      <c r="AO313" s="373" t="s">
        <v>1130</v>
      </c>
      <c r="AP313" s="307" t="s">
        <v>1005</v>
      </c>
      <c r="AQ313" s="291"/>
      <c r="AR313" s="291"/>
      <c r="AS313" s="290"/>
      <c r="AT313" s="290"/>
      <c r="AU313" s="290"/>
      <c r="AV313" s="290"/>
      <c r="AW313" s="290"/>
      <c r="AX313" s="290"/>
      <c r="AY313" s="290"/>
      <c r="AZ313" s="290"/>
    </row>
    <row r="314" spans="1:52" ht="21" x14ac:dyDescent="0.25">
      <c r="A314" s="290"/>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90"/>
      <c r="AE314" s="290"/>
      <c r="AF314" s="290"/>
      <c r="AG314" s="290"/>
      <c r="AH314" s="290"/>
      <c r="AI314" s="290"/>
      <c r="AJ314" s="290"/>
      <c r="AK314" s="290"/>
      <c r="AL314" s="290"/>
      <c r="AM314" s="290"/>
      <c r="AN314" s="290"/>
      <c r="AO314" s="373" t="s">
        <v>1131</v>
      </c>
      <c r="AP314" s="307" t="s">
        <v>1132</v>
      </c>
      <c r="AQ314" s="291"/>
      <c r="AR314" s="291"/>
      <c r="AS314" s="290"/>
      <c r="AT314" s="290"/>
      <c r="AU314" s="290"/>
      <c r="AV314" s="290"/>
      <c r="AW314" s="290"/>
      <c r="AX314" s="290"/>
      <c r="AY314" s="290"/>
      <c r="AZ314" s="290"/>
    </row>
    <row r="315" spans="1:52" ht="21" x14ac:dyDescent="0.25">
      <c r="A315" s="290"/>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c r="AE315" s="290"/>
      <c r="AF315" s="290"/>
      <c r="AG315" s="290"/>
      <c r="AH315" s="290"/>
      <c r="AI315" s="290"/>
      <c r="AJ315" s="290"/>
      <c r="AK315" s="290"/>
      <c r="AL315" s="290"/>
      <c r="AM315" s="290"/>
      <c r="AN315" s="290"/>
      <c r="AO315" s="383"/>
      <c r="AP315" s="373" t="s">
        <v>1133</v>
      </c>
      <c r="AQ315" s="291"/>
      <c r="AR315" s="291"/>
      <c r="AS315" s="290"/>
      <c r="AT315" s="290"/>
      <c r="AU315" s="290"/>
      <c r="AV315" s="290"/>
      <c r="AW315" s="290"/>
      <c r="AX315" s="290"/>
      <c r="AY315" s="290"/>
      <c r="AZ315" s="290"/>
    </row>
    <row r="316" spans="1:52" ht="21" x14ac:dyDescent="0.25">
      <c r="A316" s="290"/>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c r="AA316" s="290"/>
      <c r="AB316" s="290"/>
      <c r="AC316" s="290"/>
      <c r="AD316" s="290"/>
      <c r="AE316" s="290"/>
      <c r="AF316" s="290"/>
      <c r="AG316" s="290"/>
      <c r="AH316" s="290"/>
      <c r="AI316" s="290"/>
      <c r="AJ316" s="290"/>
      <c r="AK316" s="290"/>
      <c r="AL316" s="290"/>
      <c r="AM316" s="290"/>
      <c r="AN316" s="290"/>
      <c r="AO316" s="373" t="s">
        <v>883</v>
      </c>
      <c r="AP316" s="307" t="s">
        <v>1134</v>
      </c>
      <c r="AQ316" s="291"/>
      <c r="AR316" s="291"/>
      <c r="AS316" s="290"/>
      <c r="AT316" s="290"/>
      <c r="AU316" s="290"/>
      <c r="AV316" s="290"/>
      <c r="AW316" s="290"/>
      <c r="AX316" s="290"/>
      <c r="AY316" s="290"/>
      <c r="AZ316" s="290"/>
    </row>
    <row r="317" spans="1:52" ht="21" x14ac:dyDescent="0.25">
      <c r="A317" s="290"/>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90"/>
      <c r="AE317" s="290"/>
      <c r="AF317" s="290"/>
      <c r="AG317" s="290"/>
      <c r="AH317" s="290"/>
      <c r="AI317" s="290"/>
      <c r="AJ317" s="290"/>
      <c r="AK317" s="290"/>
      <c r="AL317" s="290"/>
      <c r="AM317" s="290"/>
      <c r="AN317" s="290"/>
      <c r="AO317" s="373" t="s">
        <v>1135</v>
      </c>
      <c r="AP317" s="307" t="s">
        <v>1076</v>
      </c>
      <c r="AQ317" s="291"/>
      <c r="AR317" s="291"/>
      <c r="AS317" s="290"/>
      <c r="AT317" s="290"/>
      <c r="AU317" s="290"/>
      <c r="AV317" s="290"/>
      <c r="AW317" s="290"/>
      <c r="AX317" s="290"/>
      <c r="AY317" s="290"/>
      <c r="AZ317" s="290"/>
    </row>
    <row r="318" spans="1:52" x14ac:dyDescent="0.25">
      <c r="A318" s="290"/>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c r="AA318" s="290"/>
      <c r="AB318" s="290"/>
      <c r="AC318" s="290"/>
      <c r="AD318" s="290"/>
      <c r="AE318" s="290"/>
      <c r="AF318" s="290"/>
      <c r="AG318" s="290"/>
      <c r="AH318" s="290"/>
      <c r="AI318" s="290"/>
      <c r="AJ318" s="290"/>
      <c r="AK318" s="290"/>
      <c r="AL318" s="290"/>
      <c r="AM318" s="290"/>
      <c r="AN318" s="290"/>
      <c r="AO318" s="1826" t="s">
        <v>1136</v>
      </c>
      <c r="AP318" s="383"/>
      <c r="AQ318" s="291"/>
      <c r="AR318" s="291"/>
      <c r="AS318" s="290"/>
      <c r="AT318" s="290"/>
      <c r="AU318" s="290"/>
      <c r="AV318" s="290"/>
      <c r="AW318" s="290"/>
      <c r="AX318" s="290"/>
      <c r="AY318" s="290"/>
      <c r="AZ318" s="290"/>
    </row>
    <row r="319" spans="1:52" x14ac:dyDescent="0.25">
      <c r="A319" s="290"/>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290"/>
      <c r="AE319" s="290"/>
      <c r="AF319" s="290"/>
      <c r="AG319" s="290"/>
      <c r="AH319" s="290"/>
      <c r="AI319" s="290"/>
      <c r="AJ319" s="290"/>
      <c r="AK319" s="290"/>
      <c r="AL319" s="290"/>
      <c r="AM319" s="290"/>
      <c r="AN319" s="290"/>
      <c r="AO319" s="1826"/>
      <c r="AP319" s="307" t="s">
        <v>1137</v>
      </c>
      <c r="AQ319" s="291"/>
      <c r="AR319" s="291"/>
      <c r="AS319" s="290"/>
      <c r="AT319" s="290"/>
      <c r="AU319" s="290"/>
      <c r="AV319" s="290"/>
      <c r="AW319" s="290"/>
      <c r="AX319" s="290"/>
      <c r="AY319" s="290"/>
      <c r="AZ319" s="290"/>
    </row>
    <row r="320" spans="1:52" ht="21" x14ac:dyDescent="0.25">
      <c r="A320" s="290"/>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90"/>
      <c r="AC320" s="290"/>
      <c r="AD320" s="290"/>
      <c r="AE320" s="290"/>
      <c r="AF320" s="290"/>
      <c r="AG320" s="290"/>
      <c r="AH320" s="290"/>
      <c r="AI320" s="290"/>
      <c r="AJ320" s="290"/>
      <c r="AK320" s="290"/>
      <c r="AL320" s="290"/>
      <c r="AM320" s="290"/>
      <c r="AN320" s="290"/>
      <c r="AO320" s="373" t="s">
        <v>1138</v>
      </c>
      <c r="AP320" s="307" t="s">
        <v>1035</v>
      </c>
      <c r="AQ320" s="291"/>
      <c r="AR320" s="291"/>
      <c r="AS320" s="290"/>
      <c r="AT320" s="290"/>
      <c r="AU320" s="290"/>
      <c r="AV320" s="290"/>
      <c r="AW320" s="290"/>
      <c r="AX320" s="290"/>
      <c r="AY320" s="290"/>
      <c r="AZ320" s="290"/>
    </row>
    <row r="321" spans="1:52" ht="31.5" x14ac:dyDescent="0.25">
      <c r="A321" s="290"/>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90"/>
      <c r="AE321" s="290"/>
      <c r="AF321" s="290"/>
      <c r="AG321" s="290"/>
      <c r="AH321" s="290"/>
      <c r="AI321" s="290"/>
      <c r="AJ321" s="290"/>
      <c r="AK321" s="290"/>
      <c r="AL321" s="290"/>
      <c r="AM321" s="290"/>
      <c r="AN321" s="290"/>
      <c r="AO321" s="373" t="s">
        <v>1139</v>
      </c>
      <c r="AP321" s="307" t="s">
        <v>1097</v>
      </c>
      <c r="AQ321" s="291"/>
      <c r="AR321" s="291"/>
      <c r="AS321" s="290"/>
      <c r="AT321" s="290"/>
      <c r="AU321" s="290"/>
      <c r="AV321" s="290"/>
      <c r="AW321" s="290"/>
      <c r="AX321" s="290"/>
      <c r="AY321" s="290"/>
      <c r="AZ321" s="290"/>
    </row>
    <row r="322" spans="1:52" ht="21" x14ac:dyDescent="0.25">
      <c r="A322" s="290"/>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290"/>
      <c r="AE322" s="290"/>
      <c r="AF322" s="290"/>
      <c r="AG322" s="290"/>
      <c r="AH322" s="290"/>
      <c r="AI322" s="290"/>
      <c r="AJ322" s="290"/>
      <c r="AK322" s="290"/>
      <c r="AL322" s="290"/>
      <c r="AM322" s="290"/>
      <c r="AN322" s="290"/>
      <c r="AO322" s="373" t="s">
        <v>1140</v>
      </c>
      <c r="AP322" s="378" t="s">
        <v>1141</v>
      </c>
      <c r="AQ322" s="291"/>
      <c r="AR322" s="291"/>
      <c r="AS322" s="290"/>
      <c r="AT322" s="290"/>
      <c r="AU322" s="290"/>
      <c r="AV322" s="290"/>
      <c r="AW322" s="290"/>
      <c r="AX322" s="290"/>
      <c r="AY322" s="290"/>
      <c r="AZ322" s="290"/>
    </row>
    <row r="323" spans="1:52" ht="31.5" x14ac:dyDescent="0.25">
      <c r="A323" s="290"/>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90"/>
      <c r="AO323" s="373" t="s">
        <v>1142</v>
      </c>
      <c r="AP323" s="307" t="s">
        <v>1045</v>
      </c>
      <c r="AQ323" s="291"/>
      <c r="AR323" s="291"/>
      <c r="AS323" s="290"/>
      <c r="AT323" s="290"/>
      <c r="AU323" s="290"/>
      <c r="AV323" s="290"/>
      <c r="AW323" s="290"/>
      <c r="AX323" s="290"/>
      <c r="AY323" s="290"/>
      <c r="AZ323" s="290"/>
    </row>
    <row r="324" spans="1:52" x14ac:dyDescent="0.25">
      <c r="A324" s="290"/>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90"/>
      <c r="AO324" s="373" t="s">
        <v>1143</v>
      </c>
      <c r="AP324" s="307" t="s">
        <v>1144</v>
      </c>
      <c r="AQ324" s="291"/>
      <c r="AR324" s="291"/>
      <c r="AS324" s="290"/>
      <c r="AT324" s="290"/>
      <c r="AU324" s="290"/>
      <c r="AV324" s="290"/>
      <c r="AW324" s="290"/>
      <c r="AX324" s="290"/>
      <c r="AY324" s="290"/>
      <c r="AZ324" s="290"/>
    </row>
    <row r="325" spans="1:52" ht="21" x14ac:dyDescent="0.25">
      <c r="A325" s="290"/>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90"/>
      <c r="AO325" s="373" t="s">
        <v>1145</v>
      </c>
      <c r="AP325" s="307" t="s">
        <v>1146</v>
      </c>
      <c r="AQ325" s="291"/>
      <c r="AR325" s="291"/>
      <c r="AS325" s="290"/>
      <c r="AT325" s="290"/>
      <c r="AU325" s="290"/>
      <c r="AV325" s="290"/>
      <c r="AW325" s="290"/>
      <c r="AX325" s="290"/>
      <c r="AY325" s="290"/>
      <c r="AZ325" s="290"/>
    </row>
    <row r="326" spans="1:52" x14ac:dyDescent="0.25">
      <c r="A326" s="290"/>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290"/>
      <c r="AE326" s="290"/>
      <c r="AF326" s="290"/>
      <c r="AG326" s="290"/>
      <c r="AH326" s="290"/>
      <c r="AI326" s="290"/>
      <c r="AJ326" s="290"/>
      <c r="AK326" s="290"/>
      <c r="AL326" s="290"/>
      <c r="AM326" s="290"/>
      <c r="AN326" s="290"/>
      <c r="AO326" s="383"/>
      <c r="AP326" s="378" t="s">
        <v>1147</v>
      </c>
      <c r="AQ326" s="291"/>
      <c r="AR326" s="291"/>
      <c r="AS326" s="290"/>
      <c r="AT326" s="290"/>
      <c r="AU326" s="290"/>
      <c r="AV326" s="290"/>
      <c r="AW326" s="290"/>
      <c r="AX326" s="290"/>
      <c r="AY326" s="290"/>
      <c r="AZ326" s="290"/>
    </row>
    <row r="327" spans="1:52" ht="21" x14ac:dyDescent="0.25">
      <c r="A327" s="290"/>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c r="AF327" s="290"/>
      <c r="AG327" s="290"/>
      <c r="AH327" s="290"/>
      <c r="AI327" s="290"/>
      <c r="AJ327" s="290"/>
      <c r="AK327" s="290"/>
      <c r="AL327" s="290"/>
      <c r="AM327" s="290"/>
      <c r="AN327" s="290"/>
      <c r="AO327" s="373" t="s">
        <v>1148</v>
      </c>
      <c r="AP327" s="307" t="s">
        <v>1149</v>
      </c>
      <c r="AQ327" s="291"/>
      <c r="AR327" s="291"/>
      <c r="AS327" s="290"/>
      <c r="AT327" s="290"/>
      <c r="AU327" s="290"/>
      <c r="AV327" s="290"/>
      <c r="AW327" s="290"/>
      <c r="AX327" s="290"/>
      <c r="AY327" s="290"/>
      <c r="AZ327" s="290"/>
    </row>
    <row r="328" spans="1:52" ht="21" x14ac:dyDescent="0.25">
      <c r="A328" s="290"/>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c r="AA328" s="290"/>
      <c r="AB328" s="290"/>
      <c r="AC328" s="290"/>
      <c r="AD328" s="290"/>
      <c r="AE328" s="290"/>
      <c r="AF328" s="290"/>
      <c r="AG328" s="290"/>
      <c r="AH328" s="290"/>
      <c r="AI328" s="290"/>
      <c r="AJ328" s="290"/>
      <c r="AK328" s="290"/>
      <c r="AL328" s="290"/>
      <c r="AM328" s="290"/>
      <c r="AN328" s="290"/>
      <c r="AO328" s="373" t="s">
        <v>1150</v>
      </c>
      <c r="AP328" s="307" t="s">
        <v>1109</v>
      </c>
      <c r="AQ328" s="291"/>
      <c r="AR328" s="291"/>
      <c r="AS328" s="290"/>
      <c r="AT328" s="290"/>
      <c r="AU328" s="290"/>
      <c r="AV328" s="290"/>
      <c r="AW328" s="290"/>
      <c r="AX328" s="290"/>
      <c r="AY328" s="290"/>
      <c r="AZ328" s="290"/>
    </row>
    <row r="329" spans="1:52" ht="21" x14ac:dyDescent="0.25">
      <c r="A329" s="290"/>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c r="AA329" s="290"/>
      <c r="AB329" s="290"/>
      <c r="AC329" s="290"/>
      <c r="AD329" s="290"/>
      <c r="AE329" s="290"/>
      <c r="AF329" s="290"/>
      <c r="AG329" s="290"/>
      <c r="AH329" s="290"/>
      <c r="AI329" s="290"/>
      <c r="AJ329" s="290"/>
      <c r="AK329" s="290"/>
      <c r="AL329" s="290"/>
      <c r="AM329" s="290"/>
      <c r="AN329" s="290"/>
      <c r="AO329" s="373" t="s">
        <v>1151</v>
      </c>
      <c r="AP329" s="307" t="s">
        <v>968</v>
      </c>
      <c r="AQ329" s="291"/>
      <c r="AR329" s="291"/>
      <c r="AS329" s="290"/>
      <c r="AT329" s="290"/>
      <c r="AU329" s="290"/>
      <c r="AV329" s="290"/>
      <c r="AW329" s="290"/>
      <c r="AX329" s="290"/>
      <c r="AY329" s="290"/>
      <c r="AZ329" s="290"/>
    </row>
    <row r="330" spans="1:52" x14ac:dyDescent="0.25">
      <c r="A330" s="290"/>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290"/>
      <c r="AE330" s="290"/>
      <c r="AF330" s="290"/>
      <c r="AG330" s="290"/>
      <c r="AH330" s="290"/>
      <c r="AI330" s="290"/>
      <c r="AJ330" s="290"/>
      <c r="AK330" s="290"/>
      <c r="AL330" s="290"/>
      <c r="AM330" s="290"/>
      <c r="AN330" s="290"/>
      <c r="AO330" s="373" t="s">
        <v>1152</v>
      </c>
      <c r="AP330" s="307" t="s">
        <v>1035</v>
      </c>
      <c r="AQ330" s="291"/>
      <c r="AR330" s="291"/>
      <c r="AS330" s="290"/>
      <c r="AT330" s="290"/>
      <c r="AU330" s="290"/>
      <c r="AV330" s="290"/>
      <c r="AW330" s="290"/>
      <c r="AX330" s="290"/>
      <c r="AY330" s="290"/>
      <c r="AZ330" s="290"/>
    </row>
    <row r="331" spans="1:52" x14ac:dyDescent="0.25">
      <c r="A331" s="290"/>
      <c r="B331" s="290"/>
      <c r="C331" s="290"/>
      <c r="D331" s="290"/>
      <c r="E331" s="290"/>
      <c r="F331" s="290"/>
      <c r="G331" s="290"/>
      <c r="H331" s="290"/>
      <c r="I331" s="290"/>
      <c r="J331" s="290"/>
      <c r="K331" s="290"/>
      <c r="L331" s="290"/>
      <c r="M331" s="290"/>
      <c r="N331" s="290"/>
      <c r="O331" s="290"/>
      <c r="P331" s="290"/>
      <c r="Q331" s="290"/>
      <c r="R331" s="290"/>
      <c r="S331" s="290"/>
      <c r="T331" s="290"/>
      <c r="U331" s="290"/>
      <c r="V331" s="290"/>
      <c r="W331" s="290"/>
      <c r="X331" s="290"/>
      <c r="Y331" s="290"/>
      <c r="Z331" s="290"/>
      <c r="AA331" s="290"/>
      <c r="AB331" s="290"/>
      <c r="AC331" s="290"/>
      <c r="AD331" s="290"/>
      <c r="AE331" s="290"/>
      <c r="AF331" s="290"/>
      <c r="AG331" s="290"/>
      <c r="AH331" s="290"/>
      <c r="AI331" s="290"/>
      <c r="AJ331" s="290"/>
      <c r="AK331" s="290"/>
      <c r="AL331" s="290"/>
      <c r="AM331" s="290"/>
      <c r="AN331" s="290"/>
      <c r="AO331" s="383"/>
      <c r="AP331" s="383"/>
      <c r="AQ331" s="291"/>
      <c r="AR331" s="291"/>
      <c r="AS331" s="290"/>
      <c r="AT331" s="290"/>
      <c r="AU331" s="290"/>
      <c r="AV331" s="290"/>
      <c r="AW331" s="290"/>
      <c r="AX331" s="290"/>
      <c r="AY331" s="290"/>
      <c r="AZ331" s="290"/>
    </row>
    <row r="332" spans="1:52" ht="21" x14ac:dyDescent="0.25">
      <c r="A332" s="290"/>
      <c r="B332" s="290"/>
      <c r="C332" s="290"/>
      <c r="D332" s="290"/>
      <c r="E332" s="290"/>
      <c r="F332" s="290"/>
      <c r="G332" s="290"/>
      <c r="H332" s="290"/>
      <c r="I332" s="290"/>
      <c r="J332" s="290"/>
      <c r="K332" s="290"/>
      <c r="L332" s="290"/>
      <c r="M332" s="290"/>
      <c r="N332" s="290"/>
      <c r="O332" s="290"/>
      <c r="P332" s="290"/>
      <c r="Q332" s="290"/>
      <c r="R332" s="290"/>
      <c r="S332" s="290"/>
      <c r="T332" s="290"/>
      <c r="U332" s="290"/>
      <c r="V332" s="290"/>
      <c r="W332" s="290"/>
      <c r="X332" s="290"/>
      <c r="Y332" s="290"/>
      <c r="Z332" s="290"/>
      <c r="AA332" s="290"/>
      <c r="AB332" s="290"/>
      <c r="AC332" s="290"/>
      <c r="AD332" s="290"/>
      <c r="AE332" s="290"/>
      <c r="AF332" s="290"/>
      <c r="AG332" s="290"/>
      <c r="AH332" s="290"/>
      <c r="AI332" s="290"/>
      <c r="AJ332" s="290"/>
      <c r="AK332" s="290"/>
      <c r="AL332" s="290"/>
      <c r="AM332" s="290"/>
      <c r="AN332" s="290"/>
      <c r="AO332" s="373" t="s">
        <v>1153</v>
      </c>
      <c r="AP332" s="307" t="s">
        <v>954</v>
      </c>
      <c r="AQ332" s="291"/>
      <c r="AR332" s="291"/>
      <c r="AS332" s="290"/>
      <c r="AT332" s="290"/>
      <c r="AU332" s="290"/>
      <c r="AV332" s="290"/>
      <c r="AW332" s="290"/>
      <c r="AX332" s="290"/>
      <c r="AY332" s="290"/>
      <c r="AZ332" s="290"/>
    </row>
    <row r="333" spans="1:52" ht="21" x14ac:dyDescent="0.25">
      <c r="A333" s="290"/>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290"/>
      <c r="AF333" s="290"/>
      <c r="AG333" s="290"/>
      <c r="AH333" s="290"/>
      <c r="AI333" s="290"/>
      <c r="AJ333" s="290"/>
      <c r="AK333" s="290"/>
      <c r="AL333" s="290"/>
      <c r="AM333" s="290"/>
      <c r="AN333" s="290"/>
      <c r="AO333" s="373" t="s">
        <v>1154</v>
      </c>
      <c r="AP333" s="307" t="s">
        <v>996</v>
      </c>
      <c r="AQ333" s="291"/>
      <c r="AR333" s="291"/>
      <c r="AS333" s="290"/>
      <c r="AT333" s="290"/>
      <c r="AU333" s="290"/>
      <c r="AV333" s="290"/>
      <c r="AW333" s="290"/>
      <c r="AX333" s="290"/>
      <c r="AY333" s="290"/>
      <c r="AZ333" s="290"/>
    </row>
    <row r="334" spans="1:52" ht="21" x14ac:dyDescent="0.25">
      <c r="A334" s="290"/>
      <c r="B334" s="290"/>
      <c r="C334" s="290"/>
      <c r="D334" s="290"/>
      <c r="E334" s="290"/>
      <c r="F334" s="290"/>
      <c r="G334" s="290"/>
      <c r="H334" s="290"/>
      <c r="I334" s="290"/>
      <c r="J334" s="290"/>
      <c r="K334" s="290"/>
      <c r="L334" s="290"/>
      <c r="M334" s="290"/>
      <c r="N334" s="290"/>
      <c r="O334" s="290"/>
      <c r="P334" s="290"/>
      <c r="Q334" s="290"/>
      <c r="R334" s="290"/>
      <c r="S334" s="290"/>
      <c r="T334" s="290"/>
      <c r="U334" s="290"/>
      <c r="V334" s="290"/>
      <c r="W334" s="290"/>
      <c r="X334" s="290"/>
      <c r="Y334" s="290"/>
      <c r="Z334" s="290"/>
      <c r="AA334" s="290"/>
      <c r="AB334" s="290"/>
      <c r="AC334" s="290"/>
      <c r="AD334" s="290"/>
      <c r="AE334" s="290"/>
      <c r="AF334" s="290"/>
      <c r="AG334" s="290"/>
      <c r="AH334" s="290"/>
      <c r="AI334" s="290"/>
      <c r="AJ334" s="290"/>
      <c r="AK334" s="290"/>
      <c r="AL334" s="290"/>
      <c r="AM334" s="290"/>
      <c r="AN334" s="290"/>
      <c r="AO334" s="373" t="s">
        <v>1155</v>
      </c>
      <c r="AP334" s="307" t="s">
        <v>1156</v>
      </c>
      <c r="AQ334" s="291"/>
      <c r="AR334" s="291"/>
      <c r="AS334" s="290"/>
      <c r="AT334" s="290"/>
      <c r="AU334" s="290"/>
      <c r="AV334" s="290"/>
      <c r="AW334" s="290"/>
      <c r="AX334" s="290"/>
      <c r="AY334" s="290"/>
      <c r="AZ334" s="290"/>
    </row>
    <row r="335" spans="1:52" ht="21" x14ac:dyDescent="0.25">
      <c r="A335" s="290"/>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c r="AE335" s="290"/>
      <c r="AF335" s="290"/>
      <c r="AG335" s="290"/>
      <c r="AH335" s="290"/>
      <c r="AI335" s="290"/>
      <c r="AJ335" s="290"/>
      <c r="AK335" s="290"/>
      <c r="AL335" s="290"/>
      <c r="AM335" s="290"/>
      <c r="AN335" s="290"/>
      <c r="AO335" s="373" t="s">
        <v>1157</v>
      </c>
      <c r="AP335" s="307" t="s">
        <v>1158</v>
      </c>
      <c r="AQ335" s="291"/>
      <c r="AR335" s="291"/>
      <c r="AS335" s="290"/>
      <c r="AT335" s="290"/>
      <c r="AU335" s="290"/>
      <c r="AV335" s="290"/>
      <c r="AW335" s="290"/>
      <c r="AX335" s="290"/>
      <c r="AY335" s="290"/>
      <c r="AZ335" s="290"/>
    </row>
    <row r="336" spans="1:52" ht="31.5" x14ac:dyDescent="0.25">
      <c r="A336" s="290"/>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90"/>
      <c r="AE336" s="290"/>
      <c r="AF336" s="290"/>
      <c r="AG336" s="290"/>
      <c r="AH336" s="290"/>
      <c r="AI336" s="290"/>
      <c r="AJ336" s="290"/>
      <c r="AK336" s="290"/>
      <c r="AL336" s="290"/>
      <c r="AM336" s="290"/>
      <c r="AN336" s="290"/>
      <c r="AO336" s="373" t="s">
        <v>1159</v>
      </c>
      <c r="AP336" s="307" t="s">
        <v>1082</v>
      </c>
      <c r="AQ336" s="291"/>
      <c r="AR336" s="291"/>
      <c r="AS336" s="290"/>
      <c r="AT336" s="290"/>
      <c r="AU336" s="290"/>
      <c r="AV336" s="290"/>
      <c r="AW336" s="290"/>
      <c r="AX336" s="290"/>
      <c r="AY336" s="290"/>
      <c r="AZ336" s="290"/>
    </row>
    <row r="337" spans="1:52" ht="21" x14ac:dyDescent="0.25">
      <c r="A337" s="290"/>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290"/>
      <c r="AE337" s="290"/>
      <c r="AF337" s="290"/>
      <c r="AG337" s="290"/>
      <c r="AH337" s="290"/>
      <c r="AI337" s="290"/>
      <c r="AJ337" s="290"/>
      <c r="AK337" s="290"/>
      <c r="AL337" s="290"/>
      <c r="AM337" s="290"/>
      <c r="AN337" s="290"/>
      <c r="AO337" s="373" t="s">
        <v>1160</v>
      </c>
      <c r="AP337" s="307" t="s">
        <v>1045</v>
      </c>
      <c r="AQ337" s="291"/>
      <c r="AR337" s="291"/>
      <c r="AS337" s="290"/>
      <c r="AT337" s="290"/>
      <c r="AU337" s="290"/>
      <c r="AV337" s="290"/>
      <c r="AW337" s="290"/>
      <c r="AX337" s="290"/>
      <c r="AY337" s="290"/>
      <c r="AZ337" s="290"/>
    </row>
    <row r="338" spans="1:52" x14ac:dyDescent="0.25">
      <c r="A338" s="290"/>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90"/>
      <c r="AO338" s="373" t="s">
        <v>1161</v>
      </c>
      <c r="AP338" s="307" t="s">
        <v>1105</v>
      </c>
      <c r="AQ338" s="291"/>
      <c r="AR338" s="291"/>
      <c r="AS338" s="290"/>
      <c r="AT338" s="290"/>
      <c r="AU338" s="290"/>
      <c r="AV338" s="290"/>
      <c r="AW338" s="290"/>
      <c r="AX338" s="290"/>
      <c r="AY338" s="290"/>
      <c r="AZ338" s="290"/>
    </row>
    <row r="339" spans="1:52" ht="21" x14ac:dyDescent="0.25">
      <c r="A339" s="290"/>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90"/>
      <c r="AO339" s="373" t="s">
        <v>1162</v>
      </c>
      <c r="AP339" s="307" t="s">
        <v>996</v>
      </c>
      <c r="AQ339" s="291"/>
      <c r="AR339" s="291"/>
      <c r="AS339" s="290"/>
      <c r="AT339" s="290"/>
      <c r="AU339" s="290"/>
      <c r="AV339" s="290"/>
      <c r="AW339" s="290"/>
      <c r="AX339" s="290"/>
      <c r="AY339" s="290"/>
      <c r="AZ339" s="290"/>
    </row>
    <row r="340" spans="1:52" x14ac:dyDescent="0.25">
      <c r="A340" s="290"/>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c r="AE340" s="290"/>
      <c r="AF340" s="290"/>
      <c r="AG340" s="290"/>
      <c r="AH340" s="290"/>
      <c r="AI340" s="290"/>
      <c r="AJ340" s="290"/>
      <c r="AK340" s="290"/>
      <c r="AL340" s="290"/>
      <c r="AM340" s="290"/>
      <c r="AN340" s="290"/>
      <c r="AO340" s="1826" t="s">
        <v>1163</v>
      </c>
      <c r="AP340" s="378" t="s">
        <v>1164</v>
      </c>
      <c r="AQ340" s="291"/>
      <c r="AR340" s="291"/>
      <c r="AS340" s="290"/>
      <c r="AT340" s="290"/>
      <c r="AU340" s="290"/>
      <c r="AV340" s="290"/>
      <c r="AW340" s="290"/>
      <c r="AX340" s="290"/>
      <c r="AY340" s="290"/>
      <c r="AZ340" s="290"/>
    </row>
    <row r="341" spans="1:52" x14ac:dyDescent="0.25">
      <c r="A341" s="290"/>
      <c r="B341" s="290"/>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90"/>
      <c r="AO341" s="1826"/>
      <c r="AP341" s="307" t="s">
        <v>1165</v>
      </c>
      <c r="AQ341" s="291"/>
      <c r="AR341" s="291"/>
      <c r="AS341" s="290"/>
      <c r="AT341" s="290"/>
      <c r="AU341" s="290"/>
      <c r="AV341" s="290"/>
      <c r="AW341" s="290"/>
      <c r="AX341" s="290"/>
      <c r="AY341" s="290"/>
      <c r="AZ341" s="290"/>
    </row>
    <row r="342" spans="1:52" x14ac:dyDescent="0.25">
      <c r="A342" s="290"/>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c r="AE342" s="290"/>
      <c r="AF342" s="290"/>
      <c r="AG342" s="290"/>
      <c r="AH342" s="290"/>
      <c r="AI342" s="290"/>
      <c r="AJ342" s="290"/>
      <c r="AK342" s="290"/>
      <c r="AL342" s="290"/>
      <c r="AM342" s="290"/>
      <c r="AN342" s="290"/>
      <c r="AO342" s="373" t="s">
        <v>1166</v>
      </c>
      <c r="AP342" s="307" t="s">
        <v>1082</v>
      </c>
      <c r="AQ342" s="291"/>
      <c r="AR342" s="291"/>
      <c r="AS342" s="290"/>
      <c r="AT342" s="290"/>
      <c r="AU342" s="290"/>
      <c r="AV342" s="290"/>
      <c r="AW342" s="290"/>
      <c r="AX342" s="290"/>
      <c r="AY342" s="290"/>
      <c r="AZ342" s="290"/>
    </row>
    <row r="343" spans="1:52" x14ac:dyDescent="0.25">
      <c r="A343" s="290"/>
      <c r="B343" s="290"/>
      <c r="C343" s="290"/>
      <c r="D343" s="290"/>
      <c r="E343" s="290"/>
      <c r="F343" s="290"/>
      <c r="G343" s="290"/>
      <c r="H343" s="290"/>
      <c r="I343" s="290"/>
      <c r="J343" s="290"/>
      <c r="K343" s="290"/>
      <c r="L343" s="290"/>
      <c r="M343" s="290"/>
      <c r="N343" s="290"/>
      <c r="O343" s="290"/>
      <c r="P343" s="290"/>
      <c r="Q343" s="290"/>
      <c r="R343" s="290"/>
      <c r="S343" s="290"/>
      <c r="T343" s="290"/>
      <c r="U343" s="290"/>
      <c r="V343" s="290"/>
      <c r="W343" s="290"/>
      <c r="X343" s="290"/>
      <c r="Y343" s="290"/>
      <c r="Z343" s="290"/>
      <c r="AA343" s="290"/>
      <c r="AB343" s="290"/>
      <c r="AC343" s="290"/>
      <c r="AD343" s="290"/>
      <c r="AE343" s="290"/>
      <c r="AF343" s="290"/>
      <c r="AG343" s="290"/>
      <c r="AH343" s="290"/>
      <c r="AI343" s="290"/>
      <c r="AJ343" s="290"/>
      <c r="AK343" s="290"/>
      <c r="AL343" s="290"/>
      <c r="AM343" s="290"/>
      <c r="AN343" s="290"/>
      <c r="AO343" s="1826" t="s">
        <v>1167</v>
      </c>
      <c r="AP343" s="378" t="s">
        <v>1168</v>
      </c>
      <c r="AQ343" s="291"/>
      <c r="AR343" s="291"/>
      <c r="AS343" s="290"/>
      <c r="AT343" s="290"/>
      <c r="AU343" s="290"/>
      <c r="AV343" s="290"/>
      <c r="AW343" s="290"/>
      <c r="AX343" s="290"/>
      <c r="AY343" s="290"/>
      <c r="AZ343" s="290"/>
    </row>
    <row r="344" spans="1:52" x14ac:dyDescent="0.25">
      <c r="A344" s="290"/>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c r="AE344" s="290"/>
      <c r="AF344" s="290"/>
      <c r="AG344" s="290"/>
      <c r="AH344" s="290"/>
      <c r="AI344" s="290"/>
      <c r="AJ344" s="290"/>
      <c r="AK344" s="290"/>
      <c r="AL344" s="290"/>
      <c r="AM344" s="290"/>
      <c r="AN344" s="290"/>
      <c r="AO344" s="1826"/>
      <c r="AP344" s="307" t="s">
        <v>1169</v>
      </c>
      <c r="AQ344" s="291"/>
      <c r="AR344" s="291"/>
      <c r="AS344" s="290"/>
      <c r="AT344" s="290"/>
      <c r="AU344" s="290"/>
      <c r="AV344" s="290"/>
      <c r="AW344" s="290"/>
      <c r="AX344" s="290"/>
      <c r="AY344" s="290"/>
      <c r="AZ344" s="290"/>
    </row>
    <row r="345" spans="1:52" x14ac:dyDescent="0.25">
      <c r="A345" s="290"/>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c r="AF345" s="290"/>
      <c r="AG345" s="290"/>
      <c r="AH345" s="290"/>
      <c r="AI345" s="290"/>
      <c r="AJ345" s="290"/>
      <c r="AK345" s="290"/>
      <c r="AL345" s="290"/>
      <c r="AM345" s="290"/>
      <c r="AN345" s="290"/>
      <c r="AO345" s="373" t="s">
        <v>1170</v>
      </c>
      <c r="AP345" s="307" t="s">
        <v>996</v>
      </c>
      <c r="AQ345" s="291"/>
      <c r="AR345" s="291"/>
      <c r="AS345" s="290"/>
      <c r="AT345" s="290"/>
      <c r="AU345" s="290"/>
      <c r="AV345" s="290"/>
      <c r="AW345" s="290"/>
      <c r="AX345" s="290"/>
      <c r="AY345" s="290"/>
      <c r="AZ345" s="290"/>
    </row>
    <row r="346" spans="1:52" x14ac:dyDescent="0.25">
      <c r="A346" s="290"/>
      <c r="B346" s="290"/>
      <c r="C346" s="290"/>
      <c r="D346" s="290"/>
      <c r="E346" s="290"/>
      <c r="F346" s="290"/>
      <c r="G346" s="290"/>
      <c r="H346" s="290"/>
      <c r="I346" s="290"/>
      <c r="J346" s="290"/>
      <c r="K346" s="290"/>
      <c r="L346" s="290"/>
      <c r="M346" s="290"/>
      <c r="N346" s="290"/>
      <c r="O346" s="290"/>
      <c r="P346" s="290"/>
      <c r="Q346" s="290"/>
      <c r="R346" s="290"/>
      <c r="S346" s="290"/>
      <c r="T346" s="290"/>
      <c r="U346" s="290"/>
      <c r="V346" s="290"/>
      <c r="W346" s="290"/>
      <c r="X346" s="290"/>
      <c r="Y346" s="290"/>
      <c r="Z346" s="290"/>
      <c r="AA346" s="290"/>
      <c r="AB346" s="290"/>
      <c r="AC346" s="290"/>
      <c r="AD346" s="290"/>
      <c r="AE346" s="290"/>
      <c r="AF346" s="290"/>
      <c r="AG346" s="290"/>
      <c r="AH346" s="290"/>
      <c r="AI346" s="290"/>
      <c r="AJ346" s="290"/>
      <c r="AK346" s="290"/>
      <c r="AL346" s="290"/>
      <c r="AM346" s="290"/>
      <c r="AN346" s="290"/>
      <c r="AO346" s="383"/>
      <c r="AP346" s="378" t="s">
        <v>1171</v>
      </c>
      <c r="AQ346" s="291"/>
      <c r="AR346" s="291"/>
      <c r="AS346" s="290"/>
      <c r="AT346" s="290"/>
      <c r="AU346" s="290"/>
      <c r="AV346" s="290"/>
      <c r="AW346" s="290"/>
      <c r="AX346" s="290"/>
      <c r="AY346" s="290"/>
      <c r="AZ346" s="290"/>
    </row>
    <row r="347" spans="1:52" ht="21" x14ac:dyDescent="0.25">
      <c r="A347" s="290"/>
      <c r="B347" s="290"/>
      <c r="C347" s="290"/>
      <c r="D347" s="290"/>
      <c r="E347" s="290"/>
      <c r="F347" s="290"/>
      <c r="G347" s="290"/>
      <c r="H347" s="290"/>
      <c r="I347" s="290"/>
      <c r="J347" s="290"/>
      <c r="K347" s="290"/>
      <c r="L347" s="290"/>
      <c r="M347" s="290"/>
      <c r="N347" s="290"/>
      <c r="O347" s="290"/>
      <c r="P347" s="290"/>
      <c r="Q347" s="290"/>
      <c r="R347" s="290"/>
      <c r="S347" s="290"/>
      <c r="T347" s="290"/>
      <c r="U347" s="290"/>
      <c r="V347" s="290"/>
      <c r="W347" s="290"/>
      <c r="X347" s="290"/>
      <c r="Y347" s="290"/>
      <c r="Z347" s="290"/>
      <c r="AA347" s="290"/>
      <c r="AB347" s="290"/>
      <c r="AC347" s="290"/>
      <c r="AD347" s="290"/>
      <c r="AE347" s="290"/>
      <c r="AF347" s="290"/>
      <c r="AG347" s="290"/>
      <c r="AH347" s="290"/>
      <c r="AI347" s="290"/>
      <c r="AJ347" s="290"/>
      <c r="AK347" s="290"/>
      <c r="AL347" s="290"/>
      <c r="AM347" s="290"/>
      <c r="AN347" s="290"/>
      <c r="AO347" s="373" t="s">
        <v>1172</v>
      </c>
      <c r="AP347" s="307" t="s">
        <v>1173</v>
      </c>
      <c r="AQ347" s="291"/>
      <c r="AR347" s="291"/>
      <c r="AS347" s="290"/>
      <c r="AT347" s="290"/>
      <c r="AU347" s="290"/>
      <c r="AV347" s="290"/>
      <c r="AW347" s="290"/>
      <c r="AX347" s="290"/>
      <c r="AY347" s="290"/>
      <c r="AZ347" s="290"/>
    </row>
    <row r="348" spans="1:52" ht="21" x14ac:dyDescent="0.25">
      <c r="A348" s="290"/>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c r="AE348" s="290"/>
      <c r="AF348" s="290"/>
      <c r="AG348" s="290"/>
      <c r="AH348" s="290"/>
      <c r="AI348" s="290"/>
      <c r="AJ348" s="290"/>
      <c r="AK348" s="290"/>
      <c r="AL348" s="290"/>
      <c r="AM348" s="290"/>
      <c r="AN348" s="290"/>
      <c r="AO348" s="373" t="s">
        <v>1174</v>
      </c>
      <c r="AP348" s="307" t="s">
        <v>1088</v>
      </c>
      <c r="AQ348" s="291"/>
      <c r="AR348" s="291"/>
      <c r="AS348" s="290"/>
      <c r="AT348" s="290"/>
      <c r="AU348" s="290"/>
      <c r="AV348" s="290"/>
      <c r="AW348" s="290"/>
      <c r="AX348" s="290"/>
      <c r="AY348" s="290"/>
      <c r="AZ348" s="290"/>
    </row>
    <row r="349" spans="1:52" ht="21" x14ac:dyDescent="0.25">
      <c r="A349" s="290"/>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c r="AE349" s="290"/>
      <c r="AF349" s="290"/>
      <c r="AG349" s="290"/>
      <c r="AH349" s="290"/>
      <c r="AI349" s="290"/>
      <c r="AJ349" s="290"/>
      <c r="AK349" s="290"/>
      <c r="AL349" s="290"/>
      <c r="AM349" s="290"/>
      <c r="AN349" s="290"/>
      <c r="AO349" s="373" t="s">
        <v>1175</v>
      </c>
      <c r="AP349" s="307" t="s">
        <v>1045</v>
      </c>
      <c r="AQ349" s="291"/>
      <c r="AR349" s="291"/>
      <c r="AS349" s="290"/>
      <c r="AT349" s="290"/>
      <c r="AU349" s="290"/>
      <c r="AV349" s="290"/>
      <c r="AW349" s="290"/>
      <c r="AX349" s="290"/>
      <c r="AY349" s="290"/>
      <c r="AZ349" s="290"/>
    </row>
    <row r="350" spans="1:52" x14ac:dyDescent="0.25">
      <c r="A350" s="290"/>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290"/>
      <c r="AE350" s="290"/>
      <c r="AF350" s="290"/>
      <c r="AG350" s="290"/>
      <c r="AH350" s="290"/>
      <c r="AI350" s="290"/>
      <c r="AJ350" s="290"/>
      <c r="AK350" s="290"/>
      <c r="AL350" s="290"/>
      <c r="AM350" s="290"/>
      <c r="AN350" s="290"/>
      <c r="AO350" s="383"/>
      <c r="AP350" s="383"/>
      <c r="AQ350" s="291"/>
      <c r="AR350" s="291"/>
      <c r="AS350" s="290"/>
      <c r="AT350" s="290"/>
      <c r="AU350" s="290"/>
      <c r="AV350" s="290"/>
      <c r="AW350" s="290"/>
      <c r="AX350" s="290"/>
      <c r="AY350" s="290"/>
      <c r="AZ350" s="290"/>
    </row>
    <row r="351" spans="1:52" ht="42" x14ac:dyDescent="0.25">
      <c r="A351" s="290"/>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c r="AE351" s="290"/>
      <c r="AF351" s="290"/>
      <c r="AG351" s="290"/>
      <c r="AH351" s="290"/>
      <c r="AI351" s="290"/>
      <c r="AJ351" s="290"/>
      <c r="AK351" s="290"/>
      <c r="AL351" s="290"/>
      <c r="AM351" s="290"/>
      <c r="AN351" s="290"/>
      <c r="AO351" s="373" t="s">
        <v>1176</v>
      </c>
      <c r="AP351" s="307" t="s">
        <v>1070</v>
      </c>
      <c r="AQ351" s="291"/>
      <c r="AR351" s="291"/>
      <c r="AS351" s="290"/>
      <c r="AT351" s="290"/>
      <c r="AU351" s="290"/>
      <c r="AV351" s="290"/>
      <c r="AW351" s="290"/>
      <c r="AX351" s="290"/>
      <c r="AY351" s="290"/>
      <c r="AZ351" s="290"/>
    </row>
    <row r="352" spans="1:52" x14ac:dyDescent="0.25">
      <c r="A352" s="290"/>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c r="AF352" s="290"/>
      <c r="AG352" s="290"/>
      <c r="AH352" s="290"/>
      <c r="AI352" s="290"/>
      <c r="AJ352" s="290"/>
      <c r="AK352" s="290"/>
      <c r="AL352" s="290"/>
      <c r="AM352" s="290"/>
      <c r="AN352" s="290"/>
      <c r="AO352" s="383"/>
      <c r="AP352" s="383"/>
      <c r="AQ352" s="291"/>
      <c r="AR352" s="291"/>
      <c r="AS352" s="290"/>
      <c r="AT352" s="290"/>
      <c r="AU352" s="290"/>
      <c r="AV352" s="290"/>
      <c r="AW352" s="290"/>
      <c r="AX352" s="290"/>
      <c r="AY352" s="290"/>
      <c r="AZ352" s="290"/>
    </row>
    <row r="353" spans="1:52" ht="21" x14ac:dyDescent="0.25">
      <c r="A353" s="290"/>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290"/>
      <c r="AE353" s="290"/>
      <c r="AF353" s="290"/>
      <c r="AG353" s="290"/>
      <c r="AH353" s="290"/>
      <c r="AI353" s="290"/>
      <c r="AJ353" s="290"/>
      <c r="AK353" s="290"/>
      <c r="AL353" s="290"/>
      <c r="AM353" s="290"/>
      <c r="AN353" s="290"/>
      <c r="AO353" s="373" t="s">
        <v>1177</v>
      </c>
      <c r="AP353" s="307" t="s">
        <v>1178</v>
      </c>
      <c r="AQ353" s="291"/>
      <c r="AR353" s="291"/>
      <c r="AS353" s="290"/>
      <c r="AT353" s="290"/>
      <c r="AU353" s="290"/>
      <c r="AV353" s="290"/>
      <c r="AW353" s="290"/>
      <c r="AX353" s="290"/>
      <c r="AY353" s="290"/>
      <c r="AZ353" s="290"/>
    </row>
    <row r="354" spans="1:52" ht="21" x14ac:dyDescent="0.25">
      <c r="A354" s="290"/>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90"/>
      <c r="AO354" s="373" t="s">
        <v>1179</v>
      </c>
      <c r="AP354" s="307" t="s">
        <v>1180</v>
      </c>
      <c r="AQ354" s="291"/>
      <c r="AR354" s="291"/>
      <c r="AS354" s="290"/>
      <c r="AT354" s="290"/>
      <c r="AU354" s="290"/>
      <c r="AV354" s="290"/>
      <c r="AW354" s="290"/>
      <c r="AX354" s="290"/>
      <c r="AY354" s="290"/>
      <c r="AZ354" s="290"/>
    </row>
    <row r="355" spans="1:52" x14ac:dyDescent="0.25">
      <c r="A355" s="290"/>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90"/>
      <c r="AO355" s="1826" t="s">
        <v>1181</v>
      </c>
      <c r="AP355" s="1826"/>
      <c r="AQ355" s="1826"/>
      <c r="AR355" s="1826"/>
      <c r="AS355" s="290"/>
      <c r="AT355" s="290"/>
      <c r="AU355" s="290"/>
      <c r="AV355" s="290"/>
      <c r="AW355" s="290"/>
      <c r="AX355" s="290"/>
      <c r="AY355" s="290"/>
      <c r="AZ355" s="290"/>
    </row>
    <row r="356" spans="1:52" x14ac:dyDescent="0.25">
      <c r="A356" s="290"/>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c r="AA356" s="290"/>
      <c r="AB356" s="290"/>
      <c r="AC356" s="290"/>
      <c r="AD356" s="290"/>
      <c r="AE356" s="290"/>
      <c r="AF356" s="290"/>
      <c r="AG356" s="290"/>
      <c r="AH356" s="290"/>
      <c r="AI356" s="290"/>
      <c r="AJ356" s="290"/>
      <c r="AK356" s="290"/>
      <c r="AL356" s="290"/>
      <c r="AM356" s="290"/>
      <c r="AN356" s="290"/>
      <c r="AO356" s="1826" t="s">
        <v>1182</v>
      </c>
      <c r="AP356" s="1826"/>
      <c r="AQ356" s="1826"/>
      <c r="AR356" s="1826"/>
      <c r="AS356" s="290"/>
      <c r="AT356" s="290"/>
      <c r="AU356" s="290"/>
      <c r="AV356" s="290"/>
      <c r="AW356" s="290"/>
      <c r="AX356" s="290"/>
      <c r="AY356" s="290"/>
      <c r="AZ356" s="290"/>
    </row>
    <row r="357" spans="1:52" x14ac:dyDescent="0.25">
      <c r="A357" s="290"/>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c r="AA357" s="290"/>
      <c r="AB357" s="290"/>
      <c r="AC357" s="290"/>
      <c r="AD357" s="290"/>
      <c r="AE357" s="290"/>
      <c r="AF357" s="290"/>
      <c r="AG357" s="290"/>
      <c r="AH357" s="290"/>
      <c r="AI357" s="290"/>
      <c r="AJ357" s="290"/>
      <c r="AK357" s="290"/>
      <c r="AL357" s="290"/>
      <c r="AM357" s="290"/>
      <c r="AN357" s="290"/>
      <c r="AO357" s="1817"/>
      <c r="AP357" s="1817"/>
      <c r="AQ357" s="1817"/>
      <c r="AR357" s="1817"/>
      <c r="AS357" s="290"/>
      <c r="AT357" s="290"/>
      <c r="AU357" s="290"/>
      <c r="AV357" s="290"/>
      <c r="AW357" s="290"/>
      <c r="AX357" s="290"/>
      <c r="AY357" s="290"/>
      <c r="AZ357" s="290"/>
    </row>
    <row r="358" spans="1:52" x14ac:dyDescent="0.25">
      <c r="A358" s="290"/>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c r="AA358" s="290"/>
      <c r="AB358" s="290"/>
      <c r="AC358" s="290"/>
      <c r="AD358" s="290"/>
      <c r="AE358" s="290"/>
      <c r="AF358" s="290"/>
      <c r="AG358" s="290"/>
      <c r="AH358" s="290"/>
      <c r="AI358" s="290"/>
      <c r="AJ358" s="290"/>
      <c r="AK358" s="290"/>
      <c r="AL358" s="290"/>
      <c r="AM358" s="290"/>
      <c r="AN358" s="290"/>
      <c r="AO358" s="1826" t="s">
        <v>1183</v>
      </c>
      <c r="AP358" s="1826"/>
      <c r="AQ358" s="1826"/>
      <c r="AR358" s="1826"/>
      <c r="AS358" s="290"/>
      <c r="AT358" s="290"/>
      <c r="AU358" s="290"/>
      <c r="AV358" s="290"/>
      <c r="AW358" s="290"/>
      <c r="AX358" s="290"/>
      <c r="AY358" s="290"/>
      <c r="AZ358" s="290"/>
    </row>
    <row r="359" spans="1:52" x14ac:dyDescent="0.25">
      <c r="P359" s="312"/>
      <c r="Q359" s="312"/>
      <c r="R359" s="312"/>
      <c r="S359" s="312"/>
      <c r="T359" s="312"/>
      <c r="U359" s="312"/>
      <c r="V359" s="312"/>
      <c r="W359" s="312"/>
      <c r="X359" s="312"/>
      <c r="Y359" s="312"/>
    </row>
  </sheetData>
  <sheetProtection password="C935" sheet="1" objects="1" scenarios="1" formatCells="0" formatColumns="0" formatRows="0" insertRows="0"/>
  <protectedRanges>
    <protectedRange password="DDA5" sqref="S60:S90" name="Rango1_10"/>
  </protectedRanges>
  <mergeCells count="266">
    <mergeCell ref="AO356:AR356"/>
    <mergeCell ref="AO357:AR357"/>
    <mergeCell ref="AO358:AR358"/>
    <mergeCell ref="AO149:AO150"/>
    <mergeCell ref="AO174:AO175"/>
    <mergeCell ref="AO318:AO319"/>
    <mergeCell ref="AO340:AO341"/>
    <mergeCell ref="AO343:AO344"/>
    <mergeCell ref="AO355:AR355"/>
    <mergeCell ref="AA116:AC116"/>
    <mergeCell ref="AO123:AO124"/>
    <mergeCell ref="AP133:AP134"/>
    <mergeCell ref="AO139:AO140"/>
    <mergeCell ref="AO144:AO145"/>
    <mergeCell ref="AO147:AO148"/>
    <mergeCell ref="AF104:AF107"/>
    <mergeCell ref="AG105:AG106"/>
    <mergeCell ref="AF108:AF112"/>
    <mergeCell ref="AO110:AO111"/>
    <mergeCell ref="AP110:AP111"/>
    <mergeCell ref="AF113:AM113"/>
    <mergeCell ref="Q91:R91"/>
    <mergeCell ref="Q92:R92"/>
    <mergeCell ref="AF92:AF95"/>
    <mergeCell ref="Q93:R93"/>
    <mergeCell ref="P94:X94"/>
    <mergeCell ref="AF96:AF103"/>
    <mergeCell ref="Q86:R86"/>
    <mergeCell ref="AB86:AD86"/>
    <mergeCell ref="Q87:R87"/>
    <mergeCell ref="AB87:AD87"/>
    <mergeCell ref="AF87:AF91"/>
    <mergeCell ref="AG87:AG88"/>
    <mergeCell ref="Q88:R88"/>
    <mergeCell ref="Q89:R89"/>
    <mergeCell ref="AG89:AG90"/>
    <mergeCell ref="Q90:R90"/>
    <mergeCell ref="Q84:R84"/>
    <mergeCell ref="AA84:AC84"/>
    <mergeCell ref="AF84:AM84"/>
    <mergeCell ref="AO84:AR84"/>
    <mergeCell ref="Q85:R85"/>
    <mergeCell ref="AA85:AC85"/>
    <mergeCell ref="AF85:AF86"/>
    <mergeCell ref="AH85:AH86"/>
    <mergeCell ref="AK85:AK86"/>
    <mergeCell ref="AL85:AL86"/>
    <mergeCell ref="Q81:R81"/>
    <mergeCell ref="Q82:R82"/>
    <mergeCell ref="AA82:AD82"/>
    <mergeCell ref="AF82:AM82"/>
    <mergeCell ref="AO82:AR82"/>
    <mergeCell ref="Q83:R83"/>
    <mergeCell ref="AA83:AD83"/>
    <mergeCell ref="AF83:AM83"/>
    <mergeCell ref="AO83:AR83"/>
    <mergeCell ref="Q78:R78"/>
    <mergeCell ref="AA78:AI78"/>
    <mergeCell ref="Q79:R79"/>
    <mergeCell ref="AA79:AI79"/>
    <mergeCell ref="Q80:R80"/>
    <mergeCell ref="AA80:AI80"/>
    <mergeCell ref="Q75:R75"/>
    <mergeCell ref="AA75:AI75"/>
    <mergeCell ref="Q76:R76"/>
    <mergeCell ref="AA76:AI76"/>
    <mergeCell ref="Q77:R77"/>
    <mergeCell ref="AA77:AI77"/>
    <mergeCell ref="Q67:R67"/>
    <mergeCell ref="AA67:AB69"/>
    <mergeCell ref="AG67:AG69"/>
    <mergeCell ref="Q68:R68"/>
    <mergeCell ref="Q69:R69"/>
    <mergeCell ref="AA73:AB74"/>
    <mergeCell ref="AG73:AG74"/>
    <mergeCell ref="AH73:AH74"/>
    <mergeCell ref="AI73:AI74"/>
    <mergeCell ref="Q73:R73"/>
    <mergeCell ref="Q74:R74"/>
    <mergeCell ref="Q70:R70"/>
    <mergeCell ref="AA70:AB72"/>
    <mergeCell ref="AG70:AG72"/>
    <mergeCell ref="AH70:AH72"/>
    <mergeCell ref="AI70:AI72"/>
    <mergeCell ref="Q71:R71"/>
    <mergeCell ref="Q72:R72"/>
    <mergeCell ref="C63:D63"/>
    <mergeCell ref="Q63:R63"/>
    <mergeCell ref="AA63:AI63"/>
    <mergeCell ref="B64:B65"/>
    <mergeCell ref="C64:D65"/>
    <mergeCell ref="Q64:R64"/>
    <mergeCell ref="AA64:AB66"/>
    <mergeCell ref="AD64:AD66"/>
    <mergeCell ref="AG64:AG66"/>
    <mergeCell ref="AH64:AH66"/>
    <mergeCell ref="Q65:R65"/>
    <mergeCell ref="Q66:R66"/>
    <mergeCell ref="C59:D59"/>
    <mergeCell ref="Q59:R59"/>
    <mergeCell ref="AA59:AA62"/>
    <mergeCell ref="AE59:AE61"/>
    <mergeCell ref="AF59:AF61"/>
    <mergeCell ref="C60:D60"/>
    <mergeCell ref="Q60:R60"/>
    <mergeCell ref="C61:D61"/>
    <mergeCell ref="Q61:R61"/>
    <mergeCell ref="C62:D62"/>
    <mergeCell ref="Q62:R62"/>
    <mergeCell ref="AE62:AF62"/>
    <mergeCell ref="Q57:R57"/>
    <mergeCell ref="AA57:AI57"/>
    <mergeCell ref="Q58:R58"/>
    <mergeCell ref="AA58:AI58"/>
    <mergeCell ref="AA39:AI39"/>
    <mergeCell ref="F40:G40"/>
    <mergeCell ref="AA40:AI40"/>
    <mergeCell ref="Q53:R53"/>
    <mergeCell ref="AA53:AI53"/>
    <mergeCell ref="B41:I41"/>
    <mergeCell ref="Q41:R41"/>
    <mergeCell ref="AA41:AI41"/>
    <mergeCell ref="B45:B52"/>
    <mergeCell ref="B55:I55"/>
    <mergeCell ref="Q55:R55"/>
    <mergeCell ref="AA55:AI55"/>
    <mergeCell ref="B43:B44"/>
    <mergeCell ref="C43:C44"/>
    <mergeCell ref="F43:G43"/>
    <mergeCell ref="AA43:AL43"/>
    <mergeCell ref="B42:K42"/>
    <mergeCell ref="B54:K54"/>
    <mergeCell ref="F37:G37"/>
    <mergeCell ref="F38:G38"/>
    <mergeCell ref="F39:G39"/>
    <mergeCell ref="F35:G35"/>
    <mergeCell ref="AA35:AK35"/>
    <mergeCell ref="F36:G36"/>
    <mergeCell ref="P36:X36"/>
    <mergeCell ref="AA36:AK36"/>
    <mergeCell ref="Q56:R56"/>
    <mergeCell ref="AA56:AI56"/>
    <mergeCell ref="F51:G51"/>
    <mergeCell ref="AA51:AI51"/>
    <mergeCell ref="F52:G52"/>
    <mergeCell ref="AA52:AI52"/>
    <mergeCell ref="F50:G50"/>
    <mergeCell ref="F34:G34"/>
    <mergeCell ref="AD34:AF34"/>
    <mergeCell ref="AI34:AJ34"/>
    <mergeCell ref="F31:G31"/>
    <mergeCell ref="AD31:AF31"/>
    <mergeCell ref="AI31:AJ31"/>
    <mergeCell ref="F32:G32"/>
    <mergeCell ref="AA32:AA34"/>
    <mergeCell ref="AD32:AF32"/>
    <mergeCell ref="AI32:AJ32"/>
    <mergeCell ref="C33:K33"/>
    <mergeCell ref="F23:G23"/>
    <mergeCell ref="AA23:AK23"/>
    <mergeCell ref="F24:G24"/>
    <mergeCell ref="AD24:AF25"/>
    <mergeCell ref="AG24:AG25"/>
    <mergeCell ref="AI24:AJ24"/>
    <mergeCell ref="C25:K25"/>
    <mergeCell ref="AI25:AJ25"/>
    <mergeCell ref="AD33:AF33"/>
    <mergeCell ref="AI33:AJ33"/>
    <mergeCell ref="AP13:AP15"/>
    <mergeCell ref="AQ13:AQ15"/>
    <mergeCell ref="B14:B15"/>
    <mergeCell ref="AJ17:AK17"/>
    <mergeCell ref="F18:G18"/>
    <mergeCell ref="AB18:AC18"/>
    <mergeCell ref="AE18:AF18"/>
    <mergeCell ref="AG18:AH18"/>
    <mergeCell ref="AJ18:AK18"/>
    <mergeCell ref="C16:K16"/>
    <mergeCell ref="AA16:AL16"/>
    <mergeCell ref="C14:C15"/>
    <mergeCell ref="F14:G14"/>
    <mergeCell ref="AA14:AL14"/>
    <mergeCell ref="F15:G15"/>
    <mergeCell ref="AA15:AL15"/>
    <mergeCell ref="AO12:AO18"/>
    <mergeCell ref="B12:K12"/>
    <mergeCell ref="AA12:AL12"/>
    <mergeCell ref="B13:K13"/>
    <mergeCell ref="AA13:AL13"/>
    <mergeCell ref="B16:B40"/>
    <mergeCell ref="AP16:AP18"/>
    <mergeCell ref="AQ16:AQ18"/>
    <mergeCell ref="AB17:AC17"/>
    <mergeCell ref="AE17:AF17"/>
    <mergeCell ref="AG17:AH17"/>
    <mergeCell ref="AO19:AT19"/>
    <mergeCell ref="F20:G20"/>
    <mergeCell ref="AB20:AC20"/>
    <mergeCell ref="AE20:AF20"/>
    <mergeCell ref="AG20:AH20"/>
    <mergeCell ref="AJ20:AK20"/>
    <mergeCell ref="AO20:AT20"/>
    <mergeCell ref="F19:G19"/>
    <mergeCell ref="AB19:AC19"/>
    <mergeCell ref="AE19:AF19"/>
    <mergeCell ref="AG19:AH19"/>
    <mergeCell ref="AJ19:AK19"/>
    <mergeCell ref="AO21:AT21"/>
    <mergeCell ref="C10:E10"/>
    <mergeCell ref="Y10:AL10"/>
    <mergeCell ref="C11:I11"/>
    <mergeCell ref="AC11:AG11"/>
    <mergeCell ref="F6:G6"/>
    <mergeCell ref="F7:G7"/>
    <mergeCell ref="F8:G8"/>
    <mergeCell ref="B53:I53"/>
    <mergeCell ref="AA29:AK29"/>
    <mergeCell ref="F27:G27"/>
    <mergeCell ref="AA27:AK27"/>
    <mergeCell ref="C45:K45"/>
    <mergeCell ref="AD45:AF45"/>
    <mergeCell ref="AI45:AJ45"/>
    <mergeCell ref="F46:G46"/>
    <mergeCell ref="AD46:AF46"/>
    <mergeCell ref="AI46:AJ46"/>
    <mergeCell ref="F47:G47"/>
    <mergeCell ref="AA47:AK47"/>
    <mergeCell ref="F48:G48"/>
    <mergeCell ref="P48:X48"/>
    <mergeCell ref="AA48:AK48"/>
    <mergeCell ref="F49:G49"/>
    <mergeCell ref="B2:M3"/>
    <mergeCell ref="B5:M5"/>
    <mergeCell ref="C6:E6"/>
    <mergeCell ref="Y6:AL6"/>
    <mergeCell ref="C7:E7"/>
    <mergeCell ref="Y7:AL7"/>
    <mergeCell ref="C8:E8"/>
    <mergeCell ref="Y8:AL8"/>
    <mergeCell ref="C9:E9"/>
    <mergeCell ref="Y9:AL9"/>
    <mergeCell ref="F9:G9"/>
    <mergeCell ref="F10:G10"/>
    <mergeCell ref="J6:L6"/>
    <mergeCell ref="J7:L7"/>
    <mergeCell ref="J8:L8"/>
    <mergeCell ref="J9:L9"/>
    <mergeCell ref="J10:L10"/>
    <mergeCell ref="F44:G44"/>
    <mergeCell ref="AA44:AL44"/>
    <mergeCell ref="F21:G21"/>
    <mergeCell ref="AB21:AC21"/>
    <mergeCell ref="AE21:AF21"/>
    <mergeCell ref="AG21:AH21"/>
    <mergeCell ref="AJ21:AK21"/>
    <mergeCell ref="AA28:AK28"/>
    <mergeCell ref="F29:G29"/>
    <mergeCell ref="F22:G22"/>
    <mergeCell ref="AA22:AK22"/>
    <mergeCell ref="F26:G26"/>
    <mergeCell ref="F28:G28"/>
    <mergeCell ref="AD26:AG26"/>
    <mergeCell ref="AI26:AJ26"/>
    <mergeCell ref="F30:G30"/>
    <mergeCell ref="AA30:AK30"/>
    <mergeCell ref="F17:G17"/>
  </mergeCells>
  <dataValidations count="2">
    <dataValidation type="list" allowBlank="1" showInputMessage="1" showErrorMessage="1" sqref="C34:C39 C26:C31 C17:C23">
      <formula1>$AX$73:$AX$82</formula1>
    </dataValidation>
    <dataValidation type="list" allowBlank="1" showInputMessage="1" showErrorMessage="1" sqref="C46:C51">
      <formula1>$AX$86:$AX$93</formula1>
    </dataValidation>
  </dataValidations>
  <hyperlinks>
    <hyperlink ref="B57" location="MENÚ!A1" display="MENÚ"/>
    <hyperlink ref="D57" location="'GUIA DE USO HC'!A1" display="INSTRUCCIONES"/>
    <hyperlink ref="K57" location="RESUMEN!A1" display="SIGUIENTE"/>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H188"/>
  <sheetViews>
    <sheetView zoomScale="57" zoomScaleNormal="57" workbookViewId="0">
      <selection activeCell="H10" sqref="H10:U10"/>
    </sheetView>
  </sheetViews>
  <sheetFormatPr baseColWidth="10" defaultRowHeight="15" x14ac:dyDescent="0.25"/>
  <cols>
    <col min="1" max="1" width="2.85546875" style="151" customWidth="1"/>
    <col min="2" max="2" width="29.7109375" style="151" customWidth="1"/>
    <col min="3" max="3" width="17.42578125" style="151" customWidth="1"/>
    <col min="4" max="4" width="24.140625" style="151" customWidth="1"/>
    <col min="5" max="5" width="37.140625" style="151" customWidth="1"/>
    <col min="6" max="11" width="23.7109375" style="151" customWidth="1"/>
    <col min="12" max="12" width="23.7109375" style="1210" customWidth="1"/>
    <col min="13" max="13" width="23.7109375" style="151" customWidth="1"/>
    <col min="14" max="14" width="6.28515625" style="23" customWidth="1"/>
    <col min="15" max="15" width="27.140625" style="151" customWidth="1"/>
    <col min="16" max="16" width="14.28515625" style="151" customWidth="1"/>
    <col min="17" max="17" width="21.85546875" style="151" customWidth="1"/>
    <col min="18" max="18" width="26" style="151" customWidth="1"/>
    <col min="19" max="263" width="11.42578125" style="151"/>
    <col min="264" max="264" width="2.85546875" style="151" customWidth="1"/>
    <col min="265" max="265" width="28.28515625" style="151" bestFit="1" customWidth="1"/>
    <col min="266" max="266" width="14.140625" style="151" customWidth="1"/>
    <col min="267" max="267" width="29.42578125" style="151" customWidth="1"/>
    <col min="268" max="268" width="38" style="151" customWidth="1"/>
    <col min="269" max="269" width="39.140625" style="151" customWidth="1"/>
    <col min="270" max="270" width="6.28515625" style="151" customWidth="1"/>
    <col min="271" max="271" width="27.140625" style="151" customWidth="1"/>
    <col min="272" max="272" width="14.28515625" style="151" customWidth="1"/>
    <col min="273" max="273" width="21.85546875" style="151" customWidth="1"/>
    <col min="274" max="274" width="26" style="151" customWidth="1"/>
    <col min="275" max="519" width="11.42578125" style="151"/>
    <col min="520" max="520" width="2.85546875" style="151" customWidth="1"/>
    <col min="521" max="521" width="28.28515625" style="151" bestFit="1" customWidth="1"/>
    <col min="522" max="522" width="14.140625" style="151" customWidth="1"/>
    <col min="523" max="523" width="29.42578125" style="151" customWidth="1"/>
    <col min="524" max="524" width="38" style="151" customWidth="1"/>
    <col min="525" max="525" width="39.140625" style="151" customWidth="1"/>
    <col min="526" max="526" width="6.28515625" style="151" customWidth="1"/>
    <col min="527" max="527" width="27.140625" style="151" customWidth="1"/>
    <col min="528" max="528" width="14.28515625" style="151" customWidth="1"/>
    <col min="529" max="529" width="21.85546875" style="151" customWidth="1"/>
    <col min="530" max="530" width="26" style="151" customWidth="1"/>
    <col min="531" max="775" width="11.42578125" style="151"/>
    <col min="776" max="776" width="2.85546875" style="151" customWidth="1"/>
    <col min="777" max="777" width="28.28515625" style="151" bestFit="1" customWidth="1"/>
    <col min="778" max="778" width="14.140625" style="151" customWidth="1"/>
    <col min="779" max="779" width="29.42578125" style="151" customWidth="1"/>
    <col min="780" max="780" width="38" style="151" customWidth="1"/>
    <col min="781" max="781" width="39.140625" style="151" customWidth="1"/>
    <col min="782" max="782" width="6.28515625" style="151" customWidth="1"/>
    <col min="783" max="783" width="27.140625" style="151" customWidth="1"/>
    <col min="784" max="784" width="14.28515625" style="151" customWidth="1"/>
    <col min="785" max="785" width="21.85546875" style="151" customWidth="1"/>
    <col min="786" max="786" width="26" style="151" customWidth="1"/>
    <col min="787" max="1031" width="11.42578125" style="151"/>
    <col min="1032" max="1032" width="2.85546875" style="151" customWidth="1"/>
    <col min="1033" max="1033" width="28.28515625" style="151" bestFit="1" customWidth="1"/>
    <col min="1034" max="1034" width="14.140625" style="151" customWidth="1"/>
    <col min="1035" max="1035" width="29.42578125" style="151" customWidth="1"/>
    <col min="1036" max="1036" width="38" style="151" customWidth="1"/>
    <col min="1037" max="1037" width="39.140625" style="151" customWidth="1"/>
    <col min="1038" max="1038" width="6.28515625" style="151" customWidth="1"/>
    <col min="1039" max="1039" width="27.140625" style="151" customWidth="1"/>
    <col min="1040" max="1040" width="14.28515625" style="151" customWidth="1"/>
    <col min="1041" max="1041" width="21.85546875" style="151" customWidth="1"/>
    <col min="1042" max="1042" width="26" style="151" customWidth="1"/>
    <col min="1043" max="1287" width="11.42578125" style="151"/>
    <col min="1288" max="1288" width="2.85546875" style="151" customWidth="1"/>
    <col min="1289" max="1289" width="28.28515625" style="151" bestFit="1" customWidth="1"/>
    <col min="1290" max="1290" width="14.140625" style="151" customWidth="1"/>
    <col min="1291" max="1291" width="29.42578125" style="151" customWidth="1"/>
    <col min="1292" max="1292" width="38" style="151" customWidth="1"/>
    <col min="1293" max="1293" width="39.140625" style="151" customWidth="1"/>
    <col min="1294" max="1294" width="6.28515625" style="151" customWidth="1"/>
    <col min="1295" max="1295" width="27.140625" style="151" customWidth="1"/>
    <col min="1296" max="1296" width="14.28515625" style="151" customWidth="1"/>
    <col min="1297" max="1297" width="21.85546875" style="151" customWidth="1"/>
    <col min="1298" max="1298" width="26" style="151" customWidth="1"/>
    <col min="1299" max="1543" width="11.42578125" style="151"/>
    <col min="1544" max="1544" width="2.85546875" style="151" customWidth="1"/>
    <col min="1545" max="1545" width="28.28515625" style="151" bestFit="1" customWidth="1"/>
    <col min="1546" max="1546" width="14.140625" style="151" customWidth="1"/>
    <col min="1547" max="1547" width="29.42578125" style="151" customWidth="1"/>
    <col min="1548" max="1548" width="38" style="151" customWidth="1"/>
    <col min="1549" max="1549" width="39.140625" style="151" customWidth="1"/>
    <col min="1550" max="1550" width="6.28515625" style="151" customWidth="1"/>
    <col min="1551" max="1551" width="27.140625" style="151" customWidth="1"/>
    <col min="1552" max="1552" width="14.28515625" style="151" customWidth="1"/>
    <col min="1553" max="1553" width="21.85546875" style="151" customWidth="1"/>
    <col min="1554" max="1554" width="26" style="151" customWidth="1"/>
    <col min="1555" max="1799" width="11.42578125" style="151"/>
    <col min="1800" max="1800" width="2.85546875" style="151" customWidth="1"/>
    <col min="1801" max="1801" width="28.28515625" style="151" bestFit="1" customWidth="1"/>
    <col min="1802" max="1802" width="14.140625" style="151" customWidth="1"/>
    <col min="1803" max="1803" width="29.42578125" style="151" customWidth="1"/>
    <col min="1804" max="1804" width="38" style="151" customWidth="1"/>
    <col min="1805" max="1805" width="39.140625" style="151" customWidth="1"/>
    <col min="1806" max="1806" width="6.28515625" style="151" customWidth="1"/>
    <col min="1807" max="1807" width="27.140625" style="151" customWidth="1"/>
    <col min="1808" max="1808" width="14.28515625" style="151" customWidth="1"/>
    <col min="1809" max="1809" width="21.85546875" style="151" customWidth="1"/>
    <col min="1810" max="1810" width="26" style="151" customWidth="1"/>
    <col min="1811" max="2055" width="11.42578125" style="151"/>
    <col min="2056" max="2056" width="2.85546875" style="151" customWidth="1"/>
    <col min="2057" max="2057" width="28.28515625" style="151" bestFit="1" customWidth="1"/>
    <col min="2058" max="2058" width="14.140625" style="151" customWidth="1"/>
    <col min="2059" max="2059" width="29.42578125" style="151" customWidth="1"/>
    <col min="2060" max="2060" width="38" style="151" customWidth="1"/>
    <col min="2061" max="2061" width="39.140625" style="151" customWidth="1"/>
    <col min="2062" max="2062" width="6.28515625" style="151" customWidth="1"/>
    <col min="2063" max="2063" width="27.140625" style="151" customWidth="1"/>
    <col min="2064" max="2064" width="14.28515625" style="151" customWidth="1"/>
    <col min="2065" max="2065" width="21.85546875" style="151" customWidth="1"/>
    <col min="2066" max="2066" width="26" style="151" customWidth="1"/>
    <col min="2067" max="2311" width="11.42578125" style="151"/>
    <col min="2312" max="2312" width="2.85546875" style="151" customWidth="1"/>
    <col min="2313" max="2313" width="28.28515625" style="151" bestFit="1" customWidth="1"/>
    <col min="2314" max="2314" width="14.140625" style="151" customWidth="1"/>
    <col min="2315" max="2315" width="29.42578125" style="151" customWidth="1"/>
    <col min="2316" max="2316" width="38" style="151" customWidth="1"/>
    <col min="2317" max="2317" width="39.140625" style="151" customWidth="1"/>
    <col min="2318" max="2318" width="6.28515625" style="151" customWidth="1"/>
    <col min="2319" max="2319" width="27.140625" style="151" customWidth="1"/>
    <col min="2320" max="2320" width="14.28515625" style="151" customWidth="1"/>
    <col min="2321" max="2321" width="21.85546875" style="151" customWidth="1"/>
    <col min="2322" max="2322" width="26" style="151" customWidth="1"/>
    <col min="2323" max="2567" width="11.42578125" style="151"/>
    <col min="2568" max="2568" width="2.85546875" style="151" customWidth="1"/>
    <col min="2569" max="2569" width="28.28515625" style="151" bestFit="1" customWidth="1"/>
    <col min="2570" max="2570" width="14.140625" style="151" customWidth="1"/>
    <col min="2571" max="2571" width="29.42578125" style="151" customWidth="1"/>
    <col min="2572" max="2572" width="38" style="151" customWidth="1"/>
    <col min="2573" max="2573" width="39.140625" style="151" customWidth="1"/>
    <col min="2574" max="2574" width="6.28515625" style="151" customWidth="1"/>
    <col min="2575" max="2575" width="27.140625" style="151" customWidth="1"/>
    <col min="2576" max="2576" width="14.28515625" style="151" customWidth="1"/>
    <col min="2577" max="2577" width="21.85546875" style="151" customWidth="1"/>
    <col min="2578" max="2578" width="26" style="151" customWidth="1"/>
    <col min="2579" max="2823" width="11.42578125" style="151"/>
    <col min="2824" max="2824" width="2.85546875" style="151" customWidth="1"/>
    <col min="2825" max="2825" width="28.28515625" style="151" bestFit="1" customWidth="1"/>
    <col min="2826" max="2826" width="14.140625" style="151" customWidth="1"/>
    <col min="2827" max="2827" width="29.42578125" style="151" customWidth="1"/>
    <col min="2828" max="2828" width="38" style="151" customWidth="1"/>
    <col min="2829" max="2829" width="39.140625" style="151" customWidth="1"/>
    <col min="2830" max="2830" width="6.28515625" style="151" customWidth="1"/>
    <col min="2831" max="2831" width="27.140625" style="151" customWidth="1"/>
    <col min="2832" max="2832" width="14.28515625" style="151" customWidth="1"/>
    <col min="2833" max="2833" width="21.85546875" style="151" customWidth="1"/>
    <col min="2834" max="2834" width="26" style="151" customWidth="1"/>
    <col min="2835" max="3079" width="11.42578125" style="151"/>
    <col min="3080" max="3080" width="2.85546875" style="151" customWidth="1"/>
    <col min="3081" max="3081" width="28.28515625" style="151" bestFit="1" customWidth="1"/>
    <col min="3082" max="3082" width="14.140625" style="151" customWidth="1"/>
    <col min="3083" max="3083" width="29.42578125" style="151" customWidth="1"/>
    <col min="3084" max="3084" width="38" style="151" customWidth="1"/>
    <col min="3085" max="3085" width="39.140625" style="151" customWidth="1"/>
    <col min="3086" max="3086" width="6.28515625" style="151" customWidth="1"/>
    <col min="3087" max="3087" width="27.140625" style="151" customWidth="1"/>
    <col min="3088" max="3088" width="14.28515625" style="151" customWidth="1"/>
    <col min="3089" max="3089" width="21.85546875" style="151" customWidth="1"/>
    <col min="3090" max="3090" width="26" style="151" customWidth="1"/>
    <col min="3091" max="3335" width="11.42578125" style="151"/>
    <col min="3336" max="3336" width="2.85546875" style="151" customWidth="1"/>
    <col min="3337" max="3337" width="28.28515625" style="151" bestFit="1" customWidth="1"/>
    <col min="3338" max="3338" width="14.140625" style="151" customWidth="1"/>
    <col min="3339" max="3339" width="29.42578125" style="151" customWidth="1"/>
    <col min="3340" max="3340" width="38" style="151" customWidth="1"/>
    <col min="3341" max="3341" width="39.140625" style="151" customWidth="1"/>
    <col min="3342" max="3342" width="6.28515625" style="151" customWidth="1"/>
    <col min="3343" max="3343" width="27.140625" style="151" customWidth="1"/>
    <col min="3344" max="3344" width="14.28515625" style="151" customWidth="1"/>
    <col min="3345" max="3345" width="21.85546875" style="151" customWidth="1"/>
    <col min="3346" max="3346" width="26" style="151" customWidth="1"/>
    <col min="3347" max="3591" width="11.42578125" style="151"/>
    <col min="3592" max="3592" width="2.85546875" style="151" customWidth="1"/>
    <col min="3593" max="3593" width="28.28515625" style="151" bestFit="1" customWidth="1"/>
    <col min="3594" max="3594" width="14.140625" style="151" customWidth="1"/>
    <col min="3595" max="3595" width="29.42578125" style="151" customWidth="1"/>
    <col min="3596" max="3596" width="38" style="151" customWidth="1"/>
    <col min="3597" max="3597" width="39.140625" style="151" customWidth="1"/>
    <col min="3598" max="3598" width="6.28515625" style="151" customWidth="1"/>
    <col min="3599" max="3599" width="27.140625" style="151" customWidth="1"/>
    <col min="3600" max="3600" width="14.28515625" style="151" customWidth="1"/>
    <col min="3601" max="3601" width="21.85546875" style="151" customWidth="1"/>
    <col min="3602" max="3602" width="26" style="151" customWidth="1"/>
    <col min="3603" max="3847" width="11.42578125" style="151"/>
    <col min="3848" max="3848" width="2.85546875" style="151" customWidth="1"/>
    <col min="3849" max="3849" width="28.28515625" style="151" bestFit="1" customWidth="1"/>
    <col min="3850" max="3850" width="14.140625" style="151" customWidth="1"/>
    <col min="3851" max="3851" width="29.42578125" style="151" customWidth="1"/>
    <col min="3852" max="3852" width="38" style="151" customWidth="1"/>
    <col min="3853" max="3853" width="39.140625" style="151" customWidth="1"/>
    <col min="3854" max="3854" width="6.28515625" style="151" customWidth="1"/>
    <col min="3855" max="3855" width="27.140625" style="151" customWidth="1"/>
    <col min="3856" max="3856" width="14.28515625" style="151" customWidth="1"/>
    <col min="3857" max="3857" width="21.85546875" style="151" customWidth="1"/>
    <col min="3858" max="3858" width="26" style="151" customWidth="1"/>
    <col min="3859" max="4103" width="11.42578125" style="151"/>
    <col min="4104" max="4104" width="2.85546875" style="151" customWidth="1"/>
    <col min="4105" max="4105" width="28.28515625" style="151" bestFit="1" customWidth="1"/>
    <col min="4106" max="4106" width="14.140625" style="151" customWidth="1"/>
    <col min="4107" max="4107" width="29.42578125" style="151" customWidth="1"/>
    <col min="4108" max="4108" width="38" style="151" customWidth="1"/>
    <col min="4109" max="4109" width="39.140625" style="151" customWidth="1"/>
    <col min="4110" max="4110" width="6.28515625" style="151" customWidth="1"/>
    <col min="4111" max="4111" width="27.140625" style="151" customWidth="1"/>
    <col min="4112" max="4112" width="14.28515625" style="151" customWidth="1"/>
    <col min="4113" max="4113" width="21.85546875" style="151" customWidth="1"/>
    <col min="4114" max="4114" width="26" style="151" customWidth="1"/>
    <col min="4115" max="4359" width="11.42578125" style="151"/>
    <col min="4360" max="4360" width="2.85546875" style="151" customWidth="1"/>
    <col min="4361" max="4361" width="28.28515625" style="151" bestFit="1" customWidth="1"/>
    <col min="4362" max="4362" width="14.140625" style="151" customWidth="1"/>
    <col min="4363" max="4363" width="29.42578125" style="151" customWidth="1"/>
    <col min="4364" max="4364" width="38" style="151" customWidth="1"/>
    <col min="4365" max="4365" width="39.140625" style="151" customWidth="1"/>
    <col min="4366" max="4366" width="6.28515625" style="151" customWidth="1"/>
    <col min="4367" max="4367" width="27.140625" style="151" customWidth="1"/>
    <col min="4368" max="4368" width="14.28515625" style="151" customWidth="1"/>
    <col min="4369" max="4369" width="21.85546875" style="151" customWidth="1"/>
    <col min="4370" max="4370" width="26" style="151" customWidth="1"/>
    <col min="4371" max="4615" width="11.42578125" style="151"/>
    <col min="4616" max="4616" width="2.85546875" style="151" customWidth="1"/>
    <col min="4617" max="4617" width="28.28515625" style="151" bestFit="1" customWidth="1"/>
    <col min="4618" max="4618" width="14.140625" style="151" customWidth="1"/>
    <col min="4619" max="4619" width="29.42578125" style="151" customWidth="1"/>
    <col min="4620" max="4620" width="38" style="151" customWidth="1"/>
    <col min="4621" max="4621" width="39.140625" style="151" customWidth="1"/>
    <col min="4622" max="4622" width="6.28515625" style="151" customWidth="1"/>
    <col min="4623" max="4623" width="27.140625" style="151" customWidth="1"/>
    <col min="4624" max="4624" width="14.28515625" style="151" customWidth="1"/>
    <col min="4625" max="4625" width="21.85546875" style="151" customWidth="1"/>
    <col min="4626" max="4626" width="26" style="151" customWidth="1"/>
    <col min="4627" max="4871" width="11.42578125" style="151"/>
    <col min="4872" max="4872" width="2.85546875" style="151" customWidth="1"/>
    <col min="4873" max="4873" width="28.28515625" style="151" bestFit="1" customWidth="1"/>
    <col min="4874" max="4874" width="14.140625" style="151" customWidth="1"/>
    <col min="4875" max="4875" width="29.42578125" style="151" customWidth="1"/>
    <col min="4876" max="4876" width="38" style="151" customWidth="1"/>
    <col min="4877" max="4877" width="39.140625" style="151" customWidth="1"/>
    <col min="4878" max="4878" width="6.28515625" style="151" customWidth="1"/>
    <col min="4879" max="4879" width="27.140625" style="151" customWidth="1"/>
    <col min="4880" max="4880" width="14.28515625" style="151" customWidth="1"/>
    <col min="4881" max="4881" width="21.85546875" style="151" customWidth="1"/>
    <col min="4882" max="4882" width="26" style="151" customWidth="1"/>
    <col min="4883" max="5127" width="11.42578125" style="151"/>
    <col min="5128" max="5128" width="2.85546875" style="151" customWidth="1"/>
    <col min="5129" max="5129" width="28.28515625" style="151" bestFit="1" customWidth="1"/>
    <col min="5130" max="5130" width="14.140625" style="151" customWidth="1"/>
    <col min="5131" max="5131" width="29.42578125" style="151" customWidth="1"/>
    <col min="5132" max="5132" width="38" style="151" customWidth="1"/>
    <col min="5133" max="5133" width="39.140625" style="151" customWidth="1"/>
    <col min="5134" max="5134" width="6.28515625" style="151" customWidth="1"/>
    <col min="5135" max="5135" width="27.140625" style="151" customWidth="1"/>
    <col min="5136" max="5136" width="14.28515625" style="151" customWidth="1"/>
    <col min="5137" max="5137" width="21.85546875" style="151" customWidth="1"/>
    <col min="5138" max="5138" width="26" style="151" customWidth="1"/>
    <col min="5139" max="5383" width="11.42578125" style="151"/>
    <col min="5384" max="5384" width="2.85546875" style="151" customWidth="1"/>
    <col min="5385" max="5385" width="28.28515625" style="151" bestFit="1" customWidth="1"/>
    <col min="5386" max="5386" width="14.140625" style="151" customWidth="1"/>
    <col min="5387" max="5387" width="29.42578125" style="151" customWidth="1"/>
    <col min="5388" max="5388" width="38" style="151" customWidth="1"/>
    <col min="5389" max="5389" width="39.140625" style="151" customWidth="1"/>
    <col min="5390" max="5390" width="6.28515625" style="151" customWidth="1"/>
    <col min="5391" max="5391" width="27.140625" style="151" customWidth="1"/>
    <col min="5392" max="5392" width="14.28515625" style="151" customWidth="1"/>
    <col min="5393" max="5393" width="21.85546875" style="151" customWidth="1"/>
    <col min="5394" max="5394" width="26" style="151" customWidth="1"/>
    <col min="5395" max="5639" width="11.42578125" style="151"/>
    <col min="5640" max="5640" width="2.85546875" style="151" customWidth="1"/>
    <col min="5641" max="5641" width="28.28515625" style="151" bestFit="1" customWidth="1"/>
    <col min="5642" max="5642" width="14.140625" style="151" customWidth="1"/>
    <col min="5643" max="5643" width="29.42578125" style="151" customWidth="1"/>
    <col min="5644" max="5644" width="38" style="151" customWidth="1"/>
    <col min="5645" max="5645" width="39.140625" style="151" customWidth="1"/>
    <col min="5646" max="5646" width="6.28515625" style="151" customWidth="1"/>
    <col min="5647" max="5647" width="27.140625" style="151" customWidth="1"/>
    <col min="5648" max="5648" width="14.28515625" style="151" customWidth="1"/>
    <col min="5649" max="5649" width="21.85546875" style="151" customWidth="1"/>
    <col min="5650" max="5650" width="26" style="151" customWidth="1"/>
    <col min="5651" max="5895" width="11.42578125" style="151"/>
    <col min="5896" max="5896" width="2.85546875" style="151" customWidth="1"/>
    <col min="5897" max="5897" width="28.28515625" style="151" bestFit="1" customWidth="1"/>
    <col min="5898" max="5898" width="14.140625" style="151" customWidth="1"/>
    <col min="5899" max="5899" width="29.42578125" style="151" customWidth="1"/>
    <col min="5900" max="5900" width="38" style="151" customWidth="1"/>
    <col min="5901" max="5901" width="39.140625" style="151" customWidth="1"/>
    <col min="5902" max="5902" width="6.28515625" style="151" customWidth="1"/>
    <col min="5903" max="5903" width="27.140625" style="151" customWidth="1"/>
    <col min="5904" max="5904" width="14.28515625" style="151" customWidth="1"/>
    <col min="5905" max="5905" width="21.85546875" style="151" customWidth="1"/>
    <col min="5906" max="5906" width="26" style="151" customWidth="1"/>
    <col min="5907" max="6151" width="11.42578125" style="151"/>
    <col min="6152" max="6152" width="2.85546875" style="151" customWidth="1"/>
    <col min="6153" max="6153" width="28.28515625" style="151" bestFit="1" customWidth="1"/>
    <col min="6154" max="6154" width="14.140625" style="151" customWidth="1"/>
    <col min="6155" max="6155" width="29.42578125" style="151" customWidth="1"/>
    <col min="6156" max="6156" width="38" style="151" customWidth="1"/>
    <col min="6157" max="6157" width="39.140625" style="151" customWidth="1"/>
    <col min="6158" max="6158" width="6.28515625" style="151" customWidth="1"/>
    <col min="6159" max="6159" width="27.140625" style="151" customWidth="1"/>
    <col min="6160" max="6160" width="14.28515625" style="151" customWidth="1"/>
    <col min="6161" max="6161" width="21.85546875" style="151" customWidth="1"/>
    <col min="6162" max="6162" width="26" style="151" customWidth="1"/>
    <col min="6163" max="6407" width="11.42578125" style="151"/>
    <col min="6408" max="6408" width="2.85546875" style="151" customWidth="1"/>
    <col min="6409" max="6409" width="28.28515625" style="151" bestFit="1" customWidth="1"/>
    <col min="6410" max="6410" width="14.140625" style="151" customWidth="1"/>
    <col min="6411" max="6411" width="29.42578125" style="151" customWidth="1"/>
    <col min="6412" max="6412" width="38" style="151" customWidth="1"/>
    <col min="6413" max="6413" width="39.140625" style="151" customWidth="1"/>
    <col min="6414" max="6414" width="6.28515625" style="151" customWidth="1"/>
    <col min="6415" max="6415" width="27.140625" style="151" customWidth="1"/>
    <col min="6416" max="6416" width="14.28515625" style="151" customWidth="1"/>
    <col min="6417" max="6417" width="21.85546875" style="151" customWidth="1"/>
    <col min="6418" max="6418" width="26" style="151" customWidth="1"/>
    <col min="6419" max="6663" width="11.42578125" style="151"/>
    <col min="6664" max="6664" width="2.85546875" style="151" customWidth="1"/>
    <col min="6665" max="6665" width="28.28515625" style="151" bestFit="1" customWidth="1"/>
    <col min="6666" max="6666" width="14.140625" style="151" customWidth="1"/>
    <col min="6667" max="6667" width="29.42578125" style="151" customWidth="1"/>
    <col min="6668" max="6668" width="38" style="151" customWidth="1"/>
    <col min="6669" max="6669" width="39.140625" style="151" customWidth="1"/>
    <col min="6670" max="6670" width="6.28515625" style="151" customWidth="1"/>
    <col min="6671" max="6671" width="27.140625" style="151" customWidth="1"/>
    <col min="6672" max="6672" width="14.28515625" style="151" customWidth="1"/>
    <col min="6673" max="6673" width="21.85546875" style="151" customWidth="1"/>
    <col min="6674" max="6674" width="26" style="151" customWidth="1"/>
    <col min="6675" max="6919" width="11.42578125" style="151"/>
    <col min="6920" max="6920" width="2.85546875" style="151" customWidth="1"/>
    <col min="6921" max="6921" width="28.28515625" style="151" bestFit="1" customWidth="1"/>
    <col min="6922" max="6922" width="14.140625" style="151" customWidth="1"/>
    <col min="6923" max="6923" width="29.42578125" style="151" customWidth="1"/>
    <col min="6924" max="6924" width="38" style="151" customWidth="1"/>
    <col min="6925" max="6925" width="39.140625" style="151" customWidth="1"/>
    <col min="6926" max="6926" width="6.28515625" style="151" customWidth="1"/>
    <col min="6927" max="6927" width="27.140625" style="151" customWidth="1"/>
    <col min="6928" max="6928" width="14.28515625" style="151" customWidth="1"/>
    <col min="6929" max="6929" width="21.85546875" style="151" customWidth="1"/>
    <col min="6930" max="6930" width="26" style="151" customWidth="1"/>
    <col min="6931" max="7175" width="11.42578125" style="151"/>
    <col min="7176" max="7176" width="2.85546875" style="151" customWidth="1"/>
    <col min="7177" max="7177" width="28.28515625" style="151" bestFit="1" customWidth="1"/>
    <col min="7178" max="7178" width="14.140625" style="151" customWidth="1"/>
    <col min="7179" max="7179" width="29.42578125" style="151" customWidth="1"/>
    <col min="7180" max="7180" width="38" style="151" customWidth="1"/>
    <col min="7181" max="7181" width="39.140625" style="151" customWidth="1"/>
    <col min="7182" max="7182" width="6.28515625" style="151" customWidth="1"/>
    <col min="7183" max="7183" width="27.140625" style="151" customWidth="1"/>
    <col min="7184" max="7184" width="14.28515625" style="151" customWidth="1"/>
    <col min="7185" max="7185" width="21.85546875" style="151" customWidth="1"/>
    <col min="7186" max="7186" width="26" style="151" customWidth="1"/>
    <col min="7187" max="7431" width="11.42578125" style="151"/>
    <col min="7432" max="7432" width="2.85546875" style="151" customWidth="1"/>
    <col min="7433" max="7433" width="28.28515625" style="151" bestFit="1" customWidth="1"/>
    <col min="7434" max="7434" width="14.140625" style="151" customWidth="1"/>
    <col min="7435" max="7435" width="29.42578125" style="151" customWidth="1"/>
    <col min="7436" max="7436" width="38" style="151" customWidth="1"/>
    <col min="7437" max="7437" width="39.140625" style="151" customWidth="1"/>
    <col min="7438" max="7438" width="6.28515625" style="151" customWidth="1"/>
    <col min="7439" max="7439" width="27.140625" style="151" customWidth="1"/>
    <col min="7440" max="7440" width="14.28515625" style="151" customWidth="1"/>
    <col min="7441" max="7441" width="21.85546875" style="151" customWidth="1"/>
    <col min="7442" max="7442" width="26" style="151" customWidth="1"/>
    <col min="7443" max="7687" width="11.42578125" style="151"/>
    <col min="7688" max="7688" width="2.85546875" style="151" customWidth="1"/>
    <col min="7689" max="7689" width="28.28515625" style="151" bestFit="1" customWidth="1"/>
    <col min="7690" max="7690" width="14.140625" style="151" customWidth="1"/>
    <col min="7691" max="7691" width="29.42578125" style="151" customWidth="1"/>
    <col min="7692" max="7692" width="38" style="151" customWidth="1"/>
    <col min="7693" max="7693" width="39.140625" style="151" customWidth="1"/>
    <col min="7694" max="7694" width="6.28515625" style="151" customWidth="1"/>
    <col min="7695" max="7695" width="27.140625" style="151" customWidth="1"/>
    <col min="7696" max="7696" width="14.28515625" style="151" customWidth="1"/>
    <col min="7697" max="7697" width="21.85546875" style="151" customWidth="1"/>
    <col min="7698" max="7698" width="26" style="151" customWidth="1"/>
    <col min="7699" max="7943" width="11.42578125" style="151"/>
    <col min="7944" max="7944" width="2.85546875" style="151" customWidth="1"/>
    <col min="7945" max="7945" width="28.28515625" style="151" bestFit="1" customWidth="1"/>
    <col min="7946" max="7946" width="14.140625" style="151" customWidth="1"/>
    <col min="7947" max="7947" width="29.42578125" style="151" customWidth="1"/>
    <col min="7948" max="7948" width="38" style="151" customWidth="1"/>
    <col min="7949" max="7949" width="39.140625" style="151" customWidth="1"/>
    <col min="7950" max="7950" width="6.28515625" style="151" customWidth="1"/>
    <col min="7951" max="7951" width="27.140625" style="151" customWidth="1"/>
    <col min="7952" max="7952" width="14.28515625" style="151" customWidth="1"/>
    <col min="7953" max="7953" width="21.85546875" style="151" customWidth="1"/>
    <col min="7954" max="7954" width="26" style="151" customWidth="1"/>
    <col min="7955" max="8199" width="11.42578125" style="151"/>
    <col min="8200" max="8200" width="2.85546875" style="151" customWidth="1"/>
    <col min="8201" max="8201" width="28.28515625" style="151" bestFit="1" customWidth="1"/>
    <col min="8202" max="8202" width="14.140625" style="151" customWidth="1"/>
    <col min="8203" max="8203" width="29.42578125" style="151" customWidth="1"/>
    <col min="8204" max="8204" width="38" style="151" customWidth="1"/>
    <col min="8205" max="8205" width="39.140625" style="151" customWidth="1"/>
    <col min="8206" max="8206" width="6.28515625" style="151" customWidth="1"/>
    <col min="8207" max="8207" width="27.140625" style="151" customWidth="1"/>
    <col min="8208" max="8208" width="14.28515625" style="151" customWidth="1"/>
    <col min="8209" max="8209" width="21.85546875" style="151" customWidth="1"/>
    <col min="8210" max="8210" width="26" style="151" customWidth="1"/>
    <col min="8211" max="8455" width="11.42578125" style="151"/>
    <col min="8456" max="8456" width="2.85546875" style="151" customWidth="1"/>
    <col min="8457" max="8457" width="28.28515625" style="151" bestFit="1" customWidth="1"/>
    <col min="8458" max="8458" width="14.140625" style="151" customWidth="1"/>
    <col min="8459" max="8459" width="29.42578125" style="151" customWidth="1"/>
    <col min="8460" max="8460" width="38" style="151" customWidth="1"/>
    <col min="8461" max="8461" width="39.140625" style="151" customWidth="1"/>
    <col min="8462" max="8462" width="6.28515625" style="151" customWidth="1"/>
    <col min="8463" max="8463" width="27.140625" style="151" customWidth="1"/>
    <col min="8464" max="8464" width="14.28515625" style="151" customWidth="1"/>
    <col min="8465" max="8465" width="21.85546875" style="151" customWidth="1"/>
    <col min="8466" max="8466" width="26" style="151" customWidth="1"/>
    <col min="8467" max="8711" width="11.42578125" style="151"/>
    <col min="8712" max="8712" width="2.85546875" style="151" customWidth="1"/>
    <col min="8713" max="8713" width="28.28515625" style="151" bestFit="1" customWidth="1"/>
    <col min="8714" max="8714" width="14.140625" style="151" customWidth="1"/>
    <col min="8715" max="8715" width="29.42578125" style="151" customWidth="1"/>
    <col min="8716" max="8716" width="38" style="151" customWidth="1"/>
    <col min="8717" max="8717" width="39.140625" style="151" customWidth="1"/>
    <col min="8718" max="8718" width="6.28515625" style="151" customWidth="1"/>
    <col min="8719" max="8719" width="27.140625" style="151" customWidth="1"/>
    <col min="8720" max="8720" width="14.28515625" style="151" customWidth="1"/>
    <col min="8721" max="8721" width="21.85546875" style="151" customWidth="1"/>
    <col min="8722" max="8722" width="26" style="151" customWidth="1"/>
    <col min="8723" max="8967" width="11.42578125" style="151"/>
    <col min="8968" max="8968" width="2.85546875" style="151" customWidth="1"/>
    <col min="8969" max="8969" width="28.28515625" style="151" bestFit="1" customWidth="1"/>
    <col min="8970" max="8970" width="14.140625" style="151" customWidth="1"/>
    <col min="8971" max="8971" width="29.42578125" style="151" customWidth="1"/>
    <col min="8972" max="8972" width="38" style="151" customWidth="1"/>
    <col min="8973" max="8973" width="39.140625" style="151" customWidth="1"/>
    <col min="8974" max="8974" width="6.28515625" style="151" customWidth="1"/>
    <col min="8975" max="8975" width="27.140625" style="151" customWidth="1"/>
    <col min="8976" max="8976" width="14.28515625" style="151" customWidth="1"/>
    <col min="8977" max="8977" width="21.85546875" style="151" customWidth="1"/>
    <col min="8978" max="8978" width="26" style="151" customWidth="1"/>
    <col min="8979" max="9223" width="11.42578125" style="151"/>
    <col min="9224" max="9224" width="2.85546875" style="151" customWidth="1"/>
    <col min="9225" max="9225" width="28.28515625" style="151" bestFit="1" customWidth="1"/>
    <col min="9226" max="9226" width="14.140625" style="151" customWidth="1"/>
    <col min="9227" max="9227" width="29.42578125" style="151" customWidth="1"/>
    <col min="9228" max="9228" width="38" style="151" customWidth="1"/>
    <col min="9229" max="9229" width="39.140625" style="151" customWidth="1"/>
    <col min="9230" max="9230" width="6.28515625" style="151" customWidth="1"/>
    <col min="9231" max="9231" width="27.140625" style="151" customWidth="1"/>
    <col min="9232" max="9232" width="14.28515625" style="151" customWidth="1"/>
    <col min="9233" max="9233" width="21.85546875" style="151" customWidth="1"/>
    <col min="9234" max="9234" width="26" style="151" customWidth="1"/>
    <col min="9235" max="9479" width="11.42578125" style="151"/>
    <col min="9480" max="9480" width="2.85546875" style="151" customWidth="1"/>
    <col min="9481" max="9481" width="28.28515625" style="151" bestFit="1" customWidth="1"/>
    <col min="9482" max="9482" width="14.140625" style="151" customWidth="1"/>
    <col min="9483" max="9483" width="29.42578125" style="151" customWidth="1"/>
    <col min="9484" max="9484" width="38" style="151" customWidth="1"/>
    <col min="9485" max="9485" width="39.140625" style="151" customWidth="1"/>
    <col min="9486" max="9486" width="6.28515625" style="151" customWidth="1"/>
    <col min="9487" max="9487" width="27.140625" style="151" customWidth="1"/>
    <col min="9488" max="9488" width="14.28515625" style="151" customWidth="1"/>
    <col min="9489" max="9489" width="21.85546875" style="151" customWidth="1"/>
    <col min="9490" max="9490" width="26" style="151" customWidth="1"/>
    <col min="9491" max="9735" width="11.42578125" style="151"/>
    <col min="9736" max="9736" width="2.85546875" style="151" customWidth="1"/>
    <col min="9737" max="9737" width="28.28515625" style="151" bestFit="1" customWidth="1"/>
    <col min="9738" max="9738" width="14.140625" style="151" customWidth="1"/>
    <col min="9739" max="9739" width="29.42578125" style="151" customWidth="1"/>
    <col min="9740" max="9740" width="38" style="151" customWidth="1"/>
    <col min="9741" max="9741" width="39.140625" style="151" customWidth="1"/>
    <col min="9742" max="9742" width="6.28515625" style="151" customWidth="1"/>
    <col min="9743" max="9743" width="27.140625" style="151" customWidth="1"/>
    <col min="9744" max="9744" width="14.28515625" style="151" customWidth="1"/>
    <col min="9745" max="9745" width="21.85546875" style="151" customWidth="1"/>
    <col min="9746" max="9746" width="26" style="151" customWidth="1"/>
    <col min="9747" max="9991" width="11.42578125" style="151"/>
    <col min="9992" max="9992" width="2.85546875" style="151" customWidth="1"/>
    <col min="9993" max="9993" width="28.28515625" style="151" bestFit="1" customWidth="1"/>
    <col min="9994" max="9994" width="14.140625" style="151" customWidth="1"/>
    <col min="9995" max="9995" width="29.42578125" style="151" customWidth="1"/>
    <col min="9996" max="9996" width="38" style="151" customWidth="1"/>
    <col min="9997" max="9997" width="39.140625" style="151" customWidth="1"/>
    <col min="9998" max="9998" width="6.28515625" style="151" customWidth="1"/>
    <col min="9999" max="9999" width="27.140625" style="151" customWidth="1"/>
    <col min="10000" max="10000" width="14.28515625" style="151" customWidth="1"/>
    <col min="10001" max="10001" width="21.85546875" style="151" customWidth="1"/>
    <col min="10002" max="10002" width="26" style="151" customWidth="1"/>
    <col min="10003" max="10247" width="11.42578125" style="151"/>
    <col min="10248" max="10248" width="2.85546875" style="151" customWidth="1"/>
    <col min="10249" max="10249" width="28.28515625" style="151" bestFit="1" customWidth="1"/>
    <col min="10250" max="10250" width="14.140625" style="151" customWidth="1"/>
    <col min="10251" max="10251" width="29.42578125" style="151" customWidth="1"/>
    <col min="10252" max="10252" width="38" style="151" customWidth="1"/>
    <col min="10253" max="10253" width="39.140625" style="151" customWidth="1"/>
    <col min="10254" max="10254" width="6.28515625" style="151" customWidth="1"/>
    <col min="10255" max="10255" width="27.140625" style="151" customWidth="1"/>
    <col min="10256" max="10256" width="14.28515625" style="151" customWidth="1"/>
    <col min="10257" max="10257" width="21.85546875" style="151" customWidth="1"/>
    <col min="10258" max="10258" width="26" style="151" customWidth="1"/>
    <col min="10259" max="10503" width="11.42578125" style="151"/>
    <col min="10504" max="10504" width="2.85546875" style="151" customWidth="1"/>
    <col min="10505" max="10505" width="28.28515625" style="151" bestFit="1" customWidth="1"/>
    <col min="10506" max="10506" width="14.140625" style="151" customWidth="1"/>
    <col min="10507" max="10507" width="29.42578125" style="151" customWidth="1"/>
    <col min="10508" max="10508" width="38" style="151" customWidth="1"/>
    <col min="10509" max="10509" width="39.140625" style="151" customWidth="1"/>
    <col min="10510" max="10510" width="6.28515625" style="151" customWidth="1"/>
    <col min="10511" max="10511" width="27.140625" style="151" customWidth="1"/>
    <col min="10512" max="10512" width="14.28515625" style="151" customWidth="1"/>
    <col min="10513" max="10513" width="21.85546875" style="151" customWidth="1"/>
    <col min="10514" max="10514" width="26" style="151" customWidth="1"/>
    <col min="10515" max="10759" width="11.42578125" style="151"/>
    <col min="10760" max="10760" width="2.85546875" style="151" customWidth="1"/>
    <col min="10761" max="10761" width="28.28515625" style="151" bestFit="1" customWidth="1"/>
    <col min="10762" max="10762" width="14.140625" style="151" customWidth="1"/>
    <col min="10763" max="10763" width="29.42578125" style="151" customWidth="1"/>
    <col min="10764" max="10764" width="38" style="151" customWidth="1"/>
    <col min="10765" max="10765" width="39.140625" style="151" customWidth="1"/>
    <col min="10766" max="10766" width="6.28515625" style="151" customWidth="1"/>
    <col min="10767" max="10767" width="27.140625" style="151" customWidth="1"/>
    <col min="10768" max="10768" width="14.28515625" style="151" customWidth="1"/>
    <col min="10769" max="10769" width="21.85546875" style="151" customWidth="1"/>
    <col min="10770" max="10770" width="26" style="151" customWidth="1"/>
    <col min="10771" max="11015" width="11.42578125" style="151"/>
    <col min="11016" max="11016" width="2.85546875" style="151" customWidth="1"/>
    <col min="11017" max="11017" width="28.28515625" style="151" bestFit="1" customWidth="1"/>
    <col min="11018" max="11018" width="14.140625" style="151" customWidth="1"/>
    <col min="11019" max="11019" width="29.42578125" style="151" customWidth="1"/>
    <col min="11020" max="11020" width="38" style="151" customWidth="1"/>
    <col min="11021" max="11021" width="39.140625" style="151" customWidth="1"/>
    <col min="11022" max="11022" width="6.28515625" style="151" customWidth="1"/>
    <col min="11023" max="11023" width="27.140625" style="151" customWidth="1"/>
    <col min="11024" max="11024" width="14.28515625" style="151" customWidth="1"/>
    <col min="11025" max="11025" width="21.85546875" style="151" customWidth="1"/>
    <col min="11026" max="11026" width="26" style="151" customWidth="1"/>
    <col min="11027" max="11271" width="11.42578125" style="151"/>
    <col min="11272" max="11272" width="2.85546875" style="151" customWidth="1"/>
    <col min="11273" max="11273" width="28.28515625" style="151" bestFit="1" customWidth="1"/>
    <col min="11274" max="11274" width="14.140625" style="151" customWidth="1"/>
    <col min="11275" max="11275" width="29.42578125" style="151" customWidth="1"/>
    <col min="11276" max="11276" width="38" style="151" customWidth="1"/>
    <col min="11277" max="11277" width="39.140625" style="151" customWidth="1"/>
    <col min="11278" max="11278" width="6.28515625" style="151" customWidth="1"/>
    <col min="11279" max="11279" width="27.140625" style="151" customWidth="1"/>
    <col min="11280" max="11280" width="14.28515625" style="151" customWidth="1"/>
    <col min="11281" max="11281" width="21.85546875" style="151" customWidth="1"/>
    <col min="11282" max="11282" width="26" style="151" customWidth="1"/>
    <col min="11283" max="11527" width="11.42578125" style="151"/>
    <col min="11528" max="11528" width="2.85546875" style="151" customWidth="1"/>
    <col min="11529" max="11529" width="28.28515625" style="151" bestFit="1" customWidth="1"/>
    <col min="11530" max="11530" width="14.140625" style="151" customWidth="1"/>
    <col min="11531" max="11531" width="29.42578125" style="151" customWidth="1"/>
    <col min="11532" max="11532" width="38" style="151" customWidth="1"/>
    <col min="11533" max="11533" width="39.140625" style="151" customWidth="1"/>
    <col min="11534" max="11534" width="6.28515625" style="151" customWidth="1"/>
    <col min="11535" max="11535" width="27.140625" style="151" customWidth="1"/>
    <col min="11536" max="11536" width="14.28515625" style="151" customWidth="1"/>
    <col min="11537" max="11537" width="21.85546875" style="151" customWidth="1"/>
    <col min="11538" max="11538" width="26" style="151" customWidth="1"/>
    <col min="11539" max="11783" width="11.42578125" style="151"/>
    <col min="11784" max="11784" width="2.85546875" style="151" customWidth="1"/>
    <col min="11785" max="11785" width="28.28515625" style="151" bestFit="1" customWidth="1"/>
    <col min="11786" max="11786" width="14.140625" style="151" customWidth="1"/>
    <col min="11787" max="11787" width="29.42578125" style="151" customWidth="1"/>
    <col min="11788" max="11788" width="38" style="151" customWidth="1"/>
    <col min="11789" max="11789" width="39.140625" style="151" customWidth="1"/>
    <col min="11790" max="11790" width="6.28515625" style="151" customWidth="1"/>
    <col min="11791" max="11791" width="27.140625" style="151" customWidth="1"/>
    <col min="11792" max="11792" width="14.28515625" style="151" customWidth="1"/>
    <col min="11793" max="11793" width="21.85546875" style="151" customWidth="1"/>
    <col min="11794" max="11794" width="26" style="151" customWidth="1"/>
    <col min="11795" max="12039" width="11.42578125" style="151"/>
    <col min="12040" max="12040" width="2.85546875" style="151" customWidth="1"/>
    <col min="12041" max="12041" width="28.28515625" style="151" bestFit="1" customWidth="1"/>
    <col min="12042" max="12042" width="14.140625" style="151" customWidth="1"/>
    <col min="12043" max="12043" width="29.42578125" style="151" customWidth="1"/>
    <col min="12044" max="12044" width="38" style="151" customWidth="1"/>
    <col min="12045" max="12045" width="39.140625" style="151" customWidth="1"/>
    <col min="12046" max="12046" width="6.28515625" style="151" customWidth="1"/>
    <col min="12047" max="12047" width="27.140625" style="151" customWidth="1"/>
    <col min="12048" max="12048" width="14.28515625" style="151" customWidth="1"/>
    <col min="12049" max="12049" width="21.85546875" style="151" customWidth="1"/>
    <col min="12050" max="12050" width="26" style="151" customWidth="1"/>
    <col min="12051" max="12295" width="11.42578125" style="151"/>
    <col min="12296" max="12296" width="2.85546875" style="151" customWidth="1"/>
    <col min="12297" max="12297" width="28.28515625" style="151" bestFit="1" customWidth="1"/>
    <col min="12298" max="12298" width="14.140625" style="151" customWidth="1"/>
    <col min="12299" max="12299" width="29.42578125" style="151" customWidth="1"/>
    <col min="12300" max="12300" width="38" style="151" customWidth="1"/>
    <col min="12301" max="12301" width="39.140625" style="151" customWidth="1"/>
    <col min="12302" max="12302" width="6.28515625" style="151" customWidth="1"/>
    <col min="12303" max="12303" width="27.140625" style="151" customWidth="1"/>
    <col min="12304" max="12304" width="14.28515625" style="151" customWidth="1"/>
    <col min="12305" max="12305" width="21.85546875" style="151" customWidth="1"/>
    <col min="12306" max="12306" width="26" style="151" customWidth="1"/>
    <col min="12307" max="12551" width="11.42578125" style="151"/>
    <col min="12552" max="12552" width="2.85546875" style="151" customWidth="1"/>
    <col min="12553" max="12553" width="28.28515625" style="151" bestFit="1" customWidth="1"/>
    <col min="12554" max="12554" width="14.140625" style="151" customWidth="1"/>
    <col min="12555" max="12555" width="29.42578125" style="151" customWidth="1"/>
    <col min="12556" max="12556" width="38" style="151" customWidth="1"/>
    <col min="12557" max="12557" width="39.140625" style="151" customWidth="1"/>
    <col min="12558" max="12558" width="6.28515625" style="151" customWidth="1"/>
    <col min="12559" max="12559" width="27.140625" style="151" customWidth="1"/>
    <col min="12560" max="12560" width="14.28515625" style="151" customWidth="1"/>
    <col min="12561" max="12561" width="21.85546875" style="151" customWidth="1"/>
    <col min="12562" max="12562" width="26" style="151" customWidth="1"/>
    <col min="12563" max="12807" width="11.42578125" style="151"/>
    <col min="12808" max="12808" width="2.85546875" style="151" customWidth="1"/>
    <col min="12809" max="12809" width="28.28515625" style="151" bestFit="1" customWidth="1"/>
    <col min="12810" max="12810" width="14.140625" style="151" customWidth="1"/>
    <col min="12811" max="12811" width="29.42578125" style="151" customWidth="1"/>
    <col min="12812" max="12812" width="38" style="151" customWidth="1"/>
    <col min="12813" max="12813" width="39.140625" style="151" customWidth="1"/>
    <col min="12814" max="12814" width="6.28515625" style="151" customWidth="1"/>
    <col min="12815" max="12815" width="27.140625" style="151" customWidth="1"/>
    <col min="12816" max="12816" width="14.28515625" style="151" customWidth="1"/>
    <col min="12817" max="12817" width="21.85546875" style="151" customWidth="1"/>
    <col min="12818" max="12818" width="26" style="151" customWidth="1"/>
    <col min="12819" max="13063" width="11.42578125" style="151"/>
    <col min="13064" max="13064" width="2.85546875" style="151" customWidth="1"/>
    <col min="13065" max="13065" width="28.28515625" style="151" bestFit="1" customWidth="1"/>
    <col min="13066" max="13066" width="14.140625" style="151" customWidth="1"/>
    <col min="13067" max="13067" width="29.42578125" style="151" customWidth="1"/>
    <col min="13068" max="13068" width="38" style="151" customWidth="1"/>
    <col min="13069" max="13069" width="39.140625" style="151" customWidth="1"/>
    <col min="13070" max="13070" width="6.28515625" style="151" customWidth="1"/>
    <col min="13071" max="13071" width="27.140625" style="151" customWidth="1"/>
    <col min="13072" max="13072" width="14.28515625" style="151" customWidth="1"/>
    <col min="13073" max="13073" width="21.85546875" style="151" customWidth="1"/>
    <col min="13074" max="13074" width="26" style="151" customWidth="1"/>
    <col min="13075" max="13319" width="11.42578125" style="151"/>
    <col min="13320" max="13320" width="2.85546875" style="151" customWidth="1"/>
    <col min="13321" max="13321" width="28.28515625" style="151" bestFit="1" customWidth="1"/>
    <col min="13322" max="13322" width="14.140625" style="151" customWidth="1"/>
    <col min="13323" max="13323" width="29.42578125" style="151" customWidth="1"/>
    <col min="13324" max="13324" width="38" style="151" customWidth="1"/>
    <col min="13325" max="13325" width="39.140625" style="151" customWidth="1"/>
    <col min="13326" max="13326" width="6.28515625" style="151" customWidth="1"/>
    <col min="13327" max="13327" width="27.140625" style="151" customWidth="1"/>
    <col min="13328" max="13328" width="14.28515625" style="151" customWidth="1"/>
    <col min="13329" max="13329" width="21.85546875" style="151" customWidth="1"/>
    <col min="13330" max="13330" width="26" style="151" customWidth="1"/>
    <col min="13331" max="13575" width="11.42578125" style="151"/>
    <col min="13576" max="13576" width="2.85546875" style="151" customWidth="1"/>
    <col min="13577" max="13577" width="28.28515625" style="151" bestFit="1" customWidth="1"/>
    <col min="13578" max="13578" width="14.140625" style="151" customWidth="1"/>
    <col min="13579" max="13579" width="29.42578125" style="151" customWidth="1"/>
    <col min="13580" max="13580" width="38" style="151" customWidth="1"/>
    <col min="13581" max="13581" width="39.140625" style="151" customWidth="1"/>
    <col min="13582" max="13582" width="6.28515625" style="151" customWidth="1"/>
    <col min="13583" max="13583" width="27.140625" style="151" customWidth="1"/>
    <col min="13584" max="13584" width="14.28515625" style="151" customWidth="1"/>
    <col min="13585" max="13585" width="21.85546875" style="151" customWidth="1"/>
    <col min="13586" max="13586" width="26" style="151" customWidth="1"/>
    <col min="13587" max="13831" width="11.42578125" style="151"/>
    <col min="13832" max="13832" width="2.85546875" style="151" customWidth="1"/>
    <col min="13833" max="13833" width="28.28515625" style="151" bestFit="1" customWidth="1"/>
    <col min="13834" max="13834" width="14.140625" style="151" customWidth="1"/>
    <col min="13835" max="13835" width="29.42578125" style="151" customWidth="1"/>
    <col min="13836" max="13836" width="38" style="151" customWidth="1"/>
    <col min="13837" max="13837" width="39.140625" style="151" customWidth="1"/>
    <col min="13838" max="13838" width="6.28515625" style="151" customWidth="1"/>
    <col min="13839" max="13839" width="27.140625" style="151" customWidth="1"/>
    <col min="13840" max="13840" width="14.28515625" style="151" customWidth="1"/>
    <col min="13841" max="13841" width="21.85546875" style="151" customWidth="1"/>
    <col min="13842" max="13842" width="26" style="151" customWidth="1"/>
    <col min="13843" max="14087" width="11.42578125" style="151"/>
    <col min="14088" max="14088" width="2.85546875" style="151" customWidth="1"/>
    <col min="14089" max="14089" width="28.28515625" style="151" bestFit="1" customWidth="1"/>
    <col min="14090" max="14090" width="14.140625" style="151" customWidth="1"/>
    <col min="14091" max="14091" width="29.42578125" style="151" customWidth="1"/>
    <col min="14092" max="14092" width="38" style="151" customWidth="1"/>
    <col min="14093" max="14093" width="39.140625" style="151" customWidth="1"/>
    <col min="14094" max="14094" width="6.28515625" style="151" customWidth="1"/>
    <col min="14095" max="14095" width="27.140625" style="151" customWidth="1"/>
    <col min="14096" max="14096" width="14.28515625" style="151" customWidth="1"/>
    <col min="14097" max="14097" width="21.85546875" style="151" customWidth="1"/>
    <col min="14098" max="14098" width="26" style="151" customWidth="1"/>
    <col min="14099" max="14343" width="11.42578125" style="151"/>
    <col min="14344" max="14344" width="2.85546875" style="151" customWidth="1"/>
    <col min="14345" max="14345" width="28.28515625" style="151" bestFit="1" customWidth="1"/>
    <col min="14346" max="14346" width="14.140625" style="151" customWidth="1"/>
    <col min="14347" max="14347" width="29.42578125" style="151" customWidth="1"/>
    <col min="14348" max="14348" width="38" style="151" customWidth="1"/>
    <col min="14349" max="14349" width="39.140625" style="151" customWidth="1"/>
    <col min="14350" max="14350" width="6.28515625" style="151" customWidth="1"/>
    <col min="14351" max="14351" width="27.140625" style="151" customWidth="1"/>
    <col min="14352" max="14352" width="14.28515625" style="151" customWidth="1"/>
    <col min="14353" max="14353" width="21.85546875" style="151" customWidth="1"/>
    <col min="14354" max="14354" width="26" style="151" customWidth="1"/>
    <col min="14355" max="14599" width="11.42578125" style="151"/>
    <col min="14600" max="14600" width="2.85546875" style="151" customWidth="1"/>
    <col min="14601" max="14601" width="28.28515625" style="151" bestFit="1" customWidth="1"/>
    <col min="14602" max="14602" width="14.140625" style="151" customWidth="1"/>
    <col min="14603" max="14603" width="29.42578125" style="151" customWidth="1"/>
    <col min="14604" max="14604" width="38" style="151" customWidth="1"/>
    <col min="14605" max="14605" width="39.140625" style="151" customWidth="1"/>
    <col min="14606" max="14606" width="6.28515625" style="151" customWidth="1"/>
    <col min="14607" max="14607" width="27.140625" style="151" customWidth="1"/>
    <col min="14608" max="14608" width="14.28515625" style="151" customWidth="1"/>
    <col min="14609" max="14609" width="21.85546875" style="151" customWidth="1"/>
    <col min="14610" max="14610" width="26" style="151" customWidth="1"/>
    <col min="14611" max="14855" width="11.42578125" style="151"/>
    <col min="14856" max="14856" width="2.85546875" style="151" customWidth="1"/>
    <col min="14857" max="14857" width="28.28515625" style="151" bestFit="1" customWidth="1"/>
    <col min="14858" max="14858" width="14.140625" style="151" customWidth="1"/>
    <col min="14859" max="14859" width="29.42578125" style="151" customWidth="1"/>
    <col min="14860" max="14860" width="38" style="151" customWidth="1"/>
    <col min="14861" max="14861" width="39.140625" style="151" customWidth="1"/>
    <col min="14862" max="14862" width="6.28515625" style="151" customWidth="1"/>
    <col min="14863" max="14863" width="27.140625" style="151" customWidth="1"/>
    <col min="14864" max="14864" width="14.28515625" style="151" customWidth="1"/>
    <col min="14865" max="14865" width="21.85546875" style="151" customWidth="1"/>
    <col min="14866" max="14866" width="26" style="151" customWidth="1"/>
    <col min="14867" max="15111" width="11.42578125" style="151"/>
    <col min="15112" max="15112" width="2.85546875" style="151" customWidth="1"/>
    <col min="15113" max="15113" width="28.28515625" style="151" bestFit="1" customWidth="1"/>
    <col min="15114" max="15114" width="14.140625" style="151" customWidth="1"/>
    <col min="15115" max="15115" width="29.42578125" style="151" customWidth="1"/>
    <col min="15116" max="15116" width="38" style="151" customWidth="1"/>
    <col min="15117" max="15117" width="39.140625" style="151" customWidth="1"/>
    <col min="15118" max="15118" width="6.28515625" style="151" customWidth="1"/>
    <col min="15119" max="15119" width="27.140625" style="151" customWidth="1"/>
    <col min="15120" max="15120" width="14.28515625" style="151" customWidth="1"/>
    <col min="15121" max="15121" width="21.85546875" style="151" customWidth="1"/>
    <col min="15122" max="15122" width="26" style="151" customWidth="1"/>
    <col min="15123" max="15367" width="11.42578125" style="151"/>
    <col min="15368" max="15368" width="2.85546875" style="151" customWidth="1"/>
    <col min="15369" max="15369" width="28.28515625" style="151" bestFit="1" customWidth="1"/>
    <col min="15370" max="15370" width="14.140625" style="151" customWidth="1"/>
    <col min="15371" max="15371" width="29.42578125" style="151" customWidth="1"/>
    <col min="15372" max="15372" width="38" style="151" customWidth="1"/>
    <col min="15373" max="15373" width="39.140625" style="151" customWidth="1"/>
    <col min="15374" max="15374" width="6.28515625" style="151" customWidth="1"/>
    <col min="15375" max="15375" width="27.140625" style="151" customWidth="1"/>
    <col min="15376" max="15376" width="14.28515625" style="151" customWidth="1"/>
    <col min="15377" max="15377" width="21.85546875" style="151" customWidth="1"/>
    <col min="15378" max="15378" width="26" style="151" customWidth="1"/>
    <col min="15379" max="15623" width="11.42578125" style="151"/>
    <col min="15624" max="15624" width="2.85546875" style="151" customWidth="1"/>
    <col min="15625" max="15625" width="28.28515625" style="151" bestFit="1" customWidth="1"/>
    <col min="15626" max="15626" width="14.140625" style="151" customWidth="1"/>
    <col min="15627" max="15627" width="29.42578125" style="151" customWidth="1"/>
    <col min="15628" max="15628" width="38" style="151" customWidth="1"/>
    <col min="15629" max="15629" width="39.140625" style="151" customWidth="1"/>
    <col min="15630" max="15630" width="6.28515625" style="151" customWidth="1"/>
    <col min="15631" max="15631" width="27.140625" style="151" customWidth="1"/>
    <col min="15632" max="15632" width="14.28515625" style="151" customWidth="1"/>
    <col min="15633" max="15633" width="21.85546875" style="151" customWidth="1"/>
    <col min="15634" max="15634" width="26" style="151" customWidth="1"/>
    <col min="15635" max="15879" width="11.42578125" style="151"/>
    <col min="15880" max="15880" width="2.85546875" style="151" customWidth="1"/>
    <col min="15881" max="15881" width="28.28515625" style="151" bestFit="1" customWidth="1"/>
    <col min="15882" max="15882" width="14.140625" style="151" customWidth="1"/>
    <col min="15883" max="15883" width="29.42578125" style="151" customWidth="1"/>
    <col min="15884" max="15884" width="38" style="151" customWidth="1"/>
    <col min="15885" max="15885" width="39.140625" style="151" customWidth="1"/>
    <col min="15886" max="15886" width="6.28515625" style="151" customWidth="1"/>
    <col min="15887" max="15887" width="27.140625" style="151" customWidth="1"/>
    <col min="15888" max="15888" width="14.28515625" style="151" customWidth="1"/>
    <col min="15889" max="15889" width="21.85546875" style="151" customWidth="1"/>
    <col min="15890" max="15890" width="26" style="151" customWidth="1"/>
    <col min="15891" max="16135" width="11.42578125" style="151"/>
    <col min="16136" max="16136" width="2.85546875" style="151" customWidth="1"/>
    <col min="16137" max="16137" width="28.28515625" style="151" bestFit="1" customWidth="1"/>
    <col min="16138" max="16138" width="14.140625" style="151" customWidth="1"/>
    <col min="16139" max="16139" width="29.42578125" style="151" customWidth="1"/>
    <col min="16140" max="16140" width="38" style="151" customWidth="1"/>
    <col min="16141" max="16141" width="39.140625" style="151" customWidth="1"/>
    <col min="16142" max="16142" width="6.28515625" style="151" customWidth="1"/>
    <col min="16143" max="16143" width="27.140625" style="151" customWidth="1"/>
    <col min="16144" max="16144" width="14.28515625" style="151" customWidth="1"/>
    <col min="16145" max="16145" width="21.85546875" style="151" customWidth="1"/>
    <col min="16146" max="16146" width="26" style="151" customWidth="1"/>
    <col min="16147" max="16384" width="11.42578125" style="151"/>
  </cols>
  <sheetData>
    <row r="2" spans="1:138" s="27" customFormat="1" ht="18.75" customHeight="1" x14ac:dyDescent="0.25">
      <c r="A2" s="26"/>
      <c r="B2" s="1951" t="s">
        <v>1346</v>
      </c>
      <c r="C2" s="1951"/>
      <c r="D2" s="1951"/>
      <c r="E2" s="1951"/>
      <c r="F2" s="1951"/>
      <c r="G2" s="1951"/>
      <c r="H2" s="1951"/>
      <c r="I2" s="1951"/>
      <c r="J2" s="1951"/>
      <c r="K2" s="1951"/>
      <c r="L2" s="1951"/>
      <c r="M2" s="1951"/>
      <c r="N2" s="37"/>
      <c r="P2" s="312"/>
      <c r="Q2" s="312"/>
      <c r="R2" s="312"/>
      <c r="S2" s="312"/>
      <c r="T2" s="312"/>
      <c r="U2" s="312"/>
      <c r="V2" s="312"/>
      <c r="W2" s="312"/>
      <c r="X2" s="312"/>
      <c r="Y2" s="312"/>
      <c r="Z2" s="312"/>
      <c r="AA2" s="312"/>
      <c r="AB2" s="312"/>
      <c r="AC2" s="312"/>
      <c r="AD2" s="312"/>
      <c r="AE2" s="312"/>
      <c r="AF2" s="312"/>
      <c r="AG2" s="312"/>
      <c r="AH2" s="312"/>
      <c r="AI2" s="312"/>
      <c r="AJ2" s="312"/>
      <c r="AK2" s="312"/>
      <c r="AL2" s="312"/>
      <c r="AM2" s="312"/>
      <c r="AN2" s="312"/>
      <c r="AO2" s="32"/>
      <c r="AP2" s="32"/>
      <c r="AQ2" s="32"/>
      <c r="AR2" s="32"/>
      <c r="AS2" s="33"/>
      <c r="AT2" s="30"/>
      <c r="AU2" s="31"/>
      <c r="AV2" s="32"/>
      <c r="AW2" s="33"/>
      <c r="AX2" s="32"/>
      <c r="AY2" s="33"/>
      <c r="AZ2" s="30"/>
      <c r="BA2" s="31"/>
      <c r="BB2" s="32"/>
      <c r="BC2" s="33"/>
      <c r="BD2" s="33"/>
      <c r="BE2" s="32"/>
      <c r="BF2" s="33"/>
      <c r="BG2" s="34"/>
      <c r="BH2" s="35"/>
      <c r="BI2" s="28"/>
      <c r="BJ2" s="64"/>
      <c r="BK2" s="168"/>
      <c r="BL2" s="168"/>
      <c r="BM2" s="168"/>
      <c r="BN2" s="169"/>
      <c r="BO2" s="169"/>
      <c r="BP2" s="169"/>
      <c r="BQ2" s="168"/>
      <c r="BR2" s="168"/>
      <c r="BS2" s="168"/>
      <c r="BT2" s="168"/>
      <c r="BU2" s="168"/>
      <c r="BV2" s="168"/>
      <c r="BW2" s="168"/>
      <c r="BX2" s="168"/>
      <c r="BY2" s="168"/>
      <c r="BZ2" s="168"/>
      <c r="CA2" s="168"/>
      <c r="CB2" s="168"/>
      <c r="CC2" s="170"/>
      <c r="CD2" s="168"/>
      <c r="CE2" s="168"/>
      <c r="CF2" s="170"/>
      <c r="CG2" s="170"/>
      <c r="CH2" s="170"/>
      <c r="CI2" s="170"/>
      <c r="CJ2" s="168"/>
      <c r="CK2" s="168"/>
      <c r="CL2" s="170"/>
      <c r="CM2" s="170"/>
      <c r="CN2" s="170"/>
      <c r="CO2" s="113"/>
      <c r="CP2" s="36"/>
      <c r="CQ2" s="36"/>
      <c r="CR2" s="36"/>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6"/>
      <c r="EB2" s="36"/>
      <c r="EC2" s="36"/>
      <c r="ED2" s="36"/>
      <c r="EE2" s="36"/>
      <c r="EF2" s="36"/>
      <c r="EG2" s="36"/>
      <c r="EH2" s="36"/>
    </row>
    <row r="3" spans="1:138" s="27" customFormat="1" ht="28.5" customHeight="1" x14ac:dyDescent="0.25">
      <c r="A3" s="26"/>
      <c r="B3" s="1951"/>
      <c r="C3" s="1951"/>
      <c r="D3" s="1951"/>
      <c r="E3" s="1951"/>
      <c r="F3" s="1951"/>
      <c r="G3" s="1951"/>
      <c r="H3" s="1951"/>
      <c r="I3" s="1951"/>
      <c r="J3" s="1951"/>
      <c r="K3" s="1951"/>
      <c r="L3" s="1951"/>
      <c r="M3" s="1951"/>
      <c r="N3" s="37"/>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40"/>
      <c r="AP3" s="40"/>
      <c r="AQ3" s="40"/>
      <c r="AR3" s="40"/>
      <c r="AS3" s="41"/>
      <c r="AT3" s="38"/>
      <c r="AU3" s="39"/>
      <c r="AV3" s="40"/>
      <c r="AW3" s="41"/>
      <c r="AX3" s="40"/>
      <c r="AY3" s="41"/>
      <c r="AZ3" s="38"/>
      <c r="BA3" s="39"/>
      <c r="BB3" s="40"/>
      <c r="BC3" s="41"/>
      <c r="BD3" s="41"/>
      <c r="BE3" s="40"/>
      <c r="BF3" s="41"/>
      <c r="BG3" s="42"/>
      <c r="BH3" s="32"/>
      <c r="BI3" s="28"/>
      <c r="BJ3" s="64"/>
      <c r="BK3" s="168"/>
      <c r="BL3" s="168"/>
      <c r="BM3" s="168"/>
      <c r="BN3" s="169"/>
      <c r="BO3" s="169"/>
      <c r="BP3" s="169"/>
      <c r="BQ3" s="168"/>
      <c r="BR3" s="168"/>
      <c r="BS3" s="168"/>
      <c r="BT3" s="168"/>
      <c r="BU3" s="168"/>
      <c r="BV3" s="168"/>
      <c r="BW3" s="168"/>
      <c r="BX3" s="168"/>
      <c r="BY3" s="168"/>
      <c r="BZ3" s="168"/>
      <c r="CA3" s="168"/>
      <c r="CB3" s="168"/>
      <c r="CC3" s="170"/>
      <c r="CD3" s="168"/>
      <c r="CE3" s="168"/>
      <c r="CF3" s="170"/>
      <c r="CG3" s="170"/>
      <c r="CH3" s="170"/>
      <c r="CI3" s="170"/>
      <c r="CJ3" s="168"/>
      <c r="CK3" s="168"/>
      <c r="CL3" s="170"/>
      <c r="CM3" s="170"/>
      <c r="CN3" s="170"/>
      <c r="CO3" s="113"/>
      <c r="CP3" s="36"/>
      <c r="CQ3" s="36"/>
      <c r="CR3" s="36"/>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6"/>
      <c r="EB3" s="36"/>
      <c r="EC3" s="36"/>
      <c r="ED3" s="36"/>
      <c r="EE3" s="36"/>
      <c r="EF3" s="36"/>
      <c r="EG3" s="36"/>
      <c r="EH3" s="36"/>
    </row>
    <row r="4" spans="1:138" s="26" customFormat="1" ht="18.75" customHeight="1" thickBot="1" x14ac:dyDescent="0.3">
      <c r="A4" s="43"/>
      <c r="B4" s="31"/>
      <c r="C4" s="1092"/>
      <c r="D4" s="43"/>
      <c r="E4" s="44"/>
      <c r="F4" s="44"/>
      <c r="G4" s="44"/>
      <c r="H4" s="44"/>
      <c r="I4" s="44"/>
      <c r="J4" s="44"/>
      <c r="K4" s="44"/>
      <c r="L4" s="46"/>
      <c r="M4" s="44"/>
      <c r="N4" s="37"/>
      <c r="O4" s="44"/>
      <c r="P4" s="312"/>
      <c r="Q4" s="312"/>
      <c r="R4" s="312"/>
      <c r="S4" s="312"/>
      <c r="T4" s="312"/>
      <c r="U4" s="312"/>
      <c r="V4" s="312"/>
      <c r="W4" s="312"/>
      <c r="X4" s="312"/>
      <c r="Y4" s="312"/>
      <c r="Z4" s="312"/>
      <c r="AA4" s="312"/>
      <c r="AB4" s="312"/>
      <c r="AC4" s="312"/>
      <c r="AD4" s="312"/>
      <c r="AE4" s="312"/>
      <c r="AF4" s="312"/>
      <c r="AG4" s="312"/>
      <c r="AH4" s="312"/>
      <c r="AI4" s="312"/>
      <c r="AJ4" s="312"/>
      <c r="AK4" s="312"/>
      <c r="AL4" s="312"/>
      <c r="AM4" s="312"/>
      <c r="AN4" s="312"/>
      <c r="AO4" s="46"/>
      <c r="AP4" s="46"/>
      <c r="AQ4" s="46"/>
      <c r="AR4" s="46"/>
      <c r="AS4" s="47"/>
      <c r="AT4" s="43"/>
      <c r="AU4" s="43"/>
      <c r="AV4" s="46"/>
      <c r="AW4" s="47"/>
      <c r="AX4" s="46"/>
      <c r="AY4" s="47"/>
      <c r="AZ4" s="43"/>
      <c r="BA4" s="43"/>
      <c r="BB4" s="46"/>
      <c r="BC4" s="47"/>
      <c r="BD4" s="47"/>
      <c r="BE4" s="46"/>
      <c r="BF4" s="47"/>
      <c r="BG4" s="50"/>
      <c r="BH4" s="51"/>
      <c r="BI4" s="28"/>
      <c r="BJ4" s="164"/>
      <c r="BK4" s="165"/>
      <c r="BL4" s="165"/>
      <c r="BM4" s="165"/>
      <c r="BN4" s="166"/>
      <c r="BO4" s="166"/>
      <c r="BP4" s="166"/>
      <c r="BQ4" s="165"/>
      <c r="BR4" s="165"/>
      <c r="BS4" s="165"/>
      <c r="BT4" s="165"/>
      <c r="BU4" s="165"/>
      <c r="BV4" s="165"/>
      <c r="BW4" s="165"/>
      <c r="BX4" s="165"/>
      <c r="BY4" s="165"/>
      <c r="BZ4" s="165"/>
      <c r="CA4" s="165"/>
      <c r="CB4" s="165"/>
      <c r="CC4" s="167"/>
      <c r="CD4" s="165"/>
      <c r="CE4" s="165"/>
      <c r="CF4" s="167"/>
      <c r="CG4" s="167"/>
      <c r="CH4" s="167"/>
      <c r="CI4" s="167"/>
      <c r="CJ4" s="165"/>
      <c r="CK4" s="165"/>
      <c r="CL4" s="167"/>
      <c r="CM4" s="167"/>
      <c r="CN4" s="167"/>
      <c r="CO4" s="112"/>
      <c r="CP4" s="29"/>
      <c r="CQ4" s="29"/>
      <c r="CR4" s="29"/>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9"/>
      <c r="EB4" s="29"/>
      <c r="EC4" s="29"/>
      <c r="ED4" s="29"/>
      <c r="EE4" s="29"/>
      <c r="EF4" s="29"/>
      <c r="EG4" s="29"/>
      <c r="EH4" s="29"/>
    </row>
    <row r="5" spans="1:138" s="27" customFormat="1" ht="18.75" customHeight="1" x14ac:dyDescent="0.25">
      <c r="A5" s="26"/>
      <c r="B5" s="1952" t="s">
        <v>647</v>
      </c>
      <c r="C5" s="1953"/>
      <c r="D5" s="1953"/>
      <c r="E5" s="1953"/>
      <c r="F5" s="1953"/>
      <c r="G5" s="1953"/>
      <c r="H5" s="1953"/>
      <c r="I5" s="1953"/>
      <c r="J5" s="1953"/>
      <c r="K5" s="1953"/>
      <c r="L5" s="1953"/>
      <c r="M5" s="1954"/>
      <c r="N5" s="37"/>
      <c r="P5" s="312"/>
      <c r="Q5" s="312"/>
      <c r="R5" s="312"/>
      <c r="S5" s="312"/>
      <c r="T5" s="312"/>
      <c r="U5" s="312"/>
      <c r="V5" s="312"/>
      <c r="W5" s="312"/>
      <c r="X5" s="312"/>
      <c r="Y5" s="312"/>
      <c r="Z5" s="312"/>
      <c r="AA5" s="312"/>
      <c r="AB5" s="312"/>
      <c r="AC5" s="312"/>
      <c r="AD5" s="312"/>
      <c r="AE5" s="312"/>
      <c r="AF5" s="312"/>
      <c r="AG5" s="312"/>
      <c r="AH5" s="312"/>
      <c r="AI5" s="312"/>
      <c r="AJ5" s="312"/>
      <c r="AK5" s="312"/>
      <c r="AL5" s="312"/>
      <c r="AM5" s="312"/>
      <c r="AN5" s="312"/>
      <c r="BI5" s="28"/>
      <c r="BJ5" s="64"/>
      <c r="BK5" s="168"/>
      <c r="BL5" s="168"/>
      <c r="BM5" s="168"/>
      <c r="BN5" s="169"/>
      <c r="BO5" s="169"/>
      <c r="BP5" s="169"/>
      <c r="BQ5" s="168"/>
      <c r="BR5" s="168"/>
      <c r="BS5" s="168"/>
      <c r="BT5" s="168"/>
      <c r="BU5" s="168"/>
      <c r="BV5" s="168"/>
      <c r="BW5" s="168"/>
      <c r="BX5" s="168"/>
      <c r="BY5" s="168"/>
      <c r="BZ5" s="168"/>
      <c r="CA5" s="168"/>
      <c r="CB5" s="168"/>
      <c r="CC5" s="170"/>
      <c r="CD5" s="168"/>
      <c r="CE5" s="168"/>
      <c r="CF5" s="170"/>
      <c r="CG5" s="170"/>
      <c r="CH5" s="170"/>
      <c r="CI5" s="170"/>
      <c r="CJ5" s="168"/>
      <c r="CK5" s="168"/>
      <c r="CL5" s="170"/>
      <c r="CM5" s="170"/>
      <c r="CN5" s="170"/>
      <c r="CO5" s="113"/>
      <c r="CP5" s="36"/>
      <c r="CQ5" s="36"/>
      <c r="CR5" s="36"/>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6"/>
      <c r="EB5" s="36"/>
      <c r="EC5" s="36"/>
      <c r="ED5" s="36"/>
      <c r="EE5" s="36"/>
      <c r="EF5" s="36"/>
      <c r="EG5" s="36"/>
      <c r="EH5" s="36"/>
    </row>
    <row r="6" spans="1:138" s="27" customFormat="1" x14ac:dyDescent="0.25">
      <c r="A6" s="26"/>
      <c r="B6" s="1129" t="s">
        <v>17</v>
      </c>
      <c r="C6" s="1958" t="str">
        <f>AGROPECUARIO!C6</f>
        <v>Chía</v>
      </c>
      <c r="D6" s="1959"/>
      <c r="E6" s="1959"/>
      <c r="F6" s="1960"/>
      <c r="G6" s="1131" t="s">
        <v>16</v>
      </c>
      <c r="H6" s="1955" t="str">
        <f>AGROPECUARIO!Y6</f>
        <v>Cra 11 # 17 - 50</v>
      </c>
      <c r="I6" s="1956"/>
      <c r="J6" s="1956"/>
      <c r="K6" s="1956"/>
      <c r="L6" s="1956"/>
      <c r="M6" s="1957"/>
      <c r="N6" s="37"/>
      <c r="P6" s="312"/>
      <c r="Q6" s="312"/>
      <c r="R6" s="312"/>
      <c r="S6" s="312"/>
      <c r="T6" s="312"/>
      <c r="U6" s="312"/>
      <c r="V6" s="312"/>
      <c r="W6" s="312"/>
      <c r="X6" s="312"/>
      <c r="Y6" s="312"/>
      <c r="Z6" s="312"/>
      <c r="AA6" s="312"/>
      <c r="AB6" s="312"/>
      <c r="AC6" s="312"/>
      <c r="AD6" s="312"/>
      <c r="AE6" s="312"/>
      <c r="AF6" s="312"/>
      <c r="AG6" s="312"/>
      <c r="AH6" s="312"/>
      <c r="AI6" s="312"/>
      <c r="AJ6" s="312"/>
      <c r="AK6" s="312"/>
      <c r="AL6" s="312"/>
      <c r="AM6" s="312"/>
      <c r="AN6" s="312"/>
      <c r="BI6" s="28"/>
      <c r="BJ6" s="64"/>
      <c r="BK6" s="168"/>
      <c r="BL6" s="168"/>
      <c r="BM6" s="168"/>
      <c r="BN6" s="169"/>
      <c r="BO6" s="169"/>
      <c r="BP6" s="169"/>
      <c r="BQ6" s="168"/>
      <c r="BR6" s="168"/>
      <c r="BS6" s="168"/>
      <c r="BT6" s="168"/>
      <c r="BU6" s="168"/>
      <c r="BV6" s="168"/>
      <c r="BW6" s="168"/>
      <c r="BX6" s="168"/>
      <c r="BY6" s="168"/>
      <c r="BZ6" s="168"/>
      <c r="CA6" s="168"/>
      <c r="CB6" s="168"/>
      <c r="CC6" s="170"/>
      <c r="CD6" s="168"/>
      <c r="CE6" s="168"/>
      <c r="CF6" s="170"/>
      <c r="CG6" s="170"/>
      <c r="CH6" s="170"/>
      <c r="CI6" s="170"/>
      <c r="CJ6" s="168"/>
      <c r="CK6" s="168"/>
      <c r="CL6" s="170"/>
      <c r="CM6" s="170"/>
      <c r="CN6" s="170"/>
      <c r="CO6" s="113"/>
      <c r="CP6" s="36"/>
      <c r="CQ6" s="36"/>
      <c r="CR6" s="36"/>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6"/>
      <c r="EB6" s="36"/>
      <c r="EC6" s="36"/>
      <c r="ED6" s="36"/>
      <c r="EE6" s="36"/>
      <c r="EF6" s="36"/>
      <c r="EG6" s="36"/>
      <c r="EH6" s="36"/>
    </row>
    <row r="7" spans="1:138" s="27" customFormat="1" x14ac:dyDescent="0.25">
      <c r="A7" s="26"/>
      <c r="B7" s="1129" t="s">
        <v>648</v>
      </c>
      <c r="C7" s="1958" t="str">
        <f>AGROPECUARIO!C7</f>
        <v>Secretaría de Medio Ambiente</v>
      </c>
      <c r="D7" s="1959"/>
      <c r="E7" s="1959"/>
      <c r="F7" s="1960"/>
      <c r="G7" s="1131" t="s">
        <v>17</v>
      </c>
      <c r="H7" s="1955" t="str">
        <f>AGROPECUARIO!Y7</f>
        <v>8844444 - 3200</v>
      </c>
      <c r="I7" s="1956"/>
      <c r="J7" s="1956"/>
      <c r="K7" s="1956"/>
      <c r="L7" s="1956"/>
      <c r="M7" s="1957"/>
      <c r="N7" s="37"/>
      <c r="P7" s="312"/>
      <c r="Q7" s="312"/>
      <c r="R7" s="312"/>
      <c r="S7" s="312"/>
      <c r="T7" s="312"/>
      <c r="U7" s="312"/>
      <c r="V7" s="312"/>
      <c r="W7" s="312"/>
      <c r="X7" s="312"/>
      <c r="Y7" s="312"/>
      <c r="Z7" s="312"/>
      <c r="AA7" s="312"/>
      <c r="AB7" s="312"/>
      <c r="AC7" s="312"/>
      <c r="AD7" s="312"/>
      <c r="AE7" s="312"/>
      <c r="AF7" s="312"/>
      <c r="AG7" s="312"/>
      <c r="AH7" s="312"/>
      <c r="AI7" s="312"/>
      <c r="AJ7" s="312"/>
      <c r="AK7" s="312"/>
      <c r="AL7" s="312"/>
      <c r="AM7" s="312"/>
      <c r="AN7" s="312"/>
      <c r="BI7" s="28"/>
      <c r="BJ7" s="64"/>
      <c r="BK7" s="168"/>
      <c r="BL7" s="168"/>
      <c r="BM7" s="168"/>
      <c r="BN7" s="169"/>
      <c r="BO7" s="169"/>
      <c r="BP7" s="169"/>
      <c r="BQ7" s="168"/>
      <c r="BR7" s="168"/>
      <c r="BS7" s="168"/>
      <c r="BT7" s="168"/>
      <c r="BU7" s="168"/>
      <c r="BV7" s="168"/>
      <c r="BW7" s="168"/>
      <c r="BX7" s="168"/>
      <c r="BY7" s="168"/>
      <c r="BZ7" s="168"/>
      <c r="CA7" s="168"/>
      <c r="CB7" s="168"/>
      <c r="CC7" s="170"/>
      <c r="CD7" s="168"/>
      <c r="CE7" s="168"/>
      <c r="CF7" s="170"/>
      <c r="CG7" s="170"/>
      <c r="CH7" s="170"/>
      <c r="CI7" s="170"/>
      <c r="CJ7" s="168"/>
      <c r="CK7" s="168"/>
      <c r="CL7" s="170"/>
      <c r="CM7" s="170"/>
      <c r="CN7" s="170"/>
      <c r="CO7" s="113"/>
      <c r="CP7" s="36"/>
      <c r="CQ7" s="36"/>
      <c r="CR7" s="36"/>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6"/>
      <c r="EB7" s="36"/>
      <c r="EC7" s="36"/>
      <c r="ED7" s="36"/>
      <c r="EE7" s="36"/>
      <c r="EF7" s="36"/>
      <c r="EG7" s="36"/>
      <c r="EH7" s="36"/>
    </row>
    <row r="8" spans="1:138" s="27" customFormat="1" x14ac:dyDescent="0.25">
      <c r="A8" s="26"/>
      <c r="B8" s="1129" t="s">
        <v>18</v>
      </c>
      <c r="C8" s="1958" t="str">
        <f>AGROPECUARIO!C8</f>
        <v>David Ricardo Murcia Cortés - Viviana Elisa Garzón</v>
      </c>
      <c r="D8" s="1959"/>
      <c r="E8" s="1959"/>
      <c r="F8" s="1960"/>
      <c r="G8" s="1131" t="s">
        <v>19</v>
      </c>
      <c r="H8" s="1955">
        <f>AGROPECUARIO!Y8</f>
        <v>3174291112</v>
      </c>
      <c r="I8" s="1956"/>
      <c r="J8" s="1956"/>
      <c r="K8" s="1956"/>
      <c r="L8" s="1956"/>
      <c r="M8" s="1957"/>
      <c r="N8" s="37"/>
      <c r="P8" s="312"/>
      <c r="Q8" s="312"/>
      <c r="R8" s="312"/>
      <c r="S8" s="312"/>
      <c r="T8" s="312"/>
      <c r="U8" s="312"/>
      <c r="V8" s="312"/>
      <c r="W8" s="312"/>
      <c r="X8" s="312"/>
      <c r="Y8" s="312"/>
      <c r="Z8" s="312"/>
      <c r="AA8" s="312"/>
      <c r="AB8" s="312"/>
      <c r="AC8" s="312"/>
      <c r="AD8" s="312"/>
      <c r="AE8" s="312"/>
      <c r="AF8" s="312"/>
      <c r="AG8" s="312"/>
      <c r="AH8" s="312"/>
      <c r="AI8" s="312"/>
      <c r="AJ8" s="312"/>
      <c r="AK8" s="312"/>
      <c r="AL8" s="312"/>
      <c r="AM8" s="312"/>
      <c r="AN8" s="312"/>
      <c r="BI8" s="28"/>
      <c r="BJ8" s="64"/>
      <c r="BK8" s="168"/>
      <c r="BL8" s="168"/>
      <c r="BM8" s="168"/>
      <c r="BN8" s="169"/>
      <c r="BO8" s="169"/>
      <c r="BP8" s="169"/>
      <c r="BQ8" s="168"/>
      <c r="BR8" s="168"/>
      <c r="BS8" s="168"/>
      <c r="BT8" s="168"/>
      <c r="BU8" s="168"/>
      <c r="BV8" s="168"/>
      <c r="BW8" s="168"/>
      <c r="BX8" s="168"/>
      <c r="BY8" s="168"/>
      <c r="BZ8" s="168"/>
      <c r="CA8" s="168"/>
      <c r="CB8" s="168"/>
      <c r="CC8" s="170"/>
      <c r="CD8" s="168"/>
      <c r="CE8" s="168"/>
      <c r="CF8" s="170"/>
      <c r="CG8" s="170"/>
      <c r="CH8" s="170"/>
      <c r="CI8" s="170"/>
      <c r="CJ8" s="168"/>
      <c r="CK8" s="168"/>
      <c r="CL8" s="170"/>
      <c r="CM8" s="170"/>
      <c r="CN8" s="170"/>
      <c r="CO8" s="113"/>
      <c r="CP8" s="36"/>
      <c r="CQ8" s="36"/>
      <c r="CR8" s="36"/>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6"/>
      <c r="EB8" s="36"/>
      <c r="EC8" s="36"/>
      <c r="ED8" s="36"/>
      <c r="EE8" s="36"/>
      <c r="EF8" s="36"/>
      <c r="EG8" s="36"/>
      <c r="EH8" s="36"/>
    </row>
    <row r="9" spans="1:138" s="27" customFormat="1" x14ac:dyDescent="0.25">
      <c r="A9" s="26"/>
      <c r="B9" s="1129" t="s">
        <v>20</v>
      </c>
      <c r="C9" s="1958" t="str">
        <f>AGROPECUARIO!C9</f>
        <v>Profesional Universitario - Profesional Universitario</v>
      </c>
      <c r="D9" s="1959"/>
      <c r="E9" s="1959"/>
      <c r="F9" s="1960"/>
      <c r="G9" s="1131" t="s">
        <v>21</v>
      </c>
      <c r="H9" s="1955">
        <f>AGROPECUARIO!Y9</f>
        <v>2019</v>
      </c>
      <c r="I9" s="1956"/>
      <c r="J9" s="1956"/>
      <c r="K9" s="1956"/>
      <c r="L9" s="1956"/>
      <c r="M9" s="1957"/>
      <c r="N9" s="37"/>
      <c r="P9" s="312"/>
      <c r="Q9" s="312"/>
      <c r="R9" s="312"/>
      <c r="S9" s="312"/>
      <c r="T9" s="312"/>
      <c r="U9" s="312"/>
      <c r="V9" s="312"/>
      <c r="W9" s="312"/>
      <c r="X9" s="312"/>
      <c r="Y9" s="312"/>
      <c r="Z9" s="312"/>
      <c r="AA9" s="312"/>
      <c r="AB9" s="312"/>
      <c r="AC9" s="312"/>
      <c r="AD9" s="312"/>
      <c r="AE9" s="312"/>
      <c r="AF9" s="312"/>
      <c r="AG9" s="312"/>
      <c r="AH9" s="312"/>
      <c r="AI9" s="312"/>
      <c r="AJ9" s="312"/>
      <c r="AK9" s="312"/>
      <c r="AL9" s="312"/>
      <c r="AM9" s="312"/>
      <c r="AN9" s="312"/>
      <c r="BI9" s="28"/>
      <c r="BJ9" s="64"/>
      <c r="BK9" s="168"/>
      <c r="BL9" s="168"/>
      <c r="BM9" s="168"/>
      <c r="BN9" s="169"/>
      <c r="BO9" s="169"/>
      <c r="BP9" s="169"/>
      <c r="BQ9" s="168"/>
      <c r="BR9" s="168"/>
      <c r="BS9" s="168"/>
      <c r="BT9" s="168"/>
      <c r="BU9" s="168"/>
      <c r="BV9" s="168"/>
      <c r="BW9" s="168"/>
      <c r="BX9" s="168"/>
      <c r="BY9" s="168"/>
      <c r="BZ9" s="168"/>
      <c r="CA9" s="168"/>
      <c r="CB9" s="168"/>
      <c r="CC9" s="170"/>
      <c r="CD9" s="168"/>
      <c r="CE9" s="168"/>
      <c r="CF9" s="170"/>
      <c r="CG9" s="170"/>
      <c r="CH9" s="170"/>
      <c r="CI9" s="170"/>
      <c r="CJ9" s="168"/>
      <c r="CK9" s="168"/>
      <c r="CL9" s="170"/>
      <c r="CM9" s="170"/>
      <c r="CN9" s="170"/>
      <c r="CO9" s="113"/>
      <c r="CP9" s="36"/>
      <c r="CQ9" s="36"/>
      <c r="CR9" s="36"/>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6"/>
      <c r="EB9" s="36"/>
      <c r="EC9" s="36"/>
      <c r="ED9" s="36"/>
      <c r="EE9" s="36"/>
      <c r="EF9" s="36"/>
      <c r="EG9" s="36"/>
      <c r="EH9" s="36"/>
    </row>
    <row r="10" spans="1:138" s="27" customFormat="1" ht="15.75" thickBot="1" x14ac:dyDescent="0.3">
      <c r="A10" s="26"/>
      <c r="B10" s="1130" t="s">
        <v>121</v>
      </c>
      <c r="C10" s="1958" t="str">
        <f>AGROPECUARIO!C10</f>
        <v>david.murcia@chia.gov.co, viviana.garzon@chia.gov.co</v>
      </c>
      <c r="D10" s="1959"/>
      <c r="E10" s="1959"/>
      <c r="F10" s="1960"/>
      <c r="G10" s="1132" t="s">
        <v>22</v>
      </c>
      <c r="H10" s="1654">
        <v>42717</v>
      </c>
      <c r="I10" s="1654"/>
      <c r="J10" s="1654"/>
      <c r="K10" s="1654"/>
      <c r="L10" s="1654"/>
      <c r="M10" s="1654"/>
      <c r="N10" s="1654"/>
      <c r="O10" s="1654"/>
      <c r="P10" s="1654"/>
      <c r="Q10" s="1654"/>
      <c r="R10" s="1654"/>
      <c r="S10" s="1654"/>
      <c r="T10" s="1654"/>
      <c r="U10" s="1654"/>
      <c r="V10" s="312"/>
      <c r="W10" s="312"/>
      <c r="X10" s="312"/>
      <c r="Y10" s="312"/>
      <c r="Z10" s="312"/>
      <c r="AA10" s="312"/>
      <c r="AB10" s="312"/>
      <c r="AC10" s="312"/>
      <c r="AD10" s="312"/>
      <c r="AE10" s="312"/>
      <c r="AF10" s="312"/>
      <c r="AG10" s="312"/>
      <c r="AH10" s="312"/>
      <c r="AI10" s="312"/>
      <c r="AJ10" s="312"/>
      <c r="AK10" s="312"/>
      <c r="AL10" s="312"/>
      <c r="AM10" s="312"/>
      <c r="AN10" s="312"/>
      <c r="BI10" s="28"/>
      <c r="BJ10" s="64"/>
      <c r="BK10" s="168"/>
      <c r="BL10" s="168"/>
      <c r="BM10" s="168"/>
      <c r="BN10" s="169"/>
      <c r="BO10" s="169"/>
      <c r="BP10" s="169"/>
      <c r="BQ10" s="388"/>
      <c r="BR10" s="388"/>
      <c r="BS10" s="388"/>
      <c r="BT10" s="388"/>
      <c r="BU10" s="388"/>
      <c r="BV10" s="388"/>
      <c r="BW10" s="168"/>
      <c r="BX10" s="388"/>
      <c r="BY10" s="388"/>
      <c r="BZ10" s="168"/>
      <c r="CA10" s="168"/>
      <c r="CB10" s="168"/>
      <c r="CC10" s="170"/>
      <c r="CD10" s="388"/>
      <c r="CE10" s="388"/>
      <c r="CF10" s="170"/>
      <c r="CG10" s="170"/>
      <c r="CH10" s="170"/>
      <c r="CI10" s="170"/>
      <c r="CJ10" s="388"/>
      <c r="CK10" s="388"/>
      <c r="CL10" s="170"/>
      <c r="CM10" s="170"/>
      <c r="CN10" s="170"/>
      <c r="CO10" s="113"/>
      <c r="CP10" s="36"/>
      <c r="CQ10" s="36"/>
      <c r="CR10" s="36"/>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6"/>
      <c r="EB10" s="36"/>
      <c r="EC10" s="36"/>
      <c r="ED10" s="36"/>
      <c r="EE10" s="36"/>
      <c r="EF10" s="36"/>
      <c r="EG10" s="36"/>
      <c r="EH10" s="36"/>
    </row>
    <row r="11" spans="1:138" s="1091" customFormat="1" ht="31.5" customHeight="1" thickBot="1" x14ac:dyDescent="0.3">
      <c r="A11" s="1087"/>
      <c r="B11" s="1088"/>
      <c r="C11" s="1881"/>
      <c r="D11" s="1881"/>
      <c r="E11" s="1881"/>
      <c r="F11" s="1881"/>
      <c r="G11" s="1881"/>
      <c r="H11" s="1881"/>
      <c r="I11" s="1881"/>
      <c r="J11" s="1089"/>
      <c r="K11" s="1089"/>
      <c r="L11" s="1204"/>
      <c r="M11" s="1090"/>
      <c r="N11" s="1211"/>
      <c r="O11" s="27"/>
      <c r="P11" s="312"/>
      <c r="Q11" s="312"/>
      <c r="R11" s="312"/>
      <c r="S11" s="312"/>
      <c r="T11" s="312"/>
      <c r="U11" s="312"/>
      <c r="V11" s="312"/>
      <c r="W11" s="312"/>
      <c r="X11" s="312"/>
      <c r="Y11" s="312"/>
      <c r="Z11" s="312"/>
      <c r="AA11" s="312"/>
      <c r="AB11" s="312"/>
      <c r="AC11" s="312"/>
      <c r="AD11" s="312"/>
      <c r="AE11" s="312"/>
      <c r="AF11" s="312"/>
      <c r="AG11" s="312"/>
      <c r="AH11" s="312"/>
      <c r="AI11" s="312"/>
      <c r="AJ11" s="312"/>
      <c r="AK11" s="312"/>
      <c r="AL11" s="312"/>
      <c r="AM11" s="312"/>
      <c r="AN11" s="312"/>
      <c r="AO11" s="1087"/>
      <c r="AP11" s="1087"/>
      <c r="AQ11" s="1087"/>
      <c r="AR11" s="1087"/>
      <c r="AS11" s="1087"/>
      <c r="AT11" s="1087"/>
      <c r="AU11" s="1087"/>
      <c r="AV11" s="1087"/>
      <c r="AW11" s="1087"/>
      <c r="AX11" s="1087"/>
      <c r="AY11" s="1087"/>
      <c r="AZ11" s="1087"/>
      <c r="BA11" s="1087"/>
      <c r="BB11" s="1087"/>
      <c r="BC11" s="1087"/>
    </row>
    <row r="12" spans="1:138" ht="43.5" customHeight="1" x14ac:dyDescent="0.25">
      <c r="B12" s="1913" t="s">
        <v>1395</v>
      </c>
      <c r="C12" s="1914"/>
      <c r="D12" s="1914"/>
      <c r="E12" s="1914"/>
      <c r="F12" s="1914"/>
      <c r="G12" s="1914"/>
      <c r="H12" s="1914"/>
      <c r="I12" s="1914"/>
      <c r="J12" s="1914"/>
      <c r="K12" s="1914"/>
      <c r="L12" s="1205"/>
      <c r="M12" s="1134"/>
      <c r="P12" s="312"/>
      <c r="Q12" s="312"/>
      <c r="R12" s="312"/>
      <c r="S12" s="312"/>
      <c r="T12" s="312"/>
      <c r="U12" s="312"/>
      <c r="V12" s="312"/>
      <c r="W12" s="312"/>
      <c r="X12" s="312"/>
      <c r="Y12" s="312"/>
      <c r="Z12" s="312"/>
      <c r="AA12" s="312"/>
      <c r="AB12" s="312"/>
      <c r="AC12" s="312"/>
      <c r="AD12" s="312"/>
      <c r="AE12" s="312"/>
      <c r="AF12" s="312"/>
      <c r="AG12" s="312"/>
      <c r="AH12" s="312"/>
      <c r="AI12" s="312"/>
      <c r="AJ12" s="312"/>
      <c r="AK12" s="312"/>
      <c r="AL12" s="312"/>
      <c r="AM12" s="312"/>
      <c r="AN12" s="312"/>
    </row>
    <row r="13" spans="1:138" s="312" customFormat="1" ht="64.5" customHeight="1" x14ac:dyDescent="0.25">
      <c r="B13" s="1350" t="s">
        <v>1184</v>
      </c>
      <c r="C13" s="1351" t="s">
        <v>174</v>
      </c>
      <c r="D13" s="1916" t="s">
        <v>1185</v>
      </c>
      <c r="E13" s="1916"/>
      <c r="F13" s="1351" t="s">
        <v>617</v>
      </c>
      <c r="G13" s="1351" t="s">
        <v>619</v>
      </c>
      <c r="H13" s="1351" t="s">
        <v>621</v>
      </c>
      <c r="I13" s="1351" t="s">
        <v>1349</v>
      </c>
      <c r="J13" s="1351" t="s">
        <v>625</v>
      </c>
      <c r="K13" s="1351" t="s">
        <v>1463</v>
      </c>
      <c r="L13" s="1352" t="s">
        <v>1352</v>
      </c>
      <c r="M13" s="1353" t="s">
        <v>1334</v>
      </c>
      <c r="N13" s="23"/>
    </row>
    <row r="14" spans="1:138" s="312" customFormat="1" ht="24" customHeight="1" x14ac:dyDescent="0.25">
      <c r="B14" s="1932" t="s">
        <v>1335</v>
      </c>
      <c r="C14" s="1912">
        <v>1</v>
      </c>
      <c r="D14" s="1924" t="s">
        <v>172</v>
      </c>
      <c r="E14" s="405" t="s">
        <v>1186</v>
      </c>
      <c r="F14" s="1133">
        <f>RESIDENCIAL!AB28</f>
        <v>42962.646637012389</v>
      </c>
      <c r="G14" s="1133">
        <f>RESIDENCIAL!AI28</f>
        <v>189.86659637864801</v>
      </c>
      <c r="H14" s="1133">
        <f>RESIDENCIAL!AP28</f>
        <v>235.36043859358131</v>
      </c>
      <c r="I14" s="1133">
        <f>RESIDENCIAL!AV28</f>
        <v>0</v>
      </c>
      <c r="J14" s="1133">
        <f>RESIDENCIAL!BC28</f>
        <v>0</v>
      </c>
      <c r="K14" s="1133">
        <f>RESIDENCIAL!BF28</f>
        <v>43387.87367198462</v>
      </c>
      <c r="L14" s="1217">
        <f t="shared" ref="L14:L19" si="0">K14/$K$69</f>
        <v>2.8974880925896875E-2</v>
      </c>
      <c r="M14" s="444">
        <f>RESIDENCIAL!BG28</f>
        <v>0.1272201109083573</v>
      </c>
      <c r="N14" s="23">
        <f>(K14*M14)^2</f>
        <v>30468303.546991352</v>
      </c>
    </row>
    <row r="15" spans="1:138" ht="22.5" customHeight="1" x14ac:dyDescent="0.25">
      <c r="B15" s="1932"/>
      <c r="C15" s="1912"/>
      <c r="D15" s="1925"/>
      <c r="E15" s="405" t="s">
        <v>1363</v>
      </c>
      <c r="F15" s="1133">
        <f>RESIDENCIAL!AB35</f>
        <v>0</v>
      </c>
      <c r="G15" s="1133">
        <f>RESIDENCIAL!AI35</f>
        <v>0</v>
      </c>
      <c r="H15" s="1133">
        <f>RESIDENCIAL!AP35</f>
        <v>0</v>
      </c>
      <c r="I15" s="1133">
        <f>RESIDENCIAL!AV35</f>
        <v>772.51607000000001</v>
      </c>
      <c r="J15" s="1133">
        <f>RESIDENCIAL!BC35</f>
        <v>0</v>
      </c>
      <c r="K15" s="1133">
        <f>RESIDENCIAL!BF35</f>
        <v>772.51607000000001</v>
      </c>
      <c r="L15" s="1217">
        <f t="shared" si="0"/>
        <v>5.1589440198920823E-4</v>
      </c>
      <c r="M15" s="444">
        <f>RESIDENCIAL!BG35</f>
        <v>0.56127087934436792</v>
      </c>
      <c r="N15" s="23">
        <f t="shared" ref="N15:N78" si="1">(K15*M15)^2</f>
        <v>188000.95922555737</v>
      </c>
    </row>
    <row r="16" spans="1:138" ht="18" customHeight="1" x14ac:dyDescent="0.25">
      <c r="B16" s="1932"/>
      <c r="C16" s="1912"/>
      <c r="D16" s="1933" t="s">
        <v>1187</v>
      </c>
      <c r="E16" s="1933"/>
      <c r="F16" s="1135">
        <f>RESIDENCIAL!AB38</f>
        <v>42962.646637012389</v>
      </c>
      <c r="G16" s="1135">
        <f>RESIDENCIAL!AI38</f>
        <v>189.86659637864801</v>
      </c>
      <c r="H16" s="1135">
        <f>RESIDENCIAL!AP38</f>
        <v>235.36043859358131</v>
      </c>
      <c r="I16" s="1135">
        <f>RESIDENCIAL!AV38</f>
        <v>772.51607000000001</v>
      </c>
      <c r="J16" s="1135">
        <f>RESIDENCIAL!BC38</f>
        <v>0</v>
      </c>
      <c r="K16" s="1135">
        <f>RESIDENCIAL!BF38</f>
        <v>44160.389741984618</v>
      </c>
      <c r="L16" s="1207">
        <f t="shared" si="0"/>
        <v>2.9490775327886083E-2</v>
      </c>
      <c r="M16" s="1136">
        <f>RESIDENCIAL!BG35</f>
        <v>0.56127087934436792</v>
      </c>
      <c r="N16" s="23">
        <f t="shared" si="1"/>
        <v>614342860.48220789</v>
      </c>
    </row>
    <row r="17" spans="2:19" ht="20.25" customHeight="1" x14ac:dyDescent="0.25">
      <c r="B17" s="1932"/>
      <c r="C17" s="1912">
        <v>2</v>
      </c>
      <c r="D17" s="1961" t="s">
        <v>1188</v>
      </c>
      <c r="E17" s="1961"/>
      <c r="F17" s="1133">
        <f>RESIDENCIAL!AB41</f>
        <v>16539.043031000001</v>
      </c>
      <c r="G17" s="1133">
        <f>RESIDENCIAL!AI41</f>
        <v>0</v>
      </c>
      <c r="H17" s="1133">
        <f>RESIDENCIAL!AP41</f>
        <v>0</v>
      </c>
      <c r="I17" s="1133">
        <f>RESIDENCIAL!AV41</f>
        <v>0</v>
      </c>
      <c r="J17" s="1133">
        <f>RESIDENCIAL!BC41</f>
        <v>0</v>
      </c>
      <c r="K17" s="1133">
        <f>RESIDENCIAL!BF41</f>
        <v>16539.043031000001</v>
      </c>
      <c r="L17" s="1217">
        <f t="shared" si="0"/>
        <v>1.1044947859727405E-2</v>
      </c>
      <c r="M17" s="444">
        <f>RESIDENCIAL!BG41</f>
        <v>0.125</v>
      </c>
      <c r="N17" s="23">
        <f t="shared" si="1"/>
        <v>4274061.630957339</v>
      </c>
    </row>
    <row r="18" spans="2:19" ht="18" customHeight="1" x14ac:dyDescent="0.25">
      <c r="B18" s="1932"/>
      <c r="C18" s="1912"/>
      <c r="D18" s="1933" t="s">
        <v>1189</v>
      </c>
      <c r="E18" s="1933"/>
      <c r="F18" s="1135">
        <f>RESIDENCIAL!AB42</f>
        <v>16539.043031000001</v>
      </c>
      <c r="G18" s="1135">
        <f>RESIDENCIAL!AI42</f>
        <v>0</v>
      </c>
      <c r="H18" s="1135">
        <f>RESIDENCIAL!AP42</f>
        <v>0</v>
      </c>
      <c r="I18" s="1135">
        <f>RESIDENCIAL!AV42</f>
        <v>0</v>
      </c>
      <c r="J18" s="1135">
        <f>RESIDENCIAL!BC42</f>
        <v>0</v>
      </c>
      <c r="K18" s="1135">
        <f>RESIDENCIAL!BF42</f>
        <v>16539.043031000001</v>
      </c>
      <c r="L18" s="1207">
        <f t="shared" si="0"/>
        <v>1.1044947859727405E-2</v>
      </c>
      <c r="M18" s="1136">
        <f>RESIDENCIAL!BG42</f>
        <v>0.125</v>
      </c>
      <c r="N18" s="23">
        <f t="shared" si="1"/>
        <v>4274061.630957339</v>
      </c>
    </row>
    <row r="19" spans="2:19" ht="24.95" customHeight="1" x14ac:dyDescent="0.25">
      <c r="B19" s="1962" t="s">
        <v>1351</v>
      </c>
      <c r="C19" s="1963"/>
      <c r="D19" s="1963"/>
      <c r="E19" s="1963"/>
      <c r="F19" s="1149">
        <f>RESIDENCIAL!AB44</f>
        <v>59501.68966801239</v>
      </c>
      <c r="G19" s="1149">
        <f>RESIDENCIAL!AI44</f>
        <v>189.86659637864801</v>
      </c>
      <c r="H19" s="1149">
        <f>RESIDENCIAL!AP44</f>
        <v>235.36043859358131</v>
      </c>
      <c r="I19" s="1149">
        <f>RESIDENCIAL!AV44</f>
        <v>772.51607000000001</v>
      </c>
      <c r="J19" s="1149">
        <f>RESIDENCIAL!BC44</f>
        <v>0</v>
      </c>
      <c r="K19" s="1149">
        <f>RESIDENCIAL!BF44</f>
        <v>60699.432772984619</v>
      </c>
      <c r="L19" s="1208">
        <f t="shared" si="0"/>
        <v>4.053572318761349E-2</v>
      </c>
      <c r="M19" s="1150">
        <f>RESIDENCIAL!BG44</f>
        <v>9.736815399194218E-2</v>
      </c>
      <c r="N19" s="23">
        <f t="shared" si="1"/>
        <v>34930366.137174256</v>
      </c>
    </row>
    <row r="20" spans="2:19" s="312" customFormat="1" ht="65.25" customHeight="1" x14ac:dyDescent="0.25">
      <c r="B20" s="1348" t="s">
        <v>1184</v>
      </c>
      <c r="C20" s="1354" t="s">
        <v>174</v>
      </c>
      <c r="D20" s="1915" t="s">
        <v>1185</v>
      </c>
      <c r="E20" s="1915"/>
      <c r="F20" s="1354" t="s">
        <v>617</v>
      </c>
      <c r="G20" s="1354" t="s">
        <v>619</v>
      </c>
      <c r="H20" s="1354" t="s">
        <v>621</v>
      </c>
      <c r="I20" s="1354" t="s">
        <v>1349</v>
      </c>
      <c r="J20" s="1354" t="s">
        <v>625</v>
      </c>
      <c r="K20" s="1354" t="s">
        <v>1463</v>
      </c>
      <c r="L20" s="1355" t="s">
        <v>1352</v>
      </c>
      <c r="M20" s="1356" t="s">
        <v>1334</v>
      </c>
      <c r="N20" s="23" t="e">
        <f t="shared" si="1"/>
        <v>#VALUE!</v>
      </c>
    </row>
    <row r="21" spans="2:19" s="312" customFormat="1" ht="24" customHeight="1" x14ac:dyDescent="0.25">
      <c r="B21" s="1964" t="s">
        <v>1394</v>
      </c>
      <c r="C21" s="1930">
        <v>1</v>
      </c>
      <c r="D21" s="1926" t="s">
        <v>172</v>
      </c>
      <c r="E21" s="405" t="s">
        <v>1186</v>
      </c>
      <c r="F21" s="1133">
        <f>INSTITUCIONAL!AB28</f>
        <v>1416846.0277050398</v>
      </c>
      <c r="G21" s="1133">
        <f>INSTITUCIONAL!AI28</f>
        <v>542.67672827199988</v>
      </c>
      <c r="H21" s="1133">
        <f>INSTITUCIONAL!AP28</f>
        <v>560.67678739819996</v>
      </c>
      <c r="I21" s="1133">
        <f>INSTITUCIONAL!AV28</f>
        <v>0</v>
      </c>
      <c r="J21" s="1133">
        <f>INSTITUCIONAL!BC28</f>
        <v>0</v>
      </c>
      <c r="K21" s="1133">
        <f>INSTITUCIONAL!BF28</f>
        <v>1417949.3812207102</v>
      </c>
      <c r="L21" s="1217">
        <f t="shared" ref="L21:L26" si="2">K21/$K$69</f>
        <v>0.94692159358681827</v>
      </c>
      <c r="M21" s="444">
        <f>INSTITUCIONAL!BG28</f>
        <v>0.14168909091922338</v>
      </c>
      <c r="N21" s="23">
        <f t="shared" si="1"/>
        <v>40364007907.027863</v>
      </c>
    </row>
    <row r="22" spans="2:19" ht="22.5" customHeight="1" x14ac:dyDescent="0.25">
      <c r="B22" s="1964"/>
      <c r="C22" s="1930"/>
      <c r="D22" s="1927"/>
      <c r="E22" s="405" t="s">
        <v>1363</v>
      </c>
      <c r="F22" s="1133">
        <f>INSTITUCIONAL!AB35</f>
        <v>0</v>
      </c>
      <c r="G22" s="1133">
        <f>INSTITUCIONAL!AI35</f>
        <v>0</v>
      </c>
      <c r="H22" s="1133">
        <f>INSTITUCIONAL!AP35</f>
        <v>0</v>
      </c>
      <c r="I22" s="1133">
        <f>INSTITUCIONAL!AV35</f>
        <v>616.62900000000002</v>
      </c>
      <c r="J22" s="1133">
        <f>INSTITUCIONAL!BC35</f>
        <v>0</v>
      </c>
      <c r="K22" s="1133">
        <f>INSTITUCIONAL!BF35</f>
        <v>616.62900000000002</v>
      </c>
      <c r="L22" s="1217">
        <f t="shared" si="2"/>
        <v>4.1179136791834434E-4</v>
      </c>
      <c r="M22" s="444">
        <f>INSTITUCIONAL!BG35</f>
        <v>0.56127087934436792</v>
      </c>
      <c r="N22" s="23">
        <f t="shared" si="1"/>
        <v>119782.37273000604</v>
      </c>
    </row>
    <row r="23" spans="2:19" ht="18" customHeight="1" x14ac:dyDescent="0.25">
      <c r="B23" s="1964"/>
      <c r="C23" s="1930"/>
      <c r="D23" s="1965" t="s">
        <v>1187</v>
      </c>
      <c r="E23" s="1965"/>
      <c r="F23" s="1151">
        <f>INSTITUCIONAL!AB36</f>
        <v>1416846.0277050398</v>
      </c>
      <c r="G23" s="1151">
        <f>INSTITUCIONAL!AI36</f>
        <v>542.67672827199988</v>
      </c>
      <c r="H23" s="1151">
        <f>INSTITUCIONAL!AP36</f>
        <v>560.67678739819996</v>
      </c>
      <c r="I23" s="1151">
        <f>INSTITUCIONAL!AV36</f>
        <v>616.62900000000002</v>
      </c>
      <c r="J23" s="1151">
        <f>INSTITUCIONAL!BC36</f>
        <v>0</v>
      </c>
      <c r="K23" s="1151">
        <f>INSTITUCIONAL!BF36</f>
        <v>1418566.0102207102</v>
      </c>
      <c r="L23" s="1209">
        <f t="shared" si="2"/>
        <v>0.94733338495473662</v>
      </c>
      <c r="M23" s="483">
        <f>INSTITUCIONAL!BG36</f>
        <v>0.14162771097678092</v>
      </c>
      <c r="N23" s="23">
        <f t="shared" si="1"/>
        <v>40364127689.400589</v>
      </c>
    </row>
    <row r="24" spans="2:19" ht="20.25" customHeight="1" x14ac:dyDescent="0.25">
      <c r="B24" s="1964"/>
      <c r="C24" s="1930">
        <v>2</v>
      </c>
      <c r="D24" s="1961" t="s">
        <v>1188</v>
      </c>
      <c r="E24" s="1961"/>
      <c r="F24" s="1133">
        <f>INSTITUCIONAL!AB41</f>
        <v>18164.648957000001</v>
      </c>
      <c r="G24" s="1133">
        <f>INSTITUCIONAL!AI41</f>
        <v>0</v>
      </c>
      <c r="H24" s="1133">
        <f>INSTITUCIONAL!AP41</f>
        <v>0</v>
      </c>
      <c r="I24" s="1133">
        <f>INSTITUCIONAL!AV41</f>
        <v>0</v>
      </c>
      <c r="J24" s="1133">
        <f>INSTITUCIONAL!BC41</f>
        <v>0</v>
      </c>
      <c r="K24" s="1133">
        <f>INSTITUCIONAL!BF41</f>
        <v>18164.648957000001</v>
      </c>
      <c r="L24" s="1217">
        <f t="shared" si="2"/>
        <v>1.2130544690177655E-2</v>
      </c>
      <c r="M24" s="444">
        <f>INSTITUCIONAL!BG41</f>
        <v>0.125</v>
      </c>
      <c r="N24" s="23">
        <f t="shared" si="1"/>
        <v>5155538.6207975196</v>
      </c>
    </row>
    <row r="25" spans="2:19" ht="18" customHeight="1" x14ac:dyDescent="0.25">
      <c r="B25" s="1964"/>
      <c r="C25" s="1930"/>
      <c r="D25" s="1965" t="s">
        <v>1189</v>
      </c>
      <c r="E25" s="1965"/>
      <c r="F25" s="1151">
        <f>INSTITUCIONAL!AB42</f>
        <v>18164.648957000001</v>
      </c>
      <c r="G25" s="1151">
        <f>INSTITUCIONAL!AI42</f>
        <v>0</v>
      </c>
      <c r="H25" s="1151">
        <f>INSTITUCIONAL!AP42</f>
        <v>0</v>
      </c>
      <c r="I25" s="1151">
        <f>INSTITUCIONAL!AV42</f>
        <v>0</v>
      </c>
      <c r="J25" s="1151">
        <f>INSTITUCIONAL!BC42</f>
        <v>0</v>
      </c>
      <c r="K25" s="1151">
        <f>INSTITUCIONAL!BF42</f>
        <v>18164.648957000001</v>
      </c>
      <c r="L25" s="1209">
        <f t="shared" si="2"/>
        <v>1.2130544690177655E-2</v>
      </c>
      <c r="M25" s="483">
        <f>INSTITUCIONAL!BG42</f>
        <v>0.125</v>
      </c>
      <c r="N25" s="23">
        <f t="shared" si="1"/>
        <v>5155538.6207975196</v>
      </c>
    </row>
    <row r="26" spans="2:19" ht="32.25" customHeight="1" x14ac:dyDescent="0.25">
      <c r="B26" s="1928" t="s">
        <v>1350</v>
      </c>
      <c r="C26" s="1929"/>
      <c r="D26" s="1929"/>
      <c r="E26" s="1929"/>
      <c r="F26" s="1216">
        <f>INSTITUCIONAL!AB44</f>
        <v>1435010.6766620399</v>
      </c>
      <c r="G26" s="1216">
        <f>INSTITUCIONAL!AI44</f>
        <v>542.67672827199988</v>
      </c>
      <c r="H26" s="1216">
        <f>INSTITUCIONAL!AP44</f>
        <v>560.67678739819996</v>
      </c>
      <c r="I26" s="1216">
        <f>INSTITUCIONAL!AV44</f>
        <v>616.62900000000002</v>
      </c>
      <c r="J26" s="1216">
        <f>INSTITUCIONAL!BC44</f>
        <v>0</v>
      </c>
      <c r="K26" s="1216">
        <f>INSTITUCIONAL!BF44</f>
        <v>1436730.6591777103</v>
      </c>
      <c r="L26" s="1218">
        <f t="shared" si="2"/>
        <v>0.95946392964491434</v>
      </c>
      <c r="M26" s="1159">
        <f>INSTITUCIONAL!BG44</f>
        <v>0.13984603570831211</v>
      </c>
      <c r="N26" s="23">
        <f t="shared" si="1"/>
        <v>40369283228.0214</v>
      </c>
    </row>
    <row r="27" spans="2:19" s="312" customFormat="1" ht="61.5" customHeight="1" x14ac:dyDescent="0.25">
      <c r="B27" s="1342" t="s">
        <v>1184</v>
      </c>
      <c r="C27" s="1343" t="s">
        <v>174</v>
      </c>
      <c r="D27" s="1686" t="s">
        <v>1185</v>
      </c>
      <c r="E27" s="1686"/>
      <c r="F27" s="1343" t="s">
        <v>617</v>
      </c>
      <c r="G27" s="1343" t="s">
        <v>619</v>
      </c>
      <c r="H27" s="1343" t="s">
        <v>621</v>
      </c>
      <c r="I27" s="1343" t="s">
        <v>1349</v>
      </c>
      <c r="J27" s="1343" t="s">
        <v>625</v>
      </c>
      <c r="K27" s="1343" t="s">
        <v>1463</v>
      </c>
      <c r="L27" s="1357" t="s">
        <v>1352</v>
      </c>
      <c r="M27" s="1358" t="s">
        <v>1334</v>
      </c>
      <c r="N27" s="23" t="e">
        <f t="shared" si="1"/>
        <v>#VALUE!</v>
      </c>
    </row>
    <row r="28" spans="2:19" s="312" customFormat="1" ht="31.5" customHeight="1" x14ac:dyDescent="0.25">
      <c r="B28" s="1684" t="s">
        <v>1190</v>
      </c>
      <c r="C28" s="1930">
        <v>1</v>
      </c>
      <c r="D28" s="1924" t="s">
        <v>1365</v>
      </c>
      <c r="E28" s="405" t="s">
        <v>1366</v>
      </c>
      <c r="F28" s="1133">
        <f>TRANSPORTE!AB24</f>
        <v>0</v>
      </c>
      <c r="G28" s="1133">
        <f>TRANSPORTE!AI24</f>
        <v>0</v>
      </c>
      <c r="H28" s="1133">
        <f>TRANSPORTE!AP24</f>
        <v>0</v>
      </c>
      <c r="I28" s="1133">
        <f>TRANSPORTE!AV24</f>
        <v>0</v>
      </c>
      <c r="J28" s="1133">
        <f>TRANSPORTE!BC24</f>
        <v>0</v>
      </c>
      <c r="K28" s="1133">
        <f>TRANSPORTE!BF24</f>
        <v>0</v>
      </c>
      <c r="L28" s="1217">
        <f t="shared" ref="L28:L34" si="3">K28/$K$69</f>
        <v>0</v>
      </c>
      <c r="M28" s="444">
        <f>TRANSPORTE!BG24</f>
        <v>0</v>
      </c>
      <c r="N28" s="23">
        <f t="shared" si="1"/>
        <v>0</v>
      </c>
      <c r="S28" s="174"/>
    </row>
    <row r="29" spans="2:19" ht="22.5" customHeight="1" x14ac:dyDescent="0.25">
      <c r="B29" s="1684"/>
      <c r="C29" s="1930"/>
      <c r="D29" s="1925"/>
      <c r="E29" s="405" t="s">
        <v>1367</v>
      </c>
      <c r="F29" s="1133">
        <f>TRANSPORTE!AB31</f>
        <v>0</v>
      </c>
      <c r="G29" s="1133">
        <f>TRANSPORTE!AI31</f>
        <v>0</v>
      </c>
      <c r="H29" s="1133">
        <f>TRANSPORTE!AP31</f>
        <v>0</v>
      </c>
      <c r="I29" s="1133">
        <f>TRANSPORTE!AV31</f>
        <v>0</v>
      </c>
      <c r="J29" s="1133">
        <f>TRANSPORTE!BC31</f>
        <v>0</v>
      </c>
      <c r="K29" s="1133">
        <f>TRANSPORTE!BF31</f>
        <v>0</v>
      </c>
      <c r="L29" s="1217">
        <f t="shared" si="3"/>
        <v>0</v>
      </c>
      <c r="M29" s="444">
        <f>TRANSPORTE!BG31</f>
        <v>0</v>
      </c>
      <c r="N29" s="23">
        <f t="shared" si="1"/>
        <v>0</v>
      </c>
      <c r="O29" s="312"/>
      <c r="P29" s="312"/>
      <c r="Q29" s="312"/>
      <c r="R29" s="312"/>
      <c r="S29" s="82"/>
    </row>
    <row r="30" spans="2:19" ht="38.25" customHeight="1" x14ac:dyDescent="0.25">
      <c r="B30" s="1684"/>
      <c r="C30" s="1930"/>
      <c r="D30" s="1931" t="s">
        <v>1187</v>
      </c>
      <c r="E30" s="1931"/>
      <c r="F30" s="894">
        <f>TRANSPORTE!AB34</f>
        <v>0</v>
      </c>
      <c r="G30" s="894">
        <f>TRANSPORTE!AI34</f>
        <v>0</v>
      </c>
      <c r="H30" s="894">
        <f>TRANSPORTE!AP34</f>
        <v>0</v>
      </c>
      <c r="I30" s="894">
        <f>TRANSPORTE!AV34</f>
        <v>0</v>
      </c>
      <c r="J30" s="894">
        <f>TRANSPORTE!BC34</f>
        <v>0</v>
      </c>
      <c r="K30" s="894">
        <f>TRANSPORTE!BF34</f>
        <v>0</v>
      </c>
      <c r="L30" s="895">
        <f t="shared" si="3"/>
        <v>0</v>
      </c>
      <c r="M30" s="1161">
        <f>TRANSPORTE!BG34</f>
        <v>0</v>
      </c>
      <c r="N30" s="23">
        <f t="shared" si="1"/>
        <v>0</v>
      </c>
      <c r="O30" s="312"/>
      <c r="P30" s="312"/>
      <c r="Q30" s="312"/>
      <c r="R30" s="312"/>
      <c r="S30" s="82"/>
    </row>
    <row r="31" spans="2:19" ht="24.75" customHeight="1" x14ac:dyDescent="0.25">
      <c r="B31" s="1684"/>
      <c r="C31" s="1930">
        <v>3</v>
      </c>
      <c r="D31" s="1924" t="s">
        <v>1365</v>
      </c>
      <c r="E31" s="405" t="s">
        <v>1366</v>
      </c>
      <c r="F31" s="1133">
        <f>TRANSPORTE!AB48</f>
        <v>0</v>
      </c>
      <c r="G31" s="1133">
        <f>TRANSPORTE!AI48</f>
        <v>0</v>
      </c>
      <c r="H31" s="1133">
        <f>TRANSPORTE!AP48</f>
        <v>0</v>
      </c>
      <c r="I31" s="1133">
        <f>TRANSPORTE!AV48</f>
        <v>0</v>
      </c>
      <c r="J31" s="1133">
        <f>TRANSPORTE!BC48</f>
        <v>0</v>
      </c>
      <c r="K31" s="1133">
        <f>TRANSPORTE!BF48</f>
        <v>0</v>
      </c>
      <c r="L31" s="1217">
        <f t="shared" si="3"/>
        <v>0</v>
      </c>
      <c r="M31" s="444">
        <f>TRANSPORTE!BG48</f>
        <v>0</v>
      </c>
      <c r="N31" s="23">
        <f t="shared" si="1"/>
        <v>0</v>
      </c>
      <c r="O31" s="312"/>
      <c r="P31" s="312"/>
      <c r="Q31" s="312"/>
      <c r="R31" s="312"/>
      <c r="S31" s="82"/>
    </row>
    <row r="32" spans="2:19" ht="24.75" customHeight="1" x14ac:dyDescent="0.25">
      <c r="B32" s="1684"/>
      <c r="C32" s="1930"/>
      <c r="D32" s="1925"/>
      <c r="E32" s="405" t="s">
        <v>1367</v>
      </c>
      <c r="F32" s="1133">
        <f>TRANSPORTE!AB55</f>
        <v>0</v>
      </c>
      <c r="G32" s="1133">
        <f>TRANSPORTE!AI55</f>
        <v>0</v>
      </c>
      <c r="H32" s="1133">
        <f>TRANSPORTE!AP55</f>
        <v>0</v>
      </c>
      <c r="I32" s="1133">
        <f>TRANSPORTE!AV55</f>
        <v>0</v>
      </c>
      <c r="J32" s="1133">
        <f>TRANSPORTE!BC55</f>
        <v>0</v>
      </c>
      <c r="K32" s="1133">
        <f>TRANSPORTE!BF55</f>
        <v>0</v>
      </c>
      <c r="L32" s="1217">
        <f t="shared" si="3"/>
        <v>0</v>
      </c>
      <c r="M32" s="444">
        <f>TRANSPORTE!BG55</f>
        <v>0</v>
      </c>
      <c r="N32" s="23">
        <f t="shared" si="1"/>
        <v>0</v>
      </c>
      <c r="O32" s="312"/>
      <c r="P32" s="312"/>
      <c r="Q32" s="312"/>
      <c r="R32" s="312"/>
      <c r="S32" s="82"/>
    </row>
    <row r="33" spans="2:24" ht="25.5" customHeight="1" x14ac:dyDescent="0.25">
      <c r="B33" s="1684"/>
      <c r="C33" s="1930"/>
      <c r="D33" s="1931" t="s">
        <v>1199</v>
      </c>
      <c r="E33" s="1931"/>
      <c r="F33" s="894">
        <f>TRANSPORTE!AB58</f>
        <v>0</v>
      </c>
      <c r="G33" s="894">
        <f>TRANSPORTE!AI58</f>
        <v>0</v>
      </c>
      <c r="H33" s="894">
        <f>TRANSPORTE!AP58</f>
        <v>0</v>
      </c>
      <c r="I33" s="894">
        <f>TRANSPORTE!AV58</f>
        <v>0</v>
      </c>
      <c r="J33" s="894">
        <f>TRANSPORTE!BC58</f>
        <v>0</v>
      </c>
      <c r="K33" s="894">
        <f>TRANSPORTE!BF58</f>
        <v>0</v>
      </c>
      <c r="L33" s="895">
        <f t="shared" si="3"/>
        <v>0</v>
      </c>
      <c r="M33" s="1161">
        <f>TRANSPORTE!BG58</f>
        <v>0</v>
      </c>
      <c r="N33" s="23">
        <f t="shared" si="1"/>
        <v>0</v>
      </c>
      <c r="O33" s="312"/>
      <c r="P33" s="312"/>
      <c r="Q33" s="312"/>
      <c r="R33" s="312"/>
      <c r="S33" s="82"/>
    </row>
    <row r="34" spans="2:24" ht="36.75" customHeight="1" x14ac:dyDescent="0.25">
      <c r="B34" s="1966" t="s">
        <v>1191</v>
      </c>
      <c r="C34" s="1967"/>
      <c r="D34" s="1967"/>
      <c r="E34" s="1967"/>
      <c r="F34" s="1162">
        <f>TRANSPORTE!AB60</f>
        <v>0</v>
      </c>
      <c r="G34" s="1162">
        <f>TRANSPORTE!AI60</f>
        <v>0</v>
      </c>
      <c r="H34" s="1162">
        <f>TRANSPORTE!AP60</f>
        <v>0</v>
      </c>
      <c r="I34" s="1162">
        <f>TRANSPORTE!AV60</f>
        <v>0</v>
      </c>
      <c r="J34" s="1162">
        <f>TRANSPORTE!BC60</f>
        <v>0</v>
      </c>
      <c r="K34" s="1162">
        <f>TRANSPORTE!BF60</f>
        <v>0</v>
      </c>
      <c r="L34" s="1219">
        <f t="shared" si="3"/>
        <v>0</v>
      </c>
      <c r="M34" s="1163">
        <f>TRANSPORTE!BG60</f>
        <v>0</v>
      </c>
      <c r="N34" s="23">
        <f t="shared" si="1"/>
        <v>0</v>
      </c>
      <c r="O34" s="312"/>
      <c r="P34" s="312"/>
      <c r="Q34" s="312"/>
      <c r="R34" s="312"/>
      <c r="S34" s="82"/>
    </row>
    <row r="35" spans="2:24" s="312" customFormat="1" ht="65.25" customHeight="1" x14ac:dyDescent="0.25">
      <c r="B35" s="1344" t="s">
        <v>1184</v>
      </c>
      <c r="C35" s="1345" t="s">
        <v>174</v>
      </c>
      <c r="D35" s="1711" t="s">
        <v>1185</v>
      </c>
      <c r="E35" s="1711"/>
      <c r="F35" s="1345" t="s">
        <v>617</v>
      </c>
      <c r="G35" s="1345" t="s">
        <v>619</v>
      </c>
      <c r="H35" s="1345" t="s">
        <v>621</v>
      </c>
      <c r="I35" s="1345" t="s">
        <v>1349</v>
      </c>
      <c r="J35" s="1345" t="s">
        <v>625</v>
      </c>
      <c r="K35" s="1345" t="s">
        <v>1463</v>
      </c>
      <c r="L35" s="1359" t="s">
        <v>1352</v>
      </c>
      <c r="M35" s="1360" t="s">
        <v>1334</v>
      </c>
      <c r="N35" s="23" t="e">
        <f t="shared" si="1"/>
        <v>#VALUE!</v>
      </c>
    </row>
    <row r="36" spans="2:24" ht="26.25" customHeight="1" x14ac:dyDescent="0.25">
      <c r="B36" s="1717" t="s">
        <v>1357</v>
      </c>
      <c r="C36" s="1930">
        <v>1</v>
      </c>
      <c r="D36" s="1912" t="s">
        <v>172</v>
      </c>
      <c r="E36" s="405" t="s">
        <v>1186</v>
      </c>
      <c r="F36" s="1133">
        <f>INDUSTRIA!AB28</f>
        <v>0</v>
      </c>
      <c r="G36" s="1133">
        <f>INDUSTRIA!AI28</f>
        <v>0</v>
      </c>
      <c r="H36" s="1133">
        <f>INDUSTRIA!AP28</f>
        <v>0</v>
      </c>
      <c r="I36" s="1133">
        <f>INDUSTRIA!AV28</f>
        <v>0</v>
      </c>
      <c r="J36" s="1133">
        <f>INDUSTRIA!BC28</f>
        <v>0</v>
      </c>
      <c r="K36" s="1133">
        <f>INDUSTRIA!BF28</f>
        <v>0</v>
      </c>
      <c r="L36" s="1217">
        <f t="shared" ref="L36:L42" si="4">K36/$K$69</f>
        <v>0</v>
      </c>
      <c r="M36" s="444">
        <f>INDUSTRIA!BG28</f>
        <v>0</v>
      </c>
      <c r="N36" s="23">
        <f t="shared" si="1"/>
        <v>0</v>
      </c>
      <c r="O36" s="312"/>
      <c r="P36" s="312"/>
      <c r="Q36" s="312"/>
      <c r="R36" s="312"/>
      <c r="T36" s="387"/>
      <c r="U36" s="387"/>
      <c r="V36" s="387"/>
      <c r="W36" s="387"/>
      <c r="X36" s="389"/>
    </row>
    <row r="37" spans="2:24" ht="26.25" customHeight="1" x14ac:dyDescent="0.25">
      <c r="B37" s="1717"/>
      <c r="C37" s="1930"/>
      <c r="D37" s="1912"/>
      <c r="E37" s="405" t="s">
        <v>1367</v>
      </c>
      <c r="F37" s="1133">
        <f>INDUSTRIA!AB41</f>
        <v>0</v>
      </c>
      <c r="G37" s="1133">
        <f>INDUSTRIA!AI41</f>
        <v>0</v>
      </c>
      <c r="H37" s="1133">
        <f>INDUSTRIA!AP41</f>
        <v>0</v>
      </c>
      <c r="I37" s="1133">
        <f>INDUSTRIA!AV41</f>
        <v>0</v>
      </c>
      <c r="J37" s="1133">
        <f>INDUSTRIA!BC41</f>
        <v>0</v>
      </c>
      <c r="K37" s="1133">
        <f>INDUSTRIA!BF41</f>
        <v>0</v>
      </c>
      <c r="L37" s="1217">
        <f t="shared" si="4"/>
        <v>0</v>
      </c>
      <c r="M37" s="444">
        <f>INDUSTRIA!BG41</f>
        <v>0</v>
      </c>
      <c r="N37" s="23">
        <f t="shared" si="1"/>
        <v>0</v>
      </c>
      <c r="O37" s="312"/>
      <c r="P37" s="312"/>
      <c r="Q37" s="312"/>
      <c r="R37" s="312"/>
      <c r="T37" s="390"/>
      <c r="U37" s="391"/>
      <c r="V37" s="392"/>
      <c r="W37" s="393"/>
      <c r="X37" s="394"/>
    </row>
    <row r="38" spans="2:24" ht="26.25" customHeight="1" x14ac:dyDescent="0.25">
      <c r="B38" s="1717"/>
      <c r="C38" s="1930"/>
      <c r="D38" s="1912" t="s">
        <v>1193</v>
      </c>
      <c r="E38" s="1912"/>
      <c r="F38" s="1133">
        <f>INDUSTRIA!AB52</f>
        <v>0</v>
      </c>
      <c r="G38" s="1133">
        <f>INDUSTRIA!AI52</f>
        <v>0</v>
      </c>
      <c r="H38" s="1133">
        <f>INDUSTRIA!AP52</f>
        <v>0</v>
      </c>
      <c r="I38" s="1133">
        <f>INDUSTRIA!AV52</f>
        <v>0</v>
      </c>
      <c r="J38" s="1133">
        <f>INDUSTRIA!BC52</f>
        <v>0</v>
      </c>
      <c r="K38" s="1133">
        <f>INDUSTRIA!BF52</f>
        <v>0</v>
      </c>
      <c r="L38" s="1217">
        <f t="shared" si="4"/>
        <v>0</v>
      </c>
      <c r="M38" s="444">
        <f>INDUSTRIA!BG52</f>
        <v>0</v>
      </c>
      <c r="N38" s="23">
        <f t="shared" si="1"/>
        <v>0</v>
      </c>
      <c r="O38" s="312"/>
      <c r="P38" s="312"/>
      <c r="Q38" s="312"/>
      <c r="R38" s="312"/>
      <c r="S38" s="1911"/>
      <c r="T38" s="1911"/>
      <c r="U38" s="391"/>
      <c r="V38" s="392"/>
      <c r="W38" s="393"/>
      <c r="X38" s="394"/>
    </row>
    <row r="39" spans="2:24" ht="26.25" customHeight="1" x14ac:dyDescent="0.25">
      <c r="B39" s="1717"/>
      <c r="C39" s="1930"/>
      <c r="D39" s="1968" t="s">
        <v>1187</v>
      </c>
      <c r="E39" s="1968"/>
      <c r="F39" s="1165">
        <f>INDUSTRIA!AB54</f>
        <v>0</v>
      </c>
      <c r="G39" s="1165">
        <f>INDUSTRIA!AI54</f>
        <v>0</v>
      </c>
      <c r="H39" s="1165">
        <f>INDUSTRIA!AP54</f>
        <v>0</v>
      </c>
      <c r="I39" s="1165">
        <f>INDUSTRIA!AV54</f>
        <v>0</v>
      </c>
      <c r="J39" s="1165">
        <f>INDUSTRIA!BC54</f>
        <v>0</v>
      </c>
      <c r="K39" s="1165">
        <f>INDUSTRIA!BF54</f>
        <v>0</v>
      </c>
      <c r="L39" s="1220">
        <f t="shared" si="4"/>
        <v>0</v>
      </c>
      <c r="M39" s="1166">
        <f>INDUSTRIA!BG54</f>
        <v>0</v>
      </c>
      <c r="N39" s="23">
        <f t="shared" si="1"/>
        <v>0</v>
      </c>
      <c r="O39" s="312"/>
      <c r="P39" s="312"/>
      <c r="Q39" s="312"/>
      <c r="R39" s="312"/>
      <c r="S39" s="1911"/>
      <c r="T39" s="1911"/>
      <c r="U39" s="391"/>
      <c r="V39" s="392"/>
      <c r="W39" s="393"/>
      <c r="X39" s="394"/>
    </row>
    <row r="40" spans="2:24" ht="26.25" customHeight="1" x14ac:dyDescent="0.25">
      <c r="B40" s="1717"/>
      <c r="C40" s="1930">
        <v>2</v>
      </c>
      <c r="D40" s="1912" t="s">
        <v>1188</v>
      </c>
      <c r="E40" s="1912"/>
      <c r="F40" s="1133">
        <f>INDUSTRIA!AB57</f>
        <v>0</v>
      </c>
      <c r="G40" s="1133">
        <f>INDUSTRIA!AI57</f>
        <v>0</v>
      </c>
      <c r="H40" s="1133">
        <f>INDUSTRIA!AP57</f>
        <v>0</v>
      </c>
      <c r="I40" s="1133">
        <f>INDUSTRIA!AV57</f>
        <v>0</v>
      </c>
      <c r="J40" s="1133">
        <f>INDUSTRIA!BC57</f>
        <v>0</v>
      </c>
      <c r="K40" s="1133">
        <f>INDUSTRIA!BF57</f>
        <v>0</v>
      </c>
      <c r="L40" s="1217">
        <f t="shared" si="4"/>
        <v>0</v>
      </c>
      <c r="M40" s="444">
        <f>INDUSTRIA!BG57</f>
        <v>0</v>
      </c>
      <c r="N40" s="23">
        <f t="shared" si="1"/>
        <v>0</v>
      </c>
      <c r="O40" s="312"/>
      <c r="P40" s="312"/>
      <c r="Q40" s="312"/>
      <c r="R40" s="312"/>
      <c r="S40" s="1911"/>
      <c r="T40" s="1911"/>
      <c r="U40" s="391"/>
      <c r="V40" s="392"/>
      <c r="W40" s="393"/>
      <c r="X40" s="394"/>
    </row>
    <row r="41" spans="2:24" ht="26.25" customHeight="1" x14ac:dyDescent="0.25">
      <c r="B41" s="1717"/>
      <c r="C41" s="1930"/>
      <c r="D41" s="1968" t="s">
        <v>1189</v>
      </c>
      <c r="E41" s="1968"/>
      <c r="F41" s="1165">
        <f>INDUSTRIA!AB58</f>
        <v>0</v>
      </c>
      <c r="G41" s="1165">
        <f>INDUSTRIA!AI58</f>
        <v>0</v>
      </c>
      <c r="H41" s="1165">
        <f>INDUSTRIA!AP58</f>
        <v>0</v>
      </c>
      <c r="I41" s="1165">
        <f>INDUSTRIA!AV58</f>
        <v>0</v>
      </c>
      <c r="J41" s="1165">
        <f>INDUSTRIA!BC58</f>
        <v>0</v>
      </c>
      <c r="K41" s="1165">
        <f>INDUSTRIA!BF58</f>
        <v>0</v>
      </c>
      <c r="L41" s="1220">
        <f t="shared" si="4"/>
        <v>0</v>
      </c>
      <c r="M41" s="1166">
        <f>INDUSTRIA!BG58</f>
        <v>0</v>
      </c>
      <c r="N41" s="23">
        <f t="shared" si="1"/>
        <v>0</v>
      </c>
      <c r="O41" s="312"/>
      <c r="P41" s="312"/>
      <c r="Q41" s="312"/>
      <c r="R41" s="312"/>
      <c r="S41" s="1969"/>
      <c r="T41" s="1969"/>
      <c r="U41" s="391"/>
      <c r="V41" s="396"/>
      <c r="W41" s="397"/>
      <c r="X41" s="398"/>
    </row>
    <row r="42" spans="2:24" ht="30" customHeight="1" x14ac:dyDescent="0.25">
      <c r="B42" s="1970" t="s">
        <v>1194</v>
      </c>
      <c r="C42" s="1971"/>
      <c r="D42" s="1971"/>
      <c r="E42" s="1971"/>
      <c r="F42" s="1164">
        <f>INDUSTRIA!AB60</f>
        <v>0</v>
      </c>
      <c r="G42" s="1164">
        <f>INDUSTRIA!AI60</f>
        <v>0</v>
      </c>
      <c r="H42" s="1164">
        <f>INDUSTRIA!AP60</f>
        <v>0</v>
      </c>
      <c r="I42" s="1164">
        <f>INDUSTRIA!AV60</f>
        <v>0</v>
      </c>
      <c r="J42" s="1164">
        <f>INDUSTRIA!BC60</f>
        <v>0</v>
      </c>
      <c r="K42" s="1164">
        <f>INDUSTRIA!BF60</f>
        <v>0</v>
      </c>
      <c r="L42" s="1221">
        <f t="shared" si="4"/>
        <v>0</v>
      </c>
      <c r="M42" s="745">
        <f>INDUSTRIA!BG60</f>
        <v>0</v>
      </c>
      <c r="N42" s="23">
        <f t="shared" si="1"/>
        <v>0</v>
      </c>
      <c r="O42" s="1943"/>
      <c r="P42" s="1943"/>
      <c r="Q42" s="1943"/>
      <c r="R42" s="1943"/>
      <c r="S42" s="1943"/>
      <c r="T42" s="1943"/>
      <c r="U42" s="1943"/>
      <c r="V42" s="1943"/>
      <c r="W42" s="1943"/>
      <c r="X42" s="402"/>
    </row>
    <row r="43" spans="2:24" s="312" customFormat="1" ht="65.25" customHeight="1" x14ac:dyDescent="0.25">
      <c r="B43" s="1361" t="s">
        <v>1184</v>
      </c>
      <c r="C43" s="1362" t="s">
        <v>174</v>
      </c>
      <c r="D43" s="1972" t="s">
        <v>1185</v>
      </c>
      <c r="E43" s="1972"/>
      <c r="F43" s="1362" t="s">
        <v>617</v>
      </c>
      <c r="G43" s="1362" t="s">
        <v>619</v>
      </c>
      <c r="H43" s="1362" t="s">
        <v>621</v>
      </c>
      <c r="I43" s="1362" t="s">
        <v>1349</v>
      </c>
      <c r="J43" s="1362" t="s">
        <v>625</v>
      </c>
      <c r="K43" s="1362" t="s">
        <v>1463</v>
      </c>
      <c r="L43" s="1363" t="s">
        <v>1352</v>
      </c>
      <c r="M43" s="1364" t="s">
        <v>1334</v>
      </c>
      <c r="N43" s="23" t="e">
        <f t="shared" si="1"/>
        <v>#VALUE!</v>
      </c>
    </row>
    <row r="44" spans="2:24" ht="26.25" customHeight="1" x14ac:dyDescent="0.25">
      <c r="B44" s="1937" t="s">
        <v>1195</v>
      </c>
      <c r="C44" s="1940">
        <v>1</v>
      </c>
      <c r="D44" s="1912" t="s">
        <v>172</v>
      </c>
      <c r="E44" s="405" t="s">
        <v>1186</v>
      </c>
      <c r="F44" s="1133">
        <f>AGROPECUARIO!AB28</f>
        <v>0</v>
      </c>
      <c r="G44" s="1133">
        <f>AGROPECUARIO!AI28</f>
        <v>0</v>
      </c>
      <c r="H44" s="1133">
        <f>AGROPECUARIO!AP28</f>
        <v>0</v>
      </c>
      <c r="I44" s="1133">
        <f>AGROPECUARIO!AV28</f>
        <v>0</v>
      </c>
      <c r="J44" s="1133">
        <f>AGROPECUARIO!BC28</f>
        <v>0</v>
      </c>
      <c r="K44" s="1133">
        <f>AGROPECUARIO!BF28</f>
        <v>0</v>
      </c>
      <c r="L44" s="1217">
        <f t="shared" ref="L44:L53" si="5">K44/$K$69</f>
        <v>0</v>
      </c>
      <c r="M44" s="444">
        <f>AGROPECUARIO!BG28</f>
        <v>0</v>
      </c>
      <c r="N44" s="23">
        <f t="shared" si="1"/>
        <v>0</v>
      </c>
      <c r="O44" s="312"/>
      <c r="P44" s="312"/>
      <c r="Q44" s="312"/>
      <c r="R44" s="312"/>
      <c r="T44" s="389"/>
      <c r="U44" s="389"/>
      <c r="V44" s="389"/>
      <c r="W44" s="389"/>
      <c r="X44" s="389"/>
    </row>
    <row r="45" spans="2:24" ht="26.25" customHeight="1" x14ac:dyDescent="0.25">
      <c r="B45" s="1938"/>
      <c r="C45" s="1941"/>
      <c r="D45" s="1912"/>
      <c r="E45" s="405" t="s">
        <v>1367</v>
      </c>
      <c r="F45" s="1133">
        <f>AGROPECUARIO!AB39</f>
        <v>0</v>
      </c>
      <c r="G45" s="1133">
        <f>AGROPECUARIO!AI39</f>
        <v>0</v>
      </c>
      <c r="H45" s="1133">
        <f>AGROPECUARIO!AP39</f>
        <v>0</v>
      </c>
      <c r="I45" s="1133">
        <f>AGROPECUARIO!AV39</f>
        <v>0</v>
      </c>
      <c r="J45" s="1133">
        <f>AGROPECUARIO!BC39</f>
        <v>0</v>
      </c>
      <c r="K45" s="1133">
        <f>AGROPECUARIO!BF39</f>
        <v>0</v>
      </c>
      <c r="L45" s="1217">
        <f t="shared" si="5"/>
        <v>0</v>
      </c>
      <c r="M45" s="444">
        <f>AGROPECUARIO!BG39</f>
        <v>0</v>
      </c>
      <c r="N45" s="23">
        <f t="shared" si="1"/>
        <v>0</v>
      </c>
      <c r="O45" s="312"/>
      <c r="P45" s="312"/>
      <c r="Q45" s="312"/>
      <c r="R45" s="312"/>
      <c r="T45" s="395"/>
      <c r="U45" s="407"/>
      <c r="V45" s="392"/>
      <c r="W45" s="393"/>
      <c r="X45" s="394"/>
    </row>
    <row r="46" spans="2:24" ht="24" customHeight="1" x14ac:dyDescent="0.25">
      <c r="B46" s="1938"/>
      <c r="C46" s="1941"/>
      <c r="D46" s="1912" t="s">
        <v>1372</v>
      </c>
      <c r="E46" s="1912"/>
      <c r="F46" s="1133">
        <f>AGROPECUARIO!AB45</f>
        <v>0</v>
      </c>
      <c r="G46" s="1133">
        <f>AGROPECUARIO!AI45</f>
        <v>0</v>
      </c>
      <c r="H46" s="1133">
        <f>AGROPECUARIO!AP45</f>
        <v>0</v>
      </c>
      <c r="I46" s="1133">
        <f>AGROPECUARIO!AV45</f>
        <v>0</v>
      </c>
      <c r="J46" s="1133">
        <f>AGROPECUARIO!BC45</f>
        <v>0</v>
      </c>
      <c r="K46" s="1133">
        <f>AGROPECUARIO!BF45</f>
        <v>0</v>
      </c>
      <c r="L46" s="1217">
        <f t="shared" si="5"/>
        <v>0</v>
      </c>
      <c r="M46" s="444">
        <f>AGROPECUARIO!BG45</f>
        <v>0</v>
      </c>
      <c r="N46" s="23">
        <f t="shared" si="1"/>
        <v>0</v>
      </c>
      <c r="O46" s="312"/>
      <c r="P46" s="403"/>
      <c r="Q46" s="1910"/>
      <c r="R46" s="1910"/>
      <c r="S46" s="1911"/>
      <c r="T46" s="1911"/>
      <c r="U46" s="407"/>
      <c r="V46" s="394"/>
      <c r="W46" s="407"/>
      <c r="X46" s="398"/>
    </row>
    <row r="47" spans="2:24" ht="24" customHeight="1" x14ac:dyDescent="0.25">
      <c r="B47" s="1938"/>
      <c r="C47" s="1941"/>
      <c r="D47" s="1912" t="s">
        <v>54</v>
      </c>
      <c r="E47" s="1912"/>
      <c r="F47" s="1133">
        <f>AGROPECUARIO!AB54</f>
        <v>0</v>
      </c>
      <c r="G47" s="1133">
        <f>AGROPECUARIO!AI54</f>
        <v>0</v>
      </c>
      <c r="H47" s="1133">
        <f>AGROPECUARIO!AP54</f>
        <v>0</v>
      </c>
      <c r="I47" s="1133">
        <f>AGROPECUARIO!AV54</f>
        <v>0</v>
      </c>
      <c r="J47" s="1133">
        <f>AGROPECUARIO!BC54</f>
        <v>0</v>
      </c>
      <c r="K47" s="1133">
        <f>AGROPECUARIO!BF54</f>
        <v>0</v>
      </c>
      <c r="L47" s="1217">
        <f t="shared" si="5"/>
        <v>0</v>
      </c>
      <c r="M47" s="444">
        <f>AGROPECUARIO!BG54</f>
        <v>0</v>
      </c>
      <c r="N47" s="23">
        <f t="shared" si="1"/>
        <v>0</v>
      </c>
      <c r="O47" s="1945"/>
      <c r="P47" s="403"/>
      <c r="Q47" s="1910"/>
      <c r="R47" s="1910"/>
      <c r="S47" s="1911"/>
      <c r="T47" s="1911"/>
      <c r="U47" s="391"/>
      <c r="V47" s="394"/>
      <c r="W47" s="391"/>
      <c r="X47" s="398"/>
    </row>
    <row r="48" spans="2:24" ht="24" customHeight="1" x14ac:dyDescent="0.25">
      <c r="B48" s="1938"/>
      <c r="C48" s="1941"/>
      <c r="D48" s="1912" t="s">
        <v>58</v>
      </c>
      <c r="E48" s="1912"/>
      <c r="F48" s="1133">
        <f>AGROPECUARIO!AB63</f>
        <v>0</v>
      </c>
      <c r="G48" s="1133">
        <f>AGROPECUARIO!AI63</f>
        <v>0</v>
      </c>
      <c r="H48" s="1133">
        <f>AGROPECUARIO!AP63</f>
        <v>0</v>
      </c>
      <c r="I48" s="1133">
        <f>AGROPECUARIO!AV63</f>
        <v>0</v>
      </c>
      <c r="J48" s="1133">
        <f>AGROPECUARIO!BC63</f>
        <v>0</v>
      </c>
      <c r="K48" s="1133">
        <f>AGROPECUARIO!BF63</f>
        <v>0</v>
      </c>
      <c r="L48" s="1217">
        <f t="shared" si="5"/>
        <v>0</v>
      </c>
      <c r="M48" s="444">
        <f>AGROPECUARIO!BG63</f>
        <v>0</v>
      </c>
      <c r="N48" s="23">
        <f t="shared" si="1"/>
        <v>0</v>
      </c>
      <c r="O48" s="1945"/>
      <c r="P48" s="403"/>
      <c r="Q48" s="1910"/>
      <c r="R48" s="1910"/>
      <c r="S48" s="1911"/>
      <c r="T48" s="1911"/>
      <c r="U48" s="391"/>
      <c r="V48" s="394"/>
      <c r="W48" s="391"/>
      <c r="X48" s="398"/>
    </row>
    <row r="49" spans="2:24" ht="24" customHeight="1" x14ac:dyDescent="0.25">
      <c r="B49" s="1938"/>
      <c r="C49" s="1941"/>
      <c r="D49" s="1912" t="s">
        <v>1373</v>
      </c>
      <c r="E49" s="1912"/>
      <c r="F49" s="1133">
        <f>AGROPECUARIO!AB67</f>
        <v>0</v>
      </c>
      <c r="G49" s="1133">
        <f>AGROPECUARIO!AI67</f>
        <v>0</v>
      </c>
      <c r="H49" s="1133">
        <f>AGROPECUARIO!AP67</f>
        <v>0</v>
      </c>
      <c r="I49" s="1133">
        <f>AGROPECUARIO!AV67</f>
        <v>0</v>
      </c>
      <c r="J49" s="1133">
        <f>AGROPECUARIO!BC67</f>
        <v>0</v>
      </c>
      <c r="K49" s="1133">
        <f>AGROPECUARIO!BF67</f>
        <v>0</v>
      </c>
      <c r="L49" s="1217">
        <f t="shared" si="5"/>
        <v>0</v>
      </c>
      <c r="M49" s="444">
        <f>AGROPECUARIO!BG67</f>
        <v>0</v>
      </c>
      <c r="N49" s="23">
        <f t="shared" si="1"/>
        <v>0</v>
      </c>
      <c r="O49" s="1943"/>
      <c r="P49" s="1943"/>
      <c r="Q49" s="1943"/>
      <c r="R49" s="1943"/>
      <c r="S49" s="1943"/>
      <c r="T49" s="1943"/>
      <c r="U49" s="1943"/>
      <c r="V49" s="1943"/>
      <c r="W49" s="1943"/>
      <c r="X49" s="402"/>
    </row>
    <row r="50" spans="2:24" ht="24" customHeight="1" x14ac:dyDescent="0.25">
      <c r="B50" s="1938"/>
      <c r="C50" s="1941"/>
      <c r="D50" s="1912" t="s">
        <v>1196</v>
      </c>
      <c r="E50" s="1912"/>
      <c r="F50" s="1133">
        <f>AGROPECUARIO!AB71</f>
        <v>0</v>
      </c>
      <c r="G50" s="1133">
        <f>AGROPECUARIO!AI71</f>
        <v>0</v>
      </c>
      <c r="H50" s="1133">
        <f>AGROPECUARIO!AP71</f>
        <v>0</v>
      </c>
      <c r="I50" s="1133">
        <f>AGROPECUARIO!AV71</f>
        <v>0</v>
      </c>
      <c r="J50" s="1133">
        <f>AGROPECUARIO!BC71</f>
        <v>0</v>
      </c>
      <c r="K50" s="1133">
        <f>AGROPECUARIO!BF71</f>
        <v>0</v>
      </c>
      <c r="L50" s="1217">
        <f t="shared" si="5"/>
        <v>0</v>
      </c>
      <c r="M50" s="444">
        <f>AGROPECUARIO!BG71</f>
        <v>0</v>
      </c>
      <c r="N50" s="23">
        <f t="shared" si="1"/>
        <v>0</v>
      </c>
      <c r="O50" s="1943"/>
      <c r="P50" s="1943"/>
      <c r="Q50" s="1943"/>
      <c r="R50" s="1943"/>
      <c r="S50" s="1943"/>
      <c r="T50" s="1943"/>
      <c r="U50" s="1943"/>
      <c r="V50" s="1943"/>
      <c r="W50" s="1943"/>
      <c r="X50" s="402"/>
    </row>
    <row r="51" spans="2:24" ht="24" customHeight="1" x14ac:dyDescent="0.25">
      <c r="B51" s="1938"/>
      <c r="C51" s="1941"/>
      <c r="D51" s="1912" t="s">
        <v>1374</v>
      </c>
      <c r="E51" s="1912"/>
      <c r="F51" s="1133">
        <f>AGROPECUARIO!AB75</f>
        <v>0</v>
      </c>
      <c r="G51" s="1133">
        <f>AGROPECUARIO!AI75</f>
        <v>0</v>
      </c>
      <c r="H51" s="1133">
        <f>AGROPECUARIO!AP75</f>
        <v>0</v>
      </c>
      <c r="I51" s="1133">
        <f>AGROPECUARIO!AV75</f>
        <v>0</v>
      </c>
      <c r="J51" s="1133">
        <f>AGROPECUARIO!BC75</f>
        <v>0</v>
      </c>
      <c r="K51" s="1133">
        <f>AGROPECUARIO!BF75</f>
        <v>0</v>
      </c>
      <c r="L51" s="1217">
        <f t="shared" si="5"/>
        <v>0</v>
      </c>
      <c r="M51" s="444">
        <f>AGROPECUARIO!BG75</f>
        <v>0</v>
      </c>
      <c r="N51" s="23">
        <f t="shared" si="1"/>
        <v>0</v>
      </c>
      <c r="O51" s="1944"/>
      <c r="P51" s="1944"/>
      <c r="Q51" s="1944"/>
      <c r="R51" s="1944"/>
      <c r="S51" s="1944"/>
      <c r="T51" s="1944"/>
      <c r="U51" s="1944"/>
      <c r="V51" s="1944"/>
      <c r="W51" s="1944"/>
      <c r="X51" s="404"/>
    </row>
    <row r="52" spans="2:24" ht="26.25" customHeight="1" x14ac:dyDescent="0.25">
      <c r="B52" s="1939"/>
      <c r="C52" s="1942"/>
      <c r="D52" s="1936" t="s">
        <v>1187</v>
      </c>
      <c r="E52" s="1936"/>
      <c r="F52" s="1179">
        <f>AGROPECUARIO!AB78</f>
        <v>0</v>
      </c>
      <c r="G52" s="1179">
        <f>AGROPECUARIO!AI78</f>
        <v>0</v>
      </c>
      <c r="H52" s="1179">
        <f>AGROPECUARIO!AP78</f>
        <v>0</v>
      </c>
      <c r="I52" s="1179">
        <f>AGROPECUARIO!AV78</f>
        <v>0</v>
      </c>
      <c r="J52" s="1179">
        <f>AGROPECUARIO!BC78</f>
        <v>0</v>
      </c>
      <c r="K52" s="1179">
        <f>AGROPECUARIO!BF78</f>
        <v>0</v>
      </c>
      <c r="L52" s="1222">
        <f t="shared" si="5"/>
        <v>0</v>
      </c>
      <c r="M52" s="1180">
        <f>AGROPECUARIO!BG78</f>
        <v>0</v>
      </c>
      <c r="N52" s="23">
        <f t="shared" si="1"/>
        <v>0</v>
      </c>
      <c r="O52" s="312"/>
      <c r="P52" s="312"/>
      <c r="Q52" s="312"/>
      <c r="R52" s="312"/>
      <c r="S52" s="1911"/>
      <c r="T52" s="1911"/>
      <c r="U52" s="407"/>
      <c r="V52" s="392"/>
      <c r="W52" s="393"/>
      <c r="X52" s="394"/>
    </row>
    <row r="53" spans="2:24" ht="24.95" customHeight="1" x14ac:dyDescent="0.25">
      <c r="B53" s="1946" t="s">
        <v>1197</v>
      </c>
      <c r="C53" s="1947"/>
      <c r="D53" s="1947"/>
      <c r="E53" s="1947"/>
      <c r="F53" s="1177">
        <f>AGROPECUARIO!AB80</f>
        <v>0</v>
      </c>
      <c r="G53" s="1177">
        <f>AGROPECUARIO!AI80</f>
        <v>0</v>
      </c>
      <c r="H53" s="1177">
        <f>AGROPECUARIO!AP80</f>
        <v>0</v>
      </c>
      <c r="I53" s="1177">
        <f>AGROPECUARIO!AV80</f>
        <v>0</v>
      </c>
      <c r="J53" s="1177">
        <f>AGROPECUARIO!BC80</f>
        <v>0</v>
      </c>
      <c r="K53" s="1177">
        <f>AGROPECUARIO!BF80</f>
        <v>0</v>
      </c>
      <c r="L53" s="1223">
        <f t="shared" si="5"/>
        <v>0</v>
      </c>
      <c r="M53" s="1178">
        <f>AGROPECUARIO!BG80</f>
        <v>0</v>
      </c>
      <c r="N53" s="23">
        <f t="shared" si="1"/>
        <v>0</v>
      </c>
      <c r="O53" s="1948"/>
      <c r="P53" s="1948"/>
      <c r="Q53" s="1948"/>
      <c r="R53" s="1948"/>
      <c r="S53" s="1948"/>
      <c r="T53" s="1948"/>
      <c r="U53" s="1948"/>
      <c r="V53" s="1948"/>
      <c r="W53" s="1948"/>
      <c r="X53" s="1948"/>
    </row>
    <row r="54" spans="2:24" s="312" customFormat="1" ht="66.75" customHeight="1" x14ac:dyDescent="0.25">
      <c r="B54" s="1349" t="s">
        <v>1184</v>
      </c>
      <c r="C54" s="1365" t="s">
        <v>174</v>
      </c>
      <c r="D54" s="1950" t="s">
        <v>1185</v>
      </c>
      <c r="E54" s="1950"/>
      <c r="F54" s="1365" t="s">
        <v>617</v>
      </c>
      <c r="G54" s="1365" t="s">
        <v>619</v>
      </c>
      <c r="H54" s="1365" t="s">
        <v>621</v>
      </c>
      <c r="I54" s="1365" t="s">
        <v>1349</v>
      </c>
      <c r="J54" s="1365" t="s">
        <v>625</v>
      </c>
      <c r="K54" s="1365" t="s">
        <v>1463</v>
      </c>
      <c r="L54" s="1366" t="s">
        <v>1352</v>
      </c>
      <c r="M54" s="1367" t="s">
        <v>1334</v>
      </c>
      <c r="N54" s="23" t="e">
        <f t="shared" si="1"/>
        <v>#VALUE!</v>
      </c>
    </row>
    <row r="55" spans="2:24" ht="23.25" customHeight="1" x14ac:dyDescent="0.25">
      <c r="B55" s="1949" t="s">
        <v>1198</v>
      </c>
      <c r="C55" s="1930">
        <v>1</v>
      </c>
      <c r="D55" s="1912" t="s">
        <v>1377</v>
      </c>
      <c r="E55" s="1912"/>
      <c r="F55" s="1133">
        <f>RESIDUOS!AB24</f>
        <v>0</v>
      </c>
      <c r="G55" s="1133">
        <f>RESIDUOS!AI24</f>
        <v>0.51985919999999997</v>
      </c>
      <c r="H55" s="1133">
        <f>RESIDUOS!AP24</f>
        <v>0</v>
      </c>
      <c r="I55" s="1133">
        <f>RESIDUOS!AV24</f>
        <v>0</v>
      </c>
      <c r="J55" s="1133">
        <f>RESIDUOS!BC24</f>
        <v>0</v>
      </c>
      <c r="K55" s="1133">
        <f>RESIDUOS!BF24</f>
        <v>0.51985919999999997</v>
      </c>
      <c r="L55" s="1217">
        <f>K55/$K$69</f>
        <v>3.4716747200169978E-7</v>
      </c>
      <c r="M55" s="444">
        <f>RESIDUOS!BG24</f>
        <v>1.7808986495586994</v>
      </c>
      <c r="N55" s="23">
        <f t="shared" si="1"/>
        <v>0.85713627914462787</v>
      </c>
      <c r="O55" s="1973"/>
      <c r="P55" s="399"/>
      <c r="Q55" s="1910"/>
      <c r="R55" s="1910"/>
      <c r="S55" s="1911"/>
      <c r="T55" s="1911"/>
      <c r="U55" s="391"/>
      <c r="V55" s="392"/>
      <c r="W55" s="393"/>
      <c r="X55" s="394"/>
    </row>
    <row r="56" spans="2:24" ht="23.25" customHeight="1" x14ac:dyDescent="0.25">
      <c r="B56" s="1949"/>
      <c r="C56" s="1930"/>
      <c r="D56" s="1974" t="s">
        <v>1187</v>
      </c>
      <c r="E56" s="1974"/>
      <c r="F56" s="1183">
        <f>RESIDUOS!AB26</f>
        <v>0</v>
      </c>
      <c r="G56" s="1183">
        <f>RESIDUOS!AI26</f>
        <v>0.51985919999999997</v>
      </c>
      <c r="H56" s="1183">
        <f>RESIDUOS!AP26</f>
        <v>0</v>
      </c>
      <c r="I56" s="1183">
        <f>RESIDUOS!AV26</f>
        <v>0</v>
      </c>
      <c r="J56" s="1183">
        <f>RESIDUOS!BC26</f>
        <v>0</v>
      </c>
      <c r="K56" s="1183">
        <f>RESIDUOS!BF26</f>
        <v>0.51985919999999997</v>
      </c>
      <c r="L56" s="1224">
        <f>K56/$K$69</f>
        <v>3.4716747200169978E-7</v>
      </c>
      <c r="M56" s="1184">
        <f>RESIDUOS!BG26</f>
        <v>1.7808986495586994</v>
      </c>
      <c r="N56" s="23">
        <f t="shared" si="1"/>
        <v>0.85713627914462787</v>
      </c>
      <c r="O56" s="1973"/>
      <c r="P56" s="399"/>
      <c r="Q56" s="1910"/>
      <c r="R56" s="1910"/>
      <c r="S56" s="1911"/>
      <c r="T56" s="1911"/>
      <c r="U56" s="391"/>
      <c r="V56" s="396"/>
      <c r="W56" s="397"/>
      <c r="X56" s="398"/>
    </row>
    <row r="57" spans="2:24" ht="23.25" customHeight="1" x14ac:dyDescent="0.25">
      <c r="B57" s="1949"/>
      <c r="C57" s="1930">
        <v>3</v>
      </c>
      <c r="D57" s="1912" t="s">
        <v>1377</v>
      </c>
      <c r="E57" s="1912"/>
      <c r="F57" s="1133">
        <f>RESIDUOS!AB40</f>
        <v>0</v>
      </c>
      <c r="G57" s="1133">
        <f>RESIDUOS!AI40</f>
        <v>0</v>
      </c>
      <c r="H57" s="1133">
        <f>RESIDUOS!AP40</f>
        <v>0</v>
      </c>
      <c r="I57" s="1133">
        <f>RESIDUOS!AV40</f>
        <v>0</v>
      </c>
      <c r="J57" s="1133">
        <f>RESIDUOS!BC40</f>
        <v>0</v>
      </c>
      <c r="K57" s="1133">
        <f>RESIDUOS!BF40</f>
        <v>0</v>
      </c>
      <c r="L57" s="1217">
        <f>K57/$K$69</f>
        <v>0</v>
      </c>
      <c r="M57" s="444">
        <f>RESIDUOS!BG40</f>
        <v>0</v>
      </c>
      <c r="N57" s="23">
        <f t="shared" si="1"/>
        <v>0</v>
      </c>
      <c r="O57" s="1973"/>
      <c r="P57" s="399"/>
      <c r="Q57" s="400"/>
      <c r="R57" s="400"/>
      <c r="S57" s="390"/>
      <c r="T57" s="390"/>
      <c r="U57" s="391"/>
      <c r="V57" s="392"/>
      <c r="W57" s="393"/>
      <c r="X57" s="394"/>
    </row>
    <row r="58" spans="2:24" ht="23.25" customHeight="1" x14ac:dyDescent="0.25">
      <c r="B58" s="1949"/>
      <c r="C58" s="1930"/>
      <c r="D58" s="1974" t="s">
        <v>1199</v>
      </c>
      <c r="E58" s="1974"/>
      <c r="F58" s="1183">
        <f>RESIDUOS!AB42</f>
        <v>0</v>
      </c>
      <c r="G58" s="1183">
        <f>RESIDUOS!AI42</f>
        <v>0</v>
      </c>
      <c r="H58" s="1183">
        <f>RESIDUOS!AP42</f>
        <v>0</v>
      </c>
      <c r="I58" s="1183">
        <f>RESIDUOS!AV42</f>
        <v>0</v>
      </c>
      <c r="J58" s="1183">
        <f>RESIDUOS!BC42</f>
        <v>0</v>
      </c>
      <c r="K58" s="1183">
        <f>RESIDUOS!BF42</f>
        <v>0</v>
      </c>
      <c r="L58" s="1224">
        <f>K58/$K$69</f>
        <v>0</v>
      </c>
      <c r="M58" s="1184">
        <f>RESIDUOS!BG42</f>
        <v>0</v>
      </c>
      <c r="N58" s="23">
        <f t="shared" si="1"/>
        <v>0</v>
      </c>
      <c r="O58" s="1973"/>
      <c r="P58" s="399"/>
      <c r="Q58" s="400"/>
      <c r="R58" s="400"/>
      <c r="S58" s="390"/>
      <c r="T58" s="390"/>
      <c r="U58" s="391"/>
      <c r="V58" s="392"/>
      <c r="W58" s="393"/>
      <c r="X58" s="394"/>
    </row>
    <row r="59" spans="2:24" ht="24.95" customHeight="1" x14ac:dyDescent="0.25">
      <c r="B59" s="1988" t="s">
        <v>1200</v>
      </c>
      <c r="C59" s="1989"/>
      <c r="D59" s="1989"/>
      <c r="E59" s="1989"/>
      <c r="F59" s="1181">
        <f>RESIDUOS!AB44</f>
        <v>0</v>
      </c>
      <c r="G59" s="1181">
        <f>RESIDUOS!AI44</f>
        <v>0.51985919999999997</v>
      </c>
      <c r="H59" s="1181">
        <f>RESIDUOS!AP44</f>
        <v>0</v>
      </c>
      <c r="I59" s="1181">
        <f>RESIDUOS!AV44</f>
        <v>0</v>
      </c>
      <c r="J59" s="1181">
        <f>RESIDUOS!BC44</f>
        <v>0</v>
      </c>
      <c r="K59" s="1181">
        <f>RESIDUOS!BF44</f>
        <v>0.51985919999999997</v>
      </c>
      <c r="L59" s="1225">
        <f>K59/$K$69</f>
        <v>3.4716747200169978E-7</v>
      </c>
      <c r="M59" s="1182">
        <f>RESIDUOS!BG44</f>
        <v>1.7808986495586994</v>
      </c>
      <c r="N59" s="23">
        <f t="shared" si="1"/>
        <v>0.85713627914462787</v>
      </c>
      <c r="O59" s="1973"/>
      <c r="P59" s="399"/>
      <c r="Q59" s="1910"/>
      <c r="R59" s="1910"/>
      <c r="S59" s="1969"/>
      <c r="T59" s="1969"/>
      <c r="U59" s="391"/>
    </row>
    <row r="60" spans="2:24" s="312" customFormat="1" ht="69" customHeight="1" x14ac:dyDescent="0.25">
      <c r="B60" s="1347" t="s">
        <v>1184</v>
      </c>
      <c r="C60" s="1368" t="s">
        <v>174</v>
      </c>
      <c r="D60" s="1981" t="s">
        <v>1185</v>
      </c>
      <c r="E60" s="1981"/>
      <c r="F60" s="1368" t="s">
        <v>617</v>
      </c>
      <c r="G60" s="1368" t="s">
        <v>619</v>
      </c>
      <c r="H60" s="1368" t="s">
        <v>621</v>
      </c>
      <c r="I60" s="1368" t="s">
        <v>1349</v>
      </c>
      <c r="J60" s="1368" t="s">
        <v>625</v>
      </c>
      <c r="K60" s="1368" t="s">
        <v>1463</v>
      </c>
      <c r="L60" s="1369" t="s">
        <v>1352</v>
      </c>
      <c r="M60" s="1370" t="s">
        <v>1334</v>
      </c>
      <c r="N60" s="23" t="e">
        <f t="shared" si="1"/>
        <v>#VALUE!</v>
      </c>
    </row>
    <row r="61" spans="2:24" ht="25.5" customHeight="1" x14ac:dyDescent="0.25">
      <c r="B61" s="1977" t="s">
        <v>1201</v>
      </c>
      <c r="C61" s="1930">
        <v>1</v>
      </c>
      <c r="D61" s="1978" t="s">
        <v>1378</v>
      </c>
      <c r="E61" s="1979"/>
      <c r="F61" s="1185">
        <f>'USO DEL SUELO'!L21</f>
        <v>0</v>
      </c>
      <c r="G61" s="1186">
        <v>0</v>
      </c>
      <c r="H61" s="1186">
        <v>0</v>
      </c>
      <c r="I61" s="1186">
        <v>0</v>
      </c>
      <c r="J61" s="1186">
        <v>0</v>
      </c>
      <c r="K61" s="1133">
        <f>SUM(F61:J61)</f>
        <v>0</v>
      </c>
      <c r="L61" s="1206">
        <f>K61/$K$69</f>
        <v>0</v>
      </c>
      <c r="M61" s="444">
        <f>'USO DEL SUELO'!M21</f>
        <v>0</v>
      </c>
      <c r="N61" s="23">
        <f t="shared" si="1"/>
        <v>0</v>
      </c>
      <c r="O61" s="399"/>
      <c r="P61" s="399"/>
      <c r="Q61" s="400"/>
      <c r="R61" s="400"/>
      <c r="S61" s="406"/>
      <c r="T61" s="406"/>
      <c r="U61" s="391"/>
    </row>
    <row r="62" spans="2:24" ht="25.5" customHeight="1" x14ac:dyDescent="0.25">
      <c r="B62" s="1977"/>
      <c r="C62" s="1930"/>
      <c r="D62" s="1978" t="s">
        <v>1379</v>
      </c>
      <c r="E62" s="1979"/>
      <c r="F62" s="1185">
        <f>'USO DEL SUELO'!L31</f>
        <v>0</v>
      </c>
      <c r="G62" s="1186">
        <v>0</v>
      </c>
      <c r="H62" s="1186">
        <v>0</v>
      </c>
      <c r="I62" s="1186">
        <v>0</v>
      </c>
      <c r="J62" s="1186">
        <v>0</v>
      </c>
      <c r="K62" s="1133">
        <f t="shared" ref="K62:K67" si="6">SUM(F62:J62)</f>
        <v>0</v>
      </c>
      <c r="L62" s="1206">
        <f t="shared" ref="L62:L68" si="7">K62/$K$69</f>
        <v>0</v>
      </c>
      <c r="M62" s="444">
        <f>'USO DEL SUELO'!M31</f>
        <v>0</v>
      </c>
      <c r="N62" s="23">
        <f t="shared" si="1"/>
        <v>0</v>
      </c>
      <c r="O62" s="399"/>
      <c r="P62" s="399"/>
      <c r="Q62" s="401"/>
      <c r="R62" s="401"/>
      <c r="S62" s="406"/>
      <c r="T62" s="406"/>
      <c r="U62" s="407"/>
    </row>
    <row r="63" spans="2:24" ht="25.5" customHeight="1" x14ac:dyDescent="0.25">
      <c r="B63" s="1977"/>
      <c r="C63" s="1930"/>
      <c r="D63" s="1978" t="s">
        <v>1380</v>
      </c>
      <c r="E63" s="1979"/>
      <c r="F63" s="1185">
        <f>'USO DEL SUELO'!L41</f>
        <v>0</v>
      </c>
      <c r="G63" s="1186">
        <v>0</v>
      </c>
      <c r="H63" s="1186">
        <v>0</v>
      </c>
      <c r="I63" s="1186">
        <v>0</v>
      </c>
      <c r="J63" s="1186">
        <v>0</v>
      </c>
      <c r="K63" s="1133">
        <f t="shared" si="6"/>
        <v>0</v>
      </c>
      <c r="L63" s="1206">
        <f t="shared" si="7"/>
        <v>0</v>
      </c>
      <c r="M63" s="444">
        <f>'USO DEL SUELO'!M41</f>
        <v>0</v>
      </c>
      <c r="N63" s="23">
        <f t="shared" si="1"/>
        <v>0</v>
      </c>
      <c r="O63" s="399"/>
      <c r="P63" s="399"/>
      <c r="Q63" s="401"/>
      <c r="R63" s="401"/>
      <c r="S63" s="406"/>
      <c r="T63" s="406"/>
      <c r="U63" s="407"/>
    </row>
    <row r="64" spans="2:24" ht="25.5" customHeight="1" x14ac:dyDescent="0.25">
      <c r="B64" s="1977"/>
      <c r="C64" s="1930"/>
      <c r="D64" s="1978" t="s">
        <v>1309</v>
      </c>
      <c r="E64" s="1979"/>
      <c r="F64" s="1185">
        <f>'USO DEL SUELO'!L51</f>
        <v>0</v>
      </c>
      <c r="G64" s="1186">
        <v>0</v>
      </c>
      <c r="H64" s="1186">
        <v>0</v>
      </c>
      <c r="I64" s="1186">
        <v>0</v>
      </c>
      <c r="J64" s="1186">
        <v>0</v>
      </c>
      <c r="K64" s="1133">
        <f t="shared" si="6"/>
        <v>0</v>
      </c>
      <c r="L64" s="1206">
        <f t="shared" si="7"/>
        <v>0</v>
      </c>
      <c r="M64" s="444">
        <f>'USO DEL SUELO'!M51</f>
        <v>0</v>
      </c>
      <c r="N64" s="23">
        <f t="shared" si="1"/>
        <v>0</v>
      </c>
      <c r="O64" s="399"/>
      <c r="P64" s="399"/>
      <c r="Q64" s="401"/>
      <c r="R64" s="401"/>
      <c r="S64" s="406"/>
      <c r="T64" s="406"/>
      <c r="U64" s="407"/>
    </row>
    <row r="65" spans="2:25" ht="25.5" customHeight="1" x14ac:dyDescent="0.25">
      <c r="B65" s="1977"/>
      <c r="C65" s="1930"/>
      <c r="D65" s="1978" t="s">
        <v>1381</v>
      </c>
      <c r="E65" s="1979"/>
      <c r="F65" s="1185">
        <f>'USO DEL SUELO'!L61</f>
        <v>0</v>
      </c>
      <c r="G65" s="1186">
        <v>0</v>
      </c>
      <c r="H65" s="1186">
        <v>0</v>
      </c>
      <c r="I65" s="1186">
        <v>0</v>
      </c>
      <c r="J65" s="1186">
        <v>0</v>
      </c>
      <c r="K65" s="1133">
        <f t="shared" si="6"/>
        <v>0</v>
      </c>
      <c r="L65" s="1206">
        <f t="shared" si="7"/>
        <v>0</v>
      </c>
      <c r="M65" s="444">
        <f>'USO DEL SUELO'!M61</f>
        <v>0</v>
      </c>
      <c r="N65" s="23">
        <f t="shared" si="1"/>
        <v>0</v>
      </c>
      <c r="O65" s="399"/>
      <c r="P65" s="399"/>
      <c r="Q65" s="400"/>
      <c r="R65" s="400"/>
      <c r="S65" s="406"/>
      <c r="T65" s="406"/>
      <c r="U65" s="391"/>
    </row>
    <row r="66" spans="2:25" ht="25.5" customHeight="1" x14ac:dyDescent="0.25">
      <c r="B66" s="1977"/>
      <c r="C66" s="1930"/>
      <c r="D66" s="1978" t="s">
        <v>1382</v>
      </c>
      <c r="E66" s="1979"/>
      <c r="F66" s="1185">
        <f>'USO DEL SUELO'!L71</f>
        <v>0</v>
      </c>
      <c r="G66" s="1186">
        <v>0</v>
      </c>
      <c r="H66" s="1186">
        <v>0</v>
      </c>
      <c r="I66" s="1186">
        <v>0</v>
      </c>
      <c r="J66" s="1186">
        <v>0</v>
      </c>
      <c r="K66" s="1133">
        <f t="shared" si="6"/>
        <v>0</v>
      </c>
      <c r="L66" s="1206">
        <f t="shared" si="7"/>
        <v>0</v>
      </c>
      <c r="M66" s="444">
        <f>'USO DEL SUELO'!M71</f>
        <v>0</v>
      </c>
      <c r="N66" s="23">
        <f t="shared" si="1"/>
        <v>0</v>
      </c>
      <c r="O66" s="399"/>
      <c r="P66" s="399"/>
      <c r="Q66" s="400"/>
      <c r="R66" s="400"/>
      <c r="S66" s="406"/>
      <c r="T66" s="406"/>
      <c r="U66" s="391"/>
    </row>
    <row r="67" spans="2:25" ht="25.5" customHeight="1" x14ac:dyDescent="0.25">
      <c r="B67" s="1977"/>
      <c r="C67" s="1930"/>
      <c r="D67" s="1980" t="s">
        <v>1187</v>
      </c>
      <c r="E67" s="1980"/>
      <c r="F67" s="1189">
        <f>'USO DEL SUELO'!L72</f>
        <v>0</v>
      </c>
      <c r="G67" s="1189">
        <v>0</v>
      </c>
      <c r="H67" s="1189">
        <v>0</v>
      </c>
      <c r="I67" s="1189">
        <v>0</v>
      </c>
      <c r="J67" s="1189">
        <v>0</v>
      </c>
      <c r="K67" s="1189">
        <f t="shared" si="6"/>
        <v>0</v>
      </c>
      <c r="L67" s="1226">
        <f t="shared" si="7"/>
        <v>0</v>
      </c>
      <c r="M67" s="1190">
        <f>'USO DEL SUELO'!M72</f>
        <v>0</v>
      </c>
      <c r="N67" s="23">
        <f t="shared" si="1"/>
        <v>0</v>
      </c>
      <c r="O67" s="399"/>
      <c r="P67" s="399"/>
      <c r="Q67" s="400"/>
      <c r="R67" s="400"/>
      <c r="S67" s="406"/>
      <c r="T67" s="406"/>
      <c r="U67" s="391"/>
    </row>
    <row r="68" spans="2:25" ht="24.95" customHeight="1" thickBot="1" x14ac:dyDescent="0.3">
      <c r="B68" s="1982" t="s">
        <v>1353</v>
      </c>
      <c r="C68" s="1983"/>
      <c r="D68" s="1983"/>
      <c r="E68" s="1983"/>
      <c r="F68" s="1187">
        <f t="shared" ref="F68:K68" si="8">F67</f>
        <v>0</v>
      </c>
      <c r="G68" s="1187">
        <f t="shared" si="8"/>
        <v>0</v>
      </c>
      <c r="H68" s="1187">
        <f t="shared" si="8"/>
        <v>0</v>
      </c>
      <c r="I68" s="1187">
        <f t="shared" si="8"/>
        <v>0</v>
      </c>
      <c r="J68" s="1187">
        <f t="shared" si="8"/>
        <v>0</v>
      </c>
      <c r="K68" s="1187">
        <f t="shared" si="8"/>
        <v>0</v>
      </c>
      <c r="L68" s="1227">
        <f t="shared" si="7"/>
        <v>0</v>
      </c>
      <c r="M68" s="1188">
        <f>M67</f>
        <v>0</v>
      </c>
      <c r="N68" s="23">
        <f t="shared" si="1"/>
        <v>0</v>
      </c>
      <c r="O68" s="399"/>
      <c r="P68" s="399"/>
      <c r="Q68" s="400"/>
      <c r="R68" s="400"/>
      <c r="S68" s="406"/>
      <c r="T68" s="406"/>
      <c r="U68" s="391"/>
    </row>
    <row r="69" spans="2:25" ht="52.5" customHeight="1" thickBot="1" x14ac:dyDescent="0.3">
      <c r="B69" s="1992" t="s">
        <v>1391</v>
      </c>
      <c r="C69" s="1993"/>
      <c r="D69" s="1993"/>
      <c r="E69" s="1993"/>
      <c r="F69" s="1212">
        <f>F19+F26+F34+F42+F53+F59+F68</f>
        <v>1494512.3663300523</v>
      </c>
      <c r="G69" s="1212">
        <f t="shared" ref="G69:L69" si="9">G19+G26+G34+G42+G53+G59+G68</f>
        <v>733.06318385064799</v>
      </c>
      <c r="H69" s="1212">
        <f t="shared" si="9"/>
        <v>796.03722599178127</v>
      </c>
      <c r="I69" s="1212">
        <f t="shared" si="9"/>
        <v>1389.14507</v>
      </c>
      <c r="J69" s="1212">
        <f t="shared" si="9"/>
        <v>0</v>
      </c>
      <c r="K69" s="1212">
        <f t="shared" si="9"/>
        <v>1497430.6118098951</v>
      </c>
      <c r="L69" s="1214">
        <f t="shared" si="9"/>
        <v>0.99999999999999978</v>
      </c>
      <c r="M69" s="1213">
        <f>IF(K69&gt;0,SQRT(SUM(N19+N26+N34+N42+N53+N59+N68))/K69,0)</f>
        <v>0.13423526424075213</v>
      </c>
      <c r="N69" s="23">
        <f t="shared" si="1"/>
        <v>40404213595.015724</v>
      </c>
      <c r="O69" s="1944"/>
      <c r="P69" s="1944"/>
      <c r="Q69" s="1944"/>
      <c r="R69" s="1944"/>
      <c r="S69" s="1944"/>
      <c r="T69" s="1944"/>
      <c r="U69" s="1944"/>
      <c r="V69" s="1944"/>
      <c r="W69" s="1944"/>
      <c r="X69" s="404"/>
      <c r="Y69" s="82"/>
    </row>
    <row r="70" spans="2:25" s="312" customFormat="1" ht="46.5" customHeight="1" x14ac:dyDescent="0.25">
      <c r="B70" s="1346" t="s">
        <v>1184</v>
      </c>
      <c r="C70" s="1371" t="s">
        <v>174</v>
      </c>
      <c r="D70" s="1975" t="s">
        <v>1185</v>
      </c>
      <c r="E70" s="1975"/>
      <c r="F70" s="1371" t="s">
        <v>617</v>
      </c>
      <c r="G70" s="1371" t="s">
        <v>619</v>
      </c>
      <c r="H70" s="1371" t="s">
        <v>621</v>
      </c>
      <c r="I70" s="1371" t="s">
        <v>1349</v>
      </c>
      <c r="J70" s="1371" t="s">
        <v>625</v>
      </c>
      <c r="K70" s="1371" t="s">
        <v>1463</v>
      </c>
      <c r="L70" s="1372" t="s">
        <v>1352</v>
      </c>
      <c r="M70" s="1373" t="s">
        <v>1334</v>
      </c>
      <c r="N70" s="23" t="e">
        <f t="shared" si="1"/>
        <v>#VALUE!</v>
      </c>
    </row>
    <row r="71" spans="2:25" ht="27" customHeight="1" x14ac:dyDescent="0.25">
      <c r="B71" s="1984" t="s">
        <v>1383</v>
      </c>
      <c r="C71" s="1930">
        <v>1</v>
      </c>
      <c r="D71" s="1926" t="s">
        <v>1388</v>
      </c>
      <c r="E71" s="405" t="s">
        <v>1384</v>
      </c>
      <c r="F71" s="1133">
        <f>SUMIDEROS!J24</f>
        <v>0</v>
      </c>
      <c r="G71" s="1186">
        <v>0</v>
      </c>
      <c r="H71" s="1186">
        <v>0</v>
      </c>
      <c r="I71" s="1186">
        <v>0</v>
      </c>
      <c r="J71" s="1186">
        <v>0</v>
      </c>
      <c r="K71" s="1133">
        <f t="shared" ref="K71:K76" si="10">SUM(F71:J71)</f>
        <v>0</v>
      </c>
      <c r="L71" s="1201" t="e">
        <f t="shared" ref="L71:L76" si="11">K71/$K$76</f>
        <v>#DIV/0!</v>
      </c>
      <c r="M71" s="444">
        <f>SUMIDEROS!K24</f>
        <v>0</v>
      </c>
      <c r="N71" s="23">
        <f t="shared" si="1"/>
        <v>0</v>
      </c>
      <c r="O71" s="399"/>
      <c r="P71" s="399"/>
      <c r="Q71" s="400"/>
      <c r="R71" s="400"/>
      <c r="S71" s="406"/>
      <c r="T71" s="406"/>
      <c r="U71" s="391"/>
    </row>
    <row r="72" spans="2:25" ht="27" customHeight="1" x14ac:dyDescent="0.25">
      <c r="B72" s="1984"/>
      <c r="C72" s="1930"/>
      <c r="D72" s="1976"/>
      <c r="E72" s="405" t="s">
        <v>1385</v>
      </c>
      <c r="F72" s="1133">
        <f>SUMIDEROS!J32</f>
        <v>0</v>
      </c>
      <c r="G72" s="1186">
        <v>0</v>
      </c>
      <c r="H72" s="1186">
        <v>0</v>
      </c>
      <c r="I72" s="1186">
        <v>0</v>
      </c>
      <c r="J72" s="1186">
        <v>0</v>
      </c>
      <c r="K72" s="1133">
        <f t="shared" si="10"/>
        <v>0</v>
      </c>
      <c r="L72" s="1201" t="e">
        <f t="shared" si="11"/>
        <v>#DIV/0!</v>
      </c>
      <c r="M72" s="444">
        <f>SUMIDEROS!K32</f>
        <v>0</v>
      </c>
      <c r="N72" s="23">
        <f t="shared" si="1"/>
        <v>0</v>
      </c>
      <c r="O72" s="399"/>
      <c r="P72" s="399"/>
      <c r="Q72" s="400"/>
      <c r="R72" s="400"/>
      <c r="S72" s="406"/>
      <c r="T72" s="406"/>
      <c r="U72" s="391"/>
    </row>
    <row r="73" spans="2:25" ht="27" customHeight="1" x14ac:dyDescent="0.25">
      <c r="B73" s="1984"/>
      <c r="C73" s="1930"/>
      <c r="D73" s="1976"/>
      <c r="E73" s="405" t="s">
        <v>1386</v>
      </c>
      <c r="F73" s="1133">
        <f>SUMIDEROS!J40</f>
        <v>0</v>
      </c>
      <c r="G73" s="1186">
        <v>0</v>
      </c>
      <c r="H73" s="1186">
        <v>0</v>
      </c>
      <c r="I73" s="1186">
        <v>0</v>
      </c>
      <c r="J73" s="1186">
        <v>0</v>
      </c>
      <c r="K73" s="1133">
        <f t="shared" si="10"/>
        <v>0</v>
      </c>
      <c r="L73" s="1201" t="e">
        <f t="shared" si="11"/>
        <v>#DIV/0!</v>
      </c>
      <c r="M73" s="444">
        <f>SUMIDEROS!K40</f>
        <v>0</v>
      </c>
      <c r="N73" s="23">
        <f t="shared" si="1"/>
        <v>0</v>
      </c>
      <c r="O73" s="399"/>
      <c r="P73" s="399"/>
      <c r="Q73" s="401"/>
      <c r="R73" s="401"/>
      <c r="S73" s="406"/>
      <c r="T73" s="406"/>
      <c r="U73" s="407"/>
    </row>
    <row r="74" spans="2:25" ht="27" customHeight="1" x14ac:dyDescent="0.25">
      <c r="B74" s="1984"/>
      <c r="C74" s="1930"/>
      <c r="D74" s="1990" t="s">
        <v>1387</v>
      </c>
      <c r="E74" s="1991"/>
      <c r="F74" s="1133">
        <f>SUMIDEROS!J52</f>
        <v>0</v>
      </c>
      <c r="G74" s="1186">
        <v>0</v>
      </c>
      <c r="H74" s="1186">
        <v>0</v>
      </c>
      <c r="I74" s="1186">
        <v>0</v>
      </c>
      <c r="J74" s="1186">
        <v>0</v>
      </c>
      <c r="K74" s="1133">
        <f t="shared" si="10"/>
        <v>0</v>
      </c>
      <c r="L74" s="1201" t="e">
        <f t="shared" si="11"/>
        <v>#DIV/0!</v>
      </c>
      <c r="M74" s="444">
        <f>SUMIDEROS!K52</f>
        <v>0</v>
      </c>
      <c r="N74" s="23">
        <f t="shared" si="1"/>
        <v>0</v>
      </c>
      <c r="O74" s="399"/>
      <c r="P74" s="399"/>
      <c r="Q74" s="400"/>
      <c r="R74" s="400"/>
      <c r="S74" s="406"/>
      <c r="T74" s="406"/>
      <c r="U74" s="391"/>
    </row>
    <row r="75" spans="2:25" ht="27" customHeight="1" x14ac:dyDescent="0.25">
      <c r="B75" s="1984"/>
      <c r="C75" s="1930"/>
      <c r="D75" s="1985" t="s">
        <v>1187</v>
      </c>
      <c r="E75" s="1985"/>
      <c r="F75" s="1198">
        <f>SUMIDEROS!J55</f>
        <v>0</v>
      </c>
      <c r="G75" s="1199">
        <v>0</v>
      </c>
      <c r="H75" s="1199">
        <v>0</v>
      </c>
      <c r="I75" s="1199">
        <v>0</v>
      </c>
      <c r="J75" s="1199">
        <v>0</v>
      </c>
      <c r="K75" s="1198">
        <f t="shared" si="10"/>
        <v>0</v>
      </c>
      <c r="L75" s="1202" t="e">
        <f t="shared" si="11"/>
        <v>#DIV/0!</v>
      </c>
      <c r="M75" s="1200">
        <f>SUMIDEROS!K55</f>
        <v>0</v>
      </c>
      <c r="N75" s="23">
        <f t="shared" si="1"/>
        <v>0</v>
      </c>
      <c r="O75" s="399"/>
      <c r="P75" s="399"/>
      <c r="Q75" s="400"/>
      <c r="R75" s="400"/>
      <c r="S75" s="406"/>
      <c r="T75" s="406"/>
      <c r="U75" s="391"/>
      <c r="V75" s="396"/>
      <c r="W75" s="397"/>
      <c r="X75" s="398"/>
    </row>
    <row r="76" spans="2:25" s="312" customFormat="1" ht="27" customHeight="1" x14ac:dyDescent="0.25">
      <c r="B76" s="1986" t="s">
        <v>1354</v>
      </c>
      <c r="C76" s="1987"/>
      <c r="D76" s="1987"/>
      <c r="E76" s="1987"/>
      <c r="F76" s="1195">
        <f>F75</f>
        <v>0</v>
      </c>
      <c r="G76" s="1196">
        <v>0</v>
      </c>
      <c r="H76" s="1196">
        <v>0</v>
      </c>
      <c r="I76" s="1196">
        <v>0</v>
      </c>
      <c r="J76" s="1196">
        <v>0</v>
      </c>
      <c r="K76" s="1195">
        <f t="shared" si="10"/>
        <v>0</v>
      </c>
      <c r="L76" s="1203" t="e">
        <f t="shared" si="11"/>
        <v>#DIV/0!</v>
      </c>
      <c r="M76" s="1197">
        <f>M75</f>
        <v>0</v>
      </c>
      <c r="N76" s="23">
        <f t="shared" si="1"/>
        <v>0</v>
      </c>
      <c r="O76" s="1944"/>
      <c r="P76" s="1944"/>
      <c r="Q76" s="1944"/>
      <c r="R76" s="1944"/>
      <c r="S76" s="1944"/>
      <c r="T76" s="1944"/>
      <c r="U76" s="1944"/>
      <c r="V76" s="1944"/>
      <c r="W76" s="1944"/>
      <c r="X76" s="404"/>
    </row>
    <row r="77" spans="2:25" ht="52.5" customHeight="1" thickBot="1" x14ac:dyDescent="0.3">
      <c r="B77" s="1992" t="s">
        <v>1390</v>
      </c>
      <c r="C77" s="1993"/>
      <c r="D77" s="1993"/>
      <c r="E77" s="1993"/>
      <c r="F77" s="1212">
        <f>F76</f>
        <v>0</v>
      </c>
      <c r="G77" s="1212">
        <f t="shared" ref="G77:M77" si="12">G76</f>
        <v>0</v>
      </c>
      <c r="H77" s="1212">
        <f t="shared" si="12"/>
        <v>0</v>
      </c>
      <c r="I77" s="1212">
        <f t="shared" si="12"/>
        <v>0</v>
      </c>
      <c r="J77" s="1212">
        <f t="shared" si="12"/>
        <v>0</v>
      </c>
      <c r="K77" s="1212">
        <f t="shared" si="12"/>
        <v>0</v>
      </c>
      <c r="L77" s="1214" t="e">
        <f>L76</f>
        <v>#DIV/0!</v>
      </c>
      <c r="M77" s="1213">
        <f t="shared" si="12"/>
        <v>0</v>
      </c>
      <c r="N77" s="23">
        <f t="shared" si="1"/>
        <v>0</v>
      </c>
      <c r="O77" s="1944"/>
      <c r="P77" s="1944"/>
      <c r="Q77" s="1944"/>
      <c r="R77" s="1944"/>
      <c r="S77" s="1944"/>
      <c r="T77" s="1944"/>
      <c r="U77" s="1944"/>
      <c r="V77" s="1944"/>
      <c r="W77" s="1944"/>
      <c r="X77" s="404"/>
      <c r="Y77" s="82"/>
    </row>
    <row r="78" spans="2:25" ht="52.5" customHeight="1" thickBot="1" x14ac:dyDescent="0.3">
      <c r="B78" s="1992" t="s">
        <v>1392</v>
      </c>
      <c r="C78" s="1993"/>
      <c r="D78" s="1993"/>
      <c r="E78" s="1993"/>
      <c r="F78" s="1212">
        <f t="shared" ref="F78:K78" si="13">F69-F77</f>
        <v>1494512.3663300523</v>
      </c>
      <c r="G78" s="1212">
        <f t="shared" si="13"/>
        <v>733.06318385064799</v>
      </c>
      <c r="H78" s="1212">
        <f t="shared" si="13"/>
        <v>796.03722599178127</v>
      </c>
      <c r="I78" s="1212">
        <f t="shared" si="13"/>
        <v>1389.14507</v>
      </c>
      <c r="J78" s="1212">
        <f t="shared" si="13"/>
        <v>0</v>
      </c>
      <c r="K78" s="1212">
        <f t="shared" si="13"/>
        <v>1497430.6118098951</v>
      </c>
      <c r="L78" s="1215" t="s">
        <v>1393</v>
      </c>
      <c r="M78" s="1213">
        <f>IF(K78&gt;0,SQRT(N69+N77)/K78,0)</f>
        <v>0.13423526424075213</v>
      </c>
      <c r="N78" s="23">
        <f t="shared" si="1"/>
        <v>40404213595.015724</v>
      </c>
      <c r="O78" s="1944"/>
      <c r="P78" s="1944"/>
      <c r="Q78" s="1944"/>
      <c r="R78" s="1944"/>
      <c r="S78" s="1944"/>
      <c r="T78" s="1944"/>
      <c r="U78" s="1944"/>
      <c r="V78" s="1944"/>
      <c r="W78" s="1944"/>
      <c r="X78" s="404"/>
      <c r="Y78" s="82"/>
    </row>
    <row r="79" spans="2:25" ht="15.75" customHeight="1" x14ac:dyDescent="0.25">
      <c r="O79" s="1944"/>
      <c r="P79" s="1944"/>
      <c r="Q79" s="1944"/>
      <c r="R79" s="1944"/>
      <c r="S79" s="1944"/>
      <c r="T79" s="1944"/>
      <c r="U79" s="1944"/>
      <c r="V79" s="1944"/>
      <c r="W79" s="1944"/>
      <c r="X79" s="1944"/>
      <c r="Y79" s="82"/>
    </row>
    <row r="80" spans="2:25" ht="15.75" customHeight="1" x14ac:dyDescent="0.25">
      <c r="O80" s="389"/>
      <c r="P80" s="389"/>
      <c r="Q80" s="389"/>
      <c r="R80" s="389"/>
      <c r="S80" s="389"/>
      <c r="T80" s="389"/>
      <c r="U80" s="389"/>
      <c r="V80" s="389"/>
      <c r="W80" s="389"/>
      <c r="X80" s="389"/>
      <c r="Y80" s="82"/>
    </row>
    <row r="81" spans="2:25" ht="15.75" customHeight="1" x14ac:dyDescent="0.25">
      <c r="O81" s="389"/>
      <c r="P81" s="389"/>
      <c r="Q81" s="389"/>
      <c r="R81" s="389"/>
      <c r="S81" s="389"/>
      <c r="T81" s="389"/>
      <c r="U81" s="389"/>
      <c r="V81" s="389"/>
      <c r="W81" s="389"/>
      <c r="X81" s="389"/>
      <c r="Y81" s="82"/>
    </row>
    <row r="82" spans="2:25" ht="15.75" customHeight="1" thickBot="1" x14ac:dyDescent="0.3">
      <c r="O82" s="389"/>
      <c r="P82" s="389"/>
      <c r="Q82" s="389"/>
      <c r="R82" s="389"/>
      <c r="S82" s="389"/>
      <c r="T82" s="389"/>
      <c r="U82" s="389"/>
      <c r="V82" s="389"/>
      <c r="W82" s="389"/>
      <c r="X82" s="389"/>
      <c r="Y82" s="82"/>
    </row>
    <row r="83" spans="2:25" ht="32.25" customHeight="1" thickBot="1" x14ac:dyDescent="0.3">
      <c r="B83" s="1921" t="s">
        <v>1396</v>
      </c>
      <c r="C83" s="1922"/>
      <c r="D83" s="1922"/>
      <c r="E83" s="1922"/>
      <c r="F83" s="1922"/>
      <c r="G83" s="1923"/>
      <c r="O83" s="389"/>
      <c r="P83" s="389"/>
      <c r="Q83" s="389"/>
      <c r="R83" s="389"/>
      <c r="S83" s="389"/>
      <c r="T83" s="389"/>
      <c r="U83" s="389"/>
      <c r="V83" s="389"/>
      <c r="W83" s="389"/>
      <c r="X83" s="389"/>
      <c r="Y83" s="82"/>
    </row>
    <row r="84" spans="2:25" ht="32.25" customHeight="1" thickBot="1" x14ac:dyDescent="0.3">
      <c r="B84" s="1998" t="s">
        <v>1360</v>
      </c>
      <c r="C84" s="1994"/>
      <c r="D84" s="1994"/>
      <c r="E84" s="1230" t="s">
        <v>1361</v>
      </c>
      <c r="F84" s="1994" t="s">
        <v>1362</v>
      </c>
      <c r="G84" s="1995"/>
      <c r="O84" s="389"/>
      <c r="P84" s="389"/>
      <c r="Q84" s="389"/>
      <c r="R84" s="389"/>
      <c r="S84" s="389"/>
      <c r="T84" s="389"/>
      <c r="U84" s="389"/>
      <c r="V84" s="389"/>
      <c r="W84" s="389"/>
      <c r="X84" s="389"/>
      <c r="Y84" s="82"/>
    </row>
    <row r="85" spans="2:25" ht="24.75" customHeight="1" x14ac:dyDescent="0.4">
      <c r="B85" s="1996" t="s">
        <v>1335</v>
      </c>
      <c r="C85" s="1997"/>
      <c r="D85" s="1997"/>
      <c r="E85" s="1232">
        <f>RESIDENCIAL!AE65</f>
        <v>18672.749571392997</v>
      </c>
      <c r="F85" s="2005">
        <f>RESIDENCIAL!AF65</f>
        <v>0.96329981672903064</v>
      </c>
      <c r="G85" s="2006"/>
      <c r="H85" s="23">
        <f t="shared" ref="H85:H90" si="14">(E85*F85)^2</f>
        <v>323548581.98411471</v>
      </c>
      <c r="O85" s="389"/>
      <c r="P85" s="389"/>
      <c r="Q85" s="389"/>
      <c r="R85" s="389"/>
      <c r="S85" s="389"/>
      <c r="T85" s="389"/>
      <c r="U85" s="389"/>
      <c r="V85" s="389"/>
      <c r="W85" s="389"/>
      <c r="X85" s="389"/>
      <c r="Y85" s="82"/>
    </row>
    <row r="86" spans="2:25" ht="24.75" customHeight="1" x14ac:dyDescent="0.4">
      <c r="B86" s="1999" t="s">
        <v>1355</v>
      </c>
      <c r="C86" s="2000"/>
      <c r="D86" s="2000"/>
      <c r="E86" s="1228">
        <f>INSTITUCIONAL!AE64</f>
        <v>173012.60494709999</v>
      </c>
      <c r="F86" s="1917">
        <f>INSTITUCIONAL!AF64</f>
        <v>1.0000044401901425</v>
      </c>
      <c r="G86" s="1918"/>
      <c r="H86" s="23">
        <f t="shared" si="14"/>
        <v>29933627290.804497</v>
      </c>
      <c r="O86" s="389"/>
      <c r="P86" s="389"/>
      <c r="Q86" s="389"/>
      <c r="R86" s="389"/>
      <c r="S86" s="389"/>
      <c r="T86" s="389"/>
      <c r="U86" s="389"/>
      <c r="V86" s="389"/>
      <c r="W86" s="389"/>
      <c r="X86" s="389"/>
      <c r="Y86" s="82"/>
    </row>
    <row r="87" spans="2:25" ht="24.75" customHeight="1" x14ac:dyDescent="0.4">
      <c r="B87" s="1999" t="s">
        <v>1356</v>
      </c>
      <c r="C87" s="2000"/>
      <c r="D87" s="2000"/>
      <c r="E87" s="1228">
        <f>TRANSPORTE!AE76</f>
        <v>0</v>
      </c>
      <c r="F87" s="1917">
        <f>TRANSPORTE!AF76</f>
        <v>0</v>
      </c>
      <c r="G87" s="1918"/>
      <c r="H87" s="23">
        <f t="shared" si="14"/>
        <v>0</v>
      </c>
      <c r="O87" s="389"/>
      <c r="P87" s="389"/>
      <c r="Q87" s="389"/>
      <c r="R87" s="389"/>
      <c r="S87" s="389"/>
      <c r="T87" s="389"/>
      <c r="U87" s="389"/>
      <c r="V87" s="389"/>
      <c r="W87" s="389"/>
      <c r="X87" s="389"/>
      <c r="Y87" s="82"/>
    </row>
    <row r="88" spans="2:25" ht="24.75" customHeight="1" x14ac:dyDescent="0.4">
      <c r="B88" s="1999" t="s">
        <v>1357</v>
      </c>
      <c r="C88" s="2000"/>
      <c r="D88" s="2000"/>
      <c r="E88" s="1228">
        <f>INDUSTRIA!AE81</f>
        <v>0</v>
      </c>
      <c r="F88" s="1917">
        <f>INDUSTRIA!AF81</f>
        <v>0</v>
      </c>
      <c r="G88" s="1918"/>
      <c r="H88" s="23">
        <f t="shared" si="14"/>
        <v>0</v>
      </c>
      <c r="O88" s="389"/>
      <c r="P88" s="389"/>
      <c r="Q88" s="389"/>
      <c r="R88" s="389"/>
      <c r="S88" s="389"/>
      <c r="T88" s="389"/>
      <c r="U88" s="389"/>
      <c r="V88" s="389"/>
      <c r="W88" s="389"/>
      <c r="X88" s="389"/>
      <c r="Y88" s="82"/>
    </row>
    <row r="89" spans="2:25" ht="24.75" customHeight="1" x14ac:dyDescent="0.4">
      <c r="B89" s="1999" t="s">
        <v>1358</v>
      </c>
      <c r="C89" s="2000"/>
      <c r="D89" s="2000"/>
      <c r="E89" s="1228">
        <f>AGROPECUARIO!AE107</f>
        <v>0</v>
      </c>
      <c r="F89" s="1917">
        <f>AGROPECUARIO!AF107</f>
        <v>0</v>
      </c>
      <c r="G89" s="1918"/>
      <c r="H89" s="23">
        <f t="shared" si="14"/>
        <v>0</v>
      </c>
      <c r="O89" s="389"/>
      <c r="P89" s="389"/>
      <c r="Q89" s="389"/>
      <c r="R89" s="389"/>
      <c r="S89" s="389"/>
      <c r="T89" s="389"/>
      <c r="U89" s="389"/>
      <c r="V89" s="389"/>
      <c r="W89" s="389"/>
      <c r="X89" s="389"/>
      <c r="Y89" s="82"/>
    </row>
    <row r="90" spans="2:25" ht="24.75" customHeight="1" thickBot="1" x14ac:dyDescent="0.45">
      <c r="B90" s="2001" t="s">
        <v>1198</v>
      </c>
      <c r="C90" s="2002"/>
      <c r="D90" s="2002"/>
      <c r="E90" s="1229">
        <f>RESIDUOS!AE58</f>
        <v>0</v>
      </c>
      <c r="F90" s="1919">
        <f>RESIDUOS!AF58</f>
        <v>0</v>
      </c>
      <c r="G90" s="1920"/>
      <c r="H90" s="23">
        <f t="shared" si="14"/>
        <v>0</v>
      </c>
      <c r="O90" s="389"/>
      <c r="P90" s="389"/>
      <c r="Q90" s="389"/>
      <c r="R90" s="389"/>
      <c r="S90" s="389"/>
      <c r="T90" s="389"/>
      <c r="U90" s="389"/>
      <c r="V90" s="389"/>
      <c r="W90" s="389"/>
      <c r="X90" s="389"/>
      <c r="Y90" s="82"/>
    </row>
    <row r="91" spans="2:25" ht="32.25" customHeight="1" thickBot="1" x14ac:dyDescent="0.3">
      <c r="B91" s="2003" t="s">
        <v>40</v>
      </c>
      <c r="C91" s="2004"/>
      <c r="D91" s="2004"/>
      <c r="E91" s="1231">
        <f>SUM(E85:E90)</f>
        <v>191685.354518493</v>
      </c>
      <c r="F91" s="1934">
        <f>IF(E91&gt;0,SQRT(SUM(H85:H90))/E91,0)</f>
        <v>0.90745534371560388</v>
      </c>
      <c r="G91" s="1935"/>
      <c r="O91" s="389"/>
      <c r="P91" s="389"/>
      <c r="Q91" s="389"/>
      <c r="R91" s="389"/>
      <c r="S91" s="389"/>
      <c r="T91" s="389"/>
      <c r="U91" s="389"/>
      <c r="V91" s="389"/>
      <c r="W91" s="389"/>
      <c r="X91" s="389"/>
      <c r="Y91" s="82"/>
    </row>
    <row r="92" spans="2:25" ht="15.75" customHeight="1" x14ac:dyDescent="0.25">
      <c r="O92" s="389"/>
      <c r="P92" s="389"/>
      <c r="Q92" s="389"/>
      <c r="R92" s="389"/>
      <c r="S92" s="389"/>
      <c r="T92" s="389"/>
      <c r="U92" s="389"/>
      <c r="V92" s="389"/>
      <c r="W92" s="389"/>
      <c r="X92" s="389"/>
      <c r="Y92" s="82"/>
    </row>
    <row r="93" spans="2:25" ht="15.75" customHeight="1" x14ac:dyDescent="0.25">
      <c r="O93" s="389"/>
      <c r="P93" s="389"/>
      <c r="Q93" s="389"/>
      <c r="R93" s="389"/>
      <c r="S93" s="389"/>
      <c r="T93" s="389"/>
      <c r="U93" s="389"/>
      <c r="V93" s="389"/>
      <c r="W93" s="389"/>
      <c r="X93" s="389"/>
      <c r="Y93" s="82"/>
    </row>
    <row r="94" spans="2:25" ht="15.75" customHeight="1" x14ac:dyDescent="0.25">
      <c r="O94" s="389"/>
      <c r="P94" s="389"/>
      <c r="Q94" s="389"/>
      <c r="R94" s="389"/>
      <c r="S94" s="389"/>
      <c r="T94" s="389"/>
      <c r="U94" s="389"/>
      <c r="V94" s="389"/>
      <c r="W94" s="389"/>
      <c r="X94" s="389"/>
      <c r="Y94" s="82"/>
    </row>
    <row r="95" spans="2:25" x14ac:dyDescent="0.25">
      <c r="O95" s="1235"/>
      <c r="P95" s="387"/>
      <c r="Q95" s="1944"/>
      <c r="R95" s="1944"/>
      <c r="S95" s="1944"/>
      <c r="T95" s="1944"/>
      <c r="U95" s="387"/>
      <c r="V95" s="387"/>
      <c r="W95" s="387"/>
      <c r="X95" s="1235"/>
      <c r="Y95" s="82"/>
    </row>
    <row r="96" spans="2:25" ht="15" customHeight="1" thickBot="1" x14ac:dyDescent="0.3">
      <c r="O96" s="1973"/>
      <c r="P96" s="399"/>
      <c r="Q96" s="1910"/>
      <c r="R96" s="1910"/>
      <c r="S96" s="1911"/>
      <c r="T96" s="1911"/>
      <c r="U96" s="391"/>
      <c r="V96" s="394"/>
      <c r="W96" s="391"/>
      <c r="X96" s="394"/>
      <c r="Y96" s="82"/>
    </row>
    <row r="97" spans="2:32" s="312" customFormat="1" ht="15" customHeight="1" x14ac:dyDescent="0.25">
      <c r="B97" s="1326" t="s">
        <v>1451</v>
      </c>
      <c r="C97" s="1327"/>
      <c r="D97" s="1327"/>
      <c r="E97" s="1328"/>
      <c r="F97" s="1327"/>
      <c r="G97" s="1327"/>
      <c r="H97" s="1327"/>
      <c r="I97" s="1327"/>
      <c r="J97" s="1327"/>
      <c r="K97" s="1327"/>
      <c r="L97" s="1329"/>
      <c r="M97" s="11"/>
      <c r="N97" s="23"/>
      <c r="O97" s="1973"/>
      <c r="P97" s="399"/>
      <c r="Q97" s="1910"/>
      <c r="R97" s="1910"/>
      <c r="S97" s="1911"/>
      <c r="T97" s="1911"/>
      <c r="U97" s="391"/>
      <c r="V97" s="394"/>
      <c r="W97" s="391"/>
      <c r="X97" s="394"/>
      <c r="Y97" s="174"/>
    </row>
    <row r="98" spans="2:32" s="312" customFormat="1" ht="75" customHeight="1" x14ac:dyDescent="0.25">
      <c r="B98" s="2007" t="s">
        <v>1454</v>
      </c>
      <c r="C98" s="2008"/>
      <c r="D98" s="2008"/>
      <c r="E98" s="2008"/>
      <c r="F98" s="2008"/>
      <c r="G98" s="2008"/>
      <c r="H98" s="2008"/>
      <c r="I98" s="2008"/>
      <c r="J98" s="2008"/>
      <c r="K98" s="2008"/>
      <c r="L98" s="2009"/>
      <c r="M98" s="151"/>
      <c r="N98" s="23"/>
      <c r="O98" s="1973"/>
      <c r="P98" s="399"/>
      <c r="Q98" s="1910"/>
      <c r="R98" s="1910"/>
      <c r="S98" s="1911"/>
      <c r="T98" s="1911"/>
      <c r="U98" s="391"/>
      <c r="V98" s="394"/>
      <c r="W98" s="391"/>
      <c r="X98" s="394"/>
      <c r="Y98" s="174"/>
    </row>
    <row r="99" spans="2:32" ht="15.75" x14ac:dyDescent="0.25">
      <c r="B99" s="1319" t="s">
        <v>1457</v>
      </c>
      <c r="C99" s="1320"/>
      <c r="D99" s="1320"/>
      <c r="E99" s="1321"/>
      <c r="F99" s="1320"/>
      <c r="G99" s="1320"/>
      <c r="H99" s="1320"/>
      <c r="I99" s="1320"/>
      <c r="J99" s="1320"/>
      <c r="K99" s="1320"/>
      <c r="L99" s="1330"/>
      <c r="O99" s="399"/>
      <c r="P99" s="399"/>
      <c r="Q99" s="1910"/>
      <c r="R99" s="1910"/>
      <c r="S99" s="2013"/>
      <c r="T99" s="2013"/>
      <c r="U99" s="391"/>
      <c r="V99" s="391"/>
      <c r="W99" s="391"/>
      <c r="X99" s="394"/>
      <c r="Y99" s="82"/>
    </row>
    <row r="100" spans="2:32" ht="15" customHeight="1" x14ac:dyDescent="0.25">
      <c r="B100" s="1319" t="s">
        <v>1458</v>
      </c>
      <c r="C100" s="1320"/>
      <c r="D100" s="1320"/>
      <c r="E100" s="1321"/>
      <c r="F100" s="1320"/>
      <c r="G100" s="1320"/>
      <c r="H100" s="1320"/>
      <c r="I100" s="1320"/>
      <c r="J100" s="1320"/>
      <c r="K100" s="1320"/>
      <c r="L100" s="1330"/>
      <c r="O100" s="1944"/>
      <c r="P100" s="1944"/>
      <c r="Q100" s="1944"/>
      <c r="R100" s="1944"/>
      <c r="S100" s="1944"/>
      <c r="T100" s="1944"/>
      <c r="U100" s="1944"/>
      <c r="V100" s="1944"/>
      <c r="W100" s="1944"/>
      <c r="X100" s="404"/>
      <c r="Y100" s="82"/>
    </row>
    <row r="101" spans="2:32" ht="15.75" x14ac:dyDescent="0.25">
      <c r="B101" s="1322" t="s">
        <v>1455</v>
      </c>
      <c r="C101" s="1320"/>
      <c r="D101" s="1320"/>
      <c r="E101" s="1321"/>
      <c r="F101" s="1320"/>
      <c r="G101" s="1320"/>
      <c r="H101" s="1320"/>
      <c r="I101" s="1320"/>
      <c r="J101" s="1320"/>
      <c r="K101" s="1320"/>
      <c r="L101" s="1330"/>
      <c r="O101" s="1948"/>
      <c r="P101" s="1948"/>
      <c r="Q101" s="1948"/>
      <c r="R101" s="1948"/>
      <c r="S101" s="1948"/>
      <c r="T101" s="1948"/>
      <c r="U101" s="1948"/>
      <c r="V101" s="1948"/>
      <c r="W101" s="1948"/>
      <c r="X101" s="408"/>
      <c r="Y101" s="82"/>
    </row>
    <row r="102" spans="2:32" ht="15.75" x14ac:dyDescent="0.25">
      <c r="B102" s="1319" t="s">
        <v>1456</v>
      </c>
      <c r="C102" s="1320"/>
      <c r="D102" s="1320"/>
      <c r="E102" s="1321"/>
      <c r="F102" s="1320"/>
      <c r="G102" s="1320"/>
      <c r="H102" s="1320"/>
      <c r="I102" s="1320"/>
      <c r="J102" s="1320"/>
      <c r="K102" s="1320"/>
      <c r="L102" s="1330"/>
      <c r="O102" s="1948"/>
      <c r="P102" s="1948"/>
      <c r="Q102" s="1948"/>
      <c r="R102" s="1948"/>
      <c r="S102" s="1948"/>
      <c r="T102" s="1948"/>
      <c r="U102" s="1948"/>
      <c r="V102" s="1948"/>
      <c r="W102" s="1948"/>
      <c r="X102" s="1948"/>
      <c r="Y102" s="82"/>
    </row>
    <row r="103" spans="2:32" ht="15.75" x14ac:dyDescent="0.25">
      <c r="B103" s="1322" t="s">
        <v>1452</v>
      </c>
      <c r="C103" s="1320"/>
      <c r="D103" s="1320"/>
      <c r="E103" s="1321"/>
      <c r="F103" s="1320"/>
      <c r="G103" s="1320"/>
      <c r="H103" s="1320"/>
      <c r="I103" s="1320"/>
      <c r="J103" s="1320"/>
      <c r="K103" s="1320"/>
      <c r="L103" s="1330"/>
      <c r="O103" s="1948"/>
      <c r="P103" s="1948"/>
      <c r="Q103" s="1948"/>
      <c r="R103" s="1948"/>
      <c r="S103" s="1948"/>
      <c r="T103" s="1948"/>
      <c r="U103" s="1948"/>
      <c r="V103" s="1948"/>
      <c r="W103" s="1948"/>
      <c r="X103" s="408"/>
      <c r="Y103" s="82"/>
    </row>
    <row r="104" spans="2:32" ht="15.75" x14ac:dyDescent="0.25">
      <c r="B104" s="1322" t="s">
        <v>1459</v>
      </c>
      <c r="C104" s="1320"/>
      <c r="D104" s="1320"/>
      <c r="E104" s="1321"/>
      <c r="F104" s="1320"/>
      <c r="G104" s="1320"/>
      <c r="H104" s="1320"/>
      <c r="I104" s="1320"/>
      <c r="J104" s="1320"/>
      <c r="K104" s="1320"/>
      <c r="L104" s="1330"/>
      <c r="O104" s="1944"/>
      <c r="P104" s="387"/>
      <c r="Q104" s="2012"/>
      <c r="R104" s="1944"/>
      <c r="S104" s="1944"/>
      <c r="T104" s="1944"/>
      <c r="U104" s="1944"/>
      <c r="V104" s="1943"/>
      <c r="W104" s="1943"/>
      <c r="X104" s="1944"/>
      <c r="Y104" s="82"/>
      <c r="Z104" s="27"/>
      <c r="AA104" s="27"/>
      <c r="AB104" s="27"/>
      <c r="AC104" s="27"/>
      <c r="AD104" s="27"/>
      <c r="AE104" s="27"/>
      <c r="AF104" s="27"/>
    </row>
    <row r="105" spans="2:32" ht="16.5" thickBot="1" x14ac:dyDescent="0.3">
      <c r="B105" s="1323" t="s">
        <v>1453</v>
      </c>
      <c r="C105" s="1324"/>
      <c r="D105" s="1324"/>
      <c r="E105" s="1325"/>
      <c r="F105" s="1324"/>
      <c r="G105" s="1324"/>
      <c r="H105" s="1324"/>
      <c r="I105" s="1324"/>
      <c r="J105" s="1324"/>
      <c r="K105" s="1324"/>
      <c r="L105" s="1331"/>
      <c r="O105" s="1944"/>
      <c r="P105" s="387"/>
      <c r="Q105" s="1944"/>
      <c r="R105" s="1944"/>
      <c r="S105" s="1944"/>
      <c r="T105" s="1944"/>
      <c r="U105" s="387"/>
      <c r="V105" s="387"/>
      <c r="W105" s="387"/>
      <c r="X105" s="1944"/>
      <c r="Y105" s="82"/>
      <c r="Z105" s="27"/>
      <c r="AA105" s="27"/>
      <c r="AB105" s="27"/>
      <c r="AC105" s="27"/>
      <c r="AD105" s="27"/>
      <c r="AE105" s="27"/>
      <c r="AF105" s="27"/>
    </row>
    <row r="106" spans="2:32" x14ac:dyDescent="0.25">
      <c r="O106" s="1973"/>
      <c r="P106" s="399"/>
      <c r="Q106" s="1910"/>
      <c r="R106" s="1910"/>
      <c r="S106" s="1911"/>
      <c r="T106" s="1911"/>
      <c r="U106" s="391"/>
      <c r="V106" s="394"/>
      <c r="W106" s="391"/>
      <c r="X106" s="394"/>
      <c r="Y106" s="82"/>
      <c r="Z106" s="27"/>
      <c r="AA106" s="27"/>
      <c r="AB106" s="27"/>
      <c r="AC106" s="27"/>
      <c r="AD106" s="27"/>
      <c r="AE106" s="27"/>
      <c r="AF106" s="27"/>
    </row>
    <row r="107" spans="2:32" s="312" customFormat="1" ht="15" customHeight="1" x14ac:dyDescent="0.25">
      <c r="B107" s="151"/>
      <c r="C107" s="151"/>
      <c r="D107" s="151"/>
      <c r="E107" s="151"/>
      <c r="F107" s="151"/>
      <c r="G107" s="151"/>
      <c r="H107" s="151"/>
      <c r="I107" s="151"/>
      <c r="J107" s="151"/>
      <c r="K107" s="151"/>
      <c r="L107" s="1210"/>
      <c r="M107" s="151"/>
      <c r="N107" s="23"/>
      <c r="O107" s="1973"/>
      <c r="P107" s="399"/>
      <c r="Q107" s="1910"/>
      <c r="R107" s="1910"/>
      <c r="S107" s="1911"/>
      <c r="T107" s="1911"/>
      <c r="U107" s="391"/>
      <c r="V107" s="394"/>
      <c r="W107" s="391"/>
      <c r="X107" s="394"/>
      <c r="Y107" s="174"/>
      <c r="Z107" s="64"/>
      <c r="AA107" s="2011"/>
      <c r="AB107" s="409"/>
      <c r="AC107" s="410"/>
      <c r="AD107" s="411"/>
      <c r="AE107" s="64"/>
      <c r="AF107" s="64"/>
    </row>
    <row r="108" spans="2:32" s="312" customFormat="1" ht="15" customHeight="1" x14ac:dyDescent="0.25">
      <c r="B108" s="151"/>
      <c r="C108" s="151"/>
      <c r="D108" s="151"/>
      <c r="E108" s="151"/>
      <c r="F108" s="151"/>
      <c r="G108" s="151"/>
      <c r="H108" s="151"/>
      <c r="I108" s="151"/>
      <c r="J108" s="151"/>
      <c r="K108" s="151"/>
      <c r="L108" s="1210"/>
      <c r="M108" s="151"/>
      <c r="N108" s="23"/>
      <c r="O108" s="1973"/>
      <c r="P108" s="399"/>
      <c r="Q108" s="1910"/>
      <c r="R108" s="1910"/>
      <c r="S108" s="1911"/>
      <c r="T108" s="1911"/>
      <c r="U108" s="391"/>
      <c r="V108" s="394"/>
      <c r="W108" s="391"/>
      <c r="X108" s="394"/>
      <c r="Y108" s="174"/>
      <c r="Z108" s="64"/>
      <c r="AA108" s="2011"/>
      <c r="AB108" s="409"/>
      <c r="AC108" s="410"/>
      <c r="AD108" s="411"/>
      <c r="AE108" s="64"/>
      <c r="AF108" s="64"/>
    </row>
    <row r="109" spans="2:32" s="312" customFormat="1" x14ac:dyDescent="0.25">
      <c r="B109" s="151"/>
      <c r="C109" s="151"/>
      <c r="D109" s="151"/>
      <c r="E109" s="151"/>
      <c r="F109" s="151"/>
      <c r="G109" s="151"/>
      <c r="H109" s="151"/>
      <c r="I109" s="151"/>
      <c r="J109" s="151"/>
      <c r="K109" s="151"/>
      <c r="L109" s="1210"/>
      <c r="M109" s="151"/>
      <c r="N109" s="23"/>
      <c r="O109" s="1948"/>
      <c r="P109" s="1948"/>
      <c r="Q109" s="1948"/>
      <c r="R109" s="1948"/>
      <c r="S109" s="1948"/>
      <c r="T109" s="1948"/>
      <c r="U109" s="1948"/>
      <c r="V109" s="1948"/>
      <c r="W109" s="1948"/>
      <c r="X109" s="408"/>
      <c r="Y109" s="174"/>
      <c r="Z109" s="64"/>
      <c r="AA109" s="2011"/>
      <c r="AB109" s="409"/>
      <c r="AC109" s="410"/>
      <c r="AD109" s="411"/>
      <c r="AE109" s="64"/>
      <c r="AF109" s="64"/>
    </row>
    <row r="110" spans="2:32" s="312" customFormat="1" x14ac:dyDescent="0.25">
      <c r="B110" s="151"/>
      <c r="C110" s="151"/>
      <c r="D110" s="151"/>
      <c r="E110" s="151"/>
      <c r="F110" s="151"/>
      <c r="G110" s="151"/>
      <c r="H110" s="151"/>
      <c r="I110" s="151"/>
      <c r="J110" s="151"/>
      <c r="K110" s="151"/>
      <c r="L110" s="1210"/>
      <c r="M110" s="151"/>
      <c r="N110" s="23"/>
      <c r="O110" s="174"/>
      <c r="P110" s="174"/>
      <c r="Q110" s="174"/>
      <c r="R110" s="174"/>
      <c r="S110" s="174"/>
      <c r="T110" s="174"/>
      <c r="U110" s="174"/>
      <c r="V110" s="174"/>
      <c r="W110" s="174"/>
      <c r="X110" s="174"/>
      <c r="Y110" s="174"/>
      <c r="Z110" s="64"/>
      <c r="AA110" s="2010"/>
      <c r="AB110" s="412"/>
      <c r="AC110" s="410"/>
      <c r="AD110" s="411"/>
      <c r="AE110" s="64"/>
      <c r="AF110" s="64"/>
    </row>
    <row r="111" spans="2:32" s="312" customFormat="1" x14ac:dyDescent="0.25">
      <c r="B111" s="151"/>
      <c r="C111" s="151"/>
      <c r="D111" s="151"/>
      <c r="E111" s="151"/>
      <c r="F111" s="151"/>
      <c r="G111" s="151"/>
      <c r="H111" s="151"/>
      <c r="I111" s="151"/>
      <c r="J111" s="151"/>
      <c r="K111" s="151"/>
      <c r="L111" s="1210"/>
      <c r="M111" s="151"/>
      <c r="N111" s="23"/>
      <c r="O111" s="174"/>
      <c r="P111" s="174"/>
      <c r="Q111" s="174"/>
      <c r="R111" s="174"/>
      <c r="S111" s="174"/>
      <c r="T111" s="174"/>
      <c r="U111" s="174"/>
      <c r="V111" s="174"/>
      <c r="W111" s="174"/>
      <c r="X111" s="174"/>
      <c r="Y111" s="174"/>
      <c r="Z111" s="64"/>
      <c r="AA111" s="2010"/>
      <c r="AB111" s="412"/>
      <c r="AC111" s="410"/>
      <c r="AD111" s="411"/>
      <c r="AE111" s="64"/>
      <c r="AF111" s="64"/>
    </row>
    <row r="112" spans="2:32" s="312" customFormat="1" x14ac:dyDescent="0.25">
      <c r="B112" s="151"/>
      <c r="C112" s="151"/>
      <c r="D112" s="151"/>
      <c r="E112" s="151"/>
      <c r="F112" s="151"/>
      <c r="G112" s="151"/>
      <c r="H112" s="151"/>
      <c r="I112" s="151"/>
      <c r="J112" s="151"/>
      <c r="K112" s="151"/>
      <c r="L112" s="1210"/>
      <c r="M112" s="151"/>
      <c r="N112" s="23"/>
      <c r="Y112" s="64"/>
      <c r="Z112" s="64"/>
      <c r="AA112" s="2010"/>
      <c r="AB112" s="412"/>
      <c r="AC112" s="413"/>
      <c r="AD112" s="411"/>
      <c r="AE112" s="64"/>
      <c r="AF112" s="64"/>
    </row>
    <row r="113" spans="2:32" s="312" customFormat="1" x14ac:dyDescent="0.25">
      <c r="B113" s="151"/>
      <c r="C113" s="151"/>
      <c r="D113" s="151"/>
      <c r="E113" s="151"/>
      <c r="F113" s="151"/>
      <c r="G113" s="151"/>
      <c r="H113" s="151"/>
      <c r="I113" s="151"/>
      <c r="J113" s="151"/>
      <c r="K113" s="151"/>
      <c r="L113" s="1210"/>
      <c r="M113" s="151"/>
      <c r="N113" s="23"/>
      <c r="Y113" s="64"/>
      <c r="Z113" s="64"/>
      <c r="AA113" s="2010"/>
      <c r="AB113" s="414"/>
      <c r="AC113" s="410"/>
      <c r="AD113" s="411"/>
      <c r="AE113" s="64"/>
      <c r="AF113" s="64"/>
    </row>
    <row r="114" spans="2:32" s="312" customFormat="1" x14ac:dyDescent="0.25">
      <c r="B114" s="151"/>
      <c r="C114" s="151"/>
      <c r="D114" s="151"/>
      <c r="E114" s="151"/>
      <c r="F114" s="151"/>
      <c r="G114" s="151"/>
      <c r="H114" s="151"/>
      <c r="I114" s="151"/>
      <c r="J114" s="151"/>
      <c r="K114" s="151"/>
      <c r="L114" s="1210"/>
      <c r="M114" s="151"/>
      <c r="N114" s="23"/>
      <c r="Y114" s="64"/>
      <c r="Z114" s="64"/>
      <c r="AA114" s="64"/>
      <c r="AB114" s="64"/>
      <c r="AC114" s="64"/>
      <c r="AD114" s="64"/>
      <c r="AE114" s="64"/>
      <c r="AF114" s="64"/>
    </row>
    <row r="115" spans="2:32" s="312" customFormat="1" x14ac:dyDescent="0.25">
      <c r="B115" s="151"/>
      <c r="C115" s="151"/>
      <c r="D115" s="151"/>
      <c r="E115" s="151"/>
      <c r="F115" s="151"/>
      <c r="G115" s="151"/>
      <c r="H115" s="151"/>
      <c r="I115" s="151"/>
      <c r="J115" s="151"/>
      <c r="K115" s="151"/>
      <c r="L115" s="1210"/>
      <c r="M115" s="151"/>
      <c r="N115" s="23"/>
      <c r="Y115" s="64"/>
      <c r="Z115" s="64"/>
      <c r="AA115" s="64"/>
      <c r="AB115" s="64"/>
      <c r="AC115" s="64"/>
      <c r="AD115" s="64"/>
      <c r="AE115" s="64"/>
      <c r="AF115" s="64"/>
    </row>
    <row r="116" spans="2:32" s="312" customFormat="1" x14ac:dyDescent="0.25">
      <c r="B116" s="151"/>
      <c r="C116" s="151"/>
      <c r="D116" s="151"/>
      <c r="E116" s="151"/>
      <c r="F116" s="151"/>
      <c r="G116" s="151"/>
      <c r="H116" s="151"/>
      <c r="I116" s="151"/>
      <c r="J116" s="151"/>
      <c r="K116" s="151"/>
      <c r="L116" s="1210"/>
      <c r="M116" s="151"/>
      <c r="N116" s="23"/>
    </row>
    <row r="117" spans="2:32" s="312" customFormat="1" x14ac:dyDescent="0.25">
      <c r="B117" s="151"/>
      <c r="C117" s="151"/>
      <c r="D117" s="151"/>
      <c r="E117" s="151"/>
      <c r="F117" s="151"/>
      <c r="G117" s="151"/>
      <c r="H117" s="151"/>
      <c r="I117" s="151"/>
      <c r="J117" s="151"/>
      <c r="K117" s="151"/>
      <c r="L117" s="1210"/>
      <c r="M117" s="151"/>
      <c r="N117" s="23"/>
    </row>
    <row r="118" spans="2:32" s="312" customFormat="1" x14ac:dyDescent="0.25">
      <c r="B118" s="151"/>
      <c r="C118" s="151"/>
      <c r="D118" s="151"/>
      <c r="E118" s="151"/>
      <c r="F118" s="151"/>
      <c r="G118" s="151"/>
      <c r="H118" s="151"/>
      <c r="I118" s="151"/>
      <c r="J118" s="151"/>
      <c r="K118" s="151"/>
      <c r="L118" s="1210"/>
      <c r="M118" s="151"/>
      <c r="N118" s="23"/>
    </row>
    <row r="119" spans="2:32" s="312" customFormat="1" x14ac:dyDescent="0.25">
      <c r="B119" s="151"/>
      <c r="C119" s="151"/>
      <c r="D119" s="151"/>
      <c r="E119" s="151"/>
      <c r="F119" s="151"/>
      <c r="G119" s="151"/>
      <c r="H119" s="151"/>
      <c r="I119" s="151"/>
      <c r="J119" s="151"/>
      <c r="K119" s="151"/>
      <c r="L119" s="1210"/>
      <c r="M119" s="151"/>
      <c r="N119" s="23"/>
    </row>
    <row r="120" spans="2:32" s="312" customFormat="1" x14ac:dyDescent="0.25">
      <c r="B120" s="151"/>
      <c r="C120" s="151"/>
      <c r="D120" s="151"/>
      <c r="E120" s="151"/>
      <c r="F120" s="151"/>
      <c r="G120" s="151"/>
      <c r="H120" s="151"/>
      <c r="I120" s="151"/>
      <c r="J120" s="151"/>
      <c r="K120" s="151"/>
      <c r="L120" s="1210"/>
      <c r="M120" s="151"/>
      <c r="N120" s="23"/>
    </row>
    <row r="121" spans="2:32" s="312" customFormat="1" x14ac:dyDescent="0.25">
      <c r="B121" s="151"/>
      <c r="C121" s="151"/>
      <c r="D121" s="151"/>
      <c r="E121" s="151"/>
      <c r="F121" s="151"/>
      <c r="G121" s="151"/>
      <c r="H121" s="151"/>
      <c r="I121" s="151"/>
      <c r="J121" s="151"/>
      <c r="K121" s="151"/>
      <c r="L121" s="1210"/>
      <c r="M121" s="151"/>
      <c r="N121" s="23"/>
    </row>
    <row r="122" spans="2:32" s="312" customFormat="1" x14ac:dyDescent="0.25">
      <c r="B122" s="151"/>
      <c r="C122" s="151"/>
      <c r="D122" s="151"/>
      <c r="E122" s="151"/>
      <c r="F122" s="151"/>
      <c r="G122" s="151"/>
      <c r="H122" s="151"/>
      <c r="I122" s="151"/>
      <c r="J122" s="151"/>
      <c r="K122" s="151"/>
      <c r="L122" s="1210"/>
      <c r="M122" s="151"/>
      <c r="N122" s="23"/>
    </row>
    <row r="123" spans="2:32" s="312" customFormat="1" x14ac:dyDescent="0.25">
      <c r="B123" s="151"/>
      <c r="C123" s="151"/>
      <c r="D123" s="151"/>
      <c r="E123" s="151"/>
      <c r="F123" s="151"/>
      <c r="G123" s="151"/>
      <c r="H123" s="151"/>
      <c r="I123" s="151"/>
      <c r="J123" s="151"/>
      <c r="K123" s="151"/>
      <c r="L123" s="1210"/>
      <c r="M123" s="151"/>
      <c r="N123" s="23"/>
    </row>
    <row r="124" spans="2:32" s="312" customFormat="1" x14ac:dyDescent="0.25">
      <c r="B124" s="151"/>
      <c r="C124" s="151"/>
      <c r="D124" s="151"/>
      <c r="E124" s="151"/>
      <c r="F124" s="151"/>
      <c r="G124" s="151"/>
      <c r="H124" s="151"/>
      <c r="I124" s="151"/>
      <c r="J124" s="151"/>
      <c r="K124" s="151"/>
      <c r="L124" s="1210"/>
      <c r="M124" s="151"/>
      <c r="N124" s="23"/>
    </row>
    <row r="125" spans="2:32" s="312" customFormat="1" x14ac:dyDescent="0.25">
      <c r="B125" s="151"/>
      <c r="C125" s="151"/>
      <c r="D125" s="151"/>
      <c r="E125" s="151"/>
      <c r="F125" s="151"/>
      <c r="G125" s="151"/>
      <c r="H125" s="151"/>
      <c r="I125" s="151"/>
      <c r="J125" s="151"/>
      <c r="K125" s="151"/>
      <c r="L125" s="1210"/>
      <c r="M125" s="151"/>
      <c r="N125" s="23"/>
    </row>
    <row r="126" spans="2:32" s="312" customFormat="1" x14ac:dyDescent="0.25">
      <c r="B126" s="151"/>
      <c r="C126" s="151"/>
      <c r="D126" s="151"/>
      <c r="E126" s="151"/>
      <c r="F126" s="151"/>
      <c r="G126" s="151"/>
      <c r="H126" s="151"/>
      <c r="I126" s="151"/>
      <c r="J126" s="151"/>
      <c r="K126" s="151"/>
      <c r="L126" s="1210"/>
      <c r="M126" s="151"/>
      <c r="N126" s="23"/>
    </row>
    <row r="127" spans="2:32" s="312" customFormat="1" x14ac:dyDescent="0.25">
      <c r="B127" s="151"/>
      <c r="C127" s="151"/>
      <c r="D127" s="151"/>
      <c r="E127" s="151"/>
      <c r="F127" s="151"/>
      <c r="G127" s="151"/>
      <c r="H127" s="151"/>
      <c r="I127" s="151"/>
      <c r="J127" s="151"/>
      <c r="K127" s="151"/>
      <c r="L127" s="1210"/>
      <c r="M127" s="151"/>
      <c r="N127" s="23"/>
    </row>
    <row r="128" spans="2:32" s="312" customFormat="1" x14ac:dyDescent="0.25">
      <c r="B128" s="151"/>
      <c r="C128" s="151"/>
      <c r="D128" s="151"/>
      <c r="E128" s="151"/>
      <c r="F128" s="151"/>
      <c r="G128" s="151"/>
      <c r="H128" s="151"/>
      <c r="I128" s="151"/>
      <c r="J128" s="151"/>
      <c r="K128" s="151"/>
      <c r="L128" s="1210"/>
      <c r="M128" s="151"/>
      <c r="N128" s="23"/>
    </row>
    <row r="129" spans="2:14" s="312" customFormat="1" x14ac:dyDescent="0.25">
      <c r="B129" s="151"/>
      <c r="C129" s="151"/>
      <c r="D129" s="151"/>
      <c r="E129" s="151"/>
      <c r="F129" s="151"/>
      <c r="G129" s="151"/>
      <c r="H129" s="151"/>
      <c r="I129" s="151"/>
      <c r="J129" s="151"/>
      <c r="K129" s="151"/>
      <c r="L129" s="1210"/>
      <c r="M129" s="151"/>
      <c r="N129" s="23"/>
    </row>
    <row r="130" spans="2:14" s="312" customFormat="1" x14ac:dyDescent="0.25">
      <c r="B130" s="151"/>
      <c r="C130" s="151"/>
      <c r="D130" s="151"/>
      <c r="E130" s="151"/>
      <c r="F130" s="151"/>
      <c r="G130" s="151"/>
      <c r="H130" s="151"/>
      <c r="I130" s="151"/>
      <c r="J130" s="151"/>
      <c r="K130" s="151"/>
      <c r="L130" s="1210"/>
      <c r="M130" s="151"/>
      <c r="N130" s="23"/>
    </row>
    <row r="131" spans="2:14" s="312" customFormat="1" x14ac:dyDescent="0.25">
      <c r="B131" s="151"/>
      <c r="C131" s="151"/>
      <c r="D131" s="151"/>
      <c r="E131" s="151"/>
      <c r="F131" s="151"/>
      <c r="G131" s="151"/>
      <c r="H131" s="151"/>
      <c r="I131" s="151"/>
      <c r="J131" s="151"/>
      <c r="K131" s="151"/>
      <c r="L131" s="1210"/>
      <c r="M131" s="151"/>
      <c r="N131" s="23"/>
    </row>
    <row r="132" spans="2:14" s="312" customFormat="1" x14ac:dyDescent="0.25">
      <c r="B132" s="151"/>
      <c r="C132" s="151"/>
      <c r="D132" s="151"/>
      <c r="E132" s="151"/>
      <c r="F132" s="151"/>
      <c r="G132" s="151"/>
      <c r="H132" s="151"/>
      <c r="I132" s="151"/>
      <c r="J132" s="151"/>
      <c r="K132" s="151"/>
      <c r="L132" s="1210"/>
      <c r="M132" s="151"/>
      <c r="N132" s="23"/>
    </row>
    <row r="133" spans="2:14" s="312" customFormat="1" x14ac:dyDescent="0.25">
      <c r="B133" s="151"/>
      <c r="C133" s="151"/>
      <c r="D133" s="151"/>
      <c r="E133" s="151"/>
      <c r="F133" s="151"/>
      <c r="G133" s="151"/>
      <c r="H133" s="151"/>
      <c r="I133" s="151"/>
      <c r="J133" s="151"/>
      <c r="K133" s="151"/>
      <c r="L133" s="1210"/>
      <c r="M133" s="151"/>
      <c r="N133" s="23"/>
    </row>
    <row r="134" spans="2:14" s="312" customFormat="1" x14ac:dyDescent="0.25">
      <c r="B134" s="151"/>
      <c r="C134" s="151"/>
      <c r="D134" s="151"/>
      <c r="E134" s="151"/>
      <c r="F134" s="151"/>
      <c r="G134" s="151"/>
      <c r="H134" s="151"/>
      <c r="I134" s="151"/>
      <c r="J134" s="151"/>
      <c r="K134" s="151"/>
      <c r="L134" s="1210"/>
      <c r="M134" s="151"/>
      <c r="N134" s="23"/>
    </row>
    <row r="135" spans="2:14" s="312" customFormat="1" x14ac:dyDescent="0.25">
      <c r="B135" s="151"/>
      <c r="C135" s="151"/>
      <c r="D135" s="151"/>
      <c r="E135" s="151"/>
      <c r="F135" s="151"/>
      <c r="G135" s="151"/>
      <c r="H135" s="151"/>
      <c r="I135" s="151"/>
      <c r="J135" s="151"/>
      <c r="K135" s="151"/>
      <c r="L135" s="1210"/>
      <c r="M135" s="151"/>
      <c r="N135" s="23"/>
    </row>
    <row r="136" spans="2:14" s="312" customFormat="1" x14ac:dyDescent="0.25">
      <c r="B136" s="151"/>
      <c r="C136" s="151"/>
      <c r="D136" s="151"/>
      <c r="E136" s="151"/>
      <c r="F136" s="151"/>
      <c r="G136" s="151"/>
      <c r="H136" s="151"/>
      <c r="I136" s="151"/>
      <c r="J136" s="151"/>
      <c r="K136" s="151"/>
      <c r="L136" s="1210"/>
      <c r="M136" s="151"/>
      <c r="N136" s="23"/>
    </row>
    <row r="137" spans="2:14" s="312" customFormat="1" x14ac:dyDescent="0.25">
      <c r="B137" s="151"/>
      <c r="C137" s="151"/>
      <c r="D137" s="151"/>
      <c r="E137" s="151"/>
      <c r="F137" s="151"/>
      <c r="G137" s="151"/>
      <c r="H137" s="151"/>
      <c r="I137" s="151"/>
      <c r="J137" s="151"/>
      <c r="K137" s="151"/>
      <c r="L137" s="1210"/>
      <c r="M137" s="151"/>
      <c r="N137" s="23"/>
    </row>
    <row r="138" spans="2:14" s="312" customFormat="1" x14ac:dyDescent="0.25">
      <c r="B138" s="151"/>
      <c r="C138" s="151"/>
      <c r="D138" s="151"/>
      <c r="E138" s="151"/>
      <c r="F138" s="151"/>
      <c r="G138" s="151"/>
      <c r="H138" s="151"/>
      <c r="I138" s="151"/>
      <c r="J138" s="151"/>
      <c r="K138" s="151"/>
      <c r="L138" s="1210"/>
      <c r="M138" s="151"/>
      <c r="N138" s="23"/>
    </row>
    <row r="139" spans="2:14" s="312" customFormat="1" x14ac:dyDescent="0.25">
      <c r="B139" s="151"/>
      <c r="C139" s="151"/>
      <c r="D139" s="151"/>
      <c r="E139" s="151"/>
      <c r="F139" s="151"/>
      <c r="G139" s="151"/>
      <c r="H139" s="151"/>
      <c r="I139" s="151"/>
      <c r="J139" s="151"/>
      <c r="K139" s="151"/>
      <c r="L139" s="1210"/>
      <c r="M139" s="151"/>
      <c r="N139" s="23"/>
    </row>
    <row r="140" spans="2:14" s="312" customFormat="1" x14ac:dyDescent="0.25">
      <c r="B140" s="151"/>
      <c r="C140" s="151"/>
      <c r="D140" s="151"/>
      <c r="E140" s="151"/>
      <c r="F140" s="151"/>
      <c r="G140" s="151"/>
      <c r="H140" s="151"/>
      <c r="I140" s="151"/>
      <c r="J140" s="151"/>
      <c r="K140" s="151"/>
      <c r="L140" s="1210"/>
      <c r="M140" s="151"/>
      <c r="N140" s="23"/>
    </row>
    <row r="141" spans="2:14" s="312" customFormat="1" x14ac:dyDescent="0.25">
      <c r="B141" s="151"/>
      <c r="C141" s="151"/>
      <c r="D141" s="151"/>
      <c r="E141" s="151"/>
      <c r="F141" s="151"/>
      <c r="G141" s="151"/>
      <c r="H141" s="151"/>
      <c r="I141" s="151"/>
      <c r="J141" s="151"/>
      <c r="K141" s="151"/>
      <c r="L141" s="1210"/>
      <c r="M141" s="151"/>
      <c r="N141" s="23"/>
    </row>
    <row r="142" spans="2:14" s="312" customFormat="1" x14ac:dyDescent="0.25">
      <c r="B142" s="151"/>
      <c r="C142" s="151"/>
      <c r="D142" s="151"/>
      <c r="E142" s="151"/>
      <c r="F142" s="151"/>
      <c r="G142" s="151"/>
      <c r="H142" s="151"/>
      <c r="I142" s="151"/>
      <c r="J142" s="151"/>
      <c r="K142" s="151"/>
      <c r="L142" s="1210"/>
      <c r="M142" s="151"/>
      <c r="N142" s="23"/>
    </row>
    <row r="143" spans="2:14" s="312" customFormat="1" x14ac:dyDescent="0.25">
      <c r="B143" s="151"/>
      <c r="C143" s="151"/>
      <c r="D143" s="151"/>
      <c r="E143" s="151"/>
      <c r="F143" s="151"/>
      <c r="G143" s="151"/>
      <c r="H143" s="151"/>
      <c r="I143" s="151"/>
      <c r="J143" s="151"/>
      <c r="K143" s="151"/>
      <c r="L143" s="1210"/>
      <c r="M143" s="151"/>
      <c r="N143" s="23"/>
    </row>
    <row r="144" spans="2:14" s="312" customFormat="1" x14ac:dyDescent="0.25">
      <c r="B144" s="151"/>
      <c r="C144" s="151"/>
      <c r="D144" s="151"/>
      <c r="E144" s="151"/>
      <c r="F144" s="151"/>
      <c r="G144" s="151"/>
      <c r="H144" s="151"/>
      <c r="I144" s="151"/>
      <c r="J144" s="151"/>
      <c r="K144" s="151"/>
      <c r="L144" s="1210"/>
      <c r="M144" s="151"/>
      <c r="N144" s="23"/>
    </row>
    <row r="145" spans="2:14" s="312" customFormat="1" x14ac:dyDescent="0.25">
      <c r="B145" s="151"/>
      <c r="C145" s="151"/>
      <c r="D145" s="151"/>
      <c r="E145" s="151"/>
      <c r="F145" s="151"/>
      <c r="G145" s="151"/>
      <c r="H145" s="151"/>
      <c r="I145" s="151"/>
      <c r="J145" s="151"/>
      <c r="K145" s="151"/>
      <c r="L145" s="1210"/>
      <c r="M145" s="151"/>
      <c r="N145" s="23"/>
    </row>
    <row r="146" spans="2:14" s="312" customFormat="1" x14ac:dyDescent="0.25">
      <c r="B146" s="151"/>
      <c r="C146" s="151"/>
      <c r="D146" s="151"/>
      <c r="E146" s="151"/>
      <c r="F146" s="151"/>
      <c r="G146" s="151"/>
      <c r="H146" s="151"/>
      <c r="I146" s="151"/>
      <c r="J146" s="151"/>
      <c r="K146" s="151"/>
      <c r="L146" s="1210"/>
      <c r="M146" s="151"/>
      <c r="N146" s="23"/>
    </row>
    <row r="147" spans="2:14" s="312" customFormat="1" x14ac:dyDescent="0.25">
      <c r="B147" s="151"/>
      <c r="C147" s="151"/>
      <c r="D147" s="151"/>
      <c r="E147" s="151"/>
      <c r="F147" s="151"/>
      <c r="G147" s="151"/>
      <c r="H147" s="151"/>
      <c r="I147" s="151"/>
      <c r="J147" s="151"/>
      <c r="K147" s="151"/>
      <c r="L147" s="1210"/>
      <c r="M147" s="151"/>
      <c r="N147" s="23"/>
    </row>
    <row r="148" spans="2:14" s="312" customFormat="1" x14ac:dyDescent="0.25">
      <c r="B148" s="151"/>
      <c r="C148" s="151"/>
      <c r="D148" s="151"/>
      <c r="E148" s="151"/>
      <c r="F148" s="151"/>
      <c r="G148" s="151"/>
      <c r="H148" s="151"/>
      <c r="I148" s="151"/>
      <c r="J148" s="151"/>
      <c r="K148" s="151"/>
      <c r="L148" s="1210"/>
      <c r="M148" s="151"/>
      <c r="N148" s="23"/>
    </row>
    <row r="149" spans="2:14" s="312" customFormat="1" x14ac:dyDescent="0.25">
      <c r="B149" s="151"/>
      <c r="C149" s="151"/>
      <c r="D149" s="151"/>
      <c r="E149" s="151"/>
      <c r="F149" s="151"/>
      <c r="G149" s="151"/>
      <c r="H149" s="151"/>
      <c r="I149" s="151"/>
      <c r="J149" s="151"/>
      <c r="K149" s="151"/>
      <c r="L149" s="1210"/>
      <c r="M149" s="151"/>
      <c r="N149" s="23"/>
    </row>
    <row r="150" spans="2:14" s="312" customFormat="1" x14ac:dyDescent="0.25">
      <c r="B150" s="151"/>
      <c r="C150" s="151"/>
      <c r="D150" s="151"/>
      <c r="E150" s="151"/>
      <c r="F150" s="151"/>
      <c r="G150" s="151"/>
      <c r="H150" s="151"/>
      <c r="I150" s="151"/>
      <c r="J150" s="151"/>
      <c r="K150" s="151"/>
      <c r="L150" s="1210"/>
      <c r="M150" s="151"/>
      <c r="N150" s="23"/>
    </row>
    <row r="151" spans="2:14" s="312" customFormat="1" x14ac:dyDescent="0.25">
      <c r="B151" s="151"/>
      <c r="C151" s="151"/>
      <c r="D151" s="151"/>
      <c r="E151" s="151"/>
      <c r="F151" s="151"/>
      <c r="G151" s="151"/>
      <c r="H151" s="151"/>
      <c r="I151" s="151"/>
      <c r="J151" s="151"/>
      <c r="K151" s="151"/>
      <c r="L151" s="1210"/>
      <c r="M151" s="151"/>
      <c r="N151" s="23"/>
    </row>
    <row r="152" spans="2:14" s="312" customFormat="1" x14ac:dyDescent="0.25">
      <c r="B152" s="151"/>
      <c r="C152" s="151"/>
      <c r="D152" s="151"/>
      <c r="E152" s="151"/>
      <c r="F152" s="151"/>
      <c r="G152" s="151"/>
      <c r="H152" s="151"/>
      <c r="I152" s="151"/>
      <c r="J152" s="151"/>
      <c r="K152" s="151"/>
      <c r="L152" s="1210"/>
      <c r="M152" s="151"/>
      <c r="N152" s="23"/>
    </row>
    <row r="153" spans="2:14" s="312" customFormat="1" x14ac:dyDescent="0.25">
      <c r="B153" s="151"/>
      <c r="C153" s="151"/>
      <c r="D153" s="151"/>
      <c r="E153" s="151"/>
      <c r="F153" s="151"/>
      <c r="G153" s="151"/>
      <c r="H153" s="151"/>
      <c r="I153" s="151"/>
      <c r="J153" s="151"/>
      <c r="K153" s="151"/>
      <c r="L153" s="1210"/>
      <c r="M153" s="151"/>
      <c r="N153" s="23"/>
    </row>
    <row r="154" spans="2:14" s="312" customFormat="1" x14ac:dyDescent="0.25">
      <c r="B154" s="151"/>
      <c r="C154" s="151"/>
      <c r="D154" s="151"/>
      <c r="E154" s="151"/>
      <c r="F154" s="151"/>
      <c r="G154" s="151"/>
      <c r="H154" s="151"/>
      <c r="I154" s="151"/>
      <c r="J154" s="151"/>
      <c r="K154" s="151"/>
      <c r="L154" s="1210"/>
      <c r="M154" s="151"/>
      <c r="N154" s="23"/>
    </row>
    <row r="155" spans="2:14" s="312" customFormat="1" x14ac:dyDescent="0.25">
      <c r="B155" s="151"/>
      <c r="C155" s="151"/>
      <c r="D155" s="151"/>
      <c r="E155" s="151"/>
      <c r="F155" s="151"/>
      <c r="G155" s="151"/>
      <c r="H155" s="151"/>
      <c r="I155" s="151"/>
      <c r="J155" s="151"/>
      <c r="K155" s="151"/>
      <c r="L155" s="1210"/>
      <c r="M155" s="151"/>
      <c r="N155" s="23"/>
    </row>
    <row r="156" spans="2:14" s="312" customFormat="1" x14ac:dyDescent="0.25">
      <c r="B156" s="151"/>
      <c r="C156" s="151"/>
      <c r="D156" s="151"/>
      <c r="E156" s="151"/>
      <c r="F156" s="151"/>
      <c r="G156" s="151"/>
      <c r="H156" s="151"/>
      <c r="I156" s="151"/>
      <c r="J156" s="151"/>
      <c r="K156" s="151"/>
      <c r="L156" s="1210"/>
      <c r="M156" s="151"/>
      <c r="N156" s="23"/>
    </row>
    <row r="157" spans="2:14" s="312" customFormat="1" x14ac:dyDescent="0.25">
      <c r="B157" s="151"/>
      <c r="C157" s="151"/>
      <c r="D157" s="151"/>
      <c r="E157" s="151"/>
      <c r="F157" s="151"/>
      <c r="G157" s="151"/>
      <c r="H157" s="151"/>
      <c r="I157" s="151"/>
      <c r="J157" s="151"/>
      <c r="K157" s="151"/>
      <c r="L157" s="1210"/>
      <c r="M157" s="151"/>
      <c r="N157" s="23"/>
    </row>
    <row r="158" spans="2:14" s="312" customFormat="1" x14ac:dyDescent="0.25">
      <c r="B158" s="151"/>
      <c r="C158" s="151"/>
      <c r="D158" s="151"/>
      <c r="E158" s="151"/>
      <c r="F158" s="151"/>
      <c r="G158" s="151"/>
      <c r="H158" s="151"/>
      <c r="I158" s="151"/>
      <c r="J158" s="151"/>
      <c r="K158" s="151"/>
      <c r="L158" s="1210"/>
      <c r="M158" s="151"/>
      <c r="N158" s="23"/>
    </row>
    <row r="159" spans="2:14" s="312" customFormat="1" x14ac:dyDescent="0.25">
      <c r="B159" s="151"/>
      <c r="C159" s="151"/>
      <c r="D159" s="151"/>
      <c r="E159" s="151"/>
      <c r="F159" s="151"/>
      <c r="G159" s="151"/>
      <c r="H159" s="151"/>
      <c r="I159" s="151"/>
      <c r="J159" s="151"/>
      <c r="K159" s="151"/>
      <c r="L159" s="1210"/>
      <c r="M159" s="151"/>
      <c r="N159" s="23"/>
    </row>
    <row r="160" spans="2:14" s="312" customFormat="1" x14ac:dyDescent="0.25">
      <c r="B160" s="151"/>
      <c r="C160" s="151"/>
      <c r="D160" s="151"/>
      <c r="E160" s="151"/>
      <c r="F160" s="151"/>
      <c r="G160" s="151"/>
      <c r="H160" s="151"/>
      <c r="I160" s="151"/>
      <c r="J160" s="151"/>
      <c r="K160" s="151"/>
      <c r="L160" s="1210"/>
      <c r="M160" s="151"/>
      <c r="N160" s="23"/>
    </row>
    <row r="161" spans="2:14" s="312" customFormat="1" x14ac:dyDescent="0.25">
      <c r="B161" s="151"/>
      <c r="C161" s="151"/>
      <c r="D161" s="151"/>
      <c r="E161" s="151"/>
      <c r="F161" s="151"/>
      <c r="G161" s="151"/>
      <c r="H161" s="151"/>
      <c r="I161" s="151"/>
      <c r="J161" s="151"/>
      <c r="K161" s="151"/>
      <c r="L161" s="1210"/>
      <c r="M161" s="151"/>
      <c r="N161" s="23"/>
    </row>
    <row r="162" spans="2:14" s="312" customFormat="1" x14ac:dyDescent="0.25">
      <c r="B162" s="151"/>
      <c r="C162" s="151"/>
      <c r="D162" s="151"/>
      <c r="E162" s="151"/>
      <c r="F162" s="151"/>
      <c r="G162" s="151"/>
      <c r="H162" s="151"/>
      <c r="I162" s="151"/>
      <c r="J162" s="151"/>
      <c r="K162" s="151"/>
      <c r="L162" s="1210"/>
      <c r="M162" s="151"/>
      <c r="N162" s="23"/>
    </row>
    <row r="163" spans="2:14" s="312" customFormat="1" x14ac:dyDescent="0.25">
      <c r="B163" s="151"/>
      <c r="C163" s="151"/>
      <c r="D163" s="151"/>
      <c r="E163" s="151"/>
      <c r="F163" s="151"/>
      <c r="G163" s="151"/>
      <c r="H163" s="151"/>
      <c r="I163" s="151"/>
      <c r="J163" s="151"/>
      <c r="K163" s="151"/>
      <c r="L163" s="1210"/>
      <c r="M163" s="151"/>
      <c r="N163" s="23"/>
    </row>
    <row r="164" spans="2:14" s="312" customFormat="1" x14ac:dyDescent="0.25">
      <c r="B164" s="151"/>
      <c r="C164" s="151"/>
      <c r="D164" s="151"/>
      <c r="E164" s="151"/>
      <c r="F164" s="151"/>
      <c r="G164" s="151"/>
      <c r="H164" s="151"/>
      <c r="I164" s="151"/>
      <c r="J164" s="151"/>
      <c r="K164" s="151"/>
      <c r="L164" s="1210"/>
      <c r="M164" s="151"/>
      <c r="N164" s="23"/>
    </row>
    <row r="165" spans="2:14" s="312" customFormat="1" x14ac:dyDescent="0.25">
      <c r="B165" s="151"/>
      <c r="C165" s="151"/>
      <c r="D165" s="151"/>
      <c r="E165" s="151"/>
      <c r="F165" s="151"/>
      <c r="G165" s="151"/>
      <c r="H165" s="151"/>
      <c r="I165" s="151"/>
      <c r="J165" s="151"/>
      <c r="K165" s="151"/>
      <c r="L165" s="1210"/>
      <c r="M165" s="151"/>
      <c r="N165" s="23"/>
    </row>
    <row r="166" spans="2:14" s="312" customFormat="1" x14ac:dyDescent="0.25">
      <c r="B166" s="151"/>
      <c r="C166" s="151"/>
      <c r="D166" s="151"/>
      <c r="E166" s="151"/>
      <c r="F166" s="151"/>
      <c r="G166" s="151"/>
      <c r="H166" s="151"/>
      <c r="I166" s="151"/>
      <c r="J166" s="151"/>
      <c r="K166" s="151"/>
      <c r="L166" s="1210"/>
      <c r="M166" s="151"/>
      <c r="N166" s="23"/>
    </row>
    <row r="167" spans="2:14" s="312" customFormat="1" x14ac:dyDescent="0.25">
      <c r="B167" s="151"/>
      <c r="C167" s="151"/>
      <c r="D167" s="151"/>
      <c r="E167" s="151"/>
      <c r="F167" s="151"/>
      <c r="G167" s="151"/>
      <c r="H167" s="151"/>
      <c r="I167" s="151"/>
      <c r="J167" s="151"/>
      <c r="K167" s="151"/>
      <c r="L167" s="1210"/>
      <c r="M167" s="151"/>
      <c r="N167" s="23"/>
    </row>
    <row r="168" spans="2:14" s="312" customFormat="1" x14ac:dyDescent="0.25">
      <c r="B168" s="151"/>
      <c r="C168" s="151"/>
      <c r="D168" s="151"/>
      <c r="E168" s="151"/>
      <c r="F168" s="151"/>
      <c r="G168" s="151"/>
      <c r="H168" s="151"/>
      <c r="I168" s="151"/>
      <c r="J168" s="151"/>
      <c r="K168" s="151"/>
      <c r="L168" s="1210"/>
      <c r="M168" s="151"/>
      <c r="N168" s="23"/>
    </row>
    <row r="169" spans="2:14" s="312" customFormat="1" x14ac:dyDescent="0.25">
      <c r="B169" s="151"/>
      <c r="C169" s="151"/>
      <c r="D169" s="151"/>
      <c r="E169" s="151"/>
      <c r="F169" s="151"/>
      <c r="G169" s="151"/>
      <c r="H169" s="151"/>
      <c r="I169" s="151"/>
      <c r="J169" s="151"/>
      <c r="K169" s="151"/>
      <c r="L169" s="1210"/>
      <c r="M169" s="151"/>
      <c r="N169" s="23"/>
    </row>
    <row r="170" spans="2:14" s="312" customFormat="1" x14ac:dyDescent="0.25">
      <c r="B170" s="151"/>
      <c r="C170" s="151"/>
      <c r="D170" s="151"/>
      <c r="E170" s="151"/>
      <c r="F170" s="151"/>
      <c r="G170" s="151"/>
      <c r="H170" s="151"/>
      <c r="I170" s="151"/>
      <c r="J170" s="151"/>
      <c r="K170" s="151"/>
      <c r="L170" s="1210"/>
      <c r="M170" s="151"/>
      <c r="N170" s="23"/>
    </row>
    <row r="171" spans="2:14" s="312" customFormat="1" x14ac:dyDescent="0.25">
      <c r="B171" s="151"/>
      <c r="C171" s="151"/>
      <c r="D171" s="151"/>
      <c r="E171" s="151"/>
      <c r="F171" s="151"/>
      <c r="G171" s="151"/>
      <c r="H171" s="151"/>
      <c r="I171" s="151"/>
      <c r="J171" s="151"/>
      <c r="K171" s="151"/>
      <c r="L171" s="1210"/>
      <c r="M171" s="151"/>
      <c r="N171" s="23"/>
    </row>
    <row r="172" spans="2:14" s="312" customFormat="1" x14ac:dyDescent="0.25">
      <c r="B172" s="151"/>
      <c r="C172" s="151"/>
      <c r="D172" s="151"/>
      <c r="E172" s="151"/>
      <c r="F172" s="151"/>
      <c r="G172" s="151"/>
      <c r="H172" s="151"/>
      <c r="I172" s="151"/>
      <c r="J172" s="151"/>
      <c r="K172" s="151"/>
      <c r="L172" s="1210"/>
      <c r="M172" s="151"/>
      <c r="N172" s="23"/>
    </row>
    <row r="173" spans="2:14" s="312" customFormat="1" x14ac:dyDescent="0.25">
      <c r="B173" s="151"/>
      <c r="C173" s="151"/>
      <c r="D173" s="151"/>
      <c r="E173" s="151"/>
      <c r="F173" s="151"/>
      <c r="G173" s="151"/>
      <c r="H173" s="151"/>
      <c r="I173" s="151"/>
      <c r="J173" s="151"/>
      <c r="K173" s="151"/>
      <c r="L173" s="1210"/>
      <c r="M173" s="151"/>
      <c r="N173" s="23"/>
    </row>
    <row r="174" spans="2:14" s="312" customFormat="1" x14ac:dyDescent="0.25">
      <c r="B174" s="151"/>
      <c r="C174" s="151"/>
      <c r="D174" s="151"/>
      <c r="E174" s="151"/>
      <c r="F174" s="151"/>
      <c r="G174" s="151"/>
      <c r="H174" s="151"/>
      <c r="I174" s="151"/>
      <c r="J174" s="151"/>
      <c r="K174" s="151"/>
      <c r="L174" s="1210"/>
      <c r="M174" s="151"/>
      <c r="N174" s="23"/>
    </row>
    <row r="175" spans="2:14" s="312" customFormat="1" x14ac:dyDescent="0.25">
      <c r="B175" s="151"/>
      <c r="C175" s="151"/>
      <c r="D175" s="151"/>
      <c r="E175" s="151"/>
      <c r="F175" s="151"/>
      <c r="G175" s="151"/>
      <c r="H175" s="151"/>
      <c r="I175" s="151"/>
      <c r="J175" s="151"/>
      <c r="K175" s="151"/>
      <c r="L175" s="1210"/>
      <c r="M175" s="151"/>
      <c r="N175" s="23"/>
    </row>
    <row r="176" spans="2:14" s="312" customFormat="1" x14ac:dyDescent="0.25">
      <c r="B176" s="151"/>
      <c r="C176" s="151"/>
      <c r="D176" s="151"/>
      <c r="E176" s="151"/>
      <c r="F176" s="151"/>
      <c r="G176" s="151"/>
      <c r="H176" s="151"/>
      <c r="I176" s="151"/>
      <c r="J176" s="151"/>
      <c r="K176" s="151"/>
      <c r="L176" s="1210"/>
      <c r="M176" s="151"/>
      <c r="N176" s="23"/>
    </row>
    <row r="177" spans="2:14" s="312" customFormat="1" x14ac:dyDescent="0.25">
      <c r="B177" s="151"/>
      <c r="C177" s="151"/>
      <c r="D177" s="151"/>
      <c r="E177" s="151"/>
      <c r="F177" s="151"/>
      <c r="G177" s="151"/>
      <c r="H177" s="151"/>
      <c r="I177" s="151"/>
      <c r="J177" s="151"/>
      <c r="K177" s="151"/>
      <c r="L177" s="1210"/>
      <c r="M177" s="151"/>
      <c r="N177" s="23"/>
    </row>
    <row r="178" spans="2:14" s="312" customFormat="1" x14ac:dyDescent="0.25">
      <c r="B178" s="151"/>
      <c r="C178" s="151"/>
      <c r="D178" s="151"/>
      <c r="E178" s="151"/>
      <c r="F178" s="151"/>
      <c r="G178" s="151"/>
      <c r="H178" s="151"/>
      <c r="I178" s="151"/>
      <c r="J178" s="151"/>
      <c r="K178" s="151"/>
      <c r="L178" s="1210"/>
      <c r="M178" s="151"/>
      <c r="N178" s="23"/>
    </row>
    <row r="179" spans="2:14" s="312" customFormat="1" x14ac:dyDescent="0.25">
      <c r="B179" s="151"/>
      <c r="C179" s="151"/>
      <c r="D179" s="151"/>
      <c r="E179" s="151"/>
      <c r="F179" s="151"/>
      <c r="G179" s="151"/>
      <c r="H179" s="151"/>
      <c r="I179" s="151"/>
      <c r="J179" s="151"/>
      <c r="K179" s="151"/>
      <c r="L179" s="1210"/>
      <c r="M179" s="151"/>
      <c r="N179" s="23"/>
    </row>
    <row r="180" spans="2:14" s="312" customFormat="1" x14ac:dyDescent="0.25">
      <c r="B180" s="151"/>
      <c r="C180" s="151"/>
      <c r="D180" s="151"/>
      <c r="E180" s="151"/>
      <c r="F180" s="151"/>
      <c r="G180" s="151"/>
      <c r="H180" s="151"/>
      <c r="I180" s="151"/>
      <c r="J180" s="151"/>
      <c r="K180" s="151"/>
      <c r="L180" s="1210"/>
      <c r="M180" s="151"/>
      <c r="N180" s="23"/>
    </row>
    <row r="181" spans="2:14" s="312" customFormat="1" x14ac:dyDescent="0.25">
      <c r="B181" s="151"/>
      <c r="C181" s="151"/>
      <c r="D181" s="151"/>
      <c r="E181" s="151"/>
      <c r="F181" s="151"/>
      <c r="G181" s="151"/>
      <c r="H181" s="151"/>
      <c r="I181" s="151"/>
      <c r="J181" s="151"/>
      <c r="K181" s="151"/>
      <c r="L181" s="1210"/>
      <c r="M181" s="151"/>
      <c r="N181" s="23"/>
    </row>
    <row r="182" spans="2:14" s="312" customFormat="1" x14ac:dyDescent="0.25">
      <c r="B182" s="151"/>
      <c r="C182" s="151"/>
      <c r="D182" s="151"/>
      <c r="E182" s="151"/>
      <c r="F182" s="151"/>
      <c r="G182" s="151"/>
      <c r="H182" s="151"/>
      <c r="I182" s="151"/>
      <c r="J182" s="151"/>
      <c r="K182" s="151"/>
      <c r="L182" s="1210"/>
      <c r="M182" s="151"/>
      <c r="N182" s="23"/>
    </row>
    <row r="183" spans="2:14" s="312" customFormat="1" x14ac:dyDescent="0.25">
      <c r="B183" s="151"/>
      <c r="C183" s="151"/>
      <c r="D183" s="151"/>
      <c r="E183" s="151"/>
      <c r="F183" s="151"/>
      <c r="G183" s="151"/>
      <c r="H183" s="151"/>
      <c r="I183" s="151"/>
      <c r="J183" s="151"/>
      <c r="K183" s="151"/>
      <c r="L183" s="1210"/>
      <c r="M183" s="151"/>
      <c r="N183" s="23"/>
    </row>
    <row r="184" spans="2:14" s="312" customFormat="1" x14ac:dyDescent="0.25">
      <c r="B184" s="151"/>
      <c r="C184" s="151"/>
      <c r="D184" s="151"/>
      <c r="E184" s="151"/>
      <c r="F184" s="151"/>
      <c r="G184" s="151"/>
      <c r="H184" s="151"/>
      <c r="I184" s="151"/>
      <c r="J184" s="151"/>
      <c r="K184" s="151"/>
      <c r="L184" s="1210"/>
      <c r="M184" s="151"/>
      <c r="N184" s="23"/>
    </row>
    <row r="185" spans="2:14" s="312" customFormat="1" x14ac:dyDescent="0.25">
      <c r="B185" s="151"/>
      <c r="C185" s="151"/>
      <c r="D185" s="151"/>
      <c r="E185" s="151"/>
      <c r="F185" s="151"/>
      <c r="G185" s="151"/>
      <c r="H185" s="151"/>
      <c r="I185" s="151"/>
      <c r="J185" s="151"/>
      <c r="K185" s="151"/>
      <c r="L185" s="1210"/>
      <c r="M185" s="151"/>
      <c r="N185" s="23"/>
    </row>
    <row r="186" spans="2:14" s="312" customFormat="1" x14ac:dyDescent="0.25">
      <c r="B186" s="151"/>
      <c r="C186" s="151"/>
      <c r="D186" s="151"/>
      <c r="E186" s="151"/>
      <c r="F186" s="151"/>
      <c r="G186" s="151"/>
      <c r="H186" s="151"/>
      <c r="I186" s="151"/>
      <c r="J186" s="151"/>
      <c r="K186" s="151"/>
      <c r="L186" s="1210"/>
      <c r="M186" s="151"/>
      <c r="N186" s="23"/>
    </row>
    <row r="187" spans="2:14" s="312" customFormat="1" x14ac:dyDescent="0.25">
      <c r="B187" s="151"/>
      <c r="C187" s="151"/>
      <c r="D187" s="151"/>
      <c r="E187" s="151"/>
      <c r="F187" s="151"/>
      <c r="G187" s="151"/>
      <c r="H187" s="151"/>
      <c r="I187" s="151"/>
      <c r="J187" s="151"/>
      <c r="K187" s="151"/>
      <c r="L187" s="1210"/>
      <c r="M187" s="151"/>
      <c r="N187" s="23"/>
    </row>
    <row r="188" spans="2:14" s="312" customFormat="1" x14ac:dyDescent="0.25">
      <c r="B188" s="151"/>
      <c r="C188" s="151"/>
      <c r="D188" s="151"/>
      <c r="E188" s="151"/>
      <c r="F188" s="151"/>
      <c r="G188" s="151"/>
      <c r="H188" s="151"/>
      <c r="I188" s="151"/>
      <c r="J188" s="151"/>
      <c r="K188" s="151"/>
      <c r="L188" s="1210"/>
      <c r="M188" s="151"/>
      <c r="N188" s="23"/>
    </row>
  </sheetData>
  <sheetProtection password="C935" sheet="1" objects="1" scenarios="1" formatCells="0"/>
  <mergeCells count="172">
    <mergeCell ref="B98:L98"/>
    <mergeCell ref="AA110:AA113"/>
    <mergeCell ref="O106:O108"/>
    <mergeCell ref="Q106:R106"/>
    <mergeCell ref="S106:T106"/>
    <mergeCell ref="Q107:R107"/>
    <mergeCell ref="S107:T107"/>
    <mergeCell ref="AA107:AA109"/>
    <mergeCell ref="Q108:R108"/>
    <mergeCell ref="S108:T108"/>
    <mergeCell ref="O109:W109"/>
    <mergeCell ref="O103:W103"/>
    <mergeCell ref="O104:O105"/>
    <mergeCell ref="Q104:R105"/>
    <mergeCell ref="S104:U104"/>
    <mergeCell ref="V104:W104"/>
    <mergeCell ref="X104:X105"/>
    <mergeCell ref="S105:T105"/>
    <mergeCell ref="Q99:R99"/>
    <mergeCell ref="S99:T99"/>
    <mergeCell ref="O100:W100"/>
    <mergeCell ref="O101:W101"/>
    <mergeCell ref="O102:X102"/>
    <mergeCell ref="O96:O98"/>
    <mergeCell ref="Q96:R96"/>
    <mergeCell ref="S96:T96"/>
    <mergeCell ref="Q97:R97"/>
    <mergeCell ref="S97:T97"/>
    <mergeCell ref="Q98:R98"/>
    <mergeCell ref="S98:T98"/>
    <mergeCell ref="B77:E77"/>
    <mergeCell ref="O77:W77"/>
    <mergeCell ref="O79:X79"/>
    <mergeCell ref="Q95:R95"/>
    <mergeCell ref="S95:T95"/>
    <mergeCell ref="B78:E78"/>
    <mergeCell ref="O78:W78"/>
    <mergeCell ref="F84:G84"/>
    <mergeCell ref="B85:D85"/>
    <mergeCell ref="B84:D84"/>
    <mergeCell ref="B86:D86"/>
    <mergeCell ref="B87:D87"/>
    <mergeCell ref="B88:D88"/>
    <mergeCell ref="B89:D89"/>
    <mergeCell ref="B90:D90"/>
    <mergeCell ref="B91:D91"/>
    <mergeCell ref="F85:G85"/>
    <mergeCell ref="F86:G86"/>
    <mergeCell ref="F87:G87"/>
    <mergeCell ref="F88:G88"/>
    <mergeCell ref="B68:E68"/>
    <mergeCell ref="B71:B75"/>
    <mergeCell ref="C71:C75"/>
    <mergeCell ref="D75:E75"/>
    <mergeCell ref="B76:E76"/>
    <mergeCell ref="D58:E58"/>
    <mergeCell ref="B59:E59"/>
    <mergeCell ref="D74:E74"/>
    <mergeCell ref="B69:E69"/>
    <mergeCell ref="O76:W76"/>
    <mergeCell ref="S59:T59"/>
    <mergeCell ref="B61:B67"/>
    <mergeCell ref="C61:C67"/>
    <mergeCell ref="D61:E61"/>
    <mergeCell ref="D65:E65"/>
    <mergeCell ref="D66:E66"/>
    <mergeCell ref="D67:E67"/>
    <mergeCell ref="O57:O59"/>
    <mergeCell ref="C57:C58"/>
    <mergeCell ref="D57:E57"/>
    <mergeCell ref="D60:E60"/>
    <mergeCell ref="D63:E63"/>
    <mergeCell ref="D64:E64"/>
    <mergeCell ref="D62:E62"/>
    <mergeCell ref="O55:O56"/>
    <mergeCell ref="Q55:R55"/>
    <mergeCell ref="S55:T55"/>
    <mergeCell ref="D56:E56"/>
    <mergeCell ref="Q56:R56"/>
    <mergeCell ref="S56:T56"/>
    <mergeCell ref="Q59:R59"/>
    <mergeCell ref="D70:E70"/>
    <mergeCell ref="D71:D73"/>
    <mergeCell ref="O69:W69"/>
    <mergeCell ref="D36:D37"/>
    <mergeCell ref="D38:E38"/>
    <mergeCell ref="S38:T38"/>
    <mergeCell ref="B34:E34"/>
    <mergeCell ref="B36:B41"/>
    <mergeCell ref="C36:C39"/>
    <mergeCell ref="D35:E35"/>
    <mergeCell ref="D44:D45"/>
    <mergeCell ref="D39:E39"/>
    <mergeCell ref="S39:T39"/>
    <mergeCell ref="C40:C41"/>
    <mergeCell ref="D40:E40"/>
    <mergeCell ref="S40:T40"/>
    <mergeCell ref="D41:E41"/>
    <mergeCell ref="S41:T41"/>
    <mergeCell ref="B42:E42"/>
    <mergeCell ref="O42:W42"/>
    <mergeCell ref="D43:E43"/>
    <mergeCell ref="D17:E17"/>
    <mergeCell ref="D18:E18"/>
    <mergeCell ref="B19:E19"/>
    <mergeCell ref="B21:B25"/>
    <mergeCell ref="C21:C23"/>
    <mergeCell ref="D23:E23"/>
    <mergeCell ref="C24:C25"/>
    <mergeCell ref="D24:E24"/>
    <mergeCell ref="D25:E25"/>
    <mergeCell ref="C11:I11"/>
    <mergeCell ref="B2:M3"/>
    <mergeCell ref="B5:M5"/>
    <mergeCell ref="H6:M6"/>
    <mergeCell ref="H7:M7"/>
    <mergeCell ref="H8:M8"/>
    <mergeCell ref="H9:M9"/>
    <mergeCell ref="C6:F6"/>
    <mergeCell ref="C7:F7"/>
    <mergeCell ref="C8:F8"/>
    <mergeCell ref="C9:F9"/>
    <mergeCell ref="C10:F10"/>
    <mergeCell ref="H10:U10"/>
    <mergeCell ref="F91:G91"/>
    <mergeCell ref="D52:E52"/>
    <mergeCell ref="S52:T52"/>
    <mergeCell ref="D46:E46"/>
    <mergeCell ref="Q46:R46"/>
    <mergeCell ref="S46:T46"/>
    <mergeCell ref="B44:B52"/>
    <mergeCell ref="C44:C52"/>
    <mergeCell ref="D49:E49"/>
    <mergeCell ref="O49:W49"/>
    <mergeCell ref="Q48:R48"/>
    <mergeCell ref="S48:T48"/>
    <mergeCell ref="D50:E50"/>
    <mergeCell ref="O50:W50"/>
    <mergeCell ref="D51:E51"/>
    <mergeCell ref="O51:W51"/>
    <mergeCell ref="D47:E47"/>
    <mergeCell ref="O47:O48"/>
    <mergeCell ref="B53:E53"/>
    <mergeCell ref="O53:X53"/>
    <mergeCell ref="B55:B58"/>
    <mergeCell ref="C55:C56"/>
    <mergeCell ref="D54:E54"/>
    <mergeCell ref="D55:E55"/>
    <mergeCell ref="Q47:R47"/>
    <mergeCell ref="S47:T47"/>
    <mergeCell ref="D48:E48"/>
    <mergeCell ref="B12:K12"/>
    <mergeCell ref="D20:E20"/>
    <mergeCell ref="D13:E13"/>
    <mergeCell ref="F89:G89"/>
    <mergeCell ref="F90:G90"/>
    <mergeCell ref="B83:G83"/>
    <mergeCell ref="D27:E27"/>
    <mergeCell ref="D14:D15"/>
    <mergeCell ref="D21:D22"/>
    <mergeCell ref="D28:D29"/>
    <mergeCell ref="D31:D32"/>
    <mergeCell ref="B26:E26"/>
    <mergeCell ref="B28:B33"/>
    <mergeCell ref="C28:C30"/>
    <mergeCell ref="D30:E30"/>
    <mergeCell ref="C31:C33"/>
    <mergeCell ref="D33:E33"/>
    <mergeCell ref="B14:B18"/>
    <mergeCell ref="C14:C16"/>
    <mergeCell ref="D16:E16"/>
    <mergeCell ref="C17:C18"/>
  </mergeCells>
  <dataValidations disablePrompts="1" count="7">
    <dataValidation type="list" allowBlank="1" showInputMessage="1" showErrorMessage="1" sqref="Q71:R75 WMC61:WMD68 WVY71:WVZ75 WVY61:WVZ68 Q61:R68 JM61:JN68 TI61:TJ68 ADE61:ADF68 ANA61:ANB68 AWW61:AWX68 BGS61:BGT68 BQO61:BQP68 CAK61:CAL68 CKG61:CKH68 CUC61:CUD68 DDY61:DDZ68 DNU61:DNV68 DXQ61:DXR68 EHM61:EHN68 ERI61:ERJ68 FBE61:FBF68 FLA61:FLB68 FUW61:FUX68 GES61:GET68 GOO61:GOP68 GYK61:GYL68 HIG61:HIH68 HSC61:HSD68 IBY61:IBZ68 ILU61:ILV68 IVQ61:IVR68 JFM61:JFN68 JPI61:JPJ68 JZE61:JZF68 KJA61:KJB68 KSW61:KSX68 LCS61:LCT68 LMO61:LMP68 LWK61:LWL68 MGG61:MGH68 MQC61:MQD68 MZY61:MZZ68 NJU61:NJV68 NTQ61:NTR68 ODM61:ODN68 ONI61:ONJ68 OXE61:OXF68 PHA61:PHB68 PQW61:PQX68 QAS61:QAT68 QKO61:QKP68 QUK61:QUL68 REG61:REH68 ROC61:ROD68 RXY61:RXZ68 SHU61:SHV68 SRQ61:SRR68 TBM61:TBN68 TLI61:TLJ68 TVE61:TVF68 UFA61:UFB68 UOW61:UOX68 UYS61:UYT68 VIO61:VIP68 VSK61:VSL68 WCG61:WCH68 WMC983115:WMD983127 WCG983115:WCH983127 VSK983115:VSL983127 VIO983115:VIP983127 UYS983115:UYT983127 UOW983115:UOX983127 UFA983115:UFB983127 TVE983115:TVF983127 TLI983115:TLJ983127 TBM983115:TBN983127 SRQ983115:SRR983127 SHU983115:SHV983127 RXY983115:RXZ983127 ROC983115:ROD983127 REG983115:REH983127 QUK983115:QUL983127 QKO983115:QKP983127 QAS983115:QAT983127 PQW983115:PQX983127 PHA983115:PHB983127 OXE983115:OXF983127 ONI983115:ONJ983127 ODM983115:ODN983127 NTQ983115:NTR983127 NJU983115:NJV983127 MZY983115:MZZ983127 MQC983115:MQD983127 MGG983115:MGH983127 LWK983115:LWL983127 LMO983115:LMP983127 LCS983115:LCT983127 KSW983115:KSX983127 KJA983115:KJB983127 JZE983115:JZF983127 JPI983115:JPJ983127 JFM983115:JFN983127 IVQ983115:IVR983127 ILU983115:ILV983127 IBY983115:IBZ983127 HSC983115:HSD983127 HIG983115:HIH983127 GYK983115:GYL983127 GOO983115:GOP983127 GES983115:GET983127 FUW983115:FUX983127 FLA983115:FLB983127 FBE983115:FBF983127 ERI983115:ERJ983127 EHM983115:EHN983127 DXQ983115:DXR983127 DNU983115:DNV983127 DDY983115:DDZ983127 CUC983115:CUD983127 CKG983115:CKH983127 CAK983115:CAL983127 BQO983115:BQP983127 BGS983115:BGT983127 AWW983115:AWX983127 ANA983115:ANB983127 ADE983115:ADF983127 TI983115:TJ983127 JM983115:JN983127 Q983115:R983127 WVY917579:WVZ917591 WMC917579:WMD917591 WCG917579:WCH917591 VSK917579:VSL917591 VIO917579:VIP917591 UYS917579:UYT917591 UOW917579:UOX917591 UFA917579:UFB917591 TVE917579:TVF917591 TLI917579:TLJ917591 TBM917579:TBN917591 SRQ917579:SRR917591 SHU917579:SHV917591 RXY917579:RXZ917591 ROC917579:ROD917591 REG917579:REH917591 QUK917579:QUL917591 QKO917579:QKP917591 QAS917579:QAT917591 PQW917579:PQX917591 PHA917579:PHB917591 OXE917579:OXF917591 ONI917579:ONJ917591 ODM917579:ODN917591 NTQ917579:NTR917591 NJU917579:NJV917591 MZY917579:MZZ917591 MQC917579:MQD917591 MGG917579:MGH917591 LWK917579:LWL917591 LMO917579:LMP917591 LCS917579:LCT917591 KSW917579:KSX917591 KJA917579:KJB917591 JZE917579:JZF917591 JPI917579:JPJ917591 JFM917579:JFN917591 IVQ917579:IVR917591 ILU917579:ILV917591 IBY917579:IBZ917591 HSC917579:HSD917591 HIG917579:HIH917591 GYK917579:GYL917591 GOO917579:GOP917591 GES917579:GET917591 FUW917579:FUX917591 FLA917579:FLB917591 FBE917579:FBF917591 ERI917579:ERJ917591 EHM917579:EHN917591 DXQ917579:DXR917591 DNU917579:DNV917591 DDY917579:DDZ917591 CUC917579:CUD917591 CKG917579:CKH917591 CAK917579:CAL917591 BQO917579:BQP917591 BGS917579:BGT917591 AWW917579:AWX917591 ANA917579:ANB917591 ADE917579:ADF917591 TI917579:TJ917591 JM917579:JN917591 Q917579:R917591 WVY852043:WVZ852055 WMC852043:WMD852055 WCG852043:WCH852055 VSK852043:VSL852055 VIO852043:VIP852055 UYS852043:UYT852055 UOW852043:UOX852055 UFA852043:UFB852055 TVE852043:TVF852055 TLI852043:TLJ852055 TBM852043:TBN852055 SRQ852043:SRR852055 SHU852043:SHV852055 RXY852043:RXZ852055 ROC852043:ROD852055 REG852043:REH852055 QUK852043:QUL852055 QKO852043:QKP852055 QAS852043:QAT852055 PQW852043:PQX852055 PHA852043:PHB852055 OXE852043:OXF852055 ONI852043:ONJ852055 ODM852043:ODN852055 NTQ852043:NTR852055 NJU852043:NJV852055 MZY852043:MZZ852055 MQC852043:MQD852055 MGG852043:MGH852055 LWK852043:LWL852055 LMO852043:LMP852055 LCS852043:LCT852055 KSW852043:KSX852055 KJA852043:KJB852055 JZE852043:JZF852055 JPI852043:JPJ852055 JFM852043:JFN852055 IVQ852043:IVR852055 ILU852043:ILV852055 IBY852043:IBZ852055 HSC852043:HSD852055 HIG852043:HIH852055 GYK852043:GYL852055 GOO852043:GOP852055 GES852043:GET852055 FUW852043:FUX852055 FLA852043:FLB852055 FBE852043:FBF852055 ERI852043:ERJ852055 EHM852043:EHN852055 DXQ852043:DXR852055 DNU852043:DNV852055 DDY852043:DDZ852055 CUC852043:CUD852055 CKG852043:CKH852055 CAK852043:CAL852055 BQO852043:BQP852055 BGS852043:BGT852055 AWW852043:AWX852055 ANA852043:ANB852055 ADE852043:ADF852055 TI852043:TJ852055 JM852043:JN852055 Q852043:R852055 WVY786507:WVZ786519 WMC786507:WMD786519 WCG786507:WCH786519 VSK786507:VSL786519 VIO786507:VIP786519 UYS786507:UYT786519 UOW786507:UOX786519 UFA786507:UFB786519 TVE786507:TVF786519 TLI786507:TLJ786519 TBM786507:TBN786519 SRQ786507:SRR786519 SHU786507:SHV786519 RXY786507:RXZ786519 ROC786507:ROD786519 REG786507:REH786519 QUK786507:QUL786519 QKO786507:QKP786519 QAS786507:QAT786519 PQW786507:PQX786519 PHA786507:PHB786519 OXE786507:OXF786519 ONI786507:ONJ786519 ODM786507:ODN786519 NTQ786507:NTR786519 NJU786507:NJV786519 MZY786507:MZZ786519 MQC786507:MQD786519 MGG786507:MGH786519 LWK786507:LWL786519 LMO786507:LMP786519 LCS786507:LCT786519 KSW786507:KSX786519 KJA786507:KJB786519 JZE786507:JZF786519 JPI786507:JPJ786519 JFM786507:JFN786519 IVQ786507:IVR786519 ILU786507:ILV786519 IBY786507:IBZ786519 HSC786507:HSD786519 HIG786507:HIH786519 GYK786507:GYL786519 GOO786507:GOP786519 GES786507:GET786519 FUW786507:FUX786519 FLA786507:FLB786519 FBE786507:FBF786519 ERI786507:ERJ786519 EHM786507:EHN786519 DXQ786507:DXR786519 DNU786507:DNV786519 DDY786507:DDZ786519 CUC786507:CUD786519 CKG786507:CKH786519 CAK786507:CAL786519 BQO786507:BQP786519 BGS786507:BGT786519 AWW786507:AWX786519 ANA786507:ANB786519 ADE786507:ADF786519 TI786507:TJ786519 JM786507:JN786519 Q786507:R786519 WVY720971:WVZ720983 WMC720971:WMD720983 WCG720971:WCH720983 VSK720971:VSL720983 VIO720971:VIP720983 UYS720971:UYT720983 UOW720971:UOX720983 UFA720971:UFB720983 TVE720971:TVF720983 TLI720971:TLJ720983 TBM720971:TBN720983 SRQ720971:SRR720983 SHU720971:SHV720983 RXY720971:RXZ720983 ROC720971:ROD720983 REG720971:REH720983 QUK720971:QUL720983 QKO720971:QKP720983 QAS720971:QAT720983 PQW720971:PQX720983 PHA720971:PHB720983 OXE720971:OXF720983 ONI720971:ONJ720983 ODM720971:ODN720983 NTQ720971:NTR720983 NJU720971:NJV720983 MZY720971:MZZ720983 MQC720971:MQD720983 MGG720971:MGH720983 LWK720971:LWL720983 LMO720971:LMP720983 LCS720971:LCT720983 KSW720971:KSX720983 KJA720971:KJB720983 JZE720971:JZF720983 JPI720971:JPJ720983 JFM720971:JFN720983 IVQ720971:IVR720983 ILU720971:ILV720983 IBY720971:IBZ720983 HSC720971:HSD720983 HIG720971:HIH720983 GYK720971:GYL720983 GOO720971:GOP720983 GES720971:GET720983 FUW720971:FUX720983 FLA720971:FLB720983 FBE720971:FBF720983 ERI720971:ERJ720983 EHM720971:EHN720983 DXQ720971:DXR720983 DNU720971:DNV720983 DDY720971:DDZ720983 CUC720971:CUD720983 CKG720971:CKH720983 CAK720971:CAL720983 BQO720971:BQP720983 BGS720971:BGT720983 AWW720971:AWX720983 ANA720971:ANB720983 ADE720971:ADF720983 TI720971:TJ720983 JM720971:JN720983 Q720971:R720983 WVY655435:WVZ655447 WMC655435:WMD655447 WCG655435:WCH655447 VSK655435:VSL655447 VIO655435:VIP655447 UYS655435:UYT655447 UOW655435:UOX655447 UFA655435:UFB655447 TVE655435:TVF655447 TLI655435:TLJ655447 TBM655435:TBN655447 SRQ655435:SRR655447 SHU655435:SHV655447 RXY655435:RXZ655447 ROC655435:ROD655447 REG655435:REH655447 QUK655435:QUL655447 QKO655435:QKP655447 QAS655435:QAT655447 PQW655435:PQX655447 PHA655435:PHB655447 OXE655435:OXF655447 ONI655435:ONJ655447 ODM655435:ODN655447 NTQ655435:NTR655447 NJU655435:NJV655447 MZY655435:MZZ655447 MQC655435:MQD655447 MGG655435:MGH655447 LWK655435:LWL655447 LMO655435:LMP655447 LCS655435:LCT655447 KSW655435:KSX655447 KJA655435:KJB655447 JZE655435:JZF655447 JPI655435:JPJ655447 JFM655435:JFN655447 IVQ655435:IVR655447 ILU655435:ILV655447 IBY655435:IBZ655447 HSC655435:HSD655447 HIG655435:HIH655447 GYK655435:GYL655447 GOO655435:GOP655447 GES655435:GET655447 FUW655435:FUX655447 FLA655435:FLB655447 FBE655435:FBF655447 ERI655435:ERJ655447 EHM655435:EHN655447 DXQ655435:DXR655447 DNU655435:DNV655447 DDY655435:DDZ655447 CUC655435:CUD655447 CKG655435:CKH655447 CAK655435:CAL655447 BQO655435:BQP655447 BGS655435:BGT655447 AWW655435:AWX655447 ANA655435:ANB655447 ADE655435:ADF655447 TI655435:TJ655447 JM655435:JN655447 Q655435:R655447 WVY589899:WVZ589911 WMC589899:WMD589911 WCG589899:WCH589911 VSK589899:VSL589911 VIO589899:VIP589911 UYS589899:UYT589911 UOW589899:UOX589911 UFA589899:UFB589911 TVE589899:TVF589911 TLI589899:TLJ589911 TBM589899:TBN589911 SRQ589899:SRR589911 SHU589899:SHV589911 RXY589899:RXZ589911 ROC589899:ROD589911 REG589899:REH589911 QUK589899:QUL589911 QKO589899:QKP589911 QAS589899:QAT589911 PQW589899:PQX589911 PHA589899:PHB589911 OXE589899:OXF589911 ONI589899:ONJ589911 ODM589899:ODN589911 NTQ589899:NTR589911 NJU589899:NJV589911 MZY589899:MZZ589911 MQC589899:MQD589911 MGG589899:MGH589911 LWK589899:LWL589911 LMO589899:LMP589911 LCS589899:LCT589911 KSW589899:KSX589911 KJA589899:KJB589911 JZE589899:JZF589911 JPI589899:JPJ589911 JFM589899:JFN589911 IVQ589899:IVR589911 ILU589899:ILV589911 IBY589899:IBZ589911 HSC589899:HSD589911 HIG589899:HIH589911 GYK589899:GYL589911 GOO589899:GOP589911 GES589899:GET589911 FUW589899:FUX589911 FLA589899:FLB589911 FBE589899:FBF589911 ERI589899:ERJ589911 EHM589899:EHN589911 DXQ589899:DXR589911 DNU589899:DNV589911 DDY589899:DDZ589911 CUC589899:CUD589911 CKG589899:CKH589911 CAK589899:CAL589911 BQO589899:BQP589911 BGS589899:BGT589911 AWW589899:AWX589911 ANA589899:ANB589911 ADE589899:ADF589911 TI589899:TJ589911 JM589899:JN589911 Q589899:R589911 WVY524363:WVZ524375 WMC524363:WMD524375 WCG524363:WCH524375 VSK524363:VSL524375 VIO524363:VIP524375 UYS524363:UYT524375 UOW524363:UOX524375 UFA524363:UFB524375 TVE524363:TVF524375 TLI524363:TLJ524375 TBM524363:TBN524375 SRQ524363:SRR524375 SHU524363:SHV524375 RXY524363:RXZ524375 ROC524363:ROD524375 REG524363:REH524375 QUK524363:QUL524375 QKO524363:QKP524375 QAS524363:QAT524375 PQW524363:PQX524375 PHA524363:PHB524375 OXE524363:OXF524375 ONI524363:ONJ524375 ODM524363:ODN524375 NTQ524363:NTR524375 NJU524363:NJV524375 MZY524363:MZZ524375 MQC524363:MQD524375 MGG524363:MGH524375 LWK524363:LWL524375 LMO524363:LMP524375 LCS524363:LCT524375 KSW524363:KSX524375 KJA524363:KJB524375 JZE524363:JZF524375 JPI524363:JPJ524375 JFM524363:JFN524375 IVQ524363:IVR524375 ILU524363:ILV524375 IBY524363:IBZ524375 HSC524363:HSD524375 HIG524363:HIH524375 GYK524363:GYL524375 GOO524363:GOP524375 GES524363:GET524375 FUW524363:FUX524375 FLA524363:FLB524375 FBE524363:FBF524375 ERI524363:ERJ524375 EHM524363:EHN524375 DXQ524363:DXR524375 DNU524363:DNV524375 DDY524363:DDZ524375 CUC524363:CUD524375 CKG524363:CKH524375 CAK524363:CAL524375 BQO524363:BQP524375 BGS524363:BGT524375 AWW524363:AWX524375 ANA524363:ANB524375 ADE524363:ADF524375 TI524363:TJ524375 JM524363:JN524375 Q524363:R524375 WVY458827:WVZ458839 WMC458827:WMD458839 WCG458827:WCH458839 VSK458827:VSL458839 VIO458827:VIP458839 UYS458827:UYT458839 UOW458827:UOX458839 UFA458827:UFB458839 TVE458827:TVF458839 TLI458827:TLJ458839 TBM458827:TBN458839 SRQ458827:SRR458839 SHU458827:SHV458839 RXY458827:RXZ458839 ROC458827:ROD458839 REG458827:REH458839 QUK458827:QUL458839 QKO458827:QKP458839 QAS458827:QAT458839 PQW458827:PQX458839 PHA458827:PHB458839 OXE458827:OXF458839 ONI458827:ONJ458839 ODM458827:ODN458839 NTQ458827:NTR458839 NJU458827:NJV458839 MZY458827:MZZ458839 MQC458827:MQD458839 MGG458827:MGH458839 LWK458827:LWL458839 LMO458827:LMP458839 LCS458827:LCT458839 KSW458827:KSX458839 KJA458827:KJB458839 JZE458827:JZF458839 JPI458827:JPJ458839 JFM458827:JFN458839 IVQ458827:IVR458839 ILU458827:ILV458839 IBY458827:IBZ458839 HSC458827:HSD458839 HIG458827:HIH458839 GYK458827:GYL458839 GOO458827:GOP458839 GES458827:GET458839 FUW458827:FUX458839 FLA458827:FLB458839 FBE458827:FBF458839 ERI458827:ERJ458839 EHM458827:EHN458839 DXQ458827:DXR458839 DNU458827:DNV458839 DDY458827:DDZ458839 CUC458827:CUD458839 CKG458827:CKH458839 CAK458827:CAL458839 BQO458827:BQP458839 BGS458827:BGT458839 AWW458827:AWX458839 ANA458827:ANB458839 ADE458827:ADF458839 TI458827:TJ458839 JM458827:JN458839 Q458827:R458839 WVY393291:WVZ393303 WMC393291:WMD393303 WCG393291:WCH393303 VSK393291:VSL393303 VIO393291:VIP393303 UYS393291:UYT393303 UOW393291:UOX393303 UFA393291:UFB393303 TVE393291:TVF393303 TLI393291:TLJ393303 TBM393291:TBN393303 SRQ393291:SRR393303 SHU393291:SHV393303 RXY393291:RXZ393303 ROC393291:ROD393303 REG393291:REH393303 QUK393291:QUL393303 QKO393291:QKP393303 QAS393291:QAT393303 PQW393291:PQX393303 PHA393291:PHB393303 OXE393291:OXF393303 ONI393291:ONJ393303 ODM393291:ODN393303 NTQ393291:NTR393303 NJU393291:NJV393303 MZY393291:MZZ393303 MQC393291:MQD393303 MGG393291:MGH393303 LWK393291:LWL393303 LMO393291:LMP393303 LCS393291:LCT393303 KSW393291:KSX393303 KJA393291:KJB393303 JZE393291:JZF393303 JPI393291:JPJ393303 JFM393291:JFN393303 IVQ393291:IVR393303 ILU393291:ILV393303 IBY393291:IBZ393303 HSC393291:HSD393303 HIG393291:HIH393303 GYK393291:GYL393303 GOO393291:GOP393303 GES393291:GET393303 FUW393291:FUX393303 FLA393291:FLB393303 FBE393291:FBF393303 ERI393291:ERJ393303 EHM393291:EHN393303 DXQ393291:DXR393303 DNU393291:DNV393303 DDY393291:DDZ393303 CUC393291:CUD393303 CKG393291:CKH393303 CAK393291:CAL393303 BQO393291:BQP393303 BGS393291:BGT393303 AWW393291:AWX393303 ANA393291:ANB393303 ADE393291:ADF393303 TI393291:TJ393303 JM393291:JN393303 Q393291:R393303 WVY327755:WVZ327767 WMC327755:WMD327767 WCG327755:WCH327767 VSK327755:VSL327767 VIO327755:VIP327767 UYS327755:UYT327767 UOW327755:UOX327767 UFA327755:UFB327767 TVE327755:TVF327767 TLI327755:TLJ327767 TBM327755:TBN327767 SRQ327755:SRR327767 SHU327755:SHV327767 RXY327755:RXZ327767 ROC327755:ROD327767 REG327755:REH327767 QUK327755:QUL327767 QKO327755:QKP327767 QAS327755:QAT327767 PQW327755:PQX327767 PHA327755:PHB327767 OXE327755:OXF327767 ONI327755:ONJ327767 ODM327755:ODN327767 NTQ327755:NTR327767 NJU327755:NJV327767 MZY327755:MZZ327767 MQC327755:MQD327767 MGG327755:MGH327767 LWK327755:LWL327767 LMO327755:LMP327767 LCS327755:LCT327767 KSW327755:KSX327767 KJA327755:KJB327767 JZE327755:JZF327767 JPI327755:JPJ327767 JFM327755:JFN327767 IVQ327755:IVR327767 ILU327755:ILV327767 IBY327755:IBZ327767 HSC327755:HSD327767 HIG327755:HIH327767 GYK327755:GYL327767 GOO327755:GOP327767 GES327755:GET327767 FUW327755:FUX327767 FLA327755:FLB327767 FBE327755:FBF327767 ERI327755:ERJ327767 EHM327755:EHN327767 DXQ327755:DXR327767 DNU327755:DNV327767 DDY327755:DDZ327767 CUC327755:CUD327767 CKG327755:CKH327767 CAK327755:CAL327767 BQO327755:BQP327767 BGS327755:BGT327767 AWW327755:AWX327767 ANA327755:ANB327767 ADE327755:ADF327767 TI327755:TJ327767 JM327755:JN327767 Q327755:R327767 WVY262219:WVZ262231 WMC262219:WMD262231 WCG262219:WCH262231 VSK262219:VSL262231 VIO262219:VIP262231 UYS262219:UYT262231 UOW262219:UOX262231 UFA262219:UFB262231 TVE262219:TVF262231 TLI262219:TLJ262231 TBM262219:TBN262231 SRQ262219:SRR262231 SHU262219:SHV262231 RXY262219:RXZ262231 ROC262219:ROD262231 REG262219:REH262231 QUK262219:QUL262231 QKO262219:QKP262231 QAS262219:QAT262231 PQW262219:PQX262231 PHA262219:PHB262231 OXE262219:OXF262231 ONI262219:ONJ262231 ODM262219:ODN262231 NTQ262219:NTR262231 NJU262219:NJV262231 MZY262219:MZZ262231 MQC262219:MQD262231 MGG262219:MGH262231 LWK262219:LWL262231 LMO262219:LMP262231 LCS262219:LCT262231 KSW262219:KSX262231 KJA262219:KJB262231 JZE262219:JZF262231 JPI262219:JPJ262231 JFM262219:JFN262231 IVQ262219:IVR262231 ILU262219:ILV262231 IBY262219:IBZ262231 HSC262219:HSD262231 HIG262219:HIH262231 GYK262219:GYL262231 GOO262219:GOP262231 GES262219:GET262231 FUW262219:FUX262231 FLA262219:FLB262231 FBE262219:FBF262231 ERI262219:ERJ262231 EHM262219:EHN262231 DXQ262219:DXR262231 DNU262219:DNV262231 DDY262219:DDZ262231 CUC262219:CUD262231 CKG262219:CKH262231 CAK262219:CAL262231 BQO262219:BQP262231 BGS262219:BGT262231 AWW262219:AWX262231 ANA262219:ANB262231 ADE262219:ADF262231 TI262219:TJ262231 JM262219:JN262231 Q262219:R262231 WVY196683:WVZ196695 WMC196683:WMD196695 WCG196683:WCH196695 VSK196683:VSL196695 VIO196683:VIP196695 UYS196683:UYT196695 UOW196683:UOX196695 UFA196683:UFB196695 TVE196683:TVF196695 TLI196683:TLJ196695 TBM196683:TBN196695 SRQ196683:SRR196695 SHU196683:SHV196695 RXY196683:RXZ196695 ROC196683:ROD196695 REG196683:REH196695 QUK196683:QUL196695 QKO196683:QKP196695 QAS196683:QAT196695 PQW196683:PQX196695 PHA196683:PHB196695 OXE196683:OXF196695 ONI196683:ONJ196695 ODM196683:ODN196695 NTQ196683:NTR196695 NJU196683:NJV196695 MZY196683:MZZ196695 MQC196683:MQD196695 MGG196683:MGH196695 LWK196683:LWL196695 LMO196683:LMP196695 LCS196683:LCT196695 KSW196683:KSX196695 KJA196683:KJB196695 JZE196683:JZF196695 JPI196683:JPJ196695 JFM196683:JFN196695 IVQ196683:IVR196695 ILU196683:ILV196695 IBY196683:IBZ196695 HSC196683:HSD196695 HIG196683:HIH196695 GYK196683:GYL196695 GOO196683:GOP196695 GES196683:GET196695 FUW196683:FUX196695 FLA196683:FLB196695 FBE196683:FBF196695 ERI196683:ERJ196695 EHM196683:EHN196695 DXQ196683:DXR196695 DNU196683:DNV196695 DDY196683:DDZ196695 CUC196683:CUD196695 CKG196683:CKH196695 CAK196683:CAL196695 BQO196683:BQP196695 BGS196683:BGT196695 AWW196683:AWX196695 ANA196683:ANB196695 ADE196683:ADF196695 TI196683:TJ196695 JM196683:JN196695 Q196683:R196695 WVY131147:WVZ131159 WMC131147:WMD131159 WCG131147:WCH131159 VSK131147:VSL131159 VIO131147:VIP131159 UYS131147:UYT131159 UOW131147:UOX131159 UFA131147:UFB131159 TVE131147:TVF131159 TLI131147:TLJ131159 TBM131147:TBN131159 SRQ131147:SRR131159 SHU131147:SHV131159 RXY131147:RXZ131159 ROC131147:ROD131159 REG131147:REH131159 QUK131147:QUL131159 QKO131147:QKP131159 QAS131147:QAT131159 PQW131147:PQX131159 PHA131147:PHB131159 OXE131147:OXF131159 ONI131147:ONJ131159 ODM131147:ODN131159 NTQ131147:NTR131159 NJU131147:NJV131159 MZY131147:MZZ131159 MQC131147:MQD131159 MGG131147:MGH131159 LWK131147:LWL131159 LMO131147:LMP131159 LCS131147:LCT131159 KSW131147:KSX131159 KJA131147:KJB131159 JZE131147:JZF131159 JPI131147:JPJ131159 JFM131147:JFN131159 IVQ131147:IVR131159 ILU131147:ILV131159 IBY131147:IBZ131159 HSC131147:HSD131159 HIG131147:HIH131159 GYK131147:GYL131159 GOO131147:GOP131159 GES131147:GET131159 FUW131147:FUX131159 FLA131147:FLB131159 FBE131147:FBF131159 ERI131147:ERJ131159 EHM131147:EHN131159 DXQ131147:DXR131159 DNU131147:DNV131159 DDY131147:DDZ131159 CUC131147:CUD131159 CKG131147:CKH131159 CAK131147:CAL131159 BQO131147:BQP131159 BGS131147:BGT131159 AWW131147:AWX131159 ANA131147:ANB131159 ADE131147:ADF131159 TI131147:TJ131159 JM131147:JN131159 Q131147:R131159 WVY65611:WVZ65623 WMC65611:WMD65623 WCG65611:WCH65623 VSK65611:VSL65623 VIO65611:VIP65623 UYS65611:UYT65623 UOW65611:UOX65623 UFA65611:UFB65623 TVE65611:TVF65623 TLI65611:TLJ65623 TBM65611:TBN65623 SRQ65611:SRR65623 SHU65611:SHV65623 RXY65611:RXZ65623 ROC65611:ROD65623 REG65611:REH65623 QUK65611:QUL65623 QKO65611:QKP65623 QAS65611:QAT65623 PQW65611:PQX65623 PHA65611:PHB65623 OXE65611:OXF65623 ONI65611:ONJ65623 ODM65611:ODN65623 NTQ65611:NTR65623 NJU65611:NJV65623 MZY65611:MZZ65623 MQC65611:MQD65623 MGG65611:MGH65623 LWK65611:LWL65623 LMO65611:LMP65623 LCS65611:LCT65623 KSW65611:KSX65623 KJA65611:KJB65623 JZE65611:JZF65623 JPI65611:JPJ65623 JFM65611:JFN65623 IVQ65611:IVR65623 ILU65611:ILV65623 IBY65611:IBZ65623 HSC65611:HSD65623 HIG65611:HIH65623 GYK65611:GYL65623 GOO65611:GOP65623 GES65611:GET65623 FUW65611:FUX65623 FLA65611:FLB65623 FBE65611:FBF65623 ERI65611:ERJ65623 EHM65611:EHN65623 DXQ65611:DXR65623 DNU65611:DNV65623 DDY65611:DDZ65623 CUC65611:CUD65623 CKG65611:CKH65623 CAK65611:CAL65623 BQO65611:BQP65623 BGS65611:BGT65623 AWW65611:AWX65623 ANA65611:ANB65623 ADE65611:ADF65623 TI65611:TJ65623 JM65611:JN65623 Q65611:R65623 WVY983115:WVZ983127 WMC71:WMD75 WCG71:WCH75 VSK71:VSL75 VIO71:VIP75 UYS71:UYT75 UOW71:UOX75 UFA71:UFB75 TVE71:TVF75 TLI71:TLJ75 TBM71:TBN75 SRQ71:SRR75 SHU71:SHV75 RXY71:RXZ75 ROC71:ROD75 REG71:REH75 QUK71:QUL75 QKO71:QKP75 QAS71:QAT75 PQW71:PQX75 PHA71:PHB75 OXE71:OXF75 ONI71:ONJ75 ODM71:ODN75 NTQ71:NTR75 NJU71:NJV75 MZY71:MZZ75 MQC71:MQD75 MGG71:MGH75 LWK71:LWL75 LMO71:LMP75 LCS71:LCT75 KSW71:KSX75 KJA71:KJB75 JZE71:JZF75 JPI71:JPJ75 JFM71:JFN75 IVQ71:IVR75 ILU71:ILV75 IBY71:IBZ75 HSC71:HSD75 HIG71:HIH75 GYK71:GYL75 GOO71:GOP75 GES71:GET75 FUW71:FUX75 FLA71:FLB75 FBE71:FBF75 ERI71:ERJ75 EHM71:EHN75 DXQ71:DXR75 DNU71:DNV75 DDY71:DDZ75 CUC71:CUD75 CKG71:CKH75 CAK71:CAL75 BQO71:BQP75 BGS71:BGT75 AWW71:AWX75 ANA71:ANB75 ADE71:ADF75 TI71:TJ75 JM57:JN59 TI57:TJ59 ADE57:ADF59 ANA57:ANB59 AWW57:AWX59 BGS57:BGT59 BQO57:BQP59 CAK57:CAL59 CKG57:CKH59 CUC57:CUD59 DDY57:DDZ59 DNU57:DNV59 DXQ57:DXR59 EHM57:EHN59 ERI57:ERJ59 FBE57:FBF59 FLA57:FLB59 FUW57:FUX59 GES57:GET59 GOO57:GOP59 GYK57:GYL59 HIG57:HIH59 HSC57:HSD59 IBY57:IBZ59 ILU57:ILV59 IVQ57:IVR59 JFM57:JFN59 JPI57:JPJ59 JZE57:JZF59 KJA57:KJB59 KSW57:KSX59 LCS57:LCT59 LMO57:LMP59 LWK57:LWL59 MGG57:MGH59 MQC57:MQD59 MZY57:MZZ59 NJU57:NJV59 NTQ57:NTR59 ODM57:ODN59 ONI57:ONJ59 OXE57:OXF59 PHA57:PHB59 PQW57:PQX59 QAS57:QAT59 QKO57:QKP59 QUK57:QUL59 REG57:REH59 ROC57:ROD59 RXY57:RXZ59 SHU57:SHV59 SRQ57:SRR59 TBM57:TBN59 TLI57:TLJ59 TVE57:TVF59 UFA57:UFB59 UOW57:UOX59 UYS57:UYT59 VIO57:VIP59 VSK57:VSL59 WCG57:WCH59 WMC57:WMD59 WVY57:WVZ59 Q57:R59 JM71:JN75">
      <formula1>$V$140:$V$160</formula1>
    </dataValidation>
    <dataValidation type="list" allowBlank="1" showInputMessage="1" showErrorMessage="1" sqref="WVY983097:WVZ983098 WMC983097:WMD983098 WCG983097:WCH983098 VSK983097:VSL983098 VIO983097:VIP983098 UYS983097:UYT983098 UOW983097:UOX983098 UFA983097:UFB983098 TVE983097:TVF983098 TLI983097:TLJ983098 TBM983097:TBN983098 SRQ983097:SRR983098 SHU983097:SHV983098 RXY983097:RXZ983098 ROC983097:ROD983098 REG983097:REH983098 QUK983097:QUL983098 QKO983097:QKP983098 QAS983097:QAT983098 PQW983097:PQX983098 PHA983097:PHB983098 OXE983097:OXF983098 ONI983097:ONJ983098 ODM983097:ODN983098 NTQ983097:NTR983098 NJU983097:NJV983098 MZY983097:MZZ983098 MQC983097:MQD983098 MGG983097:MGH983098 LWK983097:LWL983098 LMO983097:LMP983098 LCS983097:LCT983098 KSW983097:KSX983098 KJA983097:KJB983098 JZE983097:JZF983098 JPI983097:JPJ983098 JFM983097:JFN983098 IVQ983097:IVR983098 ILU983097:ILV983098 IBY983097:IBZ983098 HSC983097:HSD983098 HIG983097:HIH983098 GYK983097:GYL983098 GOO983097:GOP983098 GES983097:GET983098 FUW983097:FUX983098 FLA983097:FLB983098 FBE983097:FBF983098 ERI983097:ERJ983098 EHM983097:EHN983098 DXQ983097:DXR983098 DNU983097:DNV983098 DDY983097:DDZ983098 CUC983097:CUD983098 CKG983097:CKH983098 CAK983097:CAL983098 BQO983097:BQP983098 BGS983097:BGT983098 AWW983097:AWX983098 ANA983097:ANB983098 ADE983097:ADF983098 TI983097:TJ983098 JM983097:JN983098 Q983097:R983098 WVY917561:WVZ917562 WMC917561:WMD917562 WCG917561:WCH917562 VSK917561:VSL917562 VIO917561:VIP917562 UYS917561:UYT917562 UOW917561:UOX917562 UFA917561:UFB917562 TVE917561:TVF917562 TLI917561:TLJ917562 TBM917561:TBN917562 SRQ917561:SRR917562 SHU917561:SHV917562 RXY917561:RXZ917562 ROC917561:ROD917562 REG917561:REH917562 QUK917561:QUL917562 QKO917561:QKP917562 QAS917561:QAT917562 PQW917561:PQX917562 PHA917561:PHB917562 OXE917561:OXF917562 ONI917561:ONJ917562 ODM917561:ODN917562 NTQ917561:NTR917562 NJU917561:NJV917562 MZY917561:MZZ917562 MQC917561:MQD917562 MGG917561:MGH917562 LWK917561:LWL917562 LMO917561:LMP917562 LCS917561:LCT917562 KSW917561:KSX917562 KJA917561:KJB917562 JZE917561:JZF917562 JPI917561:JPJ917562 JFM917561:JFN917562 IVQ917561:IVR917562 ILU917561:ILV917562 IBY917561:IBZ917562 HSC917561:HSD917562 HIG917561:HIH917562 GYK917561:GYL917562 GOO917561:GOP917562 GES917561:GET917562 FUW917561:FUX917562 FLA917561:FLB917562 FBE917561:FBF917562 ERI917561:ERJ917562 EHM917561:EHN917562 DXQ917561:DXR917562 DNU917561:DNV917562 DDY917561:DDZ917562 CUC917561:CUD917562 CKG917561:CKH917562 CAK917561:CAL917562 BQO917561:BQP917562 BGS917561:BGT917562 AWW917561:AWX917562 ANA917561:ANB917562 ADE917561:ADF917562 TI917561:TJ917562 JM917561:JN917562 Q917561:R917562 WVY852025:WVZ852026 WMC852025:WMD852026 WCG852025:WCH852026 VSK852025:VSL852026 VIO852025:VIP852026 UYS852025:UYT852026 UOW852025:UOX852026 UFA852025:UFB852026 TVE852025:TVF852026 TLI852025:TLJ852026 TBM852025:TBN852026 SRQ852025:SRR852026 SHU852025:SHV852026 RXY852025:RXZ852026 ROC852025:ROD852026 REG852025:REH852026 QUK852025:QUL852026 QKO852025:QKP852026 QAS852025:QAT852026 PQW852025:PQX852026 PHA852025:PHB852026 OXE852025:OXF852026 ONI852025:ONJ852026 ODM852025:ODN852026 NTQ852025:NTR852026 NJU852025:NJV852026 MZY852025:MZZ852026 MQC852025:MQD852026 MGG852025:MGH852026 LWK852025:LWL852026 LMO852025:LMP852026 LCS852025:LCT852026 KSW852025:KSX852026 KJA852025:KJB852026 JZE852025:JZF852026 JPI852025:JPJ852026 JFM852025:JFN852026 IVQ852025:IVR852026 ILU852025:ILV852026 IBY852025:IBZ852026 HSC852025:HSD852026 HIG852025:HIH852026 GYK852025:GYL852026 GOO852025:GOP852026 GES852025:GET852026 FUW852025:FUX852026 FLA852025:FLB852026 FBE852025:FBF852026 ERI852025:ERJ852026 EHM852025:EHN852026 DXQ852025:DXR852026 DNU852025:DNV852026 DDY852025:DDZ852026 CUC852025:CUD852026 CKG852025:CKH852026 CAK852025:CAL852026 BQO852025:BQP852026 BGS852025:BGT852026 AWW852025:AWX852026 ANA852025:ANB852026 ADE852025:ADF852026 TI852025:TJ852026 JM852025:JN852026 Q852025:R852026 WVY786489:WVZ786490 WMC786489:WMD786490 WCG786489:WCH786490 VSK786489:VSL786490 VIO786489:VIP786490 UYS786489:UYT786490 UOW786489:UOX786490 UFA786489:UFB786490 TVE786489:TVF786490 TLI786489:TLJ786490 TBM786489:TBN786490 SRQ786489:SRR786490 SHU786489:SHV786490 RXY786489:RXZ786490 ROC786489:ROD786490 REG786489:REH786490 QUK786489:QUL786490 QKO786489:QKP786490 QAS786489:QAT786490 PQW786489:PQX786490 PHA786489:PHB786490 OXE786489:OXF786490 ONI786489:ONJ786490 ODM786489:ODN786490 NTQ786489:NTR786490 NJU786489:NJV786490 MZY786489:MZZ786490 MQC786489:MQD786490 MGG786489:MGH786490 LWK786489:LWL786490 LMO786489:LMP786490 LCS786489:LCT786490 KSW786489:KSX786490 KJA786489:KJB786490 JZE786489:JZF786490 JPI786489:JPJ786490 JFM786489:JFN786490 IVQ786489:IVR786490 ILU786489:ILV786490 IBY786489:IBZ786490 HSC786489:HSD786490 HIG786489:HIH786490 GYK786489:GYL786490 GOO786489:GOP786490 GES786489:GET786490 FUW786489:FUX786490 FLA786489:FLB786490 FBE786489:FBF786490 ERI786489:ERJ786490 EHM786489:EHN786490 DXQ786489:DXR786490 DNU786489:DNV786490 DDY786489:DDZ786490 CUC786489:CUD786490 CKG786489:CKH786490 CAK786489:CAL786490 BQO786489:BQP786490 BGS786489:BGT786490 AWW786489:AWX786490 ANA786489:ANB786490 ADE786489:ADF786490 TI786489:TJ786490 JM786489:JN786490 Q786489:R786490 WVY720953:WVZ720954 WMC720953:WMD720954 WCG720953:WCH720954 VSK720953:VSL720954 VIO720953:VIP720954 UYS720953:UYT720954 UOW720953:UOX720954 UFA720953:UFB720954 TVE720953:TVF720954 TLI720953:TLJ720954 TBM720953:TBN720954 SRQ720953:SRR720954 SHU720953:SHV720954 RXY720953:RXZ720954 ROC720953:ROD720954 REG720953:REH720954 QUK720953:QUL720954 QKO720953:QKP720954 QAS720953:QAT720954 PQW720953:PQX720954 PHA720953:PHB720954 OXE720953:OXF720954 ONI720953:ONJ720954 ODM720953:ODN720954 NTQ720953:NTR720954 NJU720953:NJV720954 MZY720953:MZZ720954 MQC720953:MQD720954 MGG720953:MGH720954 LWK720953:LWL720954 LMO720953:LMP720954 LCS720953:LCT720954 KSW720953:KSX720954 KJA720953:KJB720954 JZE720953:JZF720954 JPI720953:JPJ720954 JFM720953:JFN720954 IVQ720953:IVR720954 ILU720953:ILV720954 IBY720953:IBZ720954 HSC720953:HSD720954 HIG720953:HIH720954 GYK720953:GYL720954 GOO720953:GOP720954 GES720953:GET720954 FUW720953:FUX720954 FLA720953:FLB720954 FBE720953:FBF720954 ERI720953:ERJ720954 EHM720953:EHN720954 DXQ720953:DXR720954 DNU720953:DNV720954 DDY720953:DDZ720954 CUC720953:CUD720954 CKG720953:CKH720954 CAK720953:CAL720954 BQO720953:BQP720954 BGS720953:BGT720954 AWW720953:AWX720954 ANA720953:ANB720954 ADE720953:ADF720954 TI720953:TJ720954 JM720953:JN720954 Q720953:R720954 WVY655417:WVZ655418 WMC655417:WMD655418 WCG655417:WCH655418 VSK655417:VSL655418 VIO655417:VIP655418 UYS655417:UYT655418 UOW655417:UOX655418 UFA655417:UFB655418 TVE655417:TVF655418 TLI655417:TLJ655418 TBM655417:TBN655418 SRQ655417:SRR655418 SHU655417:SHV655418 RXY655417:RXZ655418 ROC655417:ROD655418 REG655417:REH655418 QUK655417:QUL655418 QKO655417:QKP655418 QAS655417:QAT655418 PQW655417:PQX655418 PHA655417:PHB655418 OXE655417:OXF655418 ONI655417:ONJ655418 ODM655417:ODN655418 NTQ655417:NTR655418 NJU655417:NJV655418 MZY655417:MZZ655418 MQC655417:MQD655418 MGG655417:MGH655418 LWK655417:LWL655418 LMO655417:LMP655418 LCS655417:LCT655418 KSW655417:KSX655418 KJA655417:KJB655418 JZE655417:JZF655418 JPI655417:JPJ655418 JFM655417:JFN655418 IVQ655417:IVR655418 ILU655417:ILV655418 IBY655417:IBZ655418 HSC655417:HSD655418 HIG655417:HIH655418 GYK655417:GYL655418 GOO655417:GOP655418 GES655417:GET655418 FUW655417:FUX655418 FLA655417:FLB655418 FBE655417:FBF655418 ERI655417:ERJ655418 EHM655417:EHN655418 DXQ655417:DXR655418 DNU655417:DNV655418 DDY655417:DDZ655418 CUC655417:CUD655418 CKG655417:CKH655418 CAK655417:CAL655418 BQO655417:BQP655418 BGS655417:BGT655418 AWW655417:AWX655418 ANA655417:ANB655418 ADE655417:ADF655418 TI655417:TJ655418 JM655417:JN655418 Q655417:R655418 WVY589881:WVZ589882 WMC589881:WMD589882 WCG589881:WCH589882 VSK589881:VSL589882 VIO589881:VIP589882 UYS589881:UYT589882 UOW589881:UOX589882 UFA589881:UFB589882 TVE589881:TVF589882 TLI589881:TLJ589882 TBM589881:TBN589882 SRQ589881:SRR589882 SHU589881:SHV589882 RXY589881:RXZ589882 ROC589881:ROD589882 REG589881:REH589882 QUK589881:QUL589882 QKO589881:QKP589882 QAS589881:QAT589882 PQW589881:PQX589882 PHA589881:PHB589882 OXE589881:OXF589882 ONI589881:ONJ589882 ODM589881:ODN589882 NTQ589881:NTR589882 NJU589881:NJV589882 MZY589881:MZZ589882 MQC589881:MQD589882 MGG589881:MGH589882 LWK589881:LWL589882 LMO589881:LMP589882 LCS589881:LCT589882 KSW589881:KSX589882 KJA589881:KJB589882 JZE589881:JZF589882 JPI589881:JPJ589882 JFM589881:JFN589882 IVQ589881:IVR589882 ILU589881:ILV589882 IBY589881:IBZ589882 HSC589881:HSD589882 HIG589881:HIH589882 GYK589881:GYL589882 GOO589881:GOP589882 GES589881:GET589882 FUW589881:FUX589882 FLA589881:FLB589882 FBE589881:FBF589882 ERI589881:ERJ589882 EHM589881:EHN589882 DXQ589881:DXR589882 DNU589881:DNV589882 DDY589881:DDZ589882 CUC589881:CUD589882 CKG589881:CKH589882 CAK589881:CAL589882 BQO589881:BQP589882 BGS589881:BGT589882 AWW589881:AWX589882 ANA589881:ANB589882 ADE589881:ADF589882 TI589881:TJ589882 JM589881:JN589882 Q589881:R589882 WVY524345:WVZ524346 WMC524345:WMD524346 WCG524345:WCH524346 VSK524345:VSL524346 VIO524345:VIP524346 UYS524345:UYT524346 UOW524345:UOX524346 UFA524345:UFB524346 TVE524345:TVF524346 TLI524345:TLJ524346 TBM524345:TBN524346 SRQ524345:SRR524346 SHU524345:SHV524346 RXY524345:RXZ524346 ROC524345:ROD524346 REG524345:REH524346 QUK524345:QUL524346 QKO524345:QKP524346 QAS524345:QAT524346 PQW524345:PQX524346 PHA524345:PHB524346 OXE524345:OXF524346 ONI524345:ONJ524346 ODM524345:ODN524346 NTQ524345:NTR524346 NJU524345:NJV524346 MZY524345:MZZ524346 MQC524345:MQD524346 MGG524345:MGH524346 LWK524345:LWL524346 LMO524345:LMP524346 LCS524345:LCT524346 KSW524345:KSX524346 KJA524345:KJB524346 JZE524345:JZF524346 JPI524345:JPJ524346 JFM524345:JFN524346 IVQ524345:IVR524346 ILU524345:ILV524346 IBY524345:IBZ524346 HSC524345:HSD524346 HIG524345:HIH524346 GYK524345:GYL524346 GOO524345:GOP524346 GES524345:GET524346 FUW524345:FUX524346 FLA524345:FLB524346 FBE524345:FBF524346 ERI524345:ERJ524346 EHM524345:EHN524346 DXQ524345:DXR524346 DNU524345:DNV524346 DDY524345:DDZ524346 CUC524345:CUD524346 CKG524345:CKH524346 CAK524345:CAL524346 BQO524345:BQP524346 BGS524345:BGT524346 AWW524345:AWX524346 ANA524345:ANB524346 ADE524345:ADF524346 TI524345:TJ524346 JM524345:JN524346 Q524345:R524346 WVY458809:WVZ458810 WMC458809:WMD458810 WCG458809:WCH458810 VSK458809:VSL458810 VIO458809:VIP458810 UYS458809:UYT458810 UOW458809:UOX458810 UFA458809:UFB458810 TVE458809:TVF458810 TLI458809:TLJ458810 TBM458809:TBN458810 SRQ458809:SRR458810 SHU458809:SHV458810 RXY458809:RXZ458810 ROC458809:ROD458810 REG458809:REH458810 QUK458809:QUL458810 QKO458809:QKP458810 QAS458809:QAT458810 PQW458809:PQX458810 PHA458809:PHB458810 OXE458809:OXF458810 ONI458809:ONJ458810 ODM458809:ODN458810 NTQ458809:NTR458810 NJU458809:NJV458810 MZY458809:MZZ458810 MQC458809:MQD458810 MGG458809:MGH458810 LWK458809:LWL458810 LMO458809:LMP458810 LCS458809:LCT458810 KSW458809:KSX458810 KJA458809:KJB458810 JZE458809:JZF458810 JPI458809:JPJ458810 JFM458809:JFN458810 IVQ458809:IVR458810 ILU458809:ILV458810 IBY458809:IBZ458810 HSC458809:HSD458810 HIG458809:HIH458810 GYK458809:GYL458810 GOO458809:GOP458810 GES458809:GET458810 FUW458809:FUX458810 FLA458809:FLB458810 FBE458809:FBF458810 ERI458809:ERJ458810 EHM458809:EHN458810 DXQ458809:DXR458810 DNU458809:DNV458810 DDY458809:DDZ458810 CUC458809:CUD458810 CKG458809:CKH458810 CAK458809:CAL458810 BQO458809:BQP458810 BGS458809:BGT458810 AWW458809:AWX458810 ANA458809:ANB458810 ADE458809:ADF458810 TI458809:TJ458810 JM458809:JN458810 Q458809:R458810 WVY393273:WVZ393274 WMC393273:WMD393274 WCG393273:WCH393274 VSK393273:VSL393274 VIO393273:VIP393274 UYS393273:UYT393274 UOW393273:UOX393274 UFA393273:UFB393274 TVE393273:TVF393274 TLI393273:TLJ393274 TBM393273:TBN393274 SRQ393273:SRR393274 SHU393273:SHV393274 RXY393273:RXZ393274 ROC393273:ROD393274 REG393273:REH393274 QUK393273:QUL393274 QKO393273:QKP393274 QAS393273:QAT393274 PQW393273:PQX393274 PHA393273:PHB393274 OXE393273:OXF393274 ONI393273:ONJ393274 ODM393273:ODN393274 NTQ393273:NTR393274 NJU393273:NJV393274 MZY393273:MZZ393274 MQC393273:MQD393274 MGG393273:MGH393274 LWK393273:LWL393274 LMO393273:LMP393274 LCS393273:LCT393274 KSW393273:KSX393274 KJA393273:KJB393274 JZE393273:JZF393274 JPI393273:JPJ393274 JFM393273:JFN393274 IVQ393273:IVR393274 ILU393273:ILV393274 IBY393273:IBZ393274 HSC393273:HSD393274 HIG393273:HIH393274 GYK393273:GYL393274 GOO393273:GOP393274 GES393273:GET393274 FUW393273:FUX393274 FLA393273:FLB393274 FBE393273:FBF393274 ERI393273:ERJ393274 EHM393273:EHN393274 DXQ393273:DXR393274 DNU393273:DNV393274 DDY393273:DDZ393274 CUC393273:CUD393274 CKG393273:CKH393274 CAK393273:CAL393274 BQO393273:BQP393274 BGS393273:BGT393274 AWW393273:AWX393274 ANA393273:ANB393274 ADE393273:ADF393274 TI393273:TJ393274 JM393273:JN393274 Q393273:R393274 WVY327737:WVZ327738 WMC327737:WMD327738 WCG327737:WCH327738 VSK327737:VSL327738 VIO327737:VIP327738 UYS327737:UYT327738 UOW327737:UOX327738 UFA327737:UFB327738 TVE327737:TVF327738 TLI327737:TLJ327738 TBM327737:TBN327738 SRQ327737:SRR327738 SHU327737:SHV327738 RXY327737:RXZ327738 ROC327737:ROD327738 REG327737:REH327738 QUK327737:QUL327738 QKO327737:QKP327738 QAS327737:QAT327738 PQW327737:PQX327738 PHA327737:PHB327738 OXE327737:OXF327738 ONI327737:ONJ327738 ODM327737:ODN327738 NTQ327737:NTR327738 NJU327737:NJV327738 MZY327737:MZZ327738 MQC327737:MQD327738 MGG327737:MGH327738 LWK327737:LWL327738 LMO327737:LMP327738 LCS327737:LCT327738 KSW327737:KSX327738 KJA327737:KJB327738 JZE327737:JZF327738 JPI327737:JPJ327738 JFM327737:JFN327738 IVQ327737:IVR327738 ILU327737:ILV327738 IBY327737:IBZ327738 HSC327737:HSD327738 HIG327737:HIH327738 GYK327737:GYL327738 GOO327737:GOP327738 GES327737:GET327738 FUW327737:FUX327738 FLA327737:FLB327738 FBE327737:FBF327738 ERI327737:ERJ327738 EHM327737:EHN327738 DXQ327737:DXR327738 DNU327737:DNV327738 DDY327737:DDZ327738 CUC327737:CUD327738 CKG327737:CKH327738 CAK327737:CAL327738 BQO327737:BQP327738 BGS327737:BGT327738 AWW327737:AWX327738 ANA327737:ANB327738 ADE327737:ADF327738 TI327737:TJ327738 JM327737:JN327738 Q327737:R327738 WVY262201:WVZ262202 WMC262201:WMD262202 WCG262201:WCH262202 VSK262201:VSL262202 VIO262201:VIP262202 UYS262201:UYT262202 UOW262201:UOX262202 UFA262201:UFB262202 TVE262201:TVF262202 TLI262201:TLJ262202 TBM262201:TBN262202 SRQ262201:SRR262202 SHU262201:SHV262202 RXY262201:RXZ262202 ROC262201:ROD262202 REG262201:REH262202 QUK262201:QUL262202 QKO262201:QKP262202 QAS262201:QAT262202 PQW262201:PQX262202 PHA262201:PHB262202 OXE262201:OXF262202 ONI262201:ONJ262202 ODM262201:ODN262202 NTQ262201:NTR262202 NJU262201:NJV262202 MZY262201:MZZ262202 MQC262201:MQD262202 MGG262201:MGH262202 LWK262201:LWL262202 LMO262201:LMP262202 LCS262201:LCT262202 KSW262201:KSX262202 KJA262201:KJB262202 JZE262201:JZF262202 JPI262201:JPJ262202 JFM262201:JFN262202 IVQ262201:IVR262202 ILU262201:ILV262202 IBY262201:IBZ262202 HSC262201:HSD262202 HIG262201:HIH262202 GYK262201:GYL262202 GOO262201:GOP262202 GES262201:GET262202 FUW262201:FUX262202 FLA262201:FLB262202 FBE262201:FBF262202 ERI262201:ERJ262202 EHM262201:EHN262202 DXQ262201:DXR262202 DNU262201:DNV262202 DDY262201:DDZ262202 CUC262201:CUD262202 CKG262201:CKH262202 CAK262201:CAL262202 BQO262201:BQP262202 BGS262201:BGT262202 AWW262201:AWX262202 ANA262201:ANB262202 ADE262201:ADF262202 TI262201:TJ262202 JM262201:JN262202 Q262201:R262202 WVY196665:WVZ196666 WMC196665:WMD196666 WCG196665:WCH196666 VSK196665:VSL196666 VIO196665:VIP196666 UYS196665:UYT196666 UOW196665:UOX196666 UFA196665:UFB196666 TVE196665:TVF196666 TLI196665:TLJ196666 TBM196665:TBN196666 SRQ196665:SRR196666 SHU196665:SHV196666 RXY196665:RXZ196666 ROC196665:ROD196666 REG196665:REH196666 QUK196665:QUL196666 QKO196665:QKP196666 QAS196665:QAT196666 PQW196665:PQX196666 PHA196665:PHB196666 OXE196665:OXF196666 ONI196665:ONJ196666 ODM196665:ODN196666 NTQ196665:NTR196666 NJU196665:NJV196666 MZY196665:MZZ196666 MQC196665:MQD196666 MGG196665:MGH196666 LWK196665:LWL196666 LMO196665:LMP196666 LCS196665:LCT196666 KSW196665:KSX196666 KJA196665:KJB196666 JZE196665:JZF196666 JPI196665:JPJ196666 JFM196665:JFN196666 IVQ196665:IVR196666 ILU196665:ILV196666 IBY196665:IBZ196666 HSC196665:HSD196666 HIG196665:HIH196666 GYK196665:GYL196666 GOO196665:GOP196666 GES196665:GET196666 FUW196665:FUX196666 FLA196665:FLB196666 FBE196665:FBF196666 ERI196665:ERJ196666 EHM196665:EHN196666 DXQ196665:DXR196666 DNU196665:DNV196666 DDY196665:DDZ196666 CUC196665:CUD196666 CKG196665:CKH196666 CAK196665:CAL196666 BQO196665:BQP196666 BGS196665:BGT196666 AWW196665:AWX196666 ANA196665:ANB196666 ADE196665:ADF196666 TI196665:TJ196666 JM196665:JN196666 Q196665:R196666 WVY131129:WVZ131130 WMC131129:WMD131130 WCG131129:WCH131130 VSK131129:VSL131130 VIO131129:VIP131130 UYS131129:UYT131130 UOW131129:UOX131130 UFA131129:UFB131130 TVE131129:TVF131130 TLI131129:TLJ131130 TBM131129:TBN131130 SRQ131129:SRR131130 SHU131129:SHV131130 RXY131129:RXZ131130 ROC131129:ROD131130 REG131129:REH131130 QUK131129:QUL131130 QKO131129:QKP131130 QAS131129:QAT131130 PQW131129:PQX131130 PHA131129:PHB131130 OXE131129:OXF131130 ONI131129:ONJ131130 ODM131129:ODN131130 NTQ131129:NTR131130 NJU131129:NJV131130 MZY131129:MZZ131130 MQC131129:MQD131130 MGG131129:MGH131130 LWK131129:LWL131130 LMO131129:LMP131130 LCS131129:LCT131130 KSW131129:KSX131130 KJA131129:KJB131130 JZE131129:JZF131130 JPI131129:JPJ131130 JFM131129:JFN131130 IVQ131129:IVR131130 ILU131129:ILV131130 IBY131129:IBZ131130 HSC131129:HSD131130 HIG131129:HIH131130 GYK131129:GYL131130 GOO131129:GOP131130 GES131129:GET131130 FUW131129:FUX131130 FLA131129:FLB131130 FBE131129:FBF131130 ERI131129:ERJ131130 EHM131129:EHN131130 DXQ131129:DXR131130 DNU131129:DNV131130 DDY131129:DDZ131130 CUC131129:CUD131130 CKG131129:CKH131130 CAK131129:CAL131130 BQO131129:BQP131130 BGS131129:BGT131130 AWW131129:AWX131130 ANA131129:ANB131130 ADE131129:ADF131130 TI131129:TJ131130 JM131129:JN131130 Q131129:R131130 WVY65593:WVZ65594 WMC65593:WMD65594 WCG65593:WCH65594 VSK65593:VSL65594 VIO65593:VIP65594 UYS65593:UYT65594 UOW65593:UOX65594 UFA65593:UFB65594 TVE65593:TVF65594 TLI65593:TLJ65594 TBM65593:TBN65594 SRQ65593:SRR65594 SHU65593:SHV65594 RXY65593:RXZ65594 ROC65593:ROD65594 REG65593:REH65594 QUK65593:QUL65594 QKO65593:QKP65594 QAS65593:QAT65594 PQW65593:PQX65594 PHA65593:PHB65594 OXE65593:OXF65594 ONI65593:ONJ65594 ODM65593:ODN65594 NTQ65593:NTR65594 NJU65593:NJV65594 MZY65593:MZZ65594 MQC65593:MQD65594 MGG65593:MGH65594 LWK65593:LWL65594 LMO65593:LMP65594 LCS65593:LCT65594 KSW65593:KSX65594 KJA65593:KJB65594 JZE65593:JZF65594 JPI65593:JPJ65594 JFM65593:JFN65594 IVQ65593:IVR65594 ILU65593:ILV65594 IBY65593:IBZ65594 HSC65593:HSD65594 HIG65593:HIH65594 GYK65593:GYL65594 GOO65593:GOP65594 GES65593:GET65594 FUW65593:FUX65594 FLA65593:FLB65594 FBE65593:FBF65594 ERI65593:ERJ65594 EHM65593:EHN65594 DXQ65593:DXR65594 DNU65593:DNV65594 DDY65593:DDZ65594 CUC65593:CUD65594 CKG65593:CKH65594 CAK65593:CAL65594 BQO65593:BQP65594 BGS65593:BGT65594 AWW65593:AWX65594 ANA65593:ANB65594 ADE65593:ADF65594 TI65593:TJ65594 JM65593:JN65594 Q65593:R65594 WVY38:WVZ38 WMC38:WMD38 WCG38:WCH38 VSK38:VSL38 VIO38:VIP38 UYS38:UYT38 UOW38:UOX38 UFA38:UFB38 TVE38:TVF38 TLI38:TLJ38 TBM38:TBN38 SRQ38:SRR38 SHU38:SHV38 RXY38:RXZ38 ROC38:ROD38 REG38:REH38 QUK38:QUL38 QKO38:QKP38 QAS38:QAT38 PQW38:PQX38 PHA38:PHB38 OXE38:OXF38 ONI38:ONJ38 ODM38:ODN38 NTQ38:NTR38 NJU38:NJV38 MZY38:MZZ38 MQC38:MQD38 MGG38:MGH38 LWK38:LWL38 LMO38:LMP38 LCS38:LCT38 KSW38:KSX38 KJA38:KJB38 JZE38:JZF38 JPI38:JPJ38 JFM38:JFN38 IVQ38:IVR38 ILU38:ILV38 IBY38:IBZ38 HSC38:HSD38 HIG38:HIH38 GYK38:GYL38 GOO38:GOP38 GES38:GET38 FUW38:FUX38 FLA38:FLB38 FBE38:FBF38 ERI38:ERJ38 EHM38:EHN38 DXQ38:DXR38 DNU38:DNV38 DDY38:DDZ38 CUC38:CUD38 CKG38:CKH38 CAK38:CAL38 BQO38:BQP38 BGS38:BGT38 AWW38:AWX38 ANA38:ANB38 ADE38:ADF38 TI38:TJ38 JM38:JN38">
      <formula1>$V$115:$V$125</formula1>
    </dataValidation>
    <dataValidation type="list" allowBlank="1" showInputMessage="1" showErrorMessage="1" sqref="Q96:R98 WVY983146:WVZ983148 WMC983146:WMD983148 WCG983146:WCH983148 VSK983146:VSL983148 VIO983146:VIP983148 UYS983146:UYT983148 UOW983146:UOX983148 UFA983146:UFB983148 TVE983146:TVF983148 TLI983146:TLJ983148 TBM983146:TBN983148 SRQ983146:SRR983148 SHU983146:SHV983148 RXY983146:RXZ983148 ROC983146:ROD983148 REG983146:REH983148 QUK983146:QUL983148 QKO983146:QKP983148 QAS983146:QAT983148 PQW983146:PQX983148 PHA983146:PHB983148 OXE983146:OXF983148 ONI983146:ONJ983148 ODM983146:ODN983148 NTQ983146:NTR983148 NJU983146:NJV983148 MZY983146:MZZ983148 MQC983146:MQD983148 MGG983146:MGH983148 LWK983146:LWL983148 LMO983146:LMP983148 LCS983146:LCT983148 KSW983146:KSX983148 KJA983146:KJB983148 JZE983146:JZF983148 JPI983146:JPJ983148 JFM983146:JFN983148 IVQ983146:IVR983148 ILU983146:ILV983148 IBY983146:IBZ983148 HSC983146:HSD983148 HIG983146:HIH983148 GYK983146:GYL983148 GOO983146:GOP983148 GES983146:GET983148 FUW983146:FUX983148 FLA983146:FLB983148 FBE983146:FBF983148 ERI983146:ERJ983148 EHM983146:EHN983148 DXQ983146:DXR983148 DNU983146:DNV983148 DDY983146:DDZ983148 CUC983146:CUD983148 CKG983146:CKH983148 CAK983146:CAL983148 BQO983146:BQP983148 BGS983146:BGT983148 AWW983146:AWX983148 ANA983146:ANB983148 ADE983146:ADF983148 TI983146:TJ983148 JM983146:JN983148 Q983146:R983148 WVY917610:WVZ917612 WMC917610:WMD917612 WCG917610:WCH917612 VSK917610:VSL917612 VIO917610:VIP917612 UYS917610:UYT917612 UOW917610:UOX917612 UFA917610:UFB917612 TVE917610:TVF917612 TLI917610:TLJ917612 TBM917610:TBN917612 SRQ917610:SRR917612 SHU917610:SHV917612 RXY917610:RXZ917612 ROC917610:ROD917612 REG917610:REH917612 QUK917610:QUL917612 QKO917610:QKP917612 QAS917610:QAT917612 PQW917610:PQX917612 PHA917610:PHB917612 OXE917610:OXF917612 ONI917610:ONJ917612 ODM917610:ODN917612 NTQ917610:NTR917612 NJU917610:NJV917612 MZY917610:MZZ917612 MQC917610:MQD917612 MGG917610:MGH917612 LWK917610:LWL917612 LMO917610:LMP917612 LCS917610:LCT917612 KSW917610:KSX917612 KJA917610:KJB917612 JZE917610:JZF917612 JPI917610:JPJ917612 JFM917610:JFN917612 IVQ917610:IVR917612 ILU917610:ILV917612 IBY917610:IBZ917612 HSC917610:HSD917612 HIG917610:HIH917612 GYK917610:GYL917612 GOO917610:GOP917612 GES917610:GET917612 FUW917610:FUX917612 FLA917610:FLB917612 FBE917610:FBF917612 ERI917610:ERJ917612 EHM917610:EHN917612 DXQ917610:DXR917612 DNU917610:DNV917612 DDY917610:DDZ917612 CUC917610:CUD917612 CKG917610:CKH917612 CAK917610:CAL917612 BQO917610:BQP917612 BGS917610:BGT917612 AWW917610:AWX917612 ANA917610:ANB917612 ADE917610:ADF917612 TI917610:TJ917612 JM917610:JN917612 Q917610:R917612 WVY852074:WVZ852076 WMC852074:WMD852076 WCG852074:WCH852076 VSK852074:VSL852076 VIO852074:VIP852076 UYS852074:UYT852076 UOW852074:UOX852076 UFA852074:UFB852076 TVE852074:TVF852076 TLI852074:TLJ852076 TBM852074:TBN852076 SRQ852074:SRR852076 SHU852074:SHV852076 RXY852074:RXZ852076 ROC852074:ROD852076 REG852074:REH852076 QUK852074:QUL852076 QKO852074:QKP852076 QAS852074:QAT852076 PQW852074:PQX852076 PHA852074:PHB852076 OXE852074:OXF852076 ONI852074:ONJ852076 ODM852074:ODN852076 NTQ852074:NTR852076 NJU852074:NJV852076 MZY852074:MZZ852076 MQC852074:MQD852076 MGG852074:MGH852076 LWK852074:LWL852076 LMO852074:LMP852076 LCS852074:LCT852076 KSW852074:KSX852076 KJA852074:KJB852076 JZE852074:JZF852076 JPI852074:JPJ852076 JFM852074:JFN852076 IVQ852074:IVR852076 ILU852074:ILV852076 IBY852074:IBZ852076 HSC852074:HSD852076 HIG852074:HIH852076 GYK852074:GYL852076 GOO852074:GOP852076 GES852074:GET852076 FUW852074:FUX852076 FLA852074:FLB852076 FBE852074:FBF852076 ERI852074:ERJ852076 EHM852074:EHN852076 DXQ852074:DXR852076 DNU852074:DNV852076 DDY852074:DDZ852076 CUC852074:CUD852076 CKG852074:CKH852076 CAK852074:CAL852076 BQO852074:BQP852076 BGS852074:BGT852076 AWW852074:AWX852076 ANA852074:ANB852076 ADE852074:ADF852076 TI852074:TJ852076 JM852074:JN852076 Q852074:R852076 WVY786538:WVZ786540 WMC786538:WMD786540 WCG786538:WCH786540 VSK786538:VSL786540 VIO786538:VIP786540 UYS786538:UYT786540 UOW786538:UOX786540 UFA786538:UFB786540 TVE786538:TVF786540 TLI786538:TLJ786540 TBM786538:TBN786540 SRQ786538:SRR786540 SHU786538:SHV786540 RXY786538:RXZ786540 ROC786538:ROD786540 REG786538:REH786540 QUK786538:QUL786540 QKO786538:QKP786540 QAS786538:QAT786540 PQW786538:PQX786540 PHA786538:PHB786540 OXE786538:OXF786540 ONI786538:ONJ786540 ODM786538:ODN786540 NTQ786538:NTR786540 NJU786538:NJV786540 MZY786538:MZZ786540 MQC786538:MQD786540 MGG786538:MGH786540 LWK786538:LWL786540 LMO786538:LMP786540 LCS786538:LCT786540 KSW786538:KSX786540 KJA786538:KJB786540 JZE786538:JZF786540 JPI786538:JPJ786540 JFM786538:JFN786540 IVQ786538:IVR786540 ILU786538:ILV786540 IBY786538:IBZ786540 HSC786538:HSD786540 HIG786538:HIH786540 GYK786538:GYL786540 GOO786538:GOP786540 GES786538:GET786540 FUW786538:FUX786540 FLA786538:FLB786540 FBE786538:FBF786540 ERI786538:ERJ786540 EHM786538:EHN786540 DXQ786538:DXR786540 DNU786538:DNV786540 DDY786538:DDZ786540 CUC786538:CUD786540 CKG786538:CKH786540 CAK786538:CAL786540 BQO786538:BQP786540 BGS786538:BGT786540 AWW786538:AWX786540 ANA786538:ANB786540 ADE786538:ADF786540 TI786538:TJ786540 JM786538:JN786540 Q786538:R786540 WVY721002:WVZ721004 WMC721002:WMD721004 WCG721002:WCH721004 VSK721002:VSL721004 VIO721002:VIP721004 UYS721002:UYT721004 UOW721002:UOX721004 UFA721002:UFB721004 TVE721002:TVF721004 TLI721002:TLJ721004 TBM721002:TBN721004 SRQ721002:SRR721004 SHU721002:SHV721004 RXY721002:RXZ721004 ROC721002:ROD721004 REG721002:REH721004 QUK721002:QUL721004 QKO721002:QKP721004 QAS721002:QAT721004 PQW721002:PQX721004 PHA721002:PHB721004 OXE721002:OXF721004 ONI721002:ONJ721004 ODM721002:ODN721004 NTQ721002:NTR721004 NJU721002:NJV721004 MZY721002:MZZ721004 MQC721002:MQD721004 MGG721002:MGH721004 LWK721002:LWL721004 LMO721002:LMP721004 LCS721002:LCT721004 KSW721002:KSX721004 KJA721002:KJB721004 JZE721002:JZF721004 JPI721002:JPJ721004 JFM721002:JFN721004 IVQ721002:IVR721004 ILU721002:ILV721004 IBY721002:IBZ721004 HSC721002:HSD721004 HIG721002:HIH721004 GYK721002:GYL721004 GOO721002:GOP721004 GES721002:GET721004 FUW721002:FUX721004 FLA721002:FLB721004 FBE721002:FBF721004 ERI721002:ERJ721004 EHM721002:EHN721004 DXQ721002:DXR721004 DNU721002:DNV721004 DDY721002:DDZ721004 CUC721002:CUD721004 CKG721002:CKH721004 CAK721002:CAL721004 BQO721002:BQP721004 BGS721002:BGT721004 AWW721002:AWX721004 ANA721002:ANB721004 ADE721002:ADF721004 TI721002:TJ721004 JM721002:JN721004 Q721002:R721004 WVY655466:WVZ655468 WMC655466:WMD655468 WCG655466:WCH655468 VSK655466:VSL655468 VIO655466:VIP655468 UYS655466:UYT655468 UOW655466:UOX655468 UFA655466:UFB655468 TVE655466:TVF655468 TLI655466:TLJ655468 TBM655466:TBN655468 SRQ655466:SRR655468 SHU655466:SHV655468 RXY655466:RXZ655468 ROC655466:ROD655468 REG655466:REH655468 QUK655466:QUL655468 QKO655466:QKP655468 QAS655466:QAT655468 PQW655466:PQX655468 PHA655466:PHB655468 OXE655466:OXF655468 ONI655466:ONJ655468 ODM655466:ODN655468 NTQ655466:NTR655468 NJU655466:NJV655468 MZY655466:MZZ655468 MQC655466:MQD655468 MGG655466:MGH655468 LWK655466:LWL655468 LMO655466:LMP655468 LCS655466:LCT655468 KSW655466:KSX655468 KJA655466:KJB655468 JZE655466:JZF655468 JPI655466:JPJ655468 JFM655466:JFN655468 IVQ655466:IVR655468 ILU655466:ILV655468 IBY655466:IBZ655468 HSC655466:HSD655468 HIG655466:HIH655468 GYK655466:GYL655468 GOO655466:GOP655468 GES655466:GET655468 FUW655466:FUX655468 FLA655466:FLB655468 FBE655466:FBF655468 ERI655466:ERJ655468 EHM655466:EHN655468 DXQ655466:DXR655468 DNU655466:DNV655468 DDY655466:DDZ655468 CUC655466:CUD655468 CKG655466:CKH655468 CAK655466:CAL655468 BQO655466:BQP655468 BGS655466:BGT655468 AWW655466:AWX655468 ANA655466:ANB655468 ADE655466:ADF655468 TI655466:TJ655468 JM655466:JN655468 Q655466:R655468 WVY589930:WVZ589932 WMC589930:WMD589932 WCG589930:WCH589932 VSK589930:VSL589932 VIO589930:VIP589932 UYS589930:UYT589932 UOW589930:UOX589932 UFA589930:UFB589932 TVE589930:TVF589932 TLI589930:TLJ589932 TBM589930:TBN589932 SRQ589930:SRR589932 SHU589930:SHV589932 RXY589930:RXZ589932 ROC589930:ROD589932 REG589930:REH589932 QUK589930:QUL589932 QKO589930:QKP589932 QAS589930:QAT589932 PQW589930:PQX589932 PHA589930:PHB589932 OXE589930:OXF589932 ONI589930:ONJ589932 ODM589930:ODN589932 NTQ589930:NTR589932 NJU589930:NJV589932 MZY589930:MZZ589932 MQC589930:MQD589932 MGG589930:MGH589932 LWK589930:LWL589932 LMO589930:LMP589932 LCS589930:LCT589932 KSW589930:KSX589932 KJA589930:KJB589932 JZE589930:JZF589932 JPI589930:JPJ589932 JFM589930:JFN589932 IVQ589930:IVR589932 ILU589930:ILV589932 IBY589930:IBZ589932 HSC589930:HSD589932 HIG589930:HIH589932 GYK589930:GYL589932 GOO589930:GOP589932 GES589930:GET589932 FUW589930:FUX589932 FLA589930:FLB589932 FBE589930:FBF589932 ERI589930:ERJ589932 EHM589930:EHN589932 DXQ589930:DXR589932 DNU589930:DNV589932 DDY589930:DDZ589932 CUC589930:CUD589932 CKG589930:CKH589932 CAK589930:CAL589932 BQO589930:BQP589932 BGS589930:BGT589932 AWW589930:AWX589932 ANA589930:ANB589932 ADE589930:ADF589932 TI589930:TJ589932 JM589930:JN589932 Q589930:R589932 WVY524394:WVZ524396 WMC524394:WMD524396 WCG524394:WCH524396 VSK524394:VSL524396 VIO524394:VIP524396 UYS524394:UYT524396 UOW524394:UOX524396 UFA524394:UFB524396 TVE524394:TVF524396 TLI524394:TLJ524396 TBM524394:TBN524396 SRQ524394:SRR524396 SHU524394:SHV524396 RXY524394:RXZ524396 ROC524394:ROD524396 REG524394:REH524396 QUK524394:QUL524396 QKO524394:QKP524396 QAS524394:QAT524396 PQW524394:PQX524396 PHA524394:PHB524396 OXE524394:OXF524396 ONI524394:ONJ524396 ODM524394:ODN524396 NTQ524394:NTR524396 NJU524394:NJV524396 MZY524394:MZZ524396 MQC524394:MQD524396 MGG524394:MGH524396 LWK524394:LWL524396 LMO524394:LMP524396 LCS524394:LCT524396 KSW524394:KSX524396 KJA524394:KJB524396 JZE524394:JZF524396 JPI524394:JPJ524396 JFM524394:JFN524396 IVQ524394:IVR524396 ILU524394:ILV524396 IBY524394:IBZ524396 HSC524394:HSD524396 HIG524394:HIH524396 GYK524394:GYL524396 GOO524394:GOP524396 GES524394:GET524396 FUW524394:FUX524396 FLA524394:FLB524396 FBE524394:FBF524396 ERI524394:ERJ524396 EHM524394:EHN524396 DXQ524394:DXR524396 DNU524394:DNV524396 DDY524394:DDZ524396 CUC524394:CUD524396 CKG524394:CKH524396 CAK524394:CAL524396 BQO524394:BQP524396 BGS524394:BGT524396 AWW524394:AWX524396 ANA524394:ANB524396 ADE524394:ADF524396 TI524394:TJ524396 JM524394:JN524396 Q524394:R524396 WVY458858:WVZ458860 WMC458858:WMD458860 WCG458858:WCH458860 VSK458858:VSL458860 VIO458858:VIP458860 UYS458858:UYT458860 UOW458858:UOX458860 UFA458858:UFB458860 TVE458858:TVF458860 TLI458858:TLJ458860 TBM458858:TBN458860 SRQ458858:SRR458860 SHU458858:SHV458860 RXY458858:RXZ458860 ROC458858:ROD458860 REG458858:REH458860 QUK458858:QUL458860 QKO458858:QKP458860 QAS458858:QAT458860 PQW458858:PQX458860 PHA458858:PHB458860 OXE458858:OXF458860 ONI458858:ONJ458860 ODM458858:ODN458860 NTQ458858:NTR458860 NJU458858:NJV458860 MZY458858:MZZ458860 MQC458858:MQD458860 MGG458858:MGH458860 LWK458858:LWL458860 LMO458858:LMP458860 LCS458858:LCT458860 KSW458858:KSX458860 KJA458858:KJB458860 JZE458858:JZF458860 JPI458858:JPJ458860 JFM458858:JFN458860 IVQ458858:IVR458860 ILU458858:ILV458860 IBY458858:IBZ458860 HSC458858:HSD458860 HIG458858:HIH458860 GYK458858:GYL458860 GOO458858:GOP458860 GES458858:GET458860 FUW458858:FUX458860 FLA458858:FLB458860 FBE458858:FBF458860 ERI458858:ERJ458860 EHM458858:EHN458860 DXQ458858:DXR458860 DNU458858:DNV458860 DDY458858:DDZ458860 CUC458858:CUD458860 CKG458858:CKH458860 CAK458858:CAL458860 BQO458858:BQP458860 BGS458858:BGT458860 AWW458858:AWX458860 ANA458858:ANB458860 ADE458858:ADF458860 TI458858:TJ458860 JM458858:JN458860 Q458858:R458860 WVY393322:WVZ393324 WMC393322:WMD393324 WCG393322:WCH393324 VSK393322:VSL393324 VIO393322:VIP393324 UYS393322:UYT393324 UOW393322:UOX393324 UFA393322:UFB393324 TVE393322:TVF393324 TLI393322:TLJ393324 TBM393322:TBN393324 SRQ393322:SRR393324 SHU393322:SHV393324 RXY393322:RXZ393324 ROC393322:ROD393324 REG393322:REH393324 QUK393322:QUL393324 QKO393322:QKP393324 QAS393322:QAT393324 PQW393322:PQX393324 PHA393322:PHB393324 OXE393322:OXF393324 ONI393322:ONJ393324 ODM393322:ODN393324 NTQ393322:NTR393324 NJU393322:NJV393324 MZY393322:MZZ393324 MQC393322:MQD393324 MGG393322:MGH393324 LWK393322:LWL393324 LMO393322:LMP393324 LCS393322:LCT393324 KSW393322:KSX393324 KJA393322:KJB393324 JZE393322:JZF393324 JPI393322:JPJ393324 JFM393322:JFN393324 IVQ393322:IVR393324 ILU393322:ILV393324 IBY393322:IBZ393324 HSC393322:HSD393324 HIG393322:HIH393324 GYK393322:GYL393324 GOO393322:GOP393324 GES393322:GET393324 FUW393322:FUX393324 FLA393322:FLB393324 FBE393322:FBF393324 ERI393322:ERJ393324 EHM393322:EHN393324 DXQ393322:DXR393324 DNU393322:DNV393324 DDY393322:DDZ393324 CUC393322:CUD393324 CKG393322:CKH393324 CAK393322:CAL393324 BQO393322:BQP393324 BGS393322:BGT393324 AWW393322:AWX393324 ANA393322:ANB393324 ADE393322:ADF393324 TI393322:TJ393324 JM393322:JN393324 Q393322:R393324 WVY327786:WVZ327788 WMC327786:WMD327788 WCG327786:WCH327788 VSK327786:VSL327788 VIO327786:VIP327788 UYS327786:UYT327788 UOW327786:UOX327788 UFA327786:UFB327788 TVE327786:TVF327788 TLI327786:TLJ327788 TBM327786:TBN327788 SRQ327786:SRR327788 SHU327786:SHV327788 RXY327786:RXZ327788 ROC327786:ROD327788 REG327786:REH327788 QUK327786:QUL327788 QKO327786:QKP327788 QAS327786:QAT327788 PQW327786:PQX327788 PHA327786:PHB327788 OXE327786:OXF327788 ONI327786:ONJ327788 ODM327786:ODN327788 NTQ327786:NTR327788 NJU327786:NJV327788 MZY327786:MZZ327788 MQC327786:MQD327788 MGG327786:MGH327788 LWK327786:LWL327788 LMO327786:LMP327788 LCS327786:LCT327788 KSW327786:KSX327788 KJA327786:KJB327788 JZE327786:JZF327788 JPI327786:JPJ327788 JFM327786:JFN327788 IVQ327786:IVR327788 ILU327786:ILV327788 IBY327786:IBZ327788 HSC327786:HSD327788 HIG327786:HIH327788 GYK327786:GYL327788 GOO327786:GOP327788 GES327786:GET327788 FUW327786:FUX327788 FLA327786:FLB327788 FBE327786:FBF327788 ERI327786:ERJ327788 EHM327786:EHN327788 DXQ327786:DXR327788 DNU327786:DNV327788 DDY327786:DDZ327788 CUC327786:CUD327788 CKG327786:CKH327788 CAK327786:CAL327788 BQO327786:BQP327788 BGS327786:BGT327788 AWW327786:AWX327788 ANA327786:ANB327788 ADE327786:ADF327788 TI327786:TJ327788 JM327786:JN327788 Q327786:R327788 WVY262250:WVZ262252 WMC262250:WMD262252 WCG262250:WCH262252 VSK262250:VSL262252 VIO262250:VIP262252 UYS262250:UYT262252 UOW262250:UOX262252 UFA262250:UFB262252 TVE262250:TVF262252 TLI262250:TLJ262252 TBM262250:TBN262252 SRQ262250:SRR262252 SHU262250:SHV262252 RXY262250:RXZ262252 ROC262250:ROD262252 REG262250:REH262252 QUK262250:QUL262252 QKO262250:QKP262252 QAS262250:QAT262252 PQW262250:PQX262252 PHA262250:PHB262252 OXE262250:OXF262252 ONI262250:ONJ262252 ODM262250:ODN262252 NTQ262250:NTR262252 NJU262250:NJV262252 MZY262250:MZZ262252 MQC262250:MQD262252 MGG262250:MGH262252 LWK262250:LWL262252 LMO262250:LMP262252 LCS262250:LCT262252 KSW262250:KSX262252 KJA262250:KJB262252 JZE262250:JZF262252 JPI262250:JPJ262252 JFM262250:JFN262252 IVQ262250:IVR262252 ILU262250:ILV262252 IBY262250:IBZ262252 HSC262250:HSD262252 HIG262250:HIH262252 GYK262250:GYL262252 GOO262250:GOP262252 GES262250:GET262252 FUW262250:FUX262252 FLA262250:FLB262252 FBE262250:FBF262252 ERI262250:ERJ262252 EHM262250:EHN262252 DXQ262250:DXR262252 DNU262250:DNV262252 DDY262250:DDZ262252 CUC262250:CUD262252 CKG262250:CKH262252 CAK262250:CAL262252 BQO262250:BQP262252 BGS262250:BGT262252 AWW262250:AWX262252 ANA262250:ANB262252 ADE262250:ADF262252 TI262250:TJ262252 JM262250:JN262252 Q262250:R262252 WVY196714:WVZ196716 WMC196714:WMD196716 WCG196714:WCH196716 VSK196714:VSL196716 VIO196714:VIP196716 UYS196714:UYT196716 UOW196714:UOX196716 UFA196714:UFB196716 TVE196714:TVF196716 TLI196714:TLJ196716 TBM196714:TBN196716 SRQ196714:SRR196716 SHU196714:SHV196716 RXY196714:RXZ196716 ROC196714:ROD196716 REG196714:REH196716 QUK196714:QUL196716 QKO196714:QKP196716 QAS196714:QAT196716 PQW196714:PQX196716 PHA196714:PHB196716 OXE196714:OXF196716 ONI196714:ONJ196716 ODM196714:ODN196716 NTQ196714:NTR196716 NJU196714:NJV196716 MZY196714:MZZ196716 MQC196714:MQD196716 MGG196714:MGH196716 LWK196714:LWL196716 LMO196714:LMP196716 LCS196714:LCT196716 KSW196714:KSX196716 KJA196714:KJB196716 JZE196714:JZF196716 JPI196714:JPJ196716 JFM196714:JFN196716 IVQ196714:IVR196716 ILU196714:ILV196716 IBY196714:IBZ196716 HSC196714:HSD196716 HIG196714:HIH196716 GYK196714:GYL196716 GOO196714:GOP196716 GES196714:GET196716 FUW196714:FUX196716 FLA196714:FLB196716 FBE196714:FBF196716 ERI196714:ERJ196716 EHM196714:EHN196716 DXQ196714:DXR196716 DNU196714:DNV196716 DDY196714:DDZ196716 CUC196714:CUD196716 CKG196714:CKH196716 CAK196714:CAL196716 BQO196714:BQP196716 BGS196714:BGT196716 AWW196714:AWX196716 ANA196714:ANB196716 ADE196714:ADF196716 TI196714:TJ196716 JM196714:JN196716 Q196714:R196716 WVY131178:WVZ131180 WMC131178:WMD131180 WCG131178:WCH131180 VSK131178:VSL131180 VIO131178:VIP131180 UYS131178:UYT131180 UOW131178:UOX131180 UFA131178:UFB131180 TVE131178:TVF131180 TLI131178:TLJ131180 TBM131178:TBN131180 SRQ131178:SRR131180 SHU131178:SHV131180 RXY131178:RXZ131180 ROC131178:ROD131180 REG131178:REH131180 QUK131178:QUL131180 QKO131178:QKP131180 QAS131178:QAT131180 PQW131178:PQX131180 PHA131178:PHB131180 OXE131178:OXF131180 ONI131178:ONJ131180 ODM131178:ODN131180 NTQ131178:NTR131180 NJU131178:NJV131180 MZY131178:MZZ131180 MQC131178:MQD131180 MGG131178:MGH131180 LWK131178:LWL131180 LMO131178:LMP131180 LCS131178:LCT131180 KSW131178:KSX131180 KJA131178:KJB131180 JZE131178:JZF131180 JPI131178:JPJ131180 JFM131178:JFN131180 IVQ131178:IVR131180 ILU131178:ILV131180 IBY131178:IBZ131180 HSC131178:HSD131180 HIG131178:HIH131180 GYK131178:GYL131180 GOO131178:GOP131180 GES131178:GET131180 FUW131178:FUX131180 FLA131178:FLB131180 FBE131178:FBF131180 ERI131178:ERJ131180 EHM131178:EHN131180 DXQ131178:DXR131180 DNU131178:DNV131180 DDY131178:DDZ131180 CUC131178:CUD131180 CKG131178:CKH131180 CAK131178:CAL131180 BQO131178:BQP131180 BGS131178:BGT131180 AWW131178:AWX131180 ANA131178:ANB131180 ADE131178:ADF131180 TI131178:TJ131180 JM131178:JN131180 Q131178:R131180 WVY65642:WVZ65644 WMC65642:WMD65644 WCG65642:WCH65644 VSK65642:VSL65644 VIO65642:VIP65644 UYS65642:UYT65644 UOW65642:UOX65644 UFA65642:UFB65644 TVE65642:TVF65644 TLI65642:TLJ65644 TBM65642:TBN65644 SRQ65642:SRR65644 SHU65642:SHV65644 RXY65642:RXZ65644 ROC65642:ROD65644 REG65642:REH65644 QUK65642:QUL65644 QKO65642:QKP65644 QAS65642:QAT65644 PQW65642:PQX65644 PHA65642:PHB65644 OXE65642:OXF65644 ONI65642:ONJ65644 ODM65642:ODN65644 NTQ65642:NTR65644 NJU65642:NJV65644 MZY65642:MZZ65644 MQC65642:MQD65644 MGG65642:MGH65644 LWK65642:LWL65644 LMO65642:LMP65644 LCS65642:LCT65644 KSW65642:KSX65644 KJA65642:KJB65644 JZE65642:JZF65644 JPI65642:JPJ65644 JFM65642:JFN65644 IVQ65642:IVR65644 ILU65642:ILV65644 IBY65642:IBZ65644 HSC65642:HSD65644 HIG65642:HIH65644 GYK65642:GYL65644 GOO65642:GOP65644 GES65642:GET65644 FUW65642:FUX65644 FLA65642:FLB65644 FBE65642:FBF65644 ERI65642:ERJ65644 EHM65642:EHN65644 DXQ65642:DXR65644 DNU65642:DNV65644 DDY65642:DDZ65644 CUC65642:CUD65644 CKG65642:CKH65644 CAK65642:CAL65644 BQO65642:BQP65644 BGS65642:BGT65644 AWW65642:AWX65644 ANA65642:ANB65644 ADE65642:ADF65644 TI65642:TJ65644 JM65642:JN65644 Q65642:R65644 WVY106:WVZ108 WMC106:WMD108 WCG106:WCH108 VSK106:VSL108 VIO106:VIP108 UYS106:UYT108 UOW106:UOX108 UFA106:UFB108 TVE106:TVF108 TLI106:TLJ108 TBM106:TBN108 SRQ106:SRR108 SHU106:SHV108 RXY106:RXZ108 ROC106:ROD108 REG106:REH108 QUK106:QUL108 QKO106:QKP108 QAS106:QAT108 PQW106:PQX108 PHA106:PHB108 OXE106:OXF108 ONI106:ONJ108 ODM106:ODN108 NTQ106:NTR108 NJU106:NJV108 MZY106:MZZ108 MQC106:MQD108 MGG106:MGH108 LWK106:LWL108 LMO106:LMP108 LCS106:LCT108 KSW106:KSX108 KJA106:KJB108 JZE106:JZF108 JPI106:JPJ108 JFM106:JFN108 IVQ106:IVR108 ILU106:ILV108 IBY106:IBZ108 HSC106:HSD108 HIG106:HIH108 GYK106:GYL108 GOO106:GOP108 GES106:GET108 FUW106:FUX108 FLA106:FLB108 FBE106:FBF108 ERI106:ERJ108 EHM106:EHN108 DXQ106:DXR108 DNU106:DNV108 DDY106:DDZ108 CUC106:CUD108 CKG106:CKH108 CAK106:CAL108 BQO106:BQP108 BGS106:BGT108 AWW106:AWX108 ANA106:ANB108 ADE106:ADF108 TI106:TJ108 JM106:JN108 Q106:R108 WVY983133:WVZ983135 WMC983133:WMD983135 WCG983133:WCH983135 VSK983133:VSL983135 VIO983133:VIP983135 UYS983133:UYT983135 UOW983133:UOX983135 UFA983133:UFB983135 TVE983133:TVF983135 TLI983133:TLJ983135 TBM983133:TBN983135 SRQ983133:SRR983135 SHU983133:SHV983135 RXY983133:RXZ983135 ROC983133:ROD983135 REG983133:REH983135 QUK983133:QUL983135 QKO983133:QKP983135 QAS983133:QAT983135 PQW983133:PQX983135 PHA983133:PHB983135 OXE983133:OXF983135 ONI983133:ONJ983135 ODM983133:ODN983135 NTQ983133:NTR983135 NJU983133:NJV983135 MZY983133:MZZ983135 MQC983133:MQD983135 MGG983133:MGH983135 LWK983133:LWL983135 LMO983133:LMP983135 LCS983133:LCT983135 KSW983133:KSX983135 KJA983133:KJB983135 JZE983133:JZF983135 JPI983133:JPJ983135 JFM983133:JFN983135 IVQ983133:IVR983135 ILU983133:ILV983135 IBY983133:IBZ983135 HSC983133:HSD983135 HIG983133:HIH983135 GYK983133:GYL983135 GOO983133:GOP983135 GES983133:GET983135 FUW983133:FUX983135 FLA983133:FLB983135 FBE983133:FBF983135 ERI983133:ERJ983135 EHM983133:EHN983135 DXQ983133:DXR983135 DNU983133:DNV983135 DDY983133:DDZ983135 CUC983133:CUD983135 CKG983133:CKH983135 CAK983133:CAL983135 BQO983133:BQP983135 BGS983133:BGT983135 AWW983133:AWX983135 ANA983133:ANB983135 ADE983133:ADF983135 TI983133:TJ983135 JM983133:JN983135 Q983133:R983135 WVY917597:WVZ917599 WMC917597:WMD917599 WCG917597:WCH917599 VSK917597:VSL917599 VIO917597:VIP917599 UYS917597:UYT917599 UOW917597:UOX917599 UFA917597:UFB917599 TVE917597:TVF917599 TLI917597:TLJ917599 TBM917597:TBN917599 SRQ917597:SRR917599 SHU917597:SHV917599 RXY917597:RXZ917599 ROC917597:ROD917599 REG917597:REH917599 QUK917597:QUL917599 QKO917597:QKP917599 QAS917597:QAT917599 PQW917597:PQX917599 PHA917597:PHB917599 OXE917597:OXF917599 ONI917597:ONJ917599 ODM917597:ODN917599 NTQ917597:NTR917599 NJU917597:NJV917599 MZY917597:MZZ917599 MQC917597:MQD917599 MGG917597:MGH917599 LWK917597:LWL917599 LMO917597:LMP917599 LCS917597:LCT917599 KSW917597:KSX917599 KJA917597:KJB917599 JZE917597:JZF917599 JPI917597:JPJ917599 JFM917597:JFN917599 IVQ917597:IVR917599 ILU917597:ILV917599 IBY917597:IBZ917599 HSC917597:HSD917599 HIG917597:HIH917599 GYK917597:GYL917599 GOO917597:GOP917599 GES917597:GET917599 FUW917597:FUX917599 FLA917597:FLB917599 FBE917597:FBF917599 ERI917597:ERJ917599 EHM917597:EHN917599 DXQ917597:DXR917599 DNU917597:DNV917599 DDY917597:DDZ917599 CUC917597:CUD917599 CKG917597:CKH917599 CAK917597:CAL917599 BQO917597:BQP917599 BGS917597:BGT917599 AWW917597:AWX917599 ANA917597:ANB917599 ADE917597:ADF917599 TI917597:TJ917599 JM917597:JN917599 Q917597:R917599 WVY852061:WVZ852063 WMC852061:WMD852063 WCG852061:WCH852063 VSK852061:VSL852063 VIO852061:VIP852063 UYS852061:UYT852063 UOW852061:UOX852063 UFA852061:UFB852063 TVE852061:TVF852063 TLI852061:TLJ852063 TBM852061:TBN852063 SRQ852061:SRR852063 SHU852061:SHV852063 RXY852061:RXZ852063 ROC852061:ROD852063 REG852061:REH852063 QUK852061:QUL852063 QKO852061:QKP852063 QAS852061:QAT852063 PQW852061:PQX852063 PHA852061:PHB852063 OXE852061:OXF852063 ONI852061:ONJ852063 ODM852061:ODN852063 NTQ852061:NTR852063 NJU852061:NJV852063 MZY852061:MZZ852063 MQC852061:MQD852063 MGG852061:MGH852063 LWK852061:LWL852063 LMO852061:LMP852063 LCS852061:LCT852063 KSW852061:KSX852063 KJA852061:KJB852063 JZE852061:JZF852063 JPI852061:JPJ852063 JFM852061:JFN852063 IVQ852061:IVR852063 ILU852061:ILV852063 IBY852061:IBZ852063 HSC852061:HSD852063 HIG852061:HIH852063 GYK852061:GYL852063 GOO852061:GOP852063 GES852061:GET852063 FUW852061:FUX852063 FLA852061:FLB852063 FBE852061:FBF852063 ERI852061:ERJ852063 EHM852061:EHN852063 DXQ852061:DXR852063 DNU852061:DNV852063 DDY852061:DDZ852063 CUC852061:CUD852063 CKG852061:CKH852063 CAK852061:CAL852063 BQO852061:BQP852063 BGS852061:BGT852063 AWW852061:AWX852063 ANA852061:ANB852063 ADE852061:ADF852063 TI852061:TJ852063 JM852061:JN852063 Q852061:R852063 WVY786525:WVZ786527 WMC786525:WMD786527 WCG786525:WCH786527 VSK786525:VSL786527 VIO786525:VIP786527 UYS786525:UYT786527 UOW786525:UOX786527 UFA786525:UFB786527 TVE786525:TVF786527 TLI786525:TLJ786527 TBM786525:TBN786527 SRQ786525:SRR786527 SHU786525:SHV786527 RXY786525:RXZ786527 ROC786525:ROD786527 REG786525:REH786527 QUK786525:QUL786527 QKO786525:QKP786527 QAS786525:QAT786527 PQW786525:PQX786527 PHA786525:PHB786527 OXE786525:OXF786527 ONI786525:ONJ786527 ODM786525:ODN786527 NTQ786525:NTR786527 NJU786525:NJV786527 MZY786525:MZZ786527 MQC786525:MQD786527 MGG786525:MGH786527 LWK786525:LWL786527 LMO786525:LMP786527 LCS786525:LCT786527 KSW786525:KSX786527 KJA786525:KJB786527 JZE786525:JZF786527 JPI786525:JPJ786527 JFM786525:JFN786527 IVQ786525:IVR786527 ILU786525:ILV786527 IBY786525:IBZ786527 HSC786525:HSD786527 HIG786525:HIH786527 GYK786525:GYL786527 GOO786525:GOP786527 GES786525:GET786527 FUW786525:FUX786527 FLA786525:FLB786527 FBE786525:FBF786527 ERI786525:ERJ786527 EHM786525:EHN786527 DXQ786525:DXR786527 DNU786525:DNV786527 DDY786525:DDZ786527 CUC786525:CUD786527 CKG786525:CKH786527 CAK786525:CAL786527 BQO786525:BQP786527 BGS786525:BGT786527 AWW786525:AWX786527 ANA786525:ANB786527 ADE786525:ADF786527 TI786525:TJ786527 JM786525:JN786527 Q786525:R786527 WVY720989:WVZ720991 WMC720989:WMD720991 WCG720989:WCH720991 VSK720989:VSL720991 VIO720989:VIP720991 UYS720989:UYT720991 UOW720989:UOX720991 UFA720989:UFB720991 TVE720989:TVF720991 TLI720989:TLJ720991 TBM720989:TBN720991 SRQ720989:SRR720991 SHU720989:SHV720991 RXY720989:RXZ720991 ROC720989:ROD720991 REG720989:REH720991 QUK720989:QUL720991 QKO720989:QKP720991 QAS720989:QAT720991 PQW720989:PQX720991 PHA720989:PHB720991 OXE720989:OXF720991 ONI720989:ONJ720991 ODM720989:ODN720991 NTQ720989:NTR720991 NJU720989:NJV720991 MZY720989:MZZ720991 MQC720989:MQD720991 MGG720989:MGH720991 LWK720989:LWL720991 LMO720989:LMP720991 LCS720989:LCT720991 KSW720989:KSX720991 KJA720989:KJB720991 JZE720989:JZF720991 JPI720989:JPJ720991 JFM720989:JFN720991 IVQ720989:IVR720991 ILU720989:ILV720991 IBY720989:IBZ720991 HSC720989:HSD720991 HIG720989:HIH720991 GYK720989:GYL720991 GOO720989:GOP720991 GES720989:GET720991 FUW720989:FUX720991 FLA720989:FLB720991 FBE720989:FBF720991 ERI720989:ERJ720991 EHM720989:EHN720991 DXQ720989:DXR720991 DNU720989:DNV720991 DDY720989:DDZ720991 CUC720989:CUD720991 CKG720989:CKH720991 CAK720989:CAL720991 BQO720989:BQP720991 BGS720989:BGT720991 AWW720989:AWX720991 ANA720989:ANB720991 ADE720989:ADF720991 TI720989:TJ720991 JM720989:JN720991 Q720989:R720991 WVY655453:WVZ655455 WMC655453:WMD655455 WCG655453:WCH655455 VSK655453:VSL655455 VIO655453:VIP655455 UYS655453:UYT655455 UOW655453:UOX655455 UFA655453:UFB655455 TVE655453:TVF655455 TLI655453:TLJ655455 TBM655453:TBN655455 SRQ655453:SRR655455 SHU655453:SHV655455 RXY655453:RXZ655455 ROC655453:ROD655455 REG655453:REH655455 QUK655453:QUL655455 QKO655453:QKP655455 QAS655453:QAT655455 PQW655453:PQX655455 PHA655453:PHB655455 OXE655453:OXF655455 ONI655453:ONJ655455 ODM655453:ODN655455 NTQ655453:NTR655455 NJU655453:NJV655455 MZY655453:MZZ655455 MQC655453:MQD655455 MGG655453:MGH655455 LWK655453:LWL655455 LMO655453:LMP655455 LCS655453:LCT655455 KSW655453:KSX655455 KJA655453:KJB655455 JZE655453:JZF655455 JPI655453:JPJ655455 JFM655453:JFN655455 IVQ655453:IVR655455 ILU655453:ILV655455 IBY655453:IBZ655455 HSC655453:HSD655455 HIG655453:HIH655455 GYK655453:GYL655455 GOO655453:GOP655455 GES655453:GET655455 FUW655453:FUX655455 FLA655453:FLB655455 FBE655453:FBF655455 ERI655453:ERJ655455 EHM655453:EHN655455 DXQ655453:DXR655455 DNU655453:DNV655455 DDY655453:DDZ655455 CUC655453:CUD655455 CKG655453:CKH655455 CAK655453:CAL655455 BQO655453:BQP655455 BGS655453:BGT655455 AWW655453:AWX655455 ANA655453:ANB655455 ADE655453:ADF655455 TI655453:TJ655455 JM655453:JN655455 Q655453:R655455 WVY589917:WVZ589919 WMC589917:WMD589919 WCG589917:WCH589919 VSK589917:VSL589919 VIO589917:VIP589919 UYS589917:UYT589919 UOW589917:UOX589919 UFA589917:UFB589919 TVE589917:TVF589919 TLI589917:TLJ589919 TBM589917:TBN589919 SRQ589917:SRR589919 SHU589917:SHV589919 RXY589917:RXZ589919 ROC589917:ROD589919 REG589917:REH589919 QUK589917:QUL589919 QKO589917:QKP589919 QAS589917:QAT589919 PQW589917:PQX589919 PHA589917:PHB589919 OXE589917:OXF589919 ONI589917:ONJ589919 ODM589917:ODN589919 NTQ589917:NTR589919 NJU589917:NJV589919 MZY589917:MZZ589919 MQC589917:MQD589919 MGG589917:MGH589919 LWK589917:LWL589919 LMO589917:LMP589919 LCS589917:LCT589919 KSW589917:KSX589919 KJA589917:KJB589919 JZE589917:JZF589919 JPI589917:JPJ589919 JFM589917:JFN589919 IVQ589917:IVR589919 ILU589917:ILV589919 IBY589917:IBZ589919 HSC589917:HSD589919 HIG589917:HIH589919 GYK589917:GYL589919 GOO589917:GOP589919 GES589917:GET589919 FUW589917:FUX589919 FLA589917:FLB589919 FBE589917:FBF589919 ERI589917:ERJ589919 EHM589917:EHN589919 DXQ589917:DXR589919 DNU589917:DNV589919 DDY589917:DDZ589919 CUC589917:CUD589919 CKG589917:CKH589919 CAK589917:CAL589919 BQO589917:BQP589919 BGS589917:BGT589919 AWW589917:AWX589919 ANA589917:ANB589919 ADE589917:ADF589919 TI589917:TJ589919 JM589917:JN589919 Q589917:R589919 WVY524381:WVZ524383 WMC524381:WMD524383 WCG524381:WCH524383 VSK524381:VSL524383 VIO524381:VIP524383 UYS524381:UYT524383 UOW524381:UOX524383 UFA524381:UFB524383 TVE524381:TVF524383 TLI524381:TLJ524383 TBM524381:TBN524383 SRQ524381:SRR524383 SHU524381:SHV524383 RXY524381:RXZ524383 ROC524381:ROD524383 REG524381:REH524383 QUK524381:QUL524383 QKO524381:QKP524383 QAS524381:QAT524383 PQW524381:PQX524383 PHA524381:PHB524383 OXE524381:OXF524383 ONI524381:ONJ524383 ODM524381:ODN524383 NTQ524381:NTR524383 NJU524381:NJV524383 MZY524381:MZZ524383 MQC524381:MQD524383 MGG524381:MGH524383 LWK524381:LWL524383 LMO524381:LMP524383 LCS524381:LCT524383 KSW524381:KSX524383 KJA524381:KJB524383 JZE524381:JZF524383 JPI524381:JPJ524383 JFM524381:JFN524383 IVQ524381:IVR524383 ILU524381:ILV524383 IBY524381:IBZ524383 HSC524381:HSD524383 HIG524381:HIH524383 GYK524381:GYL524383 GOO524381:GOP524383 GES524381:GET524383 FUW524381:FUX524383 FLA524381:FLB524383 FBE524381:FBF524383 ERI524381:ERJ524383 EHM524381:EHN524383 DXQ524381:DXR524383 DNU524381:DNV524383 DDY524381:DDZ524383 CUC524381:CUD524383 CKG524381:CKH524383 CAK524381:CAL524383 BQO524381:BQP524383 BGS524381:BGT524383 AWW524381:AWX524383 ANA524381:ANB524383 ADE524381:ADF524383 TI524381:TJ524383 JM524381:JN524383 Q524381:R524383 WVY458845:WVZ458847 WMC458845:WMD458847 WCG458845:WCH458847 VSK458845:VSL458847 VIO458845:VIP458847 UYS458845:UYT458847 UOW458845:UOX458847 UFA458845:UFB458847 TVE458845:TVF458847 TLI458845:TLJ458847 TBM458845:TBN458847 SRQ458845:SRR458847 SHU458845:SHV458847 RXY458845:RXZ458847 ROC458845:ROD458847 REG458845:REH458847 QUK458845:QUL458847 QKO458845:QKP458847 QAS458845:QAT458847 PQW458845:PQX458847 PHA458845:PHB458847 OXE458845:OXF458847 ONI458845:ONJ458847 ODM458845:ODN458847 NTQ458845:NTR458847 NJU458845:NJV458847 MZY458845:MZZ458847 MQC458845:MQD458847 MGG458845:MGH458847 LWK458845:LWL458847 LMO458845:LMP458847 LCS458845:LCT458847 KSW458845:KSX458847 KJA458845:KJB458847 JZE458845:JZF458847 JPI458845:JPJ458847 JFM458845:JFN458847 IVQ458845:IVR458847 ILU458845:ILV458847 IBY458845:IBZ458847 HSC458845:HSD458847 HIG458845:HIH458847 GYK458845:GYL458847 GOO458845:GOP458847 GES458845:GET458847 FUW458845:FUX458847 FLA458845:FLB458847 FBE458845:FBF458847 ERI458845:ERJ458847 EHM458845:EHN458847 DXQ458845:DXR458847 DNU458845:DNV458847 DDY458845:DDZ458847 CUC458845:CUD458847 CKG458845:CKH458847 CAK458845:CAL458847 BQO458845:BQP458847 BGS458845:BGT458847 AWW458845:AWX458847 ANA458845:ANB458847 ADE458845:ADF458847 TI458845:TJ458847 JM458845:JN458847 Q458845:R458847 WVY393309:WVZ393311 WMC393309:WMD393311 WCG393309:WCH393311 VSK393309:VSL393311 VIO393309:VIP393311 UYS393309:UYT393311 UOW393309:UOX393311 UFA393309:UFB393311 TVE393309:TVF393311 TLI393309:TLJ393311 TBM393309:TBN393311 SRQ393309:SRR393311 SHU393309:SHV393311 RXY393309:RXZ393311 ROC393309:ROD393311 REG393309:REH393311 QUK393309:QUL393311 QKO393309:QKP393311 QAS393309:QAT393311 PQW393309:PQX393311 PHA393309:PHB393311 OXE393309:OXF393311 ONI393309:ONJ393311 ODM393309:ODN393311 NTQ393309:NTR393311 NJU393309:NJV393311 MZY393309:MZZ393311 MQC393309:MQD393311 MGG393309:MGH393311 LWK393309:LWL393311 LMO393309:LMP393311 LCS393309:LCT393311 KSW393309:KSX393311 KJA393309:KJB393311 JZE393309:JZF393311 JPI393309:JPJ393311 JFM393309:JFN393311 IVQ393309:IVR393311 ILU393309:ILV393311 IBY393309:IBZ393311 HSC393309:HSD393311 HIG393309:HIH393311 GYK393309:GYL393311 GOO393309:GOP393311 GES393309:GET393311 FUW393309:FUX393311 FLA393309:FLB393311 FBE393309:FBF393311 ERI393309:ERJ393311 EHM393309:EHN393311 DXQ393309:DXR393311 DNU393309:DNV393311 DDY393309:DDZ393311 CUC393309:CUD393311 CKG393309:CKH393311 CAK393309:CAL393311 BQO393309:BQP393311 BGS393309:BGT393311 AWW393309:AWX393311 ANA393309:ANB393311 ADE393309:ADF393311 TI393309:TJ393311 JM393309:JN393311 Q393309:R393311 WVY327773:WVZ327775 WMC327773:WMD327775 WCG327773:WCH327775 VSK327773:VSL327775 VIO327773:VIP327775 UYS327773:UYT327775 UOW327773:UOX327775 UFA327773:UFB327775 TVE327773:TVF327775 TLI327773:TLJ327775 TBM327773:TBN327775 SRQ327773:SRR327775 SHU327773:SHV327775 RXY327773:RXZ327775 ROC327773:ROD327775 REG327773:REH327775 QUK327773:QUL327775 QKO327773:QKP327775 QAS327773:QAT327775 PQW327773:PQX327775 PHA327773:PHB327775 OXE327773:OXF327775 ONI327773:ONJ327775 ODM327773:ODN327775 NTQ327773:NTR327775 NJU327773:NJV327775 MZY327773:MZZ327775 MQC327773:MQD327775 MGG327773:MGH327775 LWK327773:LWL327775 LMO327773:LMP327775 LCS327773:LCT327775 KSW327773:KSX327775 KJA327773:KJB327775 JZE327773:JZF327775 JPI327773:JPJ327775 JFM327773:JFN327775 IVQ327773:IVR327775 ILU327773:ILV327775 IBY327773:IBZ327775 HSC327773:HSD327775 HIG327773:HIH327775 GYK327773:GYL327775 GOO327773:GOP327775 GES327773:GET327775 FUW327773:FUX327775 FLA327773:FLB327775 FBE327773:FBF327775 ERI327773:ERJ327775 EHM327773:EHN327775 DXQ327773:DXR327775 DNU327773:DNV327775 DDY327773:DDZ327775 CUC327773:CUD327775 CKG327773:CKH327775 CAK327773:CAL327775 BQO327773:BQP327775 BGS327773:BGT327775 AWW327773:AWX327775 ANA327773:ANB327775 ADE327773:ADF327775 TI327773:TJ327775 JM327773:JN327775 Q327773:R327775 WVY262237:WVZ262239 WMC262237:WMD262239 WCG262237:WCH262239 VSK262237:VSL262239 VIO262237:VIP262239 UYS262237:UYT262239 UOW262237:UOX262239 UFA262237:UFB262239 TVE262237:TVF262239 TLI262237:TLJ262239 TBM262237:TBN262239 SRQ262237:SRR262239 SHU262237:SHV262239 RXY262237:RXZ262239 ROC262237:ROD262239 REG262237:REH262239 QUK262237:QUL262239 QKO262237:QKP262239 QAS262237:QAT262239 PQW262237:PQX262239 PHA262237:PHB262239 OXE262237:OXF262239 ONI262237:ONJ262239 ODM262237:ODN262239 NTQ262237:NTR262239 NJU262237:NJV262239 MZY262237:MZZ262239 MQC262237:MQD262239 MGG262237:MGH262239 LWK262237:LWL262239 LMO262237:LMP262239 LCS262237:LCT262239 KSW262237:KSX262239 KJA262237:KJB262239 JZE262237:JZF262239 JPI262237:JPJ262239 JFM262237:JFN262239 IVQ262237:IVR262239 ILU262237:ILV262239 IBY262237:IBZ262239 HSC262237:HSD262239 HIG262237:HIH262239 GYK262237:GYL262239 GOO262237:GOP262239 GES262237:GET262239 FUW262237:FUX262239 FLA262237:FLB262239 FBE262237:FBF262239 ERI262237:ERJ262239 EHM262237:EHN262239 DXQ262237:DXR262239 DNU262237:DNV262239 DDY262237:DDZ262239 CUC262237:CUD262239 CKG262237:CKH262239 CAK262237:CAL262239 BQO262237:BQP262239 BGS262237:BGT262239 AWW262237:AWX262239 ANA262237:ANB262239 ADE262237:ADF262239 TI262237:TJ262239 JM262237:JN262239 Q262237:R262239 WVY196701:WVZ196703 WMC196701:WMD196703 WCG196701:WCH196703 VSK196701:VSL196703 VIO196701:VIP196703 UYS196701:UYT196703 UOW196701:UOX196703 UFA196701:UFB196703 TVE196701:TVF196703 TLI196701:TLJ196703 TBM196701:TBN196703 SRQ196701:SRR196703 SHU196701:SHV196703 RXY196701:RXZ196703 ROC196701:ROD196703 REG196701:REH196703 QUK196701:QUL196703 QKO196701:QKP196703 QAS196701:QAT196703 PQW196701:PQX196703 PHA196701:PHB196703 OXE196701:OXF196703 ONI196701:ONJ196703 ODM196701:ODN196703 NTQ196701:NTR196703 NJU196701:NJV196703 MZY196701:MZZ196703 MQC196701:MQD196703 MGG196701:MGH196703 LWK196701:LWL196703 LMO196701:LMP196703 LCS196701:LCT196703 KSW196701:KSX196703 KJA196701:KJB196703 JZE196701:JZF196703 JPI196701:JPJ196703 JFM196701:JFN196703 IVQ196701:IVR196703 ILU196701:ILV196703 IBY196701:IBZ196703 HSC196701:HSD196703 HIG196701:HIH196703 GYK196701:GYL196703 GOO196701:GOP196703 GES196701:GET196703 FUW196701:FUX196703 FLA196701:FLB196703 FBE196701:FBF196703 ERI196701:ERJ196703 EHM196701:EHN196703 DXQ196701:DXR196703 DNU196701:DNV196703 DDY196701:DDZ196703 CUC196701:CUD196703 CKG196701:CKH196703 CAK196701:CAL196703 BQO196701:BQP196703 BGS196701:BGT196703 AWW196701:AWX196703 ANA196701:ANB196703 ADE196701:ADF196703 TI196701:TJ196703 JM196701:JN196703 Q196701:R196703 WVY131165:WVZ131167 WMC131165:WMD131167 WCG131165:WCH131167 VSK131165:VSL131167 VIO131165:VIP131167 UYS131165:UYT131167 UOW131165:UOX131167 UFA131165:UFB131167 TVE131165:TVF131167 TLI131165:TLJ131167 TBM131165:TBN131167 SRQ131165:SRR131167 SHU131165:SHV131167 RXY131165:RXZ131167 ROC131165:ROD131167 REG131165:REH131167 QUK131165:QUL131167 QKO131165:QKP131167 QAS131165:QAT131167 PQW131165:PQX131167 PHA131165:PHB131167 OXE131165:OXF131167 ONI131165:ONJ131167 ODM131165:ODN131167 NTQ131165:NTR131167 NJU131165:NJV131167 MZY131165:MZZ131167 MQC131165:MQD131167 MGG131165:MGH131167 LWK131165:LWL131167 LMO131165:LMP131167 LCS131165:LCT131167 KSW131165:KSX131167 KJA131165:KJB131167 JZE131165:JZF131167 JPI131165:JPJ131167 JFM131165:JFN131167 IVQ131165:IVR131167 ILU131165:ILV131167 IBY131165:IBZ131167 HSC131165:HSD131167 HIG131165:HIH131167 GYK131165:GYL131167 GOO131165:GOP131167 GES131165:GET131167 FUW131165:FUX131167 FLA131165:FLB131167 FBE131165:FBF131167 ERI131165:ERJ131167 EHM131165:EHN131167 DXQ131165:DXR131167 DNU131165:DNV131167 DDY131165:DDZ131167 CUC131165:CUD131167 CKG131165:CKH131167 CAK131165:CAL131167 BQO131165:BQP131167 BGS131165:BGT131167 AWW131165:AWX131167 ANA131165:ANB131167 ADE131165:ADF131167 TI131165:TJ131167 JM131165:JN131167 Q131165:R131167 WVY65629:WVZ65631 WMC65629:WMD65631 WCG65629:WCH65631 VSK65629:VSL65631 VIO65629:VIP65631 UYS65629:UYT65631 UOW65629:UOX65631 UFA65629:UFB65631 TVE65629:TVF65631 TLI65629:TLJ65631 TBM65629:TBN65631 SRQ65629:SRR65631 SHU65629:SHV65631 RXY65629:RXZ65631 ROC65629:ROD65631 REG65629:REH65631 QUK65629:QUL65631 QKO65629:QKP65631 QAS65629:QAT65631 PQW65629:PQX65631 PHA65629:PHB65631 OXE65629:OXF65631 ONI65629:ONJ65631 ODM65629:ODN65631 NTQ65629:NTR65631 NJU65629:NJV65631 MZY65629:MZZ65631 MQC65629:MQD65631 MGG65629:MGH65631 LWK65629:LWL65631 LMO65629:LMP65631 LCS65629:LCT65631 KSW65629:KSX65631 KJA65629:KJB65631 JZE65629:JZF65631 JPI65629:JPJ65631 JFM65629:JFN65631 IVQ65629:IVR65631 ILU65629:ILV65631 IBY65629:IBZ65631 HSC65629:HSD65631 HIG65629:HIH65631 GYK65629:GYL65631 GOO65629:GOP65631 GES65629:GET65631 FUW65629:FUX65631 FLA65629:FLB65631 FBE65629:FBF65631 ERI65629:ERJ65631 EHM65629:EHN65631 DXQ65629:DXR65631 DNU65629:DNV65631 DDY65629:DDZ65631 CUC65629:CUD65631 CKG65629:CKH65631 CAK65629:CAL65631 BQO65629:BQP65631 BGS65629:BGT65631 AWW65629:AWX65631 ANA65629:ANB65631 ADE65629:ADF65631 TI65629:TJ65631 JM65629:JN65631 Q65629:R65631 WVY96:WVZ98 WMC96:WMD98 WCG96:WCH98 VSK96:VSL98 VIO96:VIP98 UYS96:UYT98 UOW96:UOX98 UFA96:UFB98 TVE96:TVF98 TLI96:TLJ98 TBM96:TBN98 SRQ96:SRR98 SHU96:SHV98 RXY96:RXZ98 ROC96:ROD98 REG96:REH98 QUK96:QUL98 QKO96:QKP98 QAS96:QAT98 PQW96:PQX98 PHA96:PHB98 OXE96:OXF98 ONI96:ONJ98 ODM96:ODN98 NTQ96:NTR98 NJU96:NJV98 MZY96:MZZ98 MQC96:MQD98 MGG96:MGH98 LWK96:LWL98 LMO96:LMP98 LCS96:LCT98 KSW96:KSX98 KJA96:KJB98 JZE96:JZF98 JPI96:JPJ98 JFM96:JFN98 IVQ96:IVR98 ILU96:ILV98 IBY96:IBZ98 HSC96:HSD98 HIG96:HIH98 GYK96:GYL98 GOO96:GOP98 GES96:GET98 FUW96:FUX98 FLA96:FLB98 FBE96:FBF98 ERI96:ERJ98 EHM96:EHN98 DXQ96:DXR98 DNU96:DNV98 DDY96:DDZ98 CUC96:CUD98 CKG96:CKH98 CAK96:CAL98 BQO96:BQP98 BGS96:BGT98 AWW96:AWX98 ANA96:ANB98 ADE96:ADF98 TI96:TJ98 JM96:JN98">
      <formula1>$V$210:$V$213</formula1>
    </dataValidation>
    <dataValidation type="list" allowBlank="1" showInputMessage="1" showErrorMessage="1" sqref="Q65608:R65610 WVY983112:WVZ983114 WMC983112:WMD983114 WCG983112:WCH983114 VSK983112:VSL983114 VIO983112:VIP983114 UYS983112:UYT983114 UOW983112:UOX983114 UFA983112:UFB983114 TVE983112:TVF983114 TLI983112:TLJ983114 TBM983112:TBN983114 SRQ983112:SRR983114 SHU983112:SHV983114 RXY983112:RXZ983114 ROC983112:ROD983114 REG983112:REH983114 QUK983112:QUL983114 QKO983112:QKP983114 QAS983112:QAT983114 PQW983112:PQX983114 PHA983112:PHB983114 OXE983112:OXF983114 ONI983112:ONJ983114 ODM983112:ODN983114 NTQ983112:NTR983114 NJU983112:NJV983114 MZY983112:MZZ983114 MQC983112:MQD983114 MGG983112:MGH983114 LWK983112:LWL983114 LMO983112:LMP983114 LCS983112:LCT983114 KSW983112:KSX983114 KJA983112:KJB983114 JZE983112:JZF983114 JPI983112:JPJ983114 JFM983112:JFN983114 IVQ983112:IVR983114 ILU983112:ILV983114 IBY983112:IBZ983114 HSC983112:HSD983114 HIG983112:HIH983114 GYK983112:GYL983114 GOO983112:GOP983114 GES983112:GET983114 FUW983112:FUX983114 FLA983112:FLB983114 FBE983112:FBF983114 ERI983112:ERJ983114 EHM983112:EHN983114 DXQ983112:DXR983114 DNU983112:DNV983114 DDY983112:DDZ983114 CUC983112:CUD983114 CKG983112:CKH983114 CAK983112:CAL983114 BQO983112:BQP983114 BGS983112:BGT983114 AWW983112:AWX983114 ANA983112:ANB983114 ADE983112:ADF983114 TI983112:TJ983114 JM983112:JN983114 Q983112:R983114 WVY917576:WVZ917578 WMC917576:WMD917578 WCG917576:WCH917578 VSK917576:VSL917578 VIO917576:VIP917578 UYS917576:UYT917578 UOW917576:UOX917578 UFA917576:UFB917578 TVE917576:TVF917578 TLI917576:TLJ917578 TBM917576:TBN917578 SRQ917576:SRR917578 SHU917576:SHV917578 RXY917576:RXZ917578 ROC917576:ROD917578 REG917576:REH917578 QUK917576:QUL917578 QKO917576:QKP917578 QAS917576:QAT917578 PQW917576:PQX917578 PHA917576:PHB917578 OXE917576:OXF917578 ONI917576:ONJ917578 ODM917576:ODN917578 NTQ917576:NTR917578 NJU917576:NJV917578 MZY917576:MZZ917578 MQC917576:MQD917578 MGG917576:MGH917578 LWK917576:LWL917578 LMO917576:LMP917578 LCS917576:LCT917578 KSW917576:KSX917578 KJA917576:KJB917578 JZE917576:JZF917578 JPI917576:JPJ917578 JFM917576:JFN917578 IVQ917576:IVR917578 ILU917576:ILV917578 IBY917576:IBZ917578 HSC917576:HSD917578 HIG917576:HIH917578 GYK917576:GYL917578 GOO917576:GOP917578 GES917576:GET917578 FUW917576:FUX917578 FLA917576:FLB917578 FBE917576:FBF917578 ERI917576:ERJ917578 EHM917576:EHN917578 DXQ917576:DXR917578 DNU917576:DNV917578 DDY917576:DDZ917578 CUC917576:CUD917578 CKG917576:CKH917578 CAK917576:CAL917578 BQO917576:BQP917578 BGS917576:BGT917578 AWW917576:AWX917578 ANA917576:ANB917578 ADE917576:ADF917578 TI917576:TJ917578 JM917576:JN917578 Q917576:R917578 WVY852040:WVZ852042 WMC852040:WMD852042 WCG852040:WCH852042 VSK852040:VSL852042 VIO852040:VIP852042 UYS852040:UYT852042 UOW852040:UOX852042 UFA852040:UFB852042 TVE852040:TVF852042 TLI852040:TLJ852042 TBM852040:TBN852042 SRQ852040:SRR852042 SHU852040:SHV852042 RXY852040:RXZ852042 ROC852040:ROD852042 REG852040:REH852042 QUK852040:QUL852042 QKO852040:QKP852042 QAS852040:QAT852042 PQW852040:PQX852042 PHA852040:PHB852042 OXE852040:OXF852042 ONI852040:ONJ852042 ODM852040:ODN852042 NTQ852040:NTR852042 NJU852040:NJV852042 MZY852040:MZZ852042 MQC852040:MQD852042 MGG852040:MGH852042 LWK852040:LWL852042 LMO852040:LMP852042 LCS852040:LCT852042 KSW852040:KSX852042 KJA852040:KJB852042 JZE852040:JZF852042 JPI852040:JPJ852042 JFM852040:JFN852042 IVQ852040:IVR852042 ILU852040:ILV852042 IBY852040:IBZ852042 HSC852040:HSD852042 HIG852040:HIH852042 GYK852040:GYL852042 GOO852040:GOP852042 GES852040:GET852042 FUW852040:FUX852042 FLA852040:FLB852042 FBE852040:FBF852042 ERI852040:ERJ852042 EHM852040:EHN852042 DXQ852040:DXR852042 DNU852040:DNV852042 DDY852040:DDZ852042 CUC852040:CUD852042 CKG852040:CKH852042 CAK852040:CAL852042 BQO852040:BQP852042 BGS852040:BGT852042 AWW852040:AWX852042 ANA852040:ANB852042 ADE852040:ADF852042 TI852040:TJ852042 JM852040:JN852042 Q852040:R852042 WVY786504:WVZ786506 WMC786504:WMD786506 WCG786504:WCH786506 VSK786504:VSL786506 VIO786504:VIP786506 UYS786504:UYT786506 UOW786504:UOX786506 UFA786504:UFB786506 TVE786504:TVF786506 TLI786504:TLJ786506 TBM786504:TBN786506 SRQ786504:SRR786506 SHU786504:SHV786506 RXY786504:RXZ786506 ROC786504:ROD786506 REG786504:REH786506 QUK786504:QUL786506 QKO786504:QKP786506 QAS786504:QAT786506 PQW786504:PQX786506 PHA786504:PHB786506 OXE786504:OXF786506 ONI786504:ONJ786506 ODM786504:ODN786506 NTQ786504:NTR786506 NJU786504:NJV786506 MZY786504:MZZ786506 MQC786504:MQD786506 MGG786504:MGH786506 LWK786504:LWL786506 LMO786504:LMP786506 LCS786504:LCT786506 KSW786504:KSX786506 KJA786504:KJB786506 JZE786504:JZF786506 JPI786504:JPJ786506 JFM786504:JFN786506 IVQ786504:IVR786506 ILU786504:ILV786506 IBY786504:IBZ786506 HSC786504:HSD786506 HIG786504:HIH786506 GYK786504:GYL786506 GOO786504:GOP786506 GES786504:GET786506 FUW786504:FUX786506 FLA786504:FLB786506 FBE786504:FBF786506 ERI786504:ERJ786506 EHM786504:EHN786506 DXQ786504:DXR786506 DNU786504:DNV786506 DDY786504:DDZ786506 CUC786504:CUD786506 CKG786504:CKH786506 CAK786504:CAL786506 BQO786504:BQP786506 BGS786504:BGT786506 AWW786504:AWX786506 ANA786504:ANB786506 ADE786504:ADF786506 TI786504:TJ786506 JM786504:JN786506 Q786504:R786506 WVY720968:WVZ720970 WMC720968:WMD720970 WCG720968:WCH720970 VSK720968:VSL720970 VIO720968:VIP720970 UYS720968:UYT720970 UOW720968:UOX720970 UFA720968:UFB720970 TVE720968:TVF720970 TLI720968:TLJ720970 TBM720968:TBN720970 SRQ720968:SRR720970 SHU720968:SHV720970 RXY720968:RXZ720970 ROC720968:ROD720970 REG720968:REH720970 QUK720968:QUL720970 QKO720968:QKP720970 QAS720968:QAT720970 PQW720968:PQX720970 PHA720968:PHB720970 OXE720968:OXF720970 ONI720968:ONJ720970 ODM720968:ODN720970 NTQ720968:NTR720970 NJU720968:NJV720970 MZY720968:MZZ720970 MQC720968:MQD720970 MGG720968:MGH720970 LWK720968:LWL720970 LMO720968:LMP720970 LCS720968:LCT720970 KSW720968:KSX720970 KJA720968:KJB720970 JZE720968:JZF720970 JPI720968:JPJ720970 JFM720968:JFN720970 IVQ720968:IVR720970 ILU720968:ILV720970 IBY720968:IBZ720970 HSC720968:HSD720970 HIG720968:HIH720970 GYK720968:GYL720970 GOO720968:GOP720970 GES720968:GET720970 FUW720968:FUX720970 FLA720968:FLB720970 FBE720968:FBF720970 ERI720968:ERJ720970 EHM720968:EHN720970 DXQ720968:DXR720970 DNU720968:DNV720970 DDY720968:DDZ720970 CUC720968:CUD720970 CKG720968:CKH720970 CAK720968:CAL720970 BQO720968:BQP720970 BGS720968:BGT720970 AWW720968:AWX720970 ANA720968:ANB720970 ADE720968:ADF720970 TI720968:TJ720970 JM720968:JN720970 Q720968:R720970 WVY655432:WVZ655434 WMC655432:WMD655434 WCG655432:WCH655434 VSK655432:VSL655434 VIO655432:VIP655434 UYS655432:UYT655434 UOW655432:UOX655434 UFA655432:UFB655434 TVE655432:TVF655434 TLI655432:TLJ655434 TBM655432:TBN655434 SRQ655432:SRR655434 SHU655432:SHV655434 RXY655432:RXZ655434 ROC655432:ROD655434 REG655432:REH655434 QUK655432:QUL655434 QKO655432:QKP655434 QAS655432:QAT655434 PQW655432:PQX655434 PHA655432:PHB655434 OXE655432:OXF655434 ONI655432:ONJ655434 ODM655432:ODN655434 NTQ655432:NTR655434 NJU655432:NJV655434 MZY655432:MZZ655434 MQC655432:MQD655434 MGG655432:MGH655434 LWK655432:LWL655434 LMO655432:LMP655434 LCS655432:LCT655434 KSW655432:KSX655434 KJA655432:KJB655434 JZE655432:JZF655434 JPI655432:JPJ655434 JFM655432:JFN655434 IVQ655432:IVR655434 ILU655432:ILV655434 IBY655432:IBZ655434 HSC655432:HSD655434 HIG655432:HIH655434 GYK655432:GYL655434 GOO655432:GOP655434 GES655432:GET655434 FUW655432:FUX655434 FLA655432:FLB655434 FBE655432:FBF655434 ERI655432:ERJ655434 EHM655432:EHN655434 DXQ655432:DXR655434 DNU655432:DNV655434 DDY655432:DDZ655434 CUC655432:CUD655434 CKG655432:CKH655434 CAK655432:CAL655434 BQO655432:BQP655434 BGS655432:BGT655434 AWW655432:AWX655434 ANA655432:ANB655434 ADE655432:ADF655434 TI655432:TJ655434 JM655432:JN655434 Q655432:R655434 WVY589896:WVZ589898 WMC589896:WMD589898 WCG589896:WCH589898 VSK589896:VSL589898 VIO589896:VIP589898 UYS589896:UYT589898 UOW589896:UOX589898 UFA589896:UFB589898 TVE589896:TVF589898 TLI589896:TLJ589898 TBM589896:TBN589898 SRQ589896:SRR589898 SHU589896:SHV589898 RXY589896:RXZ589898 ROC589896:ROD589898 REG589896:REH589898 QUK589896:QUL589898 QKO589896:QKP589898 QAS589896:QAT589898 PQW589896:PQX589898 PHA589896:PHB589898 OXE589896:OXF589898 ONI589896:ONJ589898 ODM589896:ODN589898 NTQ589896:NTR589898 NJU589896:NJV589898 MZY589896:MZZ589898 MQC589896:MQD589898 MGG589896:MGH589898 LWK589896:LWL589898 LMO589896:LMP589898 LCS589896:LCT589898 KSW589896:KSX589898 KJA589896:KJB589898 JZE589896:JZF589898 JPI589896:JPJ589898 JFM589896:JFN589898 IVQ589896:IVR589898 ILU589896:ILV589898 IBY589896:IBZ589898 HSC589896:HSD589898 HIG589896:HIH589898 GYK589896:GYL589898 GOO589896:GOP589898 GES589896:GET589898 FUW589896:FUX589898 FLA589896:FLB589898 FBE589896:FBF589898 ERI589896:ERJ589898 EHM589896:EHN589898 DXQ589896:DXR589898 DNU589896:DNV589898 DDY589896:DDZ589898 CUC589896:CUD589898 CKG589896:CKH589898 CAK589896:CAL589898 BQO589896:BQP589898 BGS589896:BGT589898 AWW589896:AWX589898 ANA589896:ANB589898 ADE589896:ADF589898 TI589896:TJ589898 JM589896:JN589898 Q589896:R589898 WVY524360:WVZ524362 WMC524360:WMD524362 WCG524360:WCH524362 VSK524360:VSL524362 VIO524360:VIP524362 UYS524360:UYT524362 UOW524360:UOX524362 UFA524360:UFB524362 TVE524360:TVF524362 TLI524360:TLJ524362 TBM524360:TBN524362 SRQ524360:SRR524362 SHU524360:SHV524362 RXY524360:RXZ524362 ROC524360:ROD524362 REG524360:REH524362 QUK524360:QUL524362 QKO524360:QKP524362 QAS524360:QAT524362 PQW524360:PQX524362 PHA524360:PHB524362 OXE524360:OXF524362 ONI524360:ONJ524362 ODM524360:ODN524362 NTQ524360:NTR524362 NJU524360:NJV524362 MZY524360:MZZ524362 MQC524360:MQD524362 MGG524360:MGH524362 LWK524360:LWL524362 LMO524360:LMP524362 LCS524360:LCT524362 KSW524360:KSX524362 KJA524360:KJB524362 JZE524360:JZF524362 JPI524360:JPJ524362 JFM524360:JFN524362 IVQ524360:IVR524362 ILU524360:ILV524362 IBY524360:IBZ524362 HSC524360:HSD524362 HIG524360:HIH524362 GYK524360:GYL524362 GOO524360:GOP524362 GES524360:GET524362 FUW524360:FUX524362 FLA524360:FLB524362 FBE524360:FBF524362 ERI524360:ERJ524362 EHM524360:EHN524362 DXQ524360:DXR524362 DNU524360:DNV524362 DDY524360:DDZ524362 CUC524360:CUD524362 CKG524360:CKH524362 CAK524360:CAL524362 BQO524360:BQP524362 BGS524360:BGT524362 AWW524360:AWX524362 ANA524360:ANB524362 ADE524360:ADF524362 TI524360:TJ524362 JM524360:JN524362 Q524360:R524362 WVY458824:WVZ458826 WMC458824:WMD458826 WCG458824:WCH458826 VSK458824:VSL458826 VIO458824:VIP458826 UYS458824:UYT458826 UOW458824:UOX458826 UFA458824:UFB458826 TVE458824:TVF458826 TLI458824:TLJ458826 TBM458824:TBN458826 SRQ458824:SRR458826 SHU458824:SHV458826 RXY458824:RXZ458826 ROC458824:ROD458826 REG458824:REH458826 QUK458824:QUL458826 QKO458824:QKP458826 QAS458824:QAT458826 PQW458824:PQX458826 PHA458824:PHB458826 OXE458824:OXF458826 ONI458824:ONJ458826 ODM458824:ODN458826 NTQ458824:NTR458826 NJU458824:NJV458826 MZY458824:MZZ458826 MQC458824:MQD458826 MGG458824:MGH458826 LWK458824:LWL458826 LMO458824:LMP458826 LCS458824:LCT458826 KSW458824:KSX458826 KJA458824:KJB458826 JZE458824:JZF458826 JPI458824:JPJ458826 JFM458824:JFN458826 IVQ458824:IVR458826 ILU458824:ILV458826 IBY458824:IBZ458826 HSC458824:HSD458826 HIG458824:HIH458826 GYK458824:GYL458826 GOO458824:GOP458826 GES458824:GET458826 FUW458824:FUX458826 FLA458824:FLB458826 FBE458824:FBF458826 ERI458824:ERJ458826 EHM458824:EHN458826 DXQ458824:DXR458826 DNU458824:DNV458826 DDY458824:DDZ458826 CUC458824:CUD458826 CKG458824:CKH458826 CAK458824:CAL458826 BQO458824:BQP458826 BGS458824:BGT458826 AWW458824:AWX458826 ANA458824:ANB458826 ADE458824:ADF458826 TI458824:TJ458826 JM458824:JN458826 Q458824:R458826 WVY393288:WVZ393290 WMC393288:WMD393290 WCG393288:WCH393290 VSK393288:VSL393290 VIO393288:VIP393290 UYS393288:UYT393290 UOW393288:UOX393290 UFA393288:UFB393290 TVE393288:TVF393290 TLI393288:TLJ393290 TBM393288:TBN393290 SRQ393288:SRR393290 SHU393288:SHV393290 RXY393288:RXZ393290 ROC393288:ROD393290 REG393288:REH393290 QUK393288:QUL393290 QKO393288:QKP393290 QAS393288:QAT393290 PQW393288:PQX393290 PHA393288:PHB393290 OXE393288:OXF393290 ONI393288:ONJ393290 ODM393288:ODN393290 NTQ393288:NTR393290 NJU393288:NJV393290 MZY393288:MZZ393290 MQC393288:MQD393290 MGG393288:MGH393290 LWK393288:LWL393290 LMO393288:LMP393290 LCS393288:LCT393290 KSW393288:KSX393290 KJA393288:KJB393290 JZE393288:JZF393290 JPI393288:JPJ393290 JFM393288:JFN393290 IVQ393288:IVR393290 ILU393288:ILV393290 IBY393288:IBZ393290 HSC393288:HSD393290 HIG393288:HIH393290 GYK393288:GYL393290 GOO393288:GOP393290 GES393288:GET393290 FUW393288:FUX393290 FLA393288:FLB393290 FBE393288:FBF393290 ERI393288:ERJ393290 EHM393288:EHN393290 DXQ393288:DXR393290 DNU393288:DNV393290 DDY393288:DDZ393290 CUC393288:CUD393290 CKG393288:CKH393290 CAK393288:CAL393290 BQO393288:BQP393290 BGS393288:BGT393290 AWW393288:AWX393290 ANA393288:ANB393290 ADE393288:ADF393290 TI393288:TJ393290 JM393288:JN393290 Q393288:R393290 WVY327752:WVZ327754 WMC327752:WMD327754 WCG327752:WCH327754 VSK327752:VSL327754 VIO327752:VIP327754 UYS327752:UYT327754 UOW327752:UOX327754 UFA327752:UFB327754 TVE327752:TVF327754 TLI327752:TLJ327754 TBM327752:TBN327754 SRQ327752:SRR327754 SHU327752:SHV327754 RXY327752:RXZ327754 ROC327752:ROD327754 REG327752:REH327754 QUK327752:QUL327754 QKO327752:QKP327754 QAS327752:QAT327754 PQW327752:PQX327754 PHA327752:PHB327754 OXE327752:OXF327754 ONI327752:ONJ327754 ODM327752:ODN327754 NTQ327752:NTR327754 NJU327752:NJV327754 MZY327752:MZZ327754 MQC327752:MQD327754 MGG327752:MGH327754 LWK327752:LWL327754 LMO327752:LMP327754 LCS327752:LCT327754 KSW327752:KSX327754 KJA327752:KJB327754 JZE327752:JZF327754 JPI327752:JPJ327754 JFM327752:JFN327754 IVQ327752:IVR327754 ILU327752:ILV327754 IBY327752:IBZ327754 HSC327752:HSD327754 HIG327752:HIH327754 GYK327752:GYL327754 GOO327752:GOP327754 GES327752:GET327754 FUW327752:FUX327754 FLA327752:FLB327754 FBE327752:FBF327754 ERI327752:ERJ327754 EHM327752:EHN327754 DXQ327752:DXR327754 DNU327752:DNV327754 DDY327752:DDZ327754 CUC327752:CUD327754 CKG327752:CKH327754 CAK327752:CAL327754 BQO327752:BQP327754 BGS327752:BGT327754 AWW327752:AWX327754 ANA327752:ANB327754 ADE327752:ADF327754 TI327752:TJ327754 JM327752:JN327754 Q327752:R327754 WVY262216:WVZ262218 WMC262216:WMD262218 WCG262216:WCH262218 VSK262216:VSL262218 VIO262216:VIP262218 UYS262216:UYT262218 UOW262216:UOX262218 UFA262216:UFB262218 TVE262216:TVF262218 TLI262216:TLJ262218 TBM262216:TBN262218 SRQ262216:SRR262218 SHU262216:SHV262218 RXY262216:RXZ262218 ROC262216:ROD262218 REG262216:REH262218 QUK262216:QUL262218 QKO262216:QKP262218 QAS262216:QAT262218 PQW262216:PQX262218 PHA262216:PHB262218 OXE262216:OXF262218 ONI262216:ONJ262218 ODM262216:ODN262218 NTQ262216:NTR262218 NJU262216:NJV262218 MZY262216:MZZ262218 MQC262216:MQD262218 MGG262216:MGH262218 LWK262216:LWL262218 LMO262216:LMP262218 LCS262216:LCT262218 KSW262216:KSX262218 KJA262216:KJB262218 JZE262216:JZF262218 JPI262216:JPJ262218 JFM262216:JFN262218 IVQ262216:IVR262218 ILU262216:ILV262218 IBY262216:IBZ262218 HSC262216:HSD262218 HIG262216:HIH262218 GYK262216:GYL262218 GOO262216:GOP262218 GES262216:GET262218 FUW262216:FUX262218 FLA262216:FLB262218 FBE262216:FBF262218 ERI262216:ERJ262218 EHM262216:EHN262218 DXQ262216:DXR262218 DNU262216:DNV262218 DDY262216:DDZ262218 CUC262216:CUD262218 CKG262216:CKH262218 CAK262216:CAL262218 BQO262216:BQP262218 BGS262216:BGT262218 AWW262216:AWX262218 ANA262216:ANB262218 ADE262216:ADF262218 TI262216:TJ262218 JM262216:JN262218 Q262216:R262218 WVY196680:WVZ196682 WMC196680:WMD196682 WCG196680:WCH196682 VSK196680:VSL196682 VIO196680:VIP196682 UYS196680:UYT196682 UOW196680:UOX196682 UFA196680:UFB196682 TVE196680:TVF196682 TLI196680:TLJ196682 TBM196680:TBN196682 SRQ196680:SRR196682 SHU196680:SHV196682 RXY196680:RXZ196682 ROC196680:ROD196682 REG196680:REH196682 QUK196680:QUL196682 QKO196680:QKP196682 QAS196680:QAT196682 PQW196680:PQX196682 PHA196680:PHB196682 OXE196680:OXF196682 ONI196680:ONJ196682 ODM196680:ODN196682 NTQ196680:NTR196682 NJU196680:NJV196682 MZY196680:MZZ196682 MQC196680:MQD196682 MGG196680:MGH196682 LWK196680:LWL196682 LMO196680:LMP196682 LCS196680:LCT196682 KSW196680:KSX196682 KJA196680:KJB196682 JZE196680:JZF196682 JPI196680:JPJ196682 JFM196680:JFN196682 IVQ196680:IVR196682 ILU196680:ILV196682 IBY196680:IBZ196682 HSC196680:HSD196682 HIG196680:HIH196682 GYK196680:GYL196682 GOO196680:GOP196682 GES196680:GET196682 FUW196680:FUX196682 FLA196680:FLB196682 FBE196680:FBF196682 ERI196680:ERJ196682 EHM196680:EHN196682 DXQ196680:DXR196682 DNU196680:DNV196682 DDY196680:DDZ196682 CUC196680:CUD196682 CKG196680:CKH196682 CAK196680:CAL196682 BQO196680:BQP196682 BGS196680:BGT196682 AWW196680:AWX196682 ANA196680:ANB196682 ADE196680:ADF196682 TI196680:TJ196682 JM196680:JN196682 Q196680:R196682 WVY131144:WVZ131146 WMC131144:WMD131146 WCG131144:WCH131146 VSK131144:VSL131146 VIO131144:VIP131146 UYS131144:UYT131146 UOW131144:UOX131146 UFA131144:UFB131146 TVE131144:TVF131146 TLI131144:TLJ131146 TBM131144:TBN131146 SRQ131144:SRR131146 SHU131144:SHV131146 RXY131144:RXZ131146 ROC131144:ROD131146 REG131144:REH131146 QUK131144:QUL131146 QKO131144:QKP131146 QAS131144:QAT131146 PQW131144:PQX131146 PHA131144:PHB131146 OXE131144:OXF131146 ONI131144:ONJ131146 ODM131144:ODN131146 NTQ131144:NTR131146 NJU131144:NJV131146 MZY131144:MZZ131146 MQC131144:MQD131146 MGG131144:MGH131146 LWK131144:LWL131146 LMO131144:LMP131146 LCS131144:LCT131146 KSW131144:KSX131146 KJA131144:KJB131146 JZE131144:JZF131146 JPI131144:JPJ131146 JFM131144:JFN131146 IVQ131144:IVR131146 ILU131144:ILV131146 IBY131144:IBZ131146 HSC131144:HSD131146 HIG131144:HIH131146 GYK131144:GYL131146 GOO131144:GOP131146 GES131144:GET131146 FUW131144:FUX131146 FLA131144:FLB131146 FBE131144:FBF131146 ERI131144:ERJ131146 EHM131144:EHN131146 DXQ131144:DXR131146 DNU131144:DNV131146 DDY131144:DDZ131146 CUC131144:CUD131146 CKG131144:CKH131146 CAK131144:CAL131146 BQO131144:BQP131146 BGS131144:BGT131146 AWW131144:AWX131146 ANA131144:ANB131146 ADE131144:ADF131146 TI131144:TJ131146 JM131144:JN131146 Q131144:R131146 WVY65608:WVZ65610 WMC65608:WMD65610 WCG65608:WCH65610 VSK65608:VSL65610 VIO65608:VIP65610 UYS65608:UYT65610 UOW65608:UOX65610 UFA65608:UFB65610 TVE65608:TVF65610 TLI65608:TLJ65610 TBM65608:TBN65610 SRQ65608:SRR65610 SHU65608:SHV65610 RXY65608:RXZ65610 ROC65608:ROD65610 REG65608:REH65610 QUK65608:QUL65610 QKO65608:QKP65610 QAS65608:QAT65610 PQW65608:PQX65610 PHA65608:PHB65610 OXE65608:OXF65610 ONI65608:ONJ65610 ODM65608:ODN65610 NTQ65608:NTR65610 NJU65608:NJV65610 MZY65608:MZZ65610 MQC65608:MQD65610 MGG65608:MGH65610 LWK65608:LWL65610 LMO65608:LMP65610 LCS65608:LCT65610 KSW65608:KSX65610 KJA65608:KJB65610 JZE65608:JZF65610 JPI65608:JPJ65610 JFM65608:JFN65610 IVQ65608:IVR65610 ILU65608:ILV65610 IBY65608:IBZ65610 HSC65608:HSD65610 HIG65608:HIH65610 GYK65608:GYL65610 GOO65608:GOP65610 GES65608:GET65610 FUW65608:FUX65610 FLA65608:FLB65610 FBE65608:FBF65610 ERI65608:ERJ65610 EHM65608:EHN65610 DXQ65608:DXR65610 DNU65608:DNV65610 DDY65608:DDZ65610 CUC65608:CUD65610 CKG65608:CKH65610 CAK65608:CAL65610 BQO65608:BQP65610 BGS65608:BGT65610 AWW65608:AWX65610 ANA65608:ANB65610 ADE65608:ADF65610 TI65608:TJ65610 JM65608:JN65610 WVY55:WVZ56 WMC55:WMD56 WCG55:WCH56 VSK55:VSL56 VIO55:VIP56 UYS55:UYT56 UOW55:UOX56 UFA55:UFB56 TVE55:TVF56 TLI55:TLJ56 TBM55:TBN56 SRQ55:SRR56 SHU55:SHV56 RXY55:RXZ56 ROC55:ROD56 REG55:REH56 QUK55:QUL56 QKO55:QKP56 QAS55:QAT56 PQW55:PQX56 PHA55:PHB56 OXE55:OXF56 ONI55:ONJ56 ODM55:ODN56 NTQ55:NTR56 NJU55:NJV56 MZY55:MZZ56 MQC55:MQD56 MGG55:MGH56 LWK55:LWL56 LMO55:LMP56 LCS55:LCT56 KSW55:KSX56 KJA55:KJB56 JZE55:JZF56 JPI55:JPJ56 JFM55:JFN56 IVQ55:IVR56 ILU55:ILV56 IBY55:IBZ56 HSC55:HSD56 HIG55:HIH56 GYK55:GYL56 GOO55:GOP56 GES55:GET56 FUW55:FUX56 FLA55:FLB56 FBE55:FBF56 ERI55:ERJ56 EHM55:EHN56 DXQ55:DXR56 DNU55:DNV56 DDY55:DDZ56 CUC55:CUD56 CKG55:CKH56 CAK55:CAL56 BQO55:BQP56 BGS55:BGT56 AWW55:AWX56 ANA55:ANB56 ADE55:ADF56 TI55:TJ56 JM55:JN56 Q55:R56">
      <formula1>$V$100:$V$107</formula1>
    </dataValidation>
    <dataValidation type="list" allowBlank="1" showInputMessage="1" showErrorMessage="1" sqref="JM46:JN48 Q46:R48 WMC983104:WMD983105 WCG983104:WCH983105 VSK983104:VSL983105 VIO983104:VIP983105 UYS983104:UYT983105 UOW983104:UOX983105 UFA983104:UFB983105 TVE983104:TVF983105 TLI983104:TLJ983105 TBM983104:TBN983105 SRQ983104:SRR983105 SHU983104:SHV983105 RXY983104:RXZ983105 ROC983104:ROD983105 REG983104:REH983105 QUK983104:QUL983105 QKO983104:QKP983105 QAS983104:QAT983105 PQW983104:PQX983105 PHA983104:PHB983105 OXE983104:OXF983105 ONI983104:ONJ983105 ODM983104:ODN983105 NTQ983104:NTR983105 NJU983104:NJV983105 MZY983104:MZZ983105 MQC983104:MQD983105 MGG983104:MGH983105 LWK983104:LWL983105 LMO983104:LMP983105 LCS983104:LCT983105 KSW983104:KSX983105 KJA983104:KJB983105 JZE983104:JZF983105 JPI983104:JPJ983105 JFM983104:JFN983105 IVQ983104:IVR983105 ILU983104:ILV983105 IBY983104:IBZ983105 HSC983104:HSD983105 HIG983104:HIH983105 GYK983104:GYL983105 GOO983104:GOP983105 GES983104:GET983105 FUW983104:FUX983105 FLA983104:FLB983105 FBE983104:FBF983105 ERI983104:ERJ983105 EHM983104:EHN983105 DXQ983104:DXR983105 DNU983104:DNV983105 DDY983104:DDZ983105 CUC983104:CUD983105 CKG983104:CKH983105 CAK983104:CAL983105 BQO983104:BQP983105 BGS983104:BGT983105 AWW983104:AWX983105 ANA983104:ANB983105 ADE983104:ADF983105 TI983104:TJ983105 JM983104:JN983105 Q983104:R983105 WVY917568:WVZ917569 WMC917568:WMD917569 WCG917568:WCH917569 VSK917568:VSL917569 VIO917568:VIP917569 UYS917568:UYT917569 UOW917568:UOX917569 UFA917568:UFB917569 TVE917568:TVF917569 TLI917568:TLJ917569 TBM917568:TBN917569 SRQ917568:SRR917569 SHU917568:SHV917569 RXY917568:RXZ917569 ROC917568:ROD917569 REG917568:REH917569 QUK917568:QUL917569 QKO917568:QKP917569 QAS917568:QAT917569 PQW917568:PQX917569 PHA917568:PHB917569 OXE917568:OXF917569 ONI917568:ONJ917569 ODM917568:ODN917569 NTQ917568:NTR917569 NJU917568:NJV917569 MZY917568:MZZ917569 MQC917568:MQD917569 MGG917568:MGH917569 LWK917568:LWL917569 LMO917568:LMP917569 LCS917568:LCT917569 KSW917568:KSX917569 KJA917568:KJB917569 JZE917568:JZF917569 JPI917568:JPJ917569 JFM917568:JFN917569 IVQ917568:IVR917569 ILU917568:ILV917569 IBY917568:IBZ917569 HSC917568:HSD917569 HIG917568:HIH917569 GYK917568:GYL917569 GOO917568:GOP917569 GES917568:GET917569 FUW917568:FUX917569 FLA917568:FLB917569 FBE917568:FBF917569 ERI917568:ERJ917569 EHM917568:EHN917569 DXQ917568:DXR917569 DNU917568:DNV917569 DDY917568:DDZ917569 CUC917568:CUD917569 CKG917568:CKH917569 CAK917568:CAL917569 BQO917568:BQP917569 BGS917568:BGT917569 AWW917568:AWX917569 ANA917568:ANB917569 ADE917568:ADF917569 TI917568:TJ917569 JM917568:JN917569 Q917568:R917569 WVY852032:WVZ852033 WMC852032:WMD852033 WCG852032:WCH852033 VSK852032:VSL852033 VIO852032:VIP852033 UYS852032:UYT852033 UOW852032:UOX852033 UFA852032:UFB852033 TVE852032:TVF852033 TLI852032:TLJ852033 TBM852032:TBN852033 SRQ852032:SRR852033 SHU852032:SHV852033 RXY852032:RXZ852033 ROC852032:ROD852033 REG852032:REH852033 QUK852032:QUL852033 QKO852032:QKP852033 QAS852032:QAT852033 PQW852032:PQX852033 PHA852032:PHB852033 OXE852032:OXF852033 ONI852032:ONJ852033 ODM852032:ODN852033 NTQ852032:NTR852033 NJU852032:NJV852033 MZY852032:MZZ852033 MQC852032:MQD852033 MGG852032:MGH852033 LWK852032:LWL852033 LMO852032:LMP852033 LCS852032:LCT852033 KSW852032:KSX852033 KJA852032:KJB852033 JZE852032:JZF852033 JPI852032:JPJ852033 JFM852032:JFN852033 IVQ852032:IVR852033 ILU852032:ILV852033 IBY852032:IBZ852033 HSC852032:HSD852033 HIG852032:HIH852033 GYK852032:GYL852033 GOO852032:GOP852033 GES852032:GET852033 FUW852032:FUX852033 FLA852032:FLB852033 FBE852032:FBF852033 ERI852032:ERJ852033 EHM852032:EHN852033 DXQ852032:DXR852033 DNU852032:DNV852033 DDY852032:DDZ852033 CUC852032:CUD852033 CKG852032:CKH852033 CAK852032:CAL852033 BQO852032:BQP852033 BGS852032:BGT852033 AWW852032:AWX852033 ANA852032:ANB852033 ADE852032:ADF852033 TI852032:TJ852033 JM852032:JN852033 Q852032:R852033 WVY786496:WVZ786497 WMC786496:WMD786497 WCG786496:WCH786497 VSK786496:VSL786497 VIO786496:VIP786497 UYS786496:UYT786497 UOW786496:UOX786497 UFA786496:UFB786497 TVE786496:TVF786497 TLI786496:TLJ786497 TBM786496:TBN786497 SRQ786496:SRR786497 SHU786496:SHV786497 RXY786496:RXZ786497 ROC786496:ROD786497 REG786496:REH786497 QUK786496:QUL786497 QKO786496:QKP786497 QAS786496:QAT786497 PQW786496:PQX786497 PHA786496:PHB786497 OXE786496:OXF786497 ONI786496:ONJ786497 ODM786496:ODN786497 NTQ786496:NTR786497 NJU786496:NJV786497 MZY786496:MZZ786497 MQC786496:MQD786497 MGG786496:MGH786497 LWK786496:LWL786497 LMO786496:LMP786497 LCS786496:LCT786497 KSW786496:KSX786497 KJA786496:KJB786497 JZE786496:JZF786497 JPI786496:JPJ786497 JFM786496:JFN786497 IVQ786496:IVR786497 ILU786496:ILV786497 IBY786496:IBZ786497 HSC786496:HSD786497 HIG786496:HIH786497 GYK786496:GYL786497 GOO786496:GOP786497 GES786496:GET786497 FUW786496:FUX786497 FLA786496:FLB786497 FBE786496:FBF786497 ERI786496:ERJ786497 EHM786496:EHN786497 DXQ786496:DXR786497 DNU786496:DNV786497 DDY786496:DDZ786497 CUC786496:CUD786497 CKG786496:CKH786497 CAK786496:CAL786497 BQO786496:BQP786497 BGS786496:BGT786497 AWW786496:AWX786497 ANA786496:ANB786497 ADE786496:ADF786497 TI786496:TJ786497 JM786496:JN786497 Q786496:R786497 WVY720960:WVZ720961 WMC720960:WMD720961 WCG720960:WCH720961 VSK720960:VSL720961 VIO720960:VIP720961 UYS720960:UYT720961 UOW720960:UOX720961 UFA720960:UFB720961 TVE720960:TVF720961 TLI720960:TLJ720961 TBM720960:TBN720961 SRQ720960:SRR720961 SHU720960:SHV720961 RXY720960:RXZ720961 ROC720960:ROD720961 REG720960:REH720961 QUK720960:QUL720961 QKO720960:QKP720961 QAS720960:QAT720961 PQW720960:PQX720961 PHA720960:PHB720961 OXE720960:OXF720961 ONI720960:ONJ720961 ODM720960:ODN720961 NTQ720960:NTR720961 NJU720960:NJV720961 MZY720960:MZZ720961 MQC720960:MQD720961 MGG720960:MGH720961 LWK720960:LWL720961 LMO720960:LMP720961 LCS720960:LCT720961 KSW720960:KSX720961 KJA720960:KJB720961 JZE720960:JZF720961 JPI720960:JPJ720961 JFM720960:JFN720961 IVQ720960:IVR720961 ILU720960:ILV720961 IBY720960:IBZ720961 HSC720960:HSD720961 HIG720960:HIH720961 GYK720960:GYL720961 GOO720960:GOP720961 GES720960:GET720961 FUW720960:FUX720961 FLA720960:FLB720961 FBE720960:FBF720961 ERI720960:ERJ720961 EHM720960:EHN720961 DXQ720960:DXR720961 DNU720960:DNV720961 DDY720960:DDZ720961 CUC720960:CUD720961 CKG720960:CKH720961 CAK720960:CAL720961 BQO720960:BQP720961 BGS720960:BGT720961 AWW720960:AWX720961 ANA720960:ANB720961 ADE720960:ADF720961 TI720960:TJ720961 JM720960:JN720961 Q720960:R720961 WVY655424:WVZ655425 WMC655424:WMD655425 WCG655424:WCH655425 VSK655424:VSL655425 VIO655424:VIP655425 UYS655424:UYT655425 UOW655424:UOX655425 UFA655424:UFB655425 TVE655424:TVF655425 TLI655424:TLJ655425 TBM655424:TBN655425 SRQ655424:SRR655425 SHU655424:SHV655425 RXY655424:RXZ655425 ROC655424:ROD655425 REG655424:REH655425 QUK655424:QUL655425 QKO655424:QKP655425 QAS655424:QAT655425 PQW655424:PQX655425 PHA655424:PHB655425 OXE655424:OXF655425 ONI655424:ONJ655425 ODM655424:ODN655425 NTQ655424:NTR655425 NJU655424:NJV655425 MZY655424:MZZ655425 MQC655424:MQD655425 MGG655424:MGH655425 LWK655424:LWL655425 LMO655424:LMP655425 LCS655424:LCT655425 KSW655424:KSX655425 KJA655424:KJB655425 JZE655424:JZF655425 JPI655424:JPJ655425 JFM655424:JFN655425 IVQ655424:IVR655425 ILU655424:ILV655425 IBY655424:IBZ655425 HSC655424:HSD655425 HIG655424:HIH655425 GYK655424:GYL655425 GOO655424:GOP655425 GES655424:GET655425 FUW655424:FUX655425 FLA655424:FLB655425 FBE655424:FBF655425 ERI655424:ERJ655425 EHM655424:EHN655425 DXQ655424:DXR655425 DNU655424:DNV655425 DDY655424:DDZ655425 CUC655424:CUD655425 CKG655424:CKH655425 CAK655424:CAL655425 BQO655424:BQP655425 BGS655424:BGT655425 AWW655424:AWX655425 ANA655424:ANB655425 ADE655424:ADF655425 TI655424:TJ655425 JM655424:JN655425 Q655424:R655425 WVY589888:WVZ589889 WMC589888:WMD589889 WCG589888:WCH589889 VSK589888:VSL589889 VIO589888:VIP589889 UYS589888:UYT589889 UOW589888:UOX589889 UFA589888:UFB589889 TVE589888:TVF589889 TLI589888:TLJ589889 TBM589888:TBN589889 SRQ589888:SRR589889 SHU589888:SHV589889 RXY589888:RXZ589889 ROC589888:ROD589889 REG589888:REH589889 QUK589888:QUL589889 QKO589888:QKP589889 QAS589888:QAT589889 PQW589888:PQX589889 PHA589888:PHB589889 OXE589888:OXF589889 ONI589888:ONJ589889 ODM589888:ODN589889 NTQ589888:NTR589889 NJU589888:NJV589889 MZY589888:MZZ589889 MQC589888:MQD589889 MGG589888:MGH589889 LWK589888:LWL589889 LMO589888:LMP589889 LCS589888:LCT589889 KSW589888:KSX589889 KJA589888:KJB589889 JZE589888:JZF589889 JPI589888:JPJ589889 JFM589888:JFN589889 IVQ589888:IVR589889 ILU589888:ILV589889 IBY589888:IBZ589889 HSC589888:HSD589889 HIG589888:HIH589889 GYK589888:GYL589889 GOO589888:GOP589889 GES589888:GET589889 FUW589888:FUX589889 FLA589888:FLB589889 FBE589888:FBF589889 ERI589888:ERJ589889 EHM589888:EHN589889 DXQ589888:DXR589889 DNU589888:DNV589889 DDY589888:DDZ589889 CUC589888:CUD589889 CKG589888:CKH589889 CAK589888:CAL589889 BQO589888:BQP589889 BGS589888:BGT589889 AWW589888:AWX589889 ANA589888:ANB589889 ADE589888:ADF589889 TI589888:TJ589889 JM589888:JN589889 Q589888:R589889 WVY524352:WVZ524353 WMC524352:WMD524353 WCG524352:WCH524353 VSK524352:VSL524353 VIO524352:VIP524353 UYS524352:UYT524353 UOW524352:UOX524353 UFA524352:UFB524353 TVE524352:TVF524353 TLI524352:TLJ524353 TBM524352:TBN524353 SRQ524352:SRR524353 SHU524352:SHV524353 RXY524352:RXZ524353 ROC524352:ROD524353 REG524352:REH524353 QUK524352:QUL524353 QKO524352:QKP524353 QAS524352:QAT524353 PQW524352:PQX524353 PHA524352:PHB524353 OXE524352:OXF524353 ONI524352:ONJ524353 ODM524352:ODN524353 NTQ524352:NTR524353 NJU524352:NJV524353 MZY524352:MZZ524353 MQC524352:MQD524353 MGG524352:MGH524353 LWK524352:LWL524353 LMO524352:LMP524353 LCS524352:LCT524353 KSW524352:KSX524353 KJA524352:KJB524353 JZE524352:JZF524353 JPI524352:JPJ524353 JFM524352:JFN524353 IVQ524352:IVR524353 ILU524352:ILV524353 IBY524352:IBZ524353 HSC524352:HSD524353 HIG524352:HIH524353 GYK524352:GYL524353 GOO524352:GOP524353 GES524352:GET524353 FUW524352:FUX524353 FLA524352:FLB524353 FBE524352:FBF524353 ERI524352:ERJ524353 EHM524352:EHN524353 DXQ524352:DXR524353 DNU524352:DNV524353 DDY524352:DDZ524353 CUC524352:CUD524353 CKG524352:CKH524353 CAK524352:CAL524353 BQO524352:BQP524353 BGS524352:BGT524353 AWW524352:AWX524353 ANA524352:ANB524353 ADE524352:ADF524353 TI524352:TJ524353 JM524352:JN524353 Q524352:R524353 WVY458816:WVZ458817 WMC458816:WMD458817 WCG458816:WCH458817 VSK458816:VSL458817 VIO458816:VIP458817 UYS458816:UYT458817 UOW458816:UOX458817 UFA458816:UFB458817 TVE458816:TVF458817 TLI458816:TLJ458817 TBM458816:TBN458817 SRQ458816:SRR458817 SHU458816:SHV458817 RXY458816:RXZ458817 ROC458816:ROD458817 REG458816:REH458817 QUK458816:QUL458817 QKO458816:QKP458817 QAS458816:QAT458817 PQW458816:PQX458817 PHA458816:PHB458817 OXE458816:OXF458817 ONI458816:ONJ458817 ODM458816:ODN458817 NTQ458816:NTR458817 NJU458816:NJV458817 MZY458816:MZZ458817 MQC458816:MQD458817 MGG458816:MGH458817 LWK458816:LWL458817 LMO458816:LMP458817 LCS458816:LCT458817 KSW458816:KSX458817 KJA458816:KJB458817 JZE458816:JZF458817 JPI458816:JPJ458817 JFM458816:JFN458817 IVQ458816:IVR458817 ILU458816:ILV458817 IBY458816:IBZ458817 HSC458816:HSD458817 HIG458816:HIH458817 GYK458816:GYL458817 GOO458816:GOP458817 GES458816:GET458817 FUW458816:FUX458817 FLA458816:FLB458817 FBE458816:FBF458817 ERI458816:ERJ458817 EHM458816:EHN458817 DXQ458816:DXR458817 DNU458816:DNV458817 DDY458816:DDZ458817 CUC458816:CUD458817 CKG458816:CKH458817 CAK458816:CAL458817 BQO458816:BQP458817 BGS458816:BGT458817 AWW458816:AWX458817 ANA458816:ANB458817 ADE458816:ADF458817 TI458816:TJ458817 JM458816:JN458817 Q458816:R458817 WVY393280:WVZ393281 WMC393280:WMD393281 WCG393280:WCH393281 VSK393280:VSL393281 VIO393280:VIP393281 UYS393280:UYT393281 UOW393280:UOX393281 UFA393280:UFB393281 TVE393280:TVF393281 TLI393280:TLJ393281 TBM393280:TBN393281 SRQ393280:SRR393281 SHU393280:SHV393281 RXY393280:RXZ393281 ROC393280:ROD393281 REG393280:REH393281 QUK393280:QUL393281 QKO393280:QKP393281 QAS393280:QAT393281 PQW393280:PQX393281 PHA393280:PHB393281 OXE393280:OXF393281 ONI393280:ONJ393281 ODM393280:ODN393281 NTQ393280:NTR393281 NJU393280:NJV393281 MZY393280:MZZ393281 MQC393280:MQD393281 MGG393280:MGH393281 LWK393280:LWL393281 LMO393280:LMP393281 LCS393280:LCT393281 KSW393280:KSX393281 KJA393280:KJB393281 JZE393280:JZF393281 JPI393280:JPJ393281 JFM393280:JFN393281 IVQ393280:IVR393281 ILU393280:ILV393281 IBY393280:IBZ393281 HSC393280:HSD393281 HIG393280:HIH393281 GYK393280:GYL393281 GOO393280:GOP393281 GES393280:GET393281 FUW393280:FUX393281 FLA393280:FLB393281 FBE393280:FBF393281 ERI393280:ERJ393281 EHM393280:EHN393281 DXQ393280:DXR393281 DNU393280:DNV393281 DDY393280:DDZ393281 CUC393280:CUD393281 CKG393280:CKH393281 CAK393280:CAL393281 BQO393280:BQP393281 BGS393280:BGT393281 AWW393280:AWX393281 ANA393280:ANB393281 ADE393280:ADF393281 TI393280:TJ393281 JM393280:JN393281 Q393280:R393281 WVY327744:WVZ327745 WMC327744:WMD327745 WCG327744:WCH327745 VSK327744:VSL327745 VIO327744:VIP327745 UYS327744:UYT327745 UOW327744:UOX327745 UFA327744:UFB327745 TVE327744:TVF327745 TLI327744:TLJ327745 TBM327744:TBN327745 SRQ327744:SRR327745 SHU327744:SHV327745 RXY327744:RXZ327745 ROC327744:ROD327745 REG327744:REH327745 QUK327744:QUL327745 QKO327744:QKP327745 QAS327744:QAT327745 PQW327744:PQX327745 PHA327744:PHB327745 OXE327744:OXF327745 ONI327744:ONJ327745 ODM327744:ODN327745 NTQ327744:NTR327745 NJU327744:NJV327745 MZY327744:MZZ327745 MQC327744:MQD327745 MGG327744:MGH327745 LWK327744:LWL327745 LMO327744:LMP327745 LCS327744:LCT327745 KSW327744:KSX327745 KJA327744:KJB327745 JZE327744:JZF327745 JPI327744:JPJ327745 JFM327744:JFN327745 IVQ327744:IVR327745 ILU327744:ILV327745 IBY327744:IBZ327745 HSC327744:HSD327745 HIG327744:HIH327745 GYK327744:GYL327745 GOO327744:GOP327745 GES327744:GET327745 FUW327744:FUX327745 FLA327744:FLB327745 FBE327744:FBF327745 ERI327744:ERJ327745 EHM327744:EHN327745 DXQ327744:DXR327745 DNU327744:DNV327745 DDY327744:DDZ327745 CUC327744:CUD327745 CKG327744:CKH327745 CAK327744:CAL327745 BQO327744:BQP327745 BGS327744:BGT327745 AWW327744:AWX327745 ANA327744:ANB327745 ADE327744:ADF327745 TI327744:TJ327745 JM327744:JN327745 Q327744:R327745 WVY262208:WVZ262209 WMC262208:WMD262209 WCG262208:WCH262209 VSK262208:VSL262209 VIO262208:VIP262209 UYS262208:UYT262209 UOW262208:UOX262209 UFA262208:UFB262209 TVE262208:TVF262209 TLI262208:TLJ262209 TBM262208:TBN262209 SRQ262208:SRR262209 SHU262208:SHV262209 RXY262208:RXZ262209 ROC262208:ROD262209 REG262208:REH262209 QUK262208:QUL262209 QKO262208:QKP262209 QAS262208:QAT262209 PQW262208:PQX262209 PHA262208:PHB262209 OXE262208:OXF262209 ONI262208:ONJ262209 ODM262208:ODN262209 NTQ262208:NTR262209 NJU262208:NJV262209 MZY262208:MZZ262209 MQC262208:MQD262209 MGG262208:MGH262209 LWK262208:LWL262209 LMO262208:LMP262209 LCS262208:LCT262209 KSW262208:KSX262209 KJA262208:KJB262209 JZE262208:JZF262209 JPI262208:JPJ262209 JFM262208:JFN262209 IVQ262208:IVR262209 ILU262208:ILV262209 IBY262208:IBZ262209 HSC262208:HSD262209 HIG262208:HIH262209 GYK262208:GYL262209 GOO262208:GOP262209 GES262208:GET262209 FUW262208:FUX262209 FLA262208:FLB262209 FBE262208:FBF262209 ERI262208:ERJ262209 EHM262208:EHN262209 DXQ262208:DXR262209 DNU262208:DNV262209 DDY262208:DDZ262209 CUC262208:CUD262209 CKG262208:CKH262209 CAK262208:CAL262209 BQO262208:BQP262209 BGS262208:BGT262209 AWW262208:AWX262209 ANA262208:ANB262209 ADE262208:ADF262209 TI262208:TJ262209 JM262208:JN262209 Q262208:R262209 WVY196672:WVZ196673 WMC196672:WMD196673 WCG196672:WCH196673 VSK196672:VSL196673 VIO196672:VIP196673 UYS196672:UYT196673 UOW196672:UOX196673 UFA196672:UFB196673 TVE196672:TVF196673 TLI196672:TLJ196673 TBM196672:TBN196673 SRQ196672:SRR196673 SHU196672:SHV196673 RXY196672:RXZ196673 ROC196672:ROD196673 REG196672:REH196673 QUK196672:QUL196673 QKO196672:QKP196673 QAS196672:QAT196673 PQW196672:PQX196673 PHA196672:PHB196673 OXE196672:OXF196673 ONI196672:ONJ196673 ODM196672:ODN196673 NTQ196672:NTR196673 NJU196672:NJV196673 MZY196672:MZZ196673 MQC196672:MQD196673 MGG196672:MGH196673 LWK196672:LWL196673 LMO196672:LMP196673 LCS196672:LCT196673 KSW196672:KSX196673 KJA196672:KJB196673 JZE196672:JZF196673 JPI196672:JPJ196673 JFM196672:JFN196673 IVQ196672:IVR196673 ILU196672:ILV196673 IBY196672:IBZ196673 HSC196672:HSD196673 HIG196672:HIH196673 GYK196672:GYL196673 GOO196672:GOP196673 GES196672:GET196673 FUW196672:FUX196673 FLA196672:FLB196673 FBE196672:FBF196673 ERI196672:ERJ196673 EHM196672:EHN196673 DXQ196672:DXR196673 DNU196672:DNV196673 DDY196672:DDZ196673 CUC196672:CUD196673 CKG196672:CKH196673 CAK196672:CAL196673 BQO196672:BQP196673 BGS196672:BGT196673 AWW196672:AWX196673 ANA196672:ANB196673 ADE196672:ADF196673 TI196672:TJ196673 JM196672:JN196673 Q196672:R196673 WVY131136:WVZ131137 WMC131136:WMD131137 WCG131136:WCH131137 VSK131136:VSL131137 VIO131136:VIP131137 UYS131136:UYT131137 UOW131136:UOX131137 UFA131136:UFB131137 TVE131136:TVF131137 TLI131136:TLJ131137 TBM131136:TBN131137 SRQ131136:SRR131137 SHU131136:SHV131137 RXY131136:RXZ131137 ROC131136:ROD131137 REG131136:REH131137 QUK131136:QUL131137 QKO131136:QKP131137 QAS131136:QAT131137 PQW131136:PQX131137 PHA131136:PHB131137 OXE131136:OXF131137 ONI131136:ONJ131137 ODM131136:ODN131137 NTQ131136:NTR131137 NJU131136:NJV131137 MZY131136:MZZ131137 MQC131136:MQD131137 MGG131136:MGH131137 LWK131136:LWL131137 LMO131136:LMP131137 LCS131136:LCT131137 KSW131136:KSX131137 KJA131136:KJB131137 JZE131136:JZF131137 JPI131136:JPJ131137 JFM131136:JFN131137 IVQ131136:IVR131137 ILU131136:ILV131137 IBY131136:IBZ131137 HSC131136:HSD131137 HIG131136:HIH131137 GYK131136:GYL131137 GOO131136:GOP131137 GES131136:GET131137 FUW131136:FUX131137 FLA131136:FLB131137 FBE131136:FBF131137 ERI131136:ERJ131137 EHM131136:EHN131137 DXQ131136:DXR131137 DNU131136:DNV131137 DDY131136:DDZ131137 CUC131136:CUD131137 CKG131136:CKH131137 CAK131136:CAL131137 BQO131136:BQP131137 BGS131136:BGT131137 AWW131136:AWX131137 ANA131136:ANB131137 ADE131136:ADF131137 TI131136:TJ131137 JM131136:JN131137 Q131136:R131137 WVY65600:WVZ65601 WMC65600:WMD65601 WCG65600:WCH65601 VSK65600:VSL65601 VIO65600:VIP65601 UYS65600:UYT65601 UOW65600:UOX65601 UFA65600:UFB65601 TVE65600:TVF65601 TLI65600:TLJ65601 TBM65600:TBN65601 SRQ65600:SRR65601 SHU65600:SHV65601 RXY65600:RXZ65601 ROC65600:ROD65601 REG65600:REH65601 QUK65600:QUL65601 QKO65600:QKP65601 QAS65600:QAT65601 PQW65600:PQX65601 PHA65600:PHB65601 OXE65600:OXF65601 ONI65600:ONJ65601 ODM65600:ODN65601 NTQ65600:NTR65601 NJU65600:NJV65601 MZY65600:MZZ65601 MQC65600:MQD65601 MGG65600:MGH65601 LWK65600:LWL65601 LMO65600:LMP65601 LCS65600:LCT65601 KSW65600:KSX65601 KJA65600:KJB65601 JZE65600:JZF65601 JPI65600:JPJ65601 JFM65600:JFN65601 IVQ65600:IVR65601 ILU65600:ILV65601 IBY65600:IBZ65601 HSC65600:HSD65601 HIG65600:HIH65601 GYK65600:GYL65601 GOO65600:GOP65601 GES65600:GET65601 FUW65600:FUX65601 FLA65600:FLB65601 FBE65600:FBF65601 ERI65600:ERJ65601 EHM65600:EHN65601 DXQ65600:DXR65601 DNU65600:DNV65601 DDY65600:DDZ65601 CUC65600:CUD65601 CKG65600:CKH65601 CAK65600:CAL65601 BQO65600:BQP65601 BGS65600:BGT65601 AWW65600:AWX65601 ANA65600:ANB65601 ADE65600:ADF65601 TI65600:TJ65601 JM65600:JN65601 Q65600:R65601 WVY983104:WVZ983105 WVY46:WVZ48 WMC46:WMD48 WCG46:WCH48 VSK46:VSL48 VIO46:VIP48 UYS46:UYT48 UOW46:UOX48 UFA46:UFB48 TVE46:TVF48 TLI46:TLJ48 TBM46:TBN48 SRQ46:SRR48 SHU46:SHV48 RXY46:RXZ48 ROC46:ROD48 REG46:REH48 QUK46:QUL48 QKO46:QKP48 QAS46:QAT48 PQW46:PQX48 PHA46:PHB48 OXE46:OXF48 ONI46:ONJ48 ODM46:ODN48 NTQ46:NTR48 NJU46:NJV48 MZY46:MZZ48 MQC46:MQD48 MGG46:MGH48 LWK46:LWL48 LMO46:LMP48 LCS46:LCT48 KSW46:KSX48 KJA46:KJB48 JZE46:JZF48 JPI46:JPJ48 JFM46:JFN48 IVQ46:IVR48 ILU46:ILV48 IBY46:IBZ48 HSC46:HSD48 HIG46:HIH48 GYK46:GYL48 GOO46:GOP48 GES46:GET48 FUW46:FUX48 FLA46:FLB48 FBE46:FBF48 ERI46:ERJ48 EHM46:EHN48 DXQ46:DXR48 DNU46:DNV48 DDY46:DDZ48 CUC46:CUD48 CKG46:CKH48 CAK46:CAL48 BQO46:BQP48 BGS46:BGT48 AWW46:AWX48 ANA46:ANB48 ADE46:ADF48 TI46:TJ48">
      <formula1>$V$180:$V$191</formula1>
    </dataValidation>
    <dataValidation type="list" allowBlank="1" showInputMessage="1" showErrorMessage="1" sqref="WVY983101:WVZ983102 Q41:R41 WMC983101:WMD983102 WCG983101:WCH983102 VSK983101:VSL983102 VIO983101:VIP983102 UYS983101:UYT983102 UOW983101:UOX983102 UFA983101:UFB983102 TVE983101:TVF983102 TLI983101:TLJ983102 TBM983101:TBN983102 SRQ983101:SRR983102 SHU983101:SHV983102 RXY983101:RXZ983102 ROC983101:ROD983102 REG983101:REH983102 QUK983101:QUL983102 QKO983101:QKP983102 QAS983101:QAT983102 PQW983101:PQX983102 PHA983101:PHB983102 OXE983101:OXF983102 ONI983101:ONJ983102 ODM983101:ODN983102 NTQ983101:NTR983102 NJU983101:NJV983102 MZY983101:MZZ983102 MQC983101:MQD983102 MGG983101:MGH983102 LWK983101:LWL983102 LMO983101:LMP983102 LCS983101:LCT983102 KSW983101:KSX983102 KJA983101:KJB983102 JZE983101:JZF983102 JPI983101:JPJ983102 JFM983101:JFN983102 IVQ983101:IVR983102 ILU983101:ILV983102 IBY983101:IBZ983102 HSC983101:HSD983102 HIG983101:HIH983102 GYK983101:GYL983102 GOO983101:GOP983102 GES983101:GET983102 FUW983101:FUX983102 FLA983101:FLB983102 FBE983101:FBF983102 ERI983101:ERJ983102 EHM983101:EHN983102 DXQ983101:DXR983102 DNU983101:DNV983102 DDY983101:DDZ983102 CUC983101:CUD983102 CKG983101:CKH983102 CAK983101:CAL983102 BQO983101:BQP983102 BGS983101:BGT983102 AWW983101:AWX983102 ANA983101:ANB983102 ADE983101:ADF983102 TI983101:TJ983102 JM983101:JN983102 Q983101:R983102 WVY917565:WVZ917566 WMC917565:WMD917566 WCG917565:WCH917566 VSK917565:VSL917566 VIO917565:VIP917566 UYS917565:UYT917566 UOW917565:UOX917566 UFA917565:UFB917566 TVE917565:TVF917566 TLI917565:TLJ917566 TBM917565:TBN917566 SRQ917565:SRR917566 SHU917565:SHV917566 RXY917565:RXZ917566 ROC917565:ROD917566 REG917565:REH917566 QUK917565:QUL917566 QKO917565:QKP917566 QAS917565:QAT917566 PQW917565:PQX917566 PHA917565:PHB917566 OXE917565:OXF917566 ONI917565:ONJ917566 ODM917565:ODN917566 NTQ917565:NTR917566 NJU917565:NJV917566 MZY917565:MZZ917566 MQC917565:MQD917566 MGG917565:MGH917566 LWK917565:LWL917566 LMO917565:LMP917566 LCS917565:LCT917566 KSW917565:KSX917566 KJA917565:KJB917566 JZE917565:JZF917566 JPI917565:JPJ917566 JFM917565:JFN917566 IVQ917565:IVR917566 ILU917565:ILV917566 IBY917565:IBZ917566 HSC917565:HSD917566 HIG917565:HIH917566 GYK917565:GYL917566 GOO917565:GOP917566 GES917565:GET917566 FUW917565:FUX917566 FLA917565:FLB917566 FBE917565:FBF917566 ERI917565:ERJ917566 EHM917565:EHN917566 DXQ917565:DXR917566 DNU917565:DNV917566 DDY917565:DDZ917566 CUC917565:CUD917566 CKG917565:CKH917566 CAK917565:CAL917566 BQO917565:BQP917566 BGS917565:BGT917566 AWW917565:AWX917566 ANA917565:ANB917566 ADE917565:ADF917566 TI917565:TJ917566 JM917565:JN917566 Q917565:R917566 WVY852029:WVZ852030 WMC852029:WMD852030 WCG852029:WCH852030 VSK852029:VSL852030 VIO852029:VIP852030 UYS852029:UYT852030 UOW852029:UOX852030 UFA852029:UFB852030 TVE852029:TVF852030 TLI852029:TLJ852030 TBM852029:TBN852030 SRQ852029:SRR852030 SHU852029:SHV852030 RXY852029:RXZ852030 ROC852029:ROD852030 REG852029:REH852030 QUK852029:QUL852030 QKO852029:QKP852030 QAS852029:QAT852030 PQW852029:PQX852030 PHA852029:PHB852030 OXE852029:OXF852030 ONI852029:ONJ852030 ODM852029:ODN852030 NTQ852029:NTR852030 NJU852029:NJV852030 MZY852029:MZZ852030 MQC852029:MQD852030 MGG852029:MGH852030 LWK852029:LWL852030 LMO852029:LMP852030 LCS852029:LCT852030 KSW852029:KSX852030 KJA852029:KJB852030 JZE852029:JZF852030 JPI852029:JPJ852030 JFM852029:JFN852030 IVQ852029:IVR852030 ILU852029:ILV852030 IBY852029:IBZ852030 HSC852029:HSD852030 HIG852029:HIH852030 GYK852029:GYL852030 GOO852029:GOP852030 GES852029:GET852030 FUW852029:FUX852030 FLA852029:FLB852030 FBE852029:FBF852030 ERI852029:ERJ852030 EHM852029:EHN852030 DXQ852029:DXR852030 DNU852029:DNV852030 DDY852029:DDZ852030 CUC852029:CUD852030 CKG852029:CKH852030 CAK852029:CAL852030 BQO852029:BQP852030 BGS852029:BGT852030 AWW852029:AWX852030 ANA852029:ANB852030 ADE852029:ADF852030 TI852029:TJ852030 JM852029:JN852030 Q852029:R852030 WVY786493:WVZ786494 WMC786493:WMD786494 WCG786493:WCH786494 VSK786493:VSL786494 VIO786493:VIP786494 UYS786493:UYT786494 UOW786493:UOX786494 UFA786493:UFB786494 TVE786493:TVF786494 TLI786493:TLJ786494 TBM786493:TBN786494 SRQ786493:SRR786494 SHU786493:SHV786494 RXY786493:RXZ786494 ROC786493:ROD786494 REG786493:REH786494 QUK786493:QUL786494 QKO786493:QKP786494 QAS786493:QAT786494 PQW786493:PQX786494 PHA786493:PHB786494 OXE786493:OXF786494 ONI786493:ONJ786494 ODM786493:ODN786494 NTQ786493:NTR786494 NJU786493:NJV786494 MZY786493:MZZ786494 MQC786493:MQD786494 MGG786493:MGH786494 LWK786493:LWL786494 LMO786493:LMP786494 LCS786493:LCT786494 KSW786493:KSX786494 KJA786493:KJB786494 JZE786493:JZF786494 JPI786493:JPJ786494 JFM786493:JFN786494 IVQ786493:IVR786494 ILU786493:ILV786494 IBY786493:IBZ786494 HSC786493:HSD786494 HIG786493:HIH786494 GYK786493:GYL786494 GOO786493:GOP786494 GES786493:GET786494 FUW786493:FUX786494 FLA786493:FLB786494 FBE786493:FBF786494 ERI786493:ERJ786494 EHM786493:EHN786494 DXQ786493:DXR786494 DNU786493:DNV786494 DDY786493:DDZ786494 CUC786493:CUD786494 CKG786493:CKH786494 CAK786493:CAL786494 BQO786493:BQP786494 BGS786493:BGT786494 AWW786493:AWX786494 ANA786493:ANB786494 ADE786493:ADF786494 TI786493:TJ786494 JM786493:JN786494 Q786493:R786494 WVY720957:WVZ720958 WMC720957:WMD720958 WCG720957:WCH720958 VSK720957:VSL720958 VIO720957:VIP720958 UYS720957:UYT720958 UOW720957:UOX720958 UFA720957:UFB720958 TVE720957:TVF720958 TLI720957:TLJ720958 TBM720957:TBN720958 SRQ720957:SRR720958 SHU720957:SHV720958 RXY720957:RXZ720958 ROC720957:ROD720958 REG720957:REH720958 QUK720957:QUL720958 QKO720957:QKP720958 QAS720957:QAT720958 PQW720957:PQX720958 PHA720957:PHB720958 OXE720957:OXF720958 ONI720957:ONJ720958 ODM720957:ODN720958 NTQ720957:NTR720958 NJU720957:NJV720958 MZY720957:MZZ720958 MQC720957:MQD720958 MGG720957:MGH720958 LWK720957:LWL720958 LMO720957:LMP720958 LCS720957:LCT720958 KSW720957:KSX720958 KJA720957:KJB720958 JZE720957:JZF720958 JPI720957:JPJ720958 JFM720957:JFN720958 IVQ720957:IVR720958 ILU720957:ILV720958 IBY720957:IBZ720958 HSC720957:HSD720958 HIG720957:HIH720958 GYK720957:GYL720958 GOO720957:GOP720958 GES720957:GET720958 FUW720957:FUX720958 FLA720957:FLB720958 FBE720957:FBF720958 ERI720957:ERJ720958 EHM720957:EHN720958 DXQ720957:DXR720958 DNU720957:DNV720958 DDY720957:DDZ720958 CUC720957:CUD720958 CKG720957:CKH720958 CAK720957:CAL720958 BQO720957:BQP720958 BGS720957:BGT720958 AWW720957:AWX720958 ANA720957:ANB720958 ADE720957:ADF720958 TI720957:TJ720958 JM720957:JN720958 Q720957:R720958 WVY655421:WVZ655422 WMC655421:WMD655422 WCG655421:WCH655422 VSK655421:VSL655422 VIO655421:VIP655422 UYS655421:UYT655422 UOW655421:UOX655422 UFA655421:UFB655422 TVE655421:TVF655422 TLI655421:TLJ655422 TBM655421:TBN655422 SRQ655421:SRR655422 SHU655421:SHV655422 RXY655421:RXZ655422 ROC655421:ROD655422 REG655421:REH655422 QUK655421:QUL655422 QKO655421:QKP655422 QAS655421:QAT655422 PQW655421:PQX655422 PHA655421:PHB655422 OXE655421:OXF655422 ONI655421:ONJ655422 ODM655421:ODN655422 NTQ655421:NTR655422 NJU655421:NJV655422 MZY655421:MZZ655422 MQC655421:MQD655422 MGG655421:MGH655422 LWK655421:LWL655422 LMO655421:LMP655422 LCS655421:LCT655422 KSW655421:KSX655422 KJA655421:KJB655422 JZE655421:JZF655422 JPI655421:JPJ655422 JFM655421:JFN655422 IVQ655421:IVR655422 ILU655421:ILV655422 IBY655421:IBZ655422 HSC655421:HSD655422 HIG655421:HIH655422 GYK655421:GYL655422 GOO655421:GOP655422 GES655421:GET655422 FUW655421:FUX655422 FLA655421:FLB655422 FBE655421:FBF655422 ERI655421:ERJ655422 EHM655421:EHN655422 DXQ655421:DXR655422 DNU655421:DNV655422 DDY655421:DDZ655422 CUC655421:CUD655422 CKG655421:CKH655422 CAK655421:CAL655422 BQO655421:BQP655422 BGS655421:BGT655422 AWW655421:AWX655422 ANA655421:ANB655422 ADE655421:ADF655422 TI655421:TJ655422 JM655421:JN655422 Q655421:R655422 WVY589885:WVZ589886 WMC589885:WMD589886 WCG589885:WCH589886 VSK589885:VSL589886 VIO589885:VIP589886 UYS589885:UYT589886 UOW589885:UOX589886 UFA589885:UFB589886 TVE589885:TVF589886 TLI589885:TLJ589886 TBM589885:TBN589886 SRQ589885:SRR589886 SHU589885:SHV589886 RXY589885:RXZ589886 ROC589885:ROD589886 REG589885:REH589886 QUK589885:QUL589886 QKO589885:QKP589886 QAS589885:QAT589886 PQW589885:PQX589886 PHA589885:PHB589886 OXE589885:OXF589886 ONI589885:ONJ589886 ODM589885:ODN589886 NTQ589885:NTR589886 NJU589885:NJV589886 MZY589885:MZZ589886 MQC589885:MQD589886 MGG589885:MGH589886 LWK589885:LWL589886 LMO589885:LMP589886 LCS589885:LCT589886 KSW589885:KSX589886 KJA589885:KJB589886 JZE589885:JZF589886 JPI589885:JPJ589886 JFM589885:JFN589886 IVQ589885:IVR589886 ILU589885:ILV589886 IBY589885:IBZ589886 HSC589885:HSD589886 HIG589885:HIH589886 GYK589885:GYL589886 GOO589885:GOP589886 GES589885:GET589886 FUW589885:FUX589886 FLA589885:FLB589886 FBE589885:FBF589886 ERI589885:ERJ589886 EHM589885:EHN589886 DXQ589885:DXR589886 DNU589885:DNV589886 DDY589885:DDZ589886 CUC589885:CUD589886 CKG589885:CKH589886 CAK589885:CAL589886 BQO589885:BQP589886 BGS589885:BGT589886 AWW589885:AWX589886 ANA589885:ANB589886 ADE589885:ADF589886 TI589885:TJ589886 JM589885:JN589886 Q589885:R589886 WVY524349:WVZ524350 WMC524349:WMD524350 WCG524349:WCH524350 VSK524349:VSL524350 VIO524349:VIP524350 UYS524349:UYT524350 UOW524349:UOX524350 UFA524349:UFB524350 TVE524349:TVF524350 TLI524349:TLJ524350 TBM524349:TBN524350 SRQ524349:SRR524350 SHU524349:SHV524350 RXY524349:RXZ524350 ROC524349:ROD524350 REG524349:REH524350 QUK524349:QUL524350 QKO524349:QKP524350 QAS524349:QAT524350 PQW524349:PQX524350 PHA524349:PHB524350 OXE524349:OXF524350 ONI524349:ONJ524350 ODM524349:ODN524350 NTQ524349:NTR524350 NJU524349:NJV524350 MZY524349:MZZ524350 MQC524349:MQD524350 MGG524349:MGH524350 LWK524349:LWL524350 LMO524349:LMP524350 LCS524349:LCT524350 KSW524349:KSX524350 KJA524349:KJB524350 JZE524349:JZF524350 JPI524349:JPJ524350 JFM524349:JFN524350 IVQ524349:IVR524350 ILU524349:ILV524350 IBY524349:IBZ524350 HSC524349:HSD524350 HIG524349:HIH524350 GYK524349:GYL524350 GOO524349:GOP524350 GES524349:GET524350 FUW524349:FUX524350 FLA524349:FLB524350 FBE524349:FBF524350 ERI524349:ERJ524350 EHM524349:EHN524350 DXQ524349:DXR524350 DNU524349:DNV524350 DDY524349:DDZ524350 CUC524349:CUD524350 CKG524349:CKH524350 CAK524349:CAL524350 BQO524349:BQP524350 BGS524349:BGT524350 AWW524349:AWX524350 ANA524349:ANB524350 ADE524349:ADF524350 TI524349:TJ524350 JM524349:JN524350 Q524349:R524350 WVY458813:WVZ458814 WMC458813:WMD458814 WCG458813:WCH458814 VSK458813:VSL458814 VIO458813:VIP458814 UYS458813:UYT458814 UOW458813:UOX458814 UFA458813:UFB458814 TVE458813:TVF458814 TLI458813:TLJ458814 TBM458813:TBN458814 SRQ458813:SRR458814 SHU458813:SHV458814 RXY458813:RXZ458814 ROC458813:ROD458814 REG458813:REH458814 QUK458813:QUL458814 QKO458813:QKP458814 QAS458813:QAT458814 PQW458813:PQX458814 PHA458813:PHB458814 OXE458813:OXF458814 ONI458813:ONJ458814 ODM458813:ODN458814 NTQ458813:NTR458814 NJU458813:NJV458814 MZY458813:MZZ458814 MQC458813:MQD458814 MGG458813:MGH458814 LWK458813:LWL458814 LMO458813:LMP458814 LCS458813:LCT458814 KSW458813:KSX458814 KJA458813:KJB458814 JZE458813:JZF458814 JPI458813:JPJ458814 JFM458813:JFN458814 IVQ458813:IVR458814 ILU458813:ILV458814 IBY458813:IBZ458814 HSC458813:HSD458814 HIG458813:HIH458814 GYK458813:GYL458814 GOO458813:GOP458814 GES458813:GET458814 FUW458813:FUX458814 FLA458813:FLB458814 FBE458813:FBF458814 ERI458813:ERJ458814 EHM458813:EHN458814 DXQ458813:DXR458814 DNU458813:DNV458814 DDY458813:DDZ458814 CUC458813:CUD458814 CKG458813:CKH458814 CAK458813:CAL458814 BQO458813:BQP458814 BGS458813:BGT458814 AWW458813:AWX458814 ANA458813:ANB458814 ADE458813:ADF458814 TI458813:TJ458814 JM458813:JN458814 Q458813:R458814 WVY393277:WVZ393278 WMC393277:WMD393278 WCG393277:WCH393278 VSK393277:VSL393278 VIO393277:VIP393278 UYS393277:UYT393278 UOW393277:UOX393278 UFA393277:UFB393278 TVE393277:TVF393278 TLI393277:TLJ393278 TBM393277:TBN393278 SRQ393277:SRR393278 SHU393277:SHV393278 RXY393277:RXZ393278 ROC393277:ROD393278 REG393277:REH393278 QUK393277:QUL393278 QKO393277:QKP393278 QAS393277:QAT393278 PQW393277:PQX393278 PHA393277:PHB393278 OXE393277:OXF393278 ONI393277:ONJ393278 ODM393277:ODN393278 NTQ393277:NTR393278 NJU393277:NJV393278 MZY393277:MZZ393278 MQC393277:MQD393278 MGG393277:MGH393278 LWK393277:LWL393278 LMO393277:LMP393278 LCS393277:LCT393278 KSW393277:KSX393278 KJA393277:KJB393278 JZE393277:JZF393278 JPI393277:JPJ393278 JFM393277:JFN393278 IVQ393277:IVR393278 ILU393277:ILV393278 IBY393277:IBZ393278 HSC393277:HSD393278 HIG393277:HIH393278 GYK393277:GYL393278 GOO393277:GOP393278 GES393277:GET393278 FUW393277:FUX393278 FLA393277:FLB393278 FBE393277:FBF393278 ERI393277:ERJ393278 EHM393277:EHN393278 DXQ393277:DXR393278 DNU393277:DNV393278 DDY393277:DDZ393278 CUC393277:CUD393278 CKG393277:CKH393278 CAK393277:CAL393278 BQO393277:BQP393278 BGS393277:BGT393278 AWW393277:AWX393278 ANA393277:ANB393278 ADE393277:ADF393278 TI393277:TJ393278 JM393277:JN393278 Q393277:R393278 WVY327741:WVZ327742 WMC327741:WMD327742 WCG327741:WCH327742 VSK327741:VSL327742 VIO327741:VIP327742 UYS327741:UYT327742 UOW327741:UOX327742 UFA327741:UFB327742 TVE327741:TVF327742 TLI327741:TLJ327742 TBM327741:TBN327742 SRQ327741:SRR327742 SHU327741:SHV327742 RXY327741:RXZ327742 ROC327741:ROD327742 REG327741:REH327742 QUK327741:QUL327742 QKO327741:QKP327742 QAS327741:QAT327742 PQW327741:PQX327742 PHA327741:PHB327742 OXE327741:OXF327742 ONI327741:ONJ327742 ODM327741:ODN327742 NTQ327741:NTR327742 NJU327741:NJV327742 MZY327741:MZZ327742 MQC327741:MQD327742 MGG327741:MGH327742 LWK327741:LWL327742 LMO327741:LMP327742 LCS327741:LCT327742 KSW327741:KSX327742 KJA327741:KJB327742 JZE327741:JZF327742 JPI327741:JPJ327742 JFM327741:JFN327742 IVQ327741:IVR327742 ILU327741:ILV327742 IBY327741:IBZ327742 HSC327741:HSD327742 HIG327741:HIH327742 GYK327741:GYL327742 GOO327741:GOP327742 GES327741:GET327742 FUW327741:FUX327742 FLA327741:FLB327742 FBE327741:FBF327742 ERI327741:ERJ327742 EHM327741:EHN327742 DXQ327741:DXR327742 DNU327741:DNV327742 DDY327741:DDZ327742 CUC327741:CUD327742 CKG327741:CKH327742 CAK327741:CAL327742 BQO327741:BQP327742 BGS327741:BGT327742 AWW327741:AWX327742 ANA327741:ANB327742 ADE327741:ADF327742 TI327741:TJ327742 JM327741:JN327742 Q327741:R327742 WVY262205:WVZ262206 WMC262205:WMD262206 WCG262205:WCH262206 VSK262205:VSL262206 VIO262205:VIP262206 UYS262205:UYT262206 UOW262205:UOX262206 UFA262205:UFB262206 TVE262205:TVF262206 TLI262205:TLJ262206 TBM262205:TBN262206 SRQ262205:SRR262206 SHU262205:SHV262206 RXY262205:RXZ262206 ROC262205:ROD262206 REG262205:REH262206 QUK262205:QUL262206 QKO262205:QKP262206 QAS262205:QAT262206 PQW262205:PQX262206 PHA262205:PHB262206 OXE262205:OXF262206 ONI262205:ONJ262206 ODM262205:ODN262206 NTQ262205:NTR262206 NJU262205:NJV262206 MZY262205:MZZ262206 MQC262205:MQD262206 MGG262205:MGH262206 LWK262205:LWL262206 LMO262205:LMP262206 LCS262205:LCT262206 KSW262205:KSX262206 KJA262205:KJB262206 JZE262205:JZF262206 JPI262205:JPJ262206 JFM262205:JFN262206 IVQ262205:IVR262206 ILU262205:ILV262206 IBY262205:IBZ262206 HSC262205:HSD262206 HIG262205:HIH262206 GYK262205:GYL262206 GOO262205:GOP262206 GES262205:GET262206 FUW262205:FUX262206 FLA262205:FLB262206 FBE262205:FBF262206 ERI262205:ERJ262206 EHM262205:EHN262206 DXQ262205:DXR262206 DNU262205:DNV262206 DDY262205:DDZ262206 CUC262205:CUD262206 CKG262205:CKH262206 CAK262205:CAL262206 BQO262205:BQP262206 BGS262205:BGT262206 AWW262205:AWX262206 ANA262205:ANB262206 ADE262205:ADF262206 TI262205:TJ262206 JM262205:JN262206 Q262205:R262206 WVY196669:WVZ196670 WMC196669:WMD196670 WCG196669:WCH196670 VSK196669:VSL196670 VIO196669:VIP196670 UYS196669:UYT196670 UOW196669:UOX196670 UFA196669:UFB196670 TVE196669:TVF196670 TLI196669:TLJ196670 TBM196669:TBN196670 SRQ196669:SRR196670 SHU196669:SHV196670 RXY196669:RXZ196670 ROC196669:ROD196670 REG196669:REH196670 QUK196669:QUL196670 QKO196669:QKP196670 QAS196669:QAT196670 PQW196669:PQX196670 PHA196669:PHB196670 OXE196669:OXF196670 ONI196669:ONJ196670 ODM196669:ODN196670 NTQ196669:NTR196670 NJU196669:NJV196670 MZY196669:MZZ196670 MQC196669:MQD196670 MGG196669:MGH196670 LWK196669:LWL196670 LMO196669:LMP196670 LCS196669:LCT196670 KSW196669:KSX196670 KJA196669:KJB196670 JZE196669:JZF196670 JPI196669:JPJ196670 JFM196669:JFN196670 IVQ196669:IVR196670 ILU196669:ILV196670 IBY196669:IBZ196670 HSC196669:HSD196670 HIG196669:HIH196670 GYK196669:GYL196670 GOO196669:GOP196670 GES196669:GET196670 FUW196669:FUX196670 FLA196669:FLB196670 FBE196669:FBF196670 ERI196669:ERJ196670 EHM196669:EHN196670 DXQ196669:DXR196670 DNU196669:DNV196670 DDY196669:DDZ196670 CUC196669:CUD196670 CKG196669:CKH196670 CAK196669:CAL196670 BQO196669:BQP196670 BGS196669:BGT196670 AWW196669:AWX196670 ANA196669:ANB196670 ADE196669:ADF196670 TI196669:TJ196670 JM196669:JN196670 Q196669:R196670 WVY131133:WVZ131134 WMC131133:WMD131134 WCG131133:WCH131134 VSK131133:VSL131134 VIO131133:VIP131134 UYS131133:UYT131134 UOW131133:UOX131134 UFA131133:UFB131134 TVE131133:TVF131134 TLI131133:TLJ131134 TBM131133:TBN131134 SRQ131133:SRR131134 SHU131133:SHV131134 RXY131133:RXZ131134 ROC131133:ROD131134 REG131133:REH131134 QUK131133:QUL131134 QKO131133:QKP131134 QAS131133:QAT131134 PQW131133:PQX131134 PHA131133:PHB131134 OXE131133:OXF131134 ONI131133:ONJ131134 ODM131133:ODN131134 NTQ131133:NTR131134 NJU131133:NJV131134 MZY131133:MZZ131134 MQC131133:MQD131134 MGG131133:MGH131134 LWK131133:LWL131134 LMO131133:LMP131134 LCS131133:LCT131134 KSW131133:KSX131134 KJA131133:KJB131134 JZE131133:JZF131134 JPI131133:JPJ131134 JFM131133:JFN131134 IVQ131133:IVR131134 ILU131133:ILV131134 IBY131133:IBZ131134 HSC131133:HSD131134 HIG131133:HIH131134 GYK131133:GYL131134 GOO131133:GOP131134 GES131133:GET131134 FUW131133:FUX131134 FLA131133:FLB131134 FBE131133:FBF131134 ERI131133:ERJ131134 EHM131133:EHN131134 DXQ131133:DXR131134 DNU131133:DNV131134 DDY131133:DDZ131134 CUC131133:CUD131134 CKG131133:CKH131134 CAK131133:CAL131134 BQO131133:BQP131134 BGS131133:BGT131134 AWW131133:AWX131134 ANA131133:ANB131134 ADE131133:ADF131134 TI131133:TJ131134 JM131133:JN131134 Q131133:R131134 WVY65597:WVZ65598 WMC65597:WMD65598 WCG65597:WCH65598 VSK65597:VSL65598 VIO65597:VIP65598 UYS65597:UYT65598 UOW65597:UOX65598 UFA65597:UFB65598 TVE65597:TVF65598 TLI65597:TLJ65598 TBM65597:TBN65598 SRQ65597:SRR65598 SHU65597:SHV65598 RXY65597:RXZ65598 ROC65597:ROD65598 REG65597:REH65598 QUK65597:QUL65598 QKO65597:QKP65598 QAS65597:QAT65598 PQW65597:PQX65598 PHA65597:PHB65598 OXE65597:OXF65598 ONI65597:ONJ65598 ODM65597:ODN65598 NTQ65597:NTR65598 NJU65597:NJV65598 MZY65597:MZZ65598 MQC65597:MQD65598 MGG65597:MGH65598 LWK65597:LWL65598 LMO65597:LMP65598 LCS65597:LCT65598 KSW65597:KSX65598 KJA65597:KJB65598 JZE65597:JZF65598 JPI65597:JPJ65598 JFM65597:JFN65598 IVQ65597:IVR65598 ILU65597:ILV65598 IBY65597:IBZ65598 HSC65597:HSD65598 HIG65597:HIH65598 GYK65597:GYL65598 GOO65597:GOP65598 GES65597:GET65598 FUW65597:FUX65598 FLA65597:FLB65598 FBE65597:FBF65598 ERI65597:ERJ65598 EHM65597:EHN65598 DXQ65597:DXR65598 DNU65597:DNV65598 DDY65597:DDZ65598 CUC65597:CUD65598 CKG65597:CKH65598 CAK65597:CAL65598 BQO65597:BQP65598 BGS65597:BGT65598 AWW65597:AWX65598 ANA65597:ANB65598 ADE65597:ADF65598 TI65597:TJ65598 JM65597:JN65598 Q65597:R65598 WVY40:WVZ41 WMC40:WMD41 WCG40:WCH41 VSK40:VSL41 VIO40:VIP41 UYS40:UYT41 UOW40:UOX41 UFA40:UFB41 TVE40:TVF41 TLI40:TLJ41 TBM40:TBN41 SRQ40:SRR41 SHU40:SHV41 RXY40:RXZ41 ROC40:ROD41 REG40:REH41 QUK40:QUL41 QKO40:QKP41 QAS40:QAT41 PQW40:PQX41 PHA40:PHB41 OXE40:OXF41 ONI40:ONJ41 ODM40:ODN41 NTQ40:NTR41 NJU40:NJV41 MZY40:MZZ41 MQC40:MQD41 MGG40:MGH41 LWK40:LWL41 LMO40:LMP41 LCS40:LCT41 KSW40:KSX41 KJA40:KJB41 JZE40:JZF41 JPI40:JPJ41 JFM40:JFN41 IVQ40:IVR41 ILU40:ILV41 IBY40:IBZ41 HSC40:HSD41 HIG40:HIH41 GYK40:GYL41 GOO40:GOP41 GES40:GET41 FUW40:FUX41 FLA40:FLB41 FBE40:FBF41 ERI40:ERJ41 EHM40:EHN41 DXQ40:DXR41 DNU40:DNV41 DDY40:DDZ41 CUC40:CUD41 CKG40:CKH41 CAK40:CAL41 BQO40:BQP41 BGS40:BGT41 AWW40:AWX41 ANA40:ANB41 ADE40:ADF41 TI40:TJ41 JM40:JN41">
      <formula1>$V$159:$V$179</formula1>
    </dataValidation>
    <dataValidation type="list" allowBlank="1" showInputMessage="1" showErrorMessage="1" sqref="WVY983099:WVZ983100 WMC983099:WMD983100 WCG983099:WCH983100 VSK983099:VSL983100 VIO983099:VIP983100 UYS983099:UYT983100 UOW983099:UOX983100 UFA983099:UFB983100 TVE983099:TVF983100 TLI983099:TLJ983100 TBM983099:TBN983100 SRQ983099:SRR983100 SHU983099:SHV983100 RXY983099:RXZ983100 ROC983099:ROD983100 REG983099:REH983100 QUK983099:QUL983100 QKO983099:QKP983100 QAS983099:QAT983100 PQW983099:PQX983100 PHA983099:PHB983100 OXE983099:OXF983100 ONI983099:ONJ983100 ODM983099:ODN983100 NTQ983099:NTR983100 NJU983099:NJV983100 MZY983099:MZZ983100 MQC983099:MQD983100 MGG983099:MGH983100 LWK983099:LWL983100 LMO983099:LMP983100 LCS983099:LCT983100 KSW983099:KSX983100 KJA983099:KJB983100 JZE983099:JZF983100 JPI983099:JPJ983100 JFM983099:JFN983100 IVQ983099:IVR983100 ILU983099:ILV983100 IBY983099:IBZ983100 HSC983099:HSD983100 HIG983099:HIH983100 GYK983099:GYL983100 GOO983099:GOP983100 GES983099:GET983100 FUW983099:FUX983100 FLA983099:FLB983100 FBE983099:FBF983100 ERI983099:ERJ983100 EHM983099:EHN983100 DXQ983099:DXR983100 DNU983099:DNV983100 DDY983099:DDZ983100 CUC983099:CUD983100 CKG983099:CKH983100 CAK983099:CAL983100 BQO983099:BQP983100 BGS983099:BGT983100 AWW983099:AWX983100 ANA983099:ANB983100 ADE983099:ADF983100 TI983099:TJ983100 JM983099:JN983100 Q983099:R983100 WVY917563:WVZ917564 WMC917563:WMD917564 WCG917563:WCH917564 VSK917563:VSL917564 VIO917563:VIP917564 UYS917563:UYT917564 UOW917563:UOX917564 UFA917563:UFB917564 TVE917563:TVF917564 TLI917563:TLJ917564 TBM917563:TBN917564 SRQ917563:SRR917564 SHU917563:SHV917564 RXY917563:RXZ917564 ROC917563:ROD917564 REG917563:REH917564 QUK917563:QUL917564 QKO917563:QKP917564 QAS917563:QAT917564 PQW917563:PQX917564 PHA917563:PHB917564 OXE917563:OXF917564 ONI917563:ONJ917564 ODM917563:ODN917564 NTQ917563:NTR917564 NJU917563:NJV917564 MZY917563:MZZ917564 MQC917563:MQD917564 MGG917563:MGH917564 LWK917563:LWL917564 LMO917563:LMP917564 LCS917563:LCT917564 KSW917563:KSX917564 KJA917563:KJB917564 JZE917563:JZF917564 JPI917563:JPJ917564 JFM917563:JFN917564 IVQ917563:IVR917564 ILU917563:ILV917564 IBY917563:IBZ917564 HSC917563:HSD917564 HIG917563:HIH917564 GYK917563:GYL917564 GOO917563:GOP917564 GES917563:GET917564 FUW917563:FUX917564 FLA917563:FLB917564 FBE917563:FBF917564 ERI917563:ERJ917564 EHM917563:EHN917564 DXQ917563:DXR917564 DNU917563:DNV917564 DDY917563:DDZ917564 CUC917563:CUD917564 CKG917563:CKH917564 CAK917563:CAL917564 BQO917563:BQP917564 BGS917563:BGT917564 AWW917563:AWX917564 ANA917563:ANB917564 ADE917563:ADF917564 TI917563:TJ917564 JM917563:JN917564 Q917563:R917564 WVY852027:WVZ852028 WMC852027:WMD852028 WCG852027:WCH852028 VSK852027:VSL852028 VIO852027:VIP852028 UYS852027:UYT852028 UOW852027:UOX852028 UFA852027:UFB852028 TVE852027:TVF852028 TLI852027:TLJ852028 TBM852027:TBN852028 SRQ852027:SRR852028 SHU852027:SHV852028 RXY852027:RXZ852028 ROC852027:ROD852028 REG852027:REH852028 QUK852027:QUL852028 QKO852027:QKP852028 QAS852027:QAT852028 PQW852027:PQX852028 PHA852027:PHB852028 OXE852027:OXF852028 ONI852027:ONJ852028 ODM852027:ODN852028 NTQ852027:NTR852028 NJU852027:NJV852028 MZY852027:MZZ852028 MQC852027:MQD852028 MGG852027:MGH852028 LWK852027:LWL852028 LMO852027:LMP852028 LCS852027:LCT852028 KSW852027:KSX852028 KJA852027:KJB852028 JZE852027:JZF852028 JPI852027:JPJ852028 JFM852027:JFN852028 IVQ852027:IVR852028 ILU852027:ILV852028 IBY852027:IBZ852028 HSC852027:HSD852028 HIG852027:HIH852028 GYK852027:GYL852028 GOO852027:GOP852028 GES852027:GET852028 FUW852027:FUX852028 FLA852027:FLB852028 FBE852027:FBF852028 ERI852027:ERJ852028 EHM852027:EHN852028 DXQ852027:DXR852028 DNU852027:DNV852028 DDY852027:DDZ852028 CUC852027:CUD852028 CKG852027:CKH852028 CAK852027:CAL852028 BQO852027:BQP852028 BGS852027:BGT852028 AWW852027:AWX852028 ANA852027:ANB852028 ADE852027:ADF852028 TI852027:TJ852028 JM852027:JN852028 Q852027:R852028 WVY786491:WVZ786492 WMC786491:WMD786492 WCG786491:WCH786492 VSK786491:VSL786492 VIO786491:VIP786492 UYS786491:UYT786492 UOW786491:UOX786492 UFA786491:UFB786492 TVE786491:TVF786492 TLI786491:TLJ786492 TBM786491:TBN786492 SRQ786491:SRR786492 SHU786491:SHV786492 RXY786491:RXZ786492 ROC786491:ROD786492 REG786491:REH786492 QUK786491:QUL786492 QKO786491:QKP786492 QAS786491:QAT786492 PQW786491:PQX786492 PHA786491:PHB786492 OXE786491:OXF786492 ONI786491:ONJ786492 ODM786491:ODN786492 NTQ786491:NTR786492 NJU786491:NJV786492 MZY786491:MZZ786492 MQC786491:MQD786492 MGG786491:MGH786492 LWK786491:LWL786492 LMO786491:LMP786492 LCS786491:LCT786492 KSW786491:KSX786492 KJA786491:KJB786492 JZE786491:JZF786492 JPI786491:JPJ786492 JFM786491:JFN786492 IVQ786491:IVR786492 ILU786491:ILV786492 IBY786491:IBZ786492 HSC786491:HSD786492 HIG786491:HIH786492 GYK786491:GYL786492 GOO786491:GOP786492 GES786491:GET786492 FUW786491:FUX786492 FLA786491:FLB786492 FBE786491:FBF786492 ERI786491:ERJ786492 EHM786491:EHN786492 DXQ786491:DXR786492 DNU786491:DNV786492 DDY786491:DDZ786492 CUC786491:CUD786492 CKG786491:CKH786492 CAK786491:CAL786492 BQO786491:BQP786492 BGS786491:BGT786492 AWW786491:AWX786492 ANA786491:ANB786492 ADE786491:ADF786492 TI786491:TJ786492 JM786491:JN786492 Q786491:R786492 WVY720955:WVZ720956 WMC720955:WMD720956 WCG720955:WCH720956 VSK720955:VSL720956 VIO720955:VIP720956 UYS720955:UYT720956 UOW720955:UOX720956 UFA720955:UFB720956 TVE720955:TVF720956 TLI720955:TLJ720956 TBM720955:TBN720956 SRQ720955:SRR720956 SHU720955:SHV720956 RXY720955:RXZ720956 ROC720955:ROD720956 REG720955:REH720956 QUK720955:QUL720956 QKO720955:QKP720956 QAS720955:QAT720956 PQW720955:PQX720956 PHA720955:PHB720956 OXE720955:OXF720956 ONI720955:ONJ720956 ODM720955:ODN720956 NTQ720955:NTR720956 NJU720955:NJV720956 MZY720955:MZZ720956 MQC720955:MQD720956 MGG720955:MGH720956 LWK720955:LWL720956 LMO720955:LMP720956 LCS720955:LCT720956 KSW720955:KSX720956 KJA720955:KJB720956 JZE720955:JZF720956 JPI720955:JPJ720956 JFM720955:JFN720956 IVQ720955:IVR720956 ILU720955:ILV720956 IBY720955:IBZ720956 HSC720955:HSD720956 HIG720955:HIH720956 GYK720955:GYL720956 GOO720955:GOP720956 GES720955:GET720956 FUW720955:FUX720956 FLA720955:FLB720956 FBE720955:FBF720956 ERI720955:ERJ720956 EHM720955:EHN720956 DXQ720955:DXR720956 DNU720955:DNV720956 DDY720955:DDZ720956 CUC720955:CUD720956 CKG720955:CKH720956 CAK720955:CAL720956 BQO720955:BQP720956 BGS720955:BGT720956 AWW720955:AWX720956 ANA720955:ANB720956 ADE720955:ADF720956 TI720955:TJ720956 JM720955:JN720956 Q720955:R720956 WVY655419:WVZ655420 WMC655419:WMD655420 WCG655419:WCH655420 VSK655419:VSL655420 VIO655419:VIP655420 UYS655419:UYT655420 UOW655419:UOX655420 UFA655419:UFB655420 TVE655419:TVF655420 TLI655419:TLJ655420 TBM655419:TBN655420 SRQ655419:SRR655420 SHU655419:SHV655420 RXY655419:RXZ655420 ROC655419:ROD655420 REG655419:REH655420 QUK655419:QUL655420 QKO655419:QKP655420 QAS655419:QAT655420 PQW655419:PQX655420 PHA655419:PHB655420 OXE655419:OXF655420 ONI655419:ONJ655420 ODM655419:ODN655420 NTQ655419:NTR655420 NJU655419:NJV655420 MZY655419:MZZ655420 MQC655419:MQD655420 MGG655419:MGH655420 LWK655419:LWL655420 LMO655419:LMP655420 LCS655419:LCT655420 KSW655419:KSX655420 KJA655419:KJB655420 JZE655419:JZF655420 JPI655419:JPJ655420 JFM655419:JFN655420 IVQ655419:IVR655420 ILU655419:ILV655420 IBY655419:IBZ655420 HSC655419:HSD655420 HIG655419:HIH655420 GYK655419:GYL655420 GOO655419:GOP655420 GES655419:GET655420 FUW655419:FUX655420 FLA655419:FLB655420 FBE655419:FBF655420 ERI655419:ERJ655420 EHM655419:EHN655420 DXQ655419:DXR655420 DNU655419:DNV655420 DDY655419:DDZ655420 CUC655419:CUD655420 CKG655419:CKH655420 CAK655419:CAL655420 BQO655419:BQP655420 BGS655419:BGT655420 AWW655419:AWX655420 ANA655419:ANB655420 ADE655419:ADF655420 TI655419:TJ655420 JM655419:JN655420 Q655419:R655420 WVY589883:WVZ589884 WMC589883:WMD589884 WCG589883:WCH589884 VSK589883:VSL589884 VIO589883:VIP589884 UYS589883:UYT589884 UOW589883:UOX589884 UFA589883:UFB589884 TVE589883:TVF589884 TLI589883:TLJ589884 TBM589883:TBN589884 SRQ589883:SRR589884 SHU589883:SHV589884 RXY589883:RXZ589884 ROC589883:ROD589884 REG589883:REH589884 QUK589883:QUL589884 QKO589883:QKP589884 QAS589883:QAT589884 PQW589883:PQX589884 PHA589883:PHB589884 OXE589883:OXF589884 ONI589883:ONJ589884 ODM589883:ODN589884 NTQ589883:NTR589884 NJU589883:NJV589884 MZY589883:MZZ589884 MQC589883:MQD589884 MGG589883:MGH589884 LWK589883:LWL589884 LMO589883:LMP589884 LCS589883:LCT589884 KSW589883:KSX589884 KJA589883:KJB589884 JZE589883:JZF589884 JPI589883:JPJ589884 JFM589883:JFN589884 IVQ589883:IVR589884 ILU589883:ILV589884 IBY589883:IBZ589884 HSC589883:HSD589884 HIG589883:HIH589884 GYK589883:GYL589884 GOO589883:GOP589884 GES589883:GET589884 FUW589883:FUX589884 FLA589883:FLB589884 FBE589883:FBF589884 ERI589883:ERJ589884 EHM589883:EHN589884 DXQ589883:DXR589884 DNU589883:DNV589884 DDY589883:DDZ589884 CUC589883:CUD589884 CKG589883:CKH589884 CAK589883:CAL589884 BQO589883:BQP589884 BGS589883:BGT589884 AWW589883:AWX589884 ANA589883:ANB589884 ADE589883:ADF589884 TI589883:TJ589884 JM589883:JN589884 Q589883:R589884 WVY524347:WVZ524348 WMC524347:WMD524348 WCG524347:WCH524348 VSK524347:VSL524348 VIO524347:VIP524348 UYS524347:UYT524348 UOW524347:UOX524348 UFA524347:UFB524348 TVE524347:TVF524348 TLI524347:TLJ524348 TBM524347:TBN524348 SRQ524347:SRR524348 SHU524347:SHV524348 RXY524347:RXZ524348 ROC524347:ROD524348 REG524347:REH524348 QUK524347:QUL524348 QKO524347:QKP524348 QAS524347:QAT524348 PQW524347:PQX524348 PHA524347:PHB524348 OXE524347:OXF524348 ONI524347:ONJ524348 ODM524347:ODN524348 NTQ524347:NTR524348 NJU524347:NJV524348 MZY524347:MZZ524348 MQC524347:MQD524348 MGG524347:MGH524348 LWK524347:LWL524348 LMO524347:LMP524348 LCS524347:LCT524348 KSW524347:KSX524348 KJA524347:KJB524348 JZE524347:JZF524348 JPI524347:JPJ524348 JFM524347:JFN524348 IVQ524347:IVR524348 ILU524347:ILV524348 IBY524347:IBZ524348 HSC524347:HSD524348 HIG524347:HIH524348 GYK524347:GYL524348 GOO524347:GOP524348 GES524347:GET524348 FUW524347:FUX524348 FLA524347:FLB524348 FBE524347:FBF524348 ERI524347:ERJ524348 EHM524347:EHN524348 DXQ524347:DXR524348 DNU524347:DNV524348 DDY524347:DDZ524348 CUC524347:CUD524348 CKG524347:CKH524348 CAK524347:CAL524348 BQO524347:BQP524348 BGS524347:BGT524348 AWW524347:AWX524348 ANA524347:ANB524348 ADE524347:ADF524348 TI524347:TJ524348 JM524347:JN524348 Q524347:R524348 WVY458811:WVZ458812 WMC458811:WMD458812 WCG458811:WCH458812 VSK458811:VSL458812 VIO458811:VIP458812 UYS458811:UYT458812 UOW458811:UOX458812 UFA458811:UFB458812 TVE458811:TVF458812 TLI458811:TLJ458812 TBM458811:TBN458812 SRQ458811:SRR458812 SHU458811:SHV458812 RXY458811:RXZ458812 ROC458811:ROD458812 REG458811:REH458812 QUK458811:QUL458812 QKO458811:QKP458812 QAS458811:QAT458812 PQW458811:PQX458812 PHA458811:PHB458812 OXE458811:OXF458812 ONI458811:ONJ458812 ODM458811:ODN458812 NTQ458811:NTR458812 NJU458811:NJV458812 MZY458811:MZZ458812 MQC458811:MQD458812 MGG458811:MGH458812 LWK458811:LWL458812 LMO458811:LMP458812 LCS458811:LCT458812 KSW458811:KSX458812 KJA458811:KJB458812 JZE458811:JZF458812 JPI458811:JPJ458812 JFM458811:JFN458812 IVQ458811:IVR458812 ILU458811:ILV458812 IBY458811:IBZ458812 HSC458811:HSD458812 HIG458811:HIH458812 GYK458811:GYL458812 GOO458811:GOP458812 GES458811:GET458812 FUW458811:FUX458812 FLA458811:FLB458812 FBE458811:FBF458812 ERI458811:ERJ458812 EHM458811:EHN458812 DXQ458811:DXR458812 DNU458811:DNV458812 DDY458811:DDZ458812 CUC458811:CUD458812 CKG458811:CKH458812 CAK458811:CAL458812 BQO458811:BQP458812 BGS458811:BGT458812 AWW458811:AWX458812 ANA458811:ANB458812 ADE458811:ADF458812 TI458811:TJ458812 JM458811:JN458812 Q458811:R458812 WVY393275:WVZ393276 WMC393275:WMD393276 WCG393275:WCH393276 VSK393275:VSL393276 VIO393275:VIP393276 UYS393275:UYT393276 UOW393275:UOX393276 UFA393275:UFB393276 TVE393275:TVF393276 TLI393275:TLJ393276 TBM393275:TBN393276 SRQ393275:SRR393276 SHU393275:SHV393276 RXY393275:RXZ393276 ROC393275:ROD393276 REG393275:REH393276 QUK393275:QUL393276 QKO393275:QKP393276 QAS393275:QAT393276 PQW393275:PQX393276 PHA393275:PHB393276 OXE393275:OXF393276 ONI393275:ONJ393276 ODM393275:ODN393276 NTQ393275:NTR393276 NJU393275:NJV393276 MZY393275:MZZ393276 MQC393275:MQD393276 MGG393275:MGH393276 LWK393275:LWL393276 LMO393275:LMP393276 LCS393275:LCT393276 KSW393275:KSX393276 KJA393275:KJB393276 JZE393275:JZF393276 JPI393275:JPJ393276 JFM393275:JFN393276 IVQ393275:IVR393276 ILU393275:ILV393276 IBY393275:IBZ393276 HSC393275:HSD393276 HIG393275:HIH393276 GYK393275:GYL393276 GOO393275:GOP393276 GES393275:GET393276 FUW393275:FUX393276 FLA393275:FLB393276 FBE393275:FBF393276 ERI393275:ERJ393276 EHM393275:EHN393276 DXQ393275:DXR393276 DNU393275:DNV393276 DDY393275:DDZ393276 CUC393275:CUD393276 CKG393275:CKH393276 CAK393275:CAL393276 BQO393275:BQP393276 BGS393275:BGT393276 AWW393275:AWX393276 ANA393275:ANB393276 ADE393275:ADF393276 TI393275:TJ393276 JM393275:JN393276 Q393275:R393276 WVY327739:WVZ327740 WMC327739:WMD327740 WCG327739:WCH327740 VSK327739:VSL327740 VIO327739:VIP327740 UYS327739:UYT327740 UOW327739:UOX327740 UFA327739:UFB327740 TVE327739:TVF327740 TLI327739:TLJ327740 TBM327739:TBN327740 SRQ327739:SRR327740 SHU327739:SHV327740 RXY327739:RXZ327740 ROC327739:ROD327740 REG327739:REH327740 QUK327739:QUL327740 QKO327739:QKP327740 QAS327739:QAT327740 PQW327739:PQX327740 PHA327739:PHB327740 OXE327739:OXF327740 ONI327739:ONJ327740 ODM327739:ODN327740 NTQ327739:NTR327740 NJU327739:NJV327740 MZY327739:MZZ327740 MQC327739:MQD327740 MGG327739:MGH327740 LWK327739:LWL327740 LMO327739:LMP327740 LCS327739:LCT327740 KSW327739:KSX327740 KJA327739:KJB327740 JZE327739:JZF327740 JPI327739:JPJ327740 JFM327739:JFN327740 IVQ327739:IVR327740 ILU327739:ILV327740 IBY327739:IBZ327740 HSC327739:HSD327740 HIG327739:HIH327740 GYK327739:GYL327740 GOO327739:GOP327740 GES327739:GET327740 FUW327739:FUX327740 FLA327739:FLB327740 FBE327739:FBF327740 ERI327739:ERJ327740 EHM327739:EHN327740 DXQ327739:DXR327740 DNU327739:DNV327740 DDY327739:DDZ327740 CUC327739:CUD327740 CKG327739:CKH327740 CAK327739:CAL327740 BQO327739:BQP327740 BGS327739:BGT327740 AWW327739:AWX327740 ANA327739:ANB327740 ADE327739:ADF327740 TI327739:TJ327740 JM327739:JN327740 Q327739:R327740 WVY262203:WVZ262204 WMC262203:WMD262204 WCG262203:WCH262204 VSK262203:VSL262204 VIO262203:VIP262204 UYS262203:UYT262204 UOW262203:UOX262204 UFA262203:UFB262204 TVE262203:TVF262204 TLI262203:TLJ262204 TBM262203:TBN262204 SRQ262203:SRR262204 SHU262203:SHV262204 RXY262203:RXZ262204 ROC262203:ROD262204 REG262203:REH262204 QUK262203:QUL262204 QKO262203:QKP262204 QAS262203:QAT262204 PQW262203:PQX262204 PHA262203:PHB262204 OXE262203:OXF262204 ONI262203:ONJ262204 ODM262203:ODN262204 NTQ262203:NTR262204 NJU262203:NJV262204 MZY262203:MZZ262204 MQC262203:MQD262204 MGG262203:MGH262204 LWK262203:LWL262204 LMO262203:LMP262204 LCS262203:LCT262204 KSW262203:KSX262204 KJA262203:KJB262204 JZE262203:JZF262204 JPI262203:JPJ262204 JFM262203:JFN262204 IVQ262203:IVR262204 ILU262203:ILV262204 IBY262203:IBZ262204 HSC262203:HSD262204 HIG262203:HIH262204 GYK262203:GYL262204 GOO262203:GOP262204 GES262203:GET262204 FUW262203:FUX262204 FLA262203:FLB262204 FBE262203:FBF262204 ERI262203:ERJ262204 EHM262203:EHN262204 DXQ262203:DXR262204 DNU262203:DNV262204 DDY262203:DDZ262204 CUC262203:CUD262204 CKG262203:CKH262204 CAK262203:CAL262204 BQO262203:BQP262204 BGS262203:BGT262204 AWW262203:AWX262204 ANA262203:ANB262204 ADE262203:ADF262204 TI262203:TJ262204 JM262203:JN262204 Q262203:R262204 WVY196667:WVZ196668 WMC196667:WMD196668 WCG196667:WCH196668 VSK196667:VSL196668 VIO196667:VIP196668 UYS196667:UYT196668 UOW196667:UOX196668 UFA196667:UFB196668 TVE196667:TVF196668 TLI196667:TLJ196668 TBM196667:TBN196668 SRQ196667:SRR196668 SHU196667:SHV196668 RXY196667:RXZ196668 ROC196667:ROD196668 REG196667:REH196668 QUK196667:QUL196668 QKO196667:QKP196668 QAS196667:QAT196668 PQW196667:PQX196668 PHA196667:PHB196668 OXE196667:OXF196668 ONI196667:ONJ196668 ODM196667:ODN196668 NTQ196667:NTR196668 NJU196667:NJV196668 MZY196667:MZZ196668 MQC196667:MQD196668 MGG196667:MGH196668 LWK196667:LWL196668 LMO196667:LMP196668 LCS196667:LCT196668 KSW196667:KSX196668 KJA196667:KJB196668 JZE196667:JZF196668 JPI196667:JPJ196668 JFM196667:JFN196668 IVQ196667:IVR196668 ILU196667:ILV196668 IBY196667:IBZ196668 HSC196667:HSD196668 HIG196667:HIH196668 GYK196667:GYL196668 GOO196667:GOP196668 GES196667:GET196668 FUW196667:FUX196668 FLA196667:FLB196668 FBE196667:FBF196668 ERI196667:ERJ196668 EHM196667:EHN196668 DXQ196667:DXR196668 DNU196667:DNV196668 DDY196667:DDZ196668 CUC196667:CUD196668 CKG196667:CKH196668 CAK196667:CAL196668 BQO196667:BQP196668 BGS196667:BGT196668 AWW196667:AWX196668 ANA196667:ANB196668 ADE196667:ADF196668 TI196667:TJ196668 JM196667:JN196668 Q196667:R196668 WVY131131:WVZ131132 WMC131131:WMD131132 WCG131131:WCH131132 VSK131131:VSL131132 VIO131131:VIP131132 UYS131131:UYT131132 UOW131131:UOX131132 UFA131131:UFB131132 TVE131131:TVF131132 TLI131131:TLJ131132 TBM131131:TBN131132 SRQ131131:SRR131132 SHU131131:SHV131132 RXY131131:RXZ131132 ROC131131:ROD131132 REG131131:REH131132 QUK131131:QUL131132 QKO131131:QKP131132 QAS131131:QAT131132 PQW131131:PQX131132 PHA131131:PHB131132 OXE131131:OXF131132 ONI131131:ONJ131132 ODM131131:ODN131132 NTQ131131:NTR131132 NJU131131:NJV131132 MZY131131:MZZ131132 MQC131131:MQD131132 MGG131131:MGH131132 LWK131131:LWL131132 LMO131131:LMP131132 LCS131131:LCT131132 KSW131131:KSX131132 KJA131131:KJB131132 JZE131131:JZF131132 JPI131131:JPJ131132 JFM131131:JFN131132 IVQ131131:IVR131132 ILU131131:ILV131132 IBY131131:IBZ131132 HSC131131:HSD131132 HIG131131:HIH131132 GYK131131:GYL131132 GOO131131:GOP131132 GES131131:GET131132 FUW131131:FUX131132 FLA131131:FLB131132 FBE131131:FBF131132 ERI131131:ERJ131132 EHM131131:EHN131132 DXQ131131:DXR131132 DNU131131:DNV131132 DDY131131:DDZ131132 CUC131131:CUD131132 CKG131131:CKH131132 CAK131131:CAL131132 BQO131131:BQP131132 BGS131131:BGT131132 AWW131131:AWX131132 ANA131131:ANB131132 ADE131131:ADF131132 TI131131:TJ131132 JM131131:JN131132 Q131131:R131132 WVY65595:WVZ65596 WMC65595:WMD65596 WCG65595:WCH65596 VSK65595:VSL65596 VIO65595:VIP65596 UYS65595:UYT65596 UOW65595:UOX65596 UFA65595:UFB65596 TVE65595:TVF65596 TLI65595:TLJ65596 TBM65595:TBN65596 SRQ65595:SRR65596 SHU65595:SHV65596 RXY65595:RXZ65596 ROC65595:ROD65596 REG65595:REH65596 QUK65595:QUL65596 QKO65595:QKP65596 QAS65595:QAT65596 PQW65595:PQX65596 PHA65595:PHB65596 OXE65595:OXF65596 ONI65595:ONJ65596 ODM65595:ODN65596 NTQ65595:NTR65596 NJU65595:NJV65596 MZY65595:MZZ65596 MQC65595:MQD65596 MGG65595:MGH65596 LWK65595:LWL65596 LMO65595:LMP65596 LCS65595:LCT65596 KSW65595:KSX65596 KJA65595:KJB65596 JZE65595:JZF65596 JPI65595:JPJ65596 JFM65595:JFN65596 IVQ65595:IVR65596 ILU65595:ILV65596 IBY65595:IBZ65596 HSC65595:HSD65596 HIG65595:HIH65596 GYK65595:GYL65596 GOO65595:GOP65596 GES65595:GET65596 FUW65595:FUX65596 FLA65595:FLB65596 FBE65595:FBF65596 ERI65595:ERJ65596 EHM65595:EHN65596 DXQ65595:DXR65596 DNU65595:DNV65596 DDY65595:DDZ65596 CUC65595:CUD65596 CKG65595:CKH65596 CAK65595:CAL65596 BQO65595:BQP65596 BGS65595:BGT65596 AWW65595:AWX65596 ANA65595:ANB65596 ADE65595:ADF65596 TI65595:TJ65596 JM65595:JN65596 Q65595:R65596 WVY39:WVZ39 WMC39:WMD39 WCG39:WCH39 VSK39:VSL39 VIO39:VIP39 UYS39:UYT39 UOW39:UOX39 UFA39:UFB39 TVE39:TVF39 TLI39:TLJ39 TBM39:TBN39 SRQ39:SRR39 SHU39:SHV39 RXY39:RXZ39 ROC39:ROD39 REG39:REH39 QUK39:QUL39 QKO39:QKP39 QAS39:QAT39 PQW39:PQX39 PHA39:PHB39 OXE39:OXF39 ONI39:ONJ39 ODM39:ODN39 NTQ39:NTR39 NJU39:NJV39 MZY39:MZZ39 MQC39:MQD39 MGG39:MGH39 LWK39:LWL39 LMO39:LMP39 LCS39:LCT39 KSW39:KSX39 KJA39:KJB39 JZE39:JZF39 JPI39:JPJ39 JFM39:JFN39 IVQ39:IVR39 ILU39:ILV39 IBY39:IBZ39 HSC39:HSD39 HIG39:HIH39 GYK39:GYL39 GOO39:GOP39 GES39:GET39 FUW39:FUX39 FLA39:FLB39 FBE39:FBF39 ERI39:ERJ39 EHM39:EHN39 DXQ39:DXR39 DNU39:DNV39 DDY39:DDZ39 CUC39:CUD39 CKG39:CKH39 CAK39:CAL39 BQO39:BQP39 BGS39:BGT39 AWW39:AWX39 ANA39:ANB39 ADE39:ADF39 TI39:TJ39 JM39:JN39 WVY52:WVZ52 WMC52:WMD52 WCG52:WCH52 VSK52:VSL52 VIO52:VIP52 UYS52:UYT52 UOW52:UOX52 UFA52:UFB52 TVE52:TVF52 TLI52:TLJ52 TBM52:TBN52 SRQ52:SRR52 SHU52:SHV52 RXY52:RXZ52 ROC52:ROD52 REG52:REH52 QUK52:QUL52 QKO52:QKP52 QAS52:QAT52 PQW52:PQX52 PHA52:PHB52 OXE52:OXF52 ONI52:ONJ52 ODM52:ODN52 NTQ52:NTR52 NJU52:NJV52 MZY52:MZZ52 MQC52:MQD52 MGG52:MGH52 LWK52:LWL52 LMO52:LMP52 LCS52:LCT52 KSW52:KSX52 KJA52:KJB52 JZE52:JZF52 JPI52:JPJ52 JFM52:JFN52 IVQ52:IVR52 ILU52:ILV52 IBY52:IBZ52 HSC52:HSD52 HIG52:HIH52 GYK52:GYL52 GOO52:GOP52 GES52:GET52 FUW52:FUX52 FLA52:FLB52 FBE52:FBF52 ERI52:ERJ52 EHM52:EHN52 DXQ52:DXR52 DNU52:DNV52 DDY52:DDZ52 CUC52:CUD52 CKG52:CKH52 CAK52:CAL52 BQO52:BQP52 BGS52:BGT52 AWW52:AWX52 ANA52:ANB52 ADE52:ADF52 TI52:TJ52 JM52:JN52">
      <formula1>$V$126:$V$158</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16"/>
  <sheetViews>
    <sheetView topLeftCell="A16" zoomScale="60" zoomScaleNormal="60" workbookViewId="0">
      <selection activeCell="C57" sqref="C57"/>
    </sheetView>
  </sheetViews>
  <sheetFormatPr baseColWidth="10" defaultRowHeight="15" x14ac:dyDescent="0.25"/>
  <cols>
    <col min="1" max="1" width="51.140625" customWidth="1"/>
    <col min="2" max="2" width="21.85546875" style="1246" customWidth="1"/>
    <col min="3" max="3" width="33.28515625" style="1242" customWidth="1"/>
    <col min="4" max="4" width="18.5703125" customWidth="1"/>
    <col min="11" max="11" width="11.42578125" customWidth="1"/>
  </cols>
  <sheetData>
    <row r="1" spans="1:3" ht="15.75" thickBot="1" x14ac:dyDescent="0.3"/>
    <row r="2" spans="1:3" s="1233" customFormat="1" ht="26.25" x14ac:dyDescent="0.25">
      <c r="A2" s="2014" t="s">
        <v>1416</v>
      </c>
      <c r="B2" s="2015"/>
      <c r="C2" s="2016"/>
    </row>
    <row r="3" spans="1:3" s="1233" customFormat="1" ht="15.75" thickBot="1" x14ac:dyDescent="0.3">
      <c r="A3" s="2017"/>
      <c r="B3" s="2018"/>
      <c r="C3" s="2019"/>
    </row>
    <row r="4" spans="1:3" s="1233" customFormat="1" ht="18" x14ac:dyDescent="0.25">
      <c r="A4" s="1316" t="s">
        <v>1184</v>
      </c>
      <c r="B4" s="1312" t="s">
        <v>1441</v>
      </c>
      <c r="C4" s="1240" t="s">
        <v>1449</v>
      </c>
    </row>
    <row r="5" spans="1:3" x14ac:dyDescent="0.25">
      <c r="A5" s="1265" t="s">
        <v>1335</v>
      </c>
      <c r="B5" s="1267">
        <f>'RESULTADOS HCM'!K19</f>
        <v>60699.432772984619</v>
      </c>
      <c r="C5" s="1241">
        <f>B5/$B$12</f>
        <v>4.053572318761349E-2</v>
      </c>
    </row>
    <row r="6" spans="1:3" x14ac:dyDescent="0.25">
      <c r="A6" s="1265" t="s">
        <v>1394</v>
      </c>
      <c r="B6" s="1267">
        <f>'RESULTADOS HCM'!K26</f>
        <v>1436730.6591777103</v>
      </c>
      <c r="C6" s="1241">
        <f t="shared" ref="C6:C11" si="0">B6/$B$12</f>
        <v>0.95946392964491434</v>
      </c>
    </row>
    <row r="7" spans="1:3" x14ac:dyDescent="0.25">
      <c r="A7" s="1265" t="s">
        <v>1190</v>
      </c>
      <c r="B7" s="1267">
        <f>'RESULTADOS HCM'!K34</f>
        <v>0</v>
      </c>
      <c r="C7" s="1241">
        <f t="shared" si="0"/>
        <v>0</v>
      </c>
    </row>
    <row r="8" spans="1:3" x14ac:dyDescent="0.25">
      <c r="A8" s="1265" t="s">
        <v>1192</v>
      </c>
      <c r="B8" s="1267">
        <f>'RESULTADOS HCM'!K42</f>
        <v>0</v>
      </c>
      <c r="C8" s="1241">
        <f t="shared" si="0"/>
        <v>0</v>
      </c>
    </row>
    <row r="9" spans="1:3" x14ac:dyDescent="0.25">
      <c r="A9" s="1265" t="s">
        <v>1417</v>
      </c>
      <c r="B9" s="1267">
        <f>'RESULTADOS HCM'!K53</f>
        <v>0</v>
      </c>
      <c r="C9" s="1241">
        <f t="shared" si="0"/>
        <v>0</v>
      </c>
    </row>
    <row r="10" spans="1:3" x14ac:dyDescent="0.25">
      <c r="A10" s="1265" t="s">
        <v>1198</v>
      </c>
      <c r="B10" s="1267">
        <f>'RESULTADOS HCM'!K59</f>
        <v>0.51985919999999997</v>
      </c>
      <c r="C10" s="1241">
        <f t="shared" si="0"/>
        <v>3.4716747200169978E-7</v>
      </c>
    </row>
    <row r="11" spans="1:3" x14ac:dyDescent="0.25">
      <c r="A11" s="1265" t="s">
        <v>1418</v>
      </c>
      <c r="B11" s="1267">
        <f>'RESULTADOS HCM'!K68</f>
        <v>0</v>
      </c>
      <c r="C11" s="1241">
        <f t="shared" si="0"/>
        <v>0</v>
      </c>
    </row>
    <row r="12" spans="1:3" ht="15.75" thickBot="1" x14ac:dyDescent="0.3">
      <c r="A12" s="1317" t="s">
        <v>1419</v>
      </c>
      <c r="B12" s="1313">
        <f>SUM(B5:B11)</f>
        <v>1497430.6118098951</v>
      </c>
      <c r="C12" s="1253">
        <f>B12/$B$12</f>
        <v>1</v>
      </c>
    </row>
    <row r="13" spans="1:3" x14ac:dyDescent="0.25">
      <c r="A13" s="1264" t="s">
        <v>1359</v>
      </c>
      <c r="B13" s="1314">
        <f>-'RESULTADOS HCM'!K76</f>
        <v>0</v>
      </c>
      <c r="C13" s="1254">
        <f>B13/$B$12</f>
        <v>0</v>
      </c>
    </row>
    <row r="14" spans="1:3" ht="15.75" thickBot="1" x14ac:dyDescent="0.3">
      <c r="A14" s="1317" t="s">
        <v>1420</v>
      </c>
      <c r="B14" s="1313">
        <f>B13</f>
        <v>0</v>
      </c>
      <c r="C14" s="1253">
        <f>B14/$B$12</f>
        <v>0</v>
      </c>
    </row>
    <row r="15" spans="1:3" ht="27" thickBot="1" x14ac:dyDescent="0.3">
      <c r="A15" s="1318" t="s">
        <v>1421</v>
      </c>
      <c r="B15" s="1315">
        <f>B12+B14</f>
        <v>1497430.6118098951</v>
      </c>
      <c r="C15" s="1255">
        <f>B15/$B$12</f>
        <v>1</v>
      </c>
    </row>
    <row r="17" spans="1:3" ht="15.75" thickBot="1" x14ac:dyDescent="0.3"/>
    <row r="18" spans="1:3" ht="26.25" x14ac:dyDescent="0.25">
      <c r="A18" s="2026" t="s">
        <v>1422</v>
      </c>
      <c r="B18" s="2027"/>
      <c r="C18" s="2028"/>
    </row>
    <row r="19" spans="1:3" ht="15.75" thickBot="1" x14ac:dyDescent="0.3">
      <c r="A19" s="2017"/>
      <c r="B19" s="2018"/>
      <c r="C19" s="2019"/>
    </row>
    <row r="20" spans="1:3" ht="18" x14ac:dyDescent="0.25">
      <c r="A20" s="1308" t="s">
        <v>174</v>
      </c>
      <c r="B20" s="1304" t="s">
        <v>1441</v>
      </c>
      <c r="C20" s="1248" t="s">
        <v>1449</v>
      </c>
    </row>
    <row r="21" spans="1:3" x14ac:dyDescent="0.25">
      <c r="A21" s="1265" t="s">
        <v>23</v>
      </c>
      <c r="B21" s="1267">
        <f>'RESULTADOS HCM'!K16+'RESULTADOS HCM'!K23+'RESULTADOS HCM'!K30+'RESULTADOS HCM'!K39+'RESULTADOS HCM'!K52+'RESULTADOS HCM'!K56+'RESULTADOS HCM'!K67</f>
        <v>1462726.919821895</v>
      </c>
      <c r="C21" s="1241">
        <f>B21/$B$24</f>
        <v>0.97682450745009497</v>
      </c>
    </row>
    <row r="22" spans="1:3" x14ac:dyDescent="0.25">
      <c r="A22" s="1265" t="s">
        <v>65</v>
      </c>
      <c r="B22" s="1267">
        <f>'RESULTADOS HCM'!K18+'RESULTADOS HCM'!K25+'RESULTADOS HCM'!K41</f>
        <v>34703.691988000006</v>
      </c>
      <c r="C22" s="1241">
        <f t="shared" ref="C22:C27" si="1">B22/$B$24</f>
        <v>2.3175492549905068E-2</v>
      </c>
    </row>
    <row r="23" spans="1:3" x14ac:dyDescent="0.25">
      <c r="A23" s="1265" t="s">
        <v>1343</v>
      </c>
      <c r="B23" s="1267">
        <f>'RESULTADOS HCM'!K33+'RESULTADOS HCM'!K58</f>
        <v>0</v>
      </c>
      <c r="C23" s="1241">
        <f t="shared" si="1"/>
        <v>0</v>
      </c>
    </row>
    <row r="24" spans="1:3" ht="15.75" thickBot="1" x14ac:dyDescent="0.3">
      <c r="A24" s="1309" t="s">
        <v>1419</v>
      </c>
      <c r="B24" s="1305">
        <f>SUM(B21:B23)</f>
        <v>1497430.6118098949</v>
      </c>
      <c r="C24" s="1249">
        <f t="shared" si="1"/>
        <v>1</v>
      </c>
    </row>
    <row r="25" spans="1:3" x14ac:dyDescent="0.25">
      <c r="A25" s="1264" t="s">
        <v>1359</v>
      </c>
      <c r="B25" s="1294">
        <f>B13</f>
        <v>0</v>
      </c>
      <c r="C25" s="1250">
        <f t="shared" si="1"/>
        <v>0</v>
      </c>
    </row>
    <row r="26" spans="1:3" ht="15.75" thickBot="1" x14ac:dyDescent="0.3">
      <c r="A26" s="1310" t="s">
        <v>1420</v>
      </c>
      <c r="B26" s="1306">
        <f>B25</f>
        <v>0</v>
      </c>
      <c r="C26" s="1251">
        <f t="shared" si="1"/>
        <v>0</v>
      </c>
    </row>
    <row r="27" spans="1:3" ht="27" thickBot="1" x14ac:dyDescent="0.3">
      <c r="A27" s="1311" t="s">
        <v>1421</v>
      </c>
      <c r="B27" s="1307">
        <f>B24+B26</f>
        <v>1497430.6118098949</v>
      </c>
      <c r="C27" s="1252">
        <f t="shared" si="1"/>
        <v>1</v>
      </c>
    </row>
    <row r="29" spans="1:3" s="3" customFormat="1" x14ac:dyDescent="0.25">
      <c r="B29" s="1246"/>
      <c r="C29" s="1242"/>
    </row>
    <row r="30" spans="1:3" s="3" customFormat="1" x14ac:dyDescent="0.25">
      <c r="B30" s="1246"/>
      <c r="C30" s="1242"/>
    </row>
    <row r="31" spans="1:3" s="3" customFormat="1" x14ac:dyDescent="0.25">
      <c r="B31" s="1246"/>
      <c r="C31" s="1242"/>
    </row>
    <row r="32" spans="1:3" ht="15.75" thickBot="1" x14ac:dyDescent="0.3"/>
    <row r="33" spans="1:3" ht="26.25" x14ac:dyDescent="0.25">
      <c r="A33" s="2029" t="s">
        <v>1423</v>
      </c>
      <c r="B33" s="2030"/>
      <c r="C33" s="2031"/>
    </row>
    <row r="34" spans="1:3" ht="15.75" thickBot="1" x14ac:dyDescent="0.3">
      <c r="A34" s="2017"/>
      <c r="B34" s="2018"/>
      <c r="C34" s="2019"/>
    </row>
    <row r="35" spans="1:3" ht="18" x14ac:dyDescent="0.25">
      <c r="A35" s="1301" t="s">
        <v>307</v>
      </c>
      <c r="B35" s="1298" t="s">
        <v>1441</v>
      </c>
      <c r="C35" s="1256" t="s">
        <v>1449</v>
      </c>
    </row>
    <row r="36" spans="1:3" ht="18" x14ac:dyDescent="0.35">
      <c r="A36" s="1265" t="s">
        <v>1425</v>
      </c>
      <c r="B36" s="1267">
        <f>'RESULTADOS HCM'!F69</f>
        <v>1494512.3663300523</v>
      </c>
      <c r="C36" s="1241">
        <f>B36/$B$42</f>
        <v>0.99805116480401368</v>
      </c>
    </row>
    <row r="37" spans="1:3" ht="18" x14ac:dyDescent="0.35">
      <c r="A37" s="1265" t="s">
        <v>1426</v>
      </c>
      <c r="B37" s="1267">
        <f>'RESULTADOS HCM'!G69</f>
        <v>733.06318385064799</v>
      </c>
      <c r="C37" s="1241">
        <f t="shared" ref="C37:C45" si="2">B37/$B$42</f>
        <v>4.895473473489492E-4</v>
      </c>
    </row>
    <row r="38" spans="1:3" ht="18" x14ac:dyDescent="0.35">
      <c r="A38" s="1265" t="s">
        <v>166</v>
      </c>
      <c r="B38" s="1267">
        <f>'RESULTADOS HCM'!H69</f>
        <v>796.03722599178127</v>
      </c>
      <c r="C38" s="1241">
        <f t="shared" si="2"/>
        <v>5.3160207872980333E-4</v>
      </c>
    </row>
    <row r="39" spans="1:3" x14ac:dyDescent="0.25">
      <c r="A39" s="1265" t="s">
        <v>1424</v>
      </c>
      <c r="B39" s="1267">
        <f>'RESULTADOS HCM'!I69</f>
        <v>1389.14507</v>
      </c>
      <c r="C39" s="1241">
        <f t="shared" si="2"/>
        <v>9.2768576990755289E-4</v>
      </c>
    </row>
    <row r="40" spans="1:3" ht="18" x14ac:dyDescent="0.35">
      <c r="A40" s="1265" t="s">
        <v>1427</v>
      </c>
      <c r="B40" s="1267">
        <f>'RESULTADOS HCM'!J69</f>
        <v>0</v>
      </c>
      <c r="C40" s="1241">
        <f t="shared" si="2"/>
        <v>0</v>
      </c>
    </row>
    <row r="41" spans="1:3" ht="18" x14ac:dyDescent="0.35">
      <c r="A41" s="1265" t="s">
        <v>1428</v>
      </c>
      <c r="B41" s="1267">
        <v>0</v>
      </c>
      <c r="C41" s="1241">
        <f t="shared" si="2"/>
        <v>0</v>
      </c>
    </row>
    <row r="42" spans="1:3" ht="15.75" thickBot="1" x14ac:dyDescent="0.3">
      <c r="A42" s="1302" t="s">
        <v>1419</v>
      </c>
      <c r="B42" s="1299">
        <f>SUM(B36:B41)</f>
        <v>1497430.6118098947</v>
      </c>
      <c r="C42" s="1257">
        <f t="shared" si="2"/>
        <v>1</v>
      </c>
    </row>
    <row r="43" spans="1:3" ht="18" x14ac:dyDescent="0.35">
      <c r="A43" s="1264" t="s">
        <v>1443</v>
      </c>
      <c r="B43" s="1294">
        <f>B25</f>
        <v>0</v>
      </c>
      <c r="C43" s="1250">
        <f t="shared" si="2"/>
        <v>0</v>
      </c>
    </row>
    <row r="44" spans="1:3" ht="15.75" thickBot="1" x14ac:dyDescent="0.3">
      <c r="A44" s="1302" t="s">
        <v>1420</v>
      </c>
      <c r="B44" s="1299">
        <f>B43</f>
        <v>0</v>
      </c>
      <c r="C44" s="1257">
        <f t="shared" si="2"/>
        <v>0</v>
      </c>
    </row>
    <row r="45" spans="1:3" ht="27" thickBot="1" x14ac:dyDescent="0.3">
      <c r="A45" s="1303" t="s">
        <v>1421</v>
      </c>
      <c r="B45" s="1300">
        <f>B42+B44</f>
        <v>1497430.6118098947</v>
      </c>
      <c r="C45" s="1258">
        <f t="shared" si="2"/>
        <v>1</v>
      </c>
    </row>
    <row r="47" spans="1:3" ht="15.75" thickBot="1" x14ac:dyDescent="0.3"/>
    <row r="48" spans="1:3" ht="26.25" customHeight="1" x14ac:dyDescent="0.25">
      <c r="A48" s="2032" t="s">
        <v>1430</v>
      </c>
      <c r="B48" s="2033"/>
      <c r="C48" s="2034"/>
    </row>
    <row r="49" spans="1:3" ht="15.75" thickBot="1" x14ac:dyDescent="0.3">
      <c r="A49" s="2035"/>
      <c r="B49" s="2036"/>
      <c r="C49" s="2037"/>
    </row>
    <row r="50" spans="1:3" ht="18.75" thickBot="1" x14ac:dyDescent="0.3">
      <c r="A50" s="1296" t="s">
        <v>1184</v>
      </c>
      <c r="B50" s="1293" t="s">
        <v>1442</v>
      </c>
      <c r="C50" s="1259" t="s">
        <v>1449</v>
      </c>
    </row>
    <row r="51" spans="1:3" x14ac:dyDescent="0.25">
      <c r="A51" s="1264" t="s">
        <v>1335</v>
      </c>
      <c r="B51" s="1294">
        <f>RESIDENCIAL!AE65</f>
        <v>18672.749571392997</v>
      </c>
      <c r="C51" s="1250">
        <f>B51/$B$57</f>
        <v>9.741354324277042E-2</v>
      </c>
    </row>
    <row r="52" spans="1:3" x14ac:dyDescent="0.25">
      <c r="A52" s="1265" t="s">
        <v>1394</v>
      </c>
      <c r="B52" s="1267">
        <f>INSTITUCIONAL!AE64</f>
        <v>173012.60494709999</v>
      </c>
      <c r="C52" s="1241">
        <f t="shared" ref="C52:C57" si="3">B52/$B$57</f>
        <v>0.90258645675722948</v>
      </c>
    </row>
    <row r="53" spans="1:3" x14ac:dyDescent="0.25">
      <c r="A53" s="1265" t="s">
        <v>1190</v>
      </c>
      <c r="B53" s="1267">
        <f>TRANSPORTE!AE76</f>
        <v>0</v>
      </c>
      <c r="C53" s="1241">
        <f t="shared" si="3"/>
        <v>0</v>
      </c>
    </row>
    <row r="54" spans="1:3" x14ac:dyDescent="0.25">
      <c r="A54" s="1265" t="s">
        <v>1192</v>
      </c>
      <c r="B54" s="1267">
        <f>INDUSTRIA!AE81</f>
        <v>0</v>
      </c>
      <c r="C54" s="1241">
        <f t="shared" si="3"/>
        <v>0</v>
      </c>
    </row>
    <row r="55" spans="1:3" x14ac:dyDescent="0.25">
      <c r="A55" s="1265" t="s">
        <v>1417</v>
      </c>
      <c r="B55" s="1267">
        <f>AGROPECUARIO!AE107</f>
        <v>0</v>
      </c>
      <c r="C55" s="1241">
        <f t="shared" si="3"/>
        <v>0</v>
      </c>
    </row>
    <row r="56" spans="1:3" ht="15.75" thickBot="1" x14ac:dyDescent="0.3">
      <c r="A56" s="1266" t="s">
        <v>1198</v>
      </c>
      <c r="B56" s="1289">
        <f>RESIDUOS!AE58</f>
        <v>0</v>
      </c>
      <c r="C56" s="1260">
        <f t="shared" si="3"/>
        <v>0</v>
      </c>
    </row>
    <row r="57" spans="1:3" ht="53.25" thickBot="1" x14ac:dyDescent="0.3">
      <c r="A57" s="1297" t="s">
        <v>1429</v>
      </c>
      <c r="B57" s="1295">
        <f>SUM(B51:B56)</f>
        <v>191685.354518493</v>
      </c>
      <c r="C57" s="1261">
        <f t="shared" si="3"/>
        <v>1</v>
      </c>
    </row>
    <row r="60" spans="1:3" ht="15.75" thickBot="1" x14ac:dyDescent="0.3"/>
    <row r="61" spans="1:3" s="3" customFormat="1" ht="26.25" x14ac:dyDescent="0.25">
      <c r="A61" s="2038" t="s">
        <v>1437</v>
      </c>
      <c r="B61" s="2039"/>
      <c r="C61" s="2040"/>
    </row>
    <row r="62" spans="1:3" s="3" customFormat="1" ht="15.75" thickBot="1" x14ac:dyDescent="0.3">
      <c r="A62" s="2035"/>
      <c r="B62" s="2036"/>
      <c r="C62" s="2037"/>
    </row>
    <row r="63" spans="1:3" s="3" customFormat="1" ht="18.75" thickBot="1" x14ac:dyDescent="0.3">
      <c r="A63" s="1291" t="s">
        <v>1432</v>
      </c>
      <c r="B63" s="1288" t="s">
        <v>1441</v>
      </c>
      <c r="C63" s="1262" t="s">
        <v>1449</v>
      </c>
    </row>
    <row r="64" spans="1:3" s="3" customFormat="1" x14ac:dyDescent="0.25">
      <c r="A64" s="1265" t="s">
        <v>1438</v>
      </c>
      <c r="B64" s="1267">
        <f>RESIDENCIAL!BF28+RESIDENCIAL!BF42+INSTITUCIONAL!BF28+INSTITUCIONAL!BF42+TRANSPORTE!BF24+TRANSPORTE!BF48+INDUSTRIA!BF28+INDUSTRIA!BF57+AGROPECUARIO!BF28</f>
        <v>1496040.9468806949</v>
      </c>
      <c r="C64" s="1241">
        <f>B64/$B$68</f>
        <v>0.99907196706262036</v>
      </c>
    </row>
    <row r="65" spans="1:4" s="3" customFormat="1" x14ac:dyDescent="0.25">
      <c r="A65" s="1265" t="s">
        <v>1435</v>
      </c>
      <c r="B65" s="1267">
        <f>RESIDENCIAL!BF35+INSTITUCIONAL!BF35+TRANSPORTE!BF31+TRANSPORTE!BF55+INDUSTRIA!BF41+INDUSTRIA!BF52+AGROPECUARIO!BF39</f>
        <v>1389.14507</v>
      </c>
      <c r="C65" s="1241">
        <f>B65/$B$68</f>
        <v>9.2768576990755257E-4</v>
      </c>
    </row>
    <row r="66" spans="1:4" s="3" customFormat="1" x14ac:dyDescent="0.25">
      <c r="A66" s="1265" t="s">
        <v>1436</v>
      </c>
      <c r="B66" s="1267">
        <f>AGROPECUARIO!BF76+'USO DEL SUELO'!L72-SUMIDEROS!J55</f>
        <v>0</v>
      </c>
      <c r="C66" s="1241">
        <f>B66/$B$68</f>
        <v>0</v>
      </c>
    </row>
    <row r="67" spans="1:4" s="3" customFormat="1" ht="15.75" thickBot="1" x14ac:dyDescent="0.3">
      <c r="A67" s="1266" t="s">
        <v>1439</v>
      </c>
      <c r="B67" s="1289">
        <f>RESIDUOS!BF44</f>
        <v>0.51985919999999997</v>
      </c>
      <c r="C67" s="1260">
        <f>B67/$B$68</f>
        <v>3.4716747200169978E-7</v>
      </c>
    </row>
    <row r="68" spans="1:4" s="3" customFormat="1" ht="27" thickBot="1" x14ac:dyDescent="0.3">
      <c r="A68" s="1292" t="s">
        <v>1440</v>
      </c>
      <c r="B68" s="1290">
        <f>SUM(B64:B67)</f>
        <v>1497430.6118098951</v>
      </c>
      <c r="C68" s="1263">
        <f>B68/$B$68</f>
        <v>1</v>
      </c>
    </row>
    <row r="69" spans="1:4" s="3" customFormat="1" x14ac:dyDescent="0.25">
      <c r="A69" s="1233"/>
      <c r="B69" s="1246"/>
      <c r="C69" s="1242"/>
    </row>
    <row r="70" spans="1:4" s="3" customFormat="1" x14ac:dyDescent="0.25">
      <c r="A70" s="1233"/>
      <c r="B70" s="1246"/>
      <c r="C70" s="1242"/>
    </row>
    <row r="71" spans="1:4" s="3" customFormat="1" x14ac:dyDescent="0.25">
      <c r="A71" s="1233"/>
      <c r="B71" s="1246"/>
      <c r="C71" s="1242"/>
    </row>
    <row r="72" spans="1:4" s="3" customFormat="1" x14ac:dyDescent="0.25">
      <c r="A72" s="1233"/>
      <c r="B72" s="1246"/>
      <c r="C72" s="1242"/>
    </row>
    <row r="73" spans="1:4" s="3" customFormat="1" x14ac:dyDescent="0.25">
      <c r="A73" s="1233"/>
      <c r="B73" s="1246"/>
      <c r="C73" s="1242"/>
    </row>
    <row r="74" spans="1:4" s="3" customFormat="1" x14ac:dyDescent="0.25">
      <c r="A74" s="1233"/>
      <c r="B74" s="1246"/>
      <c r="C74" s="1242"/>
    </row>
    <row r="75" spans="1:4" s="3" customFormat="1" ht="15.75" thickBot="1" x14ac:dyDescent="0.3">
      <c r="A75" s="1233"/>
      <c r="B75" s="1246"/>
      <c r="C75" s="1242"/>
    </row>
    <row r="76" spans="1:4" ht="26.25" customHeight="1" x14ac:dyDescent="0.25">
      <c r="A76" s="2041" t="s">
        <v>1431</v>
      </c>
      <c r="B76" s="2042"/>
      <c r="C76" s="2042"/>
      <c r="D76" s="2043"/>
    </row>
    <row r="77" spans="1:4" ht="15.75" thickBot="1" x14ac:dyDescent="0.3">
      <c r="A77" s="2035"/>
      <c r="B77" s="2036"/>
      <c r="C77" s="2036"/>
      <c r="D77" s="2037"/>
    </row>
    <row r="78" spans="1:4" ht="18" x14ac:dyDescent="0.25">
      <c r="A78" s="1275" t="s">
        <v>1432</v>
      </c>
      <c r="B78" s="1277" t="s">
        <v>174</v>
      </c>
      <c r="C78" s="1276" t="s">
        <v>1441</v>
      </c>
      <c r="D78" s="1280" t="s">
        <v>1449</v>
      </c>
    </row>
    <row r="79" spans="1:4" x14ac:dyDescent="0.25">
      <c r="A79" s="1265" t="s">
        <v>1433</v>
      </c>
      <c r="B79" s="1278">
        <v>1</v>
      </c>
      <c r="C79" s="1271">
        <f>RESIDENCIAL!BF28+INSTITUCIONAL!BF28+INDUSTRIA!BF28+AGROPECUARIO!BF28</f>
        <v>1461337.2548926948</v>
      </c>
      <c r="D79" s="1281">
        <f>C79/$C$85</f>
        <v>0.97680264042224318</v>
      </c>
    </row>
    <row r="80" spans="1:4" x14ac:dyDescent="0.25">
      <c r="A80" s="1265" t="s">
        <v>1356</v>
      </c>
      <c r="B80" s="1278">
        <v>1</v>
      </c>
      <c r="C80" s="1271">
        <f>TRANSPORTE!BF24</f>
        <v>0</v>
      </c>
      <c r="D80" s="1281">
        <f t="shared" ref="D80:D88" si="4">C80/$C$85</f>
        <v>0</v>
      </c>
    </row>
    <row r="81" spans="1:4" x14ac:dyDescent="0.25">
      <c r="A81" s="1265" t="s">
        <v>1198</v>
      </c>
      <c r="B81" s="1278">
        <v>1</v>
      </c>
      <c r="C81" s="1271">
        <f>RESIDUOS!BF24</f>
        <v>0.51985919999999997</v>
      </c>
      <c r="D81" s="1281">
        <f t="shared" si="4"/>
        <v>3.4748983337530968E-7</v>
      </c>
    </row>
    <row r="82" spans="1:4" x14ac:dyDescent="0.25">
      <c r="A82" s="1265" t="s">
        <v>1433</v>
      </c>
      <c r="B82" s="1278">
        <v>2</v>
      </c>
      <c r="C82" s="1271">
        <f>RESIDENCIAL!BF42+INSTITUCIONAL!BF42+INDUSTRIA!BF58</f>
        <v>34703.691988000006</v>
      </c>
      <c r="D82" s="1281">
        <f t="shared" si="4"/>
        <v>2.3197012087923408E-2</v>
      </c>
    </row>
    <row r="83" spans="1:4" s="3" customFormat="1" x14ac:dyDescent="0.25">
      <c r="A83" s="1265" t="s">
        <v>1356</v>
      </c>
      <c r="B83" s="1278">
        <v>3</v>
      </c>
      <c r="C83" s="1271">
        <f>TRANSPORTE!BF48</f>
        <v>0</v>
      </c>
      <c r="D83" s="1281">
        <f t="shared" si="4"/>
        <v>0</v>
      </c>
    </row>
    <row r="84" spans="1:4" ht="15.75" thickBot="1" x14ac:dyDescent="0.3">
      <c r="A84" s="1266" t="s">
        <v>1198</v>
      </c>
      <c r="B84" s="1279">
        <v>3</v>
      </c>
      <c r="C84" s="1285">
        <f>RESIDUOS!BF40</f>
        <v>0</v>
      </c>
      <c r="D84" s="1282">
        <f t="shared" si="4"/>
        <v>0</v>
      </c>
    </row>
    <row r="85" spans="1:4" s="3" customFormat="1" ht="27" thickBot="1" x14ac:dyDescent="0.3">
      <c r="A85" s="2020" t="s">
        <v>1444</v>
      </c>
      <c r="B85" s="2021"/>
      <c r="C85" s="1286">
        <f>SUM(C79:C84)</f>
        <v>1496041.4667398948</v>
      </c>
      <c r="D85" s="1283">
        <f t="shared" si="4"/>
        <v>1</v>
      </c>
    </row>
    <row r="86" spans="1:4" s="3" customFormat="1" x14ac:dyDescent="0.25">
      <c r="A86" s="2024" t="s">
        <v>1447</v>
      </c>
      <c r="B86" s="2025"/>
      <c r="C86" s="1287">
        <f>B12-C85</f>
        <v>1389.1450700003188</v>
      </c>
      <c r="D86" s="1284">
        <f t="shared" si="4"/>
        <v>9.2854716990397343E-4</v>
      </c>
    </row>
    <row r="87" spans="1:4" ht="15.75" thickBot="1" x14ac:dyDescent="0.3">
      <c r="A87" s="2024" t="s">
        <v>1448</v>
      </c>
      <c r="B87" s="2025"/>
      <c r="C87" s="1287">
        <f>B14</f>
        <v>0</v>
      </c>
      <c r="D87" s="1284">
        <f t="shared" si="4"/>
        <v>0</v>
      </c>
    </row>
    <row r="88" spans="1:4" s="3" customFormat="1" ht="27" thickBot="1" x14ac:dyDescent="0.3">
      <c r="A88" s="2020" t="s">
        <v>1446</v>
      </c>
      <c r="B88" s="2021"/>
      <c r="C88" s="1286">
        <f>C85+C86+C87</f>
        <v>1497430.6118098951</v>
      </c>
      <c r="D88" s="1283">
        <f t="shared" si="4"/>
        <v>1.0009285471699039</v>
      </c>
    </row>
    <row r="89" spans="1:4" s="3" customFormat="1" x14ac:dyDescent="0.25">
      <c r="A89" s="1236"/>
      <c r="B89" s="1247"/>
      <c r="C89" s="1243"/>
    </row>
    <row r="91" spans="1:4" ht="15.75" thickBot="1" x14ac:dyDescent="0.3"/>
    <row r="92" spans="1:4" ht="26.25" customHeight="1" x14ac:dyDescent="0.25">
      <c r="A92" s="2044" t="s">
        <v>1434</v>
      </c>
      <c r="B92" s="2045"/>
      <c r="C92" s="2045"/>
      <c r="D92" s="2046"/>
    </row>
    <row r="93" spans="1:4" ht="15.75" thickBot="1" x14ac:dyDescent="0.3">
      <c r="A93" s="2035"/>
      <c r="B93" s="2036"/>
      <c r="C93" s="2036"/>
      <c r="D93" s="2037"/>
    </row>
    <row r="94" spans="1:4" ht="18" x14ac:dyDescent="0.25">
      <c r="A94" s="1274" t="s">
        <v>1432</v>
      </c>
      <c r="B94" s="1273" t="s">
        <v>174</v>
      </c>
      <c r="C94" s="1270" t="s">
        <v>1441</v>
      </c>
      <c r="D94" s="1244" t="s">
        <v>1449</v>
      </c>
    </row>
    <row r="95" spans="1:4" x14ac:dyDescent="0.25">
      <c r="A95" s="1265" t="s">
        <v>1433</v>
      </c>
      <c r="B95" s="1268">
        <v>1</v>
      </c>
      <c r="C95" s="1271">
        <f>C79</f>
        <v>1461337.2548926948</v>
      </c>
      <c r="D95" s="1241">
        <f>C95/$C$103</f>
        <v>0.97589647451271533</v>
      </c>
    </row>
    <row r="96" spans="1:4" x14ac:dyDescent="0.25">
      <c r="A96" s="1265" t="s">
        <v>1356</v>
      </c>
      <c r="B96" s="1268">
        <v>1</v>
      </c>
      <c r="C96" s="1271">
        <f>C80</f>
        <v>0</v>
      </c>
      <c r="D96" s="1241">
        <f t="shared" ref="D96:D103" si="5">C96/$C$103</f>
        <v>0</v>
      </c>
    </row>
    <row r="97" spans="1:11" x14ac:dyDescent="0.25">
      <c r="A97" s="1265" t="s">
        <v>1198</v>
      </c>
      <c r="B97" s="1268">
        <v>1</v>
      </c>
      <c r="C97" s="1271">
        <f>C81</f>
        <v>0.51985919999999997</v>
      </c>
      <c r="D97" s="1241">
        <f t="shared" si="5"/>
        <v>3.4716747200169983E-7</v>
      </c>
    </row>
    <row r="98" spans="1:11" x14ac:dyDescent="0.25">
      <c r="A98" s="1265" t="s">
        <v>1435</v>
      </c>
      <c r="B98" s="1268">
        <v>1</v>
      </c>
      <c r="C98" s="1271">
        <f>B65</f>
        <v>1389.14507</v>
      </c>
      <c r="D98" s="1241">
        <f t="shared" si="5"/>
        <v>9.2768576990755267E-4</v>
      </c>
    </row>
    <row r="99" spans="1:11" x14ac:dyDescent="0.25">
      <c r="A99" s="1265" t="s">
        <v>1436</v>
      </c>
      <c r="B99" s="1268">
        <v>1</v>
      </c>
      <c r="C99" s="1271">
        <f>B66</f>
        <v>0</v>
      </c>
      <c r="D99" s="1241">
        <f t="shared" si="5"/>
        <v>0</v>
      </c>
    </row>
    <row r="100" spans="1:11" x14ac:dyDescent="0.25">
      <c r="A100" s="1265" t="s">
        <v>1433</v>
      </c>
      <c r="B100" s="1268">
        <v>2</v>
      </c>
      <c r="C100" s="1271">
        <f>C82</f>
        <v>34703.691988000006</v>
      </c>
      <c r="D100" s="1241">
        <f t="shared" si="5"/>
        <v>2.3175492549905068E-2</v>
      </c>
    </row>
    <row r="101" spans="1:11" s="3" customFormat="1" x14ac:dyDescent="0.25">
      <c r="A101" s="1265" t="s">
        <v>1356</v>
      </c>
      <c r="B101" s="1268">
        <v>3</v>
      </c>
      <c r="C101" s="1271">
        <f>C83</f>
        <v>0</v>
      </c>
      <c r="D101" s="1241">
        <f t="shared" si="5"/>
        <v>0</v>
      </c>
    </row>
    <row r="102" spans="1:11" ht="15.75" thickBot="1" x14ac:dyDescent="0.3">
      <c r="A102" s="1266" t="s">
        <v>1198</v>
      </c>
      <c r="B102" s="1269">
        <v>3</v>
      </c>
      <c r="C102" s="1271">
        <f>C84</f>
        <v>0</v>
      </c>
      <c r="D102" s="1241">
        <f t="shared" si="5"/>
        <v>0</v>
      </c>
    </row>
    <row r="103" spans="1:11" ht="27" thickBot="1" x14ac:dyDescent="0.3">
      <c r="A103" s="2022" t="s">
        <v>1445</v>
      </c>
      <c r="B103" s="2023"/>
      <c r="C103" s="1272">
        <f>SUM(C95:C102)</f>
        <v>1497430.6118098949</v>
      </c>
      <c r="D103" s="1245">
        <f t="shared" si="5"/>
        <v>1</v>
      </c>
    </row>
    <row r="107" spans="1:11" ht="15.75" thickBot="1" x14ac:dyDescent="0.3"/>
    <row r="108" spans="1:11" ht="15.75" x14ac:dyDescent="0.25">
      <c r="A108" s="1326" t="s">
        <v>1451</v>
      </c>
      <c r="B108" s="1327"/>
      <c r="C108" s="1327"/>
      <c r="D108" s="1328"/>
      <c r="E108" s="1327"/>
      <c r="F108" s="1327"/>
      <c r="G108" s="1327"/>
      <c r="H108" s="1327"/>
      <c r="I108" s="1327"/>
      <c r="J108" s="1327"/>
      <c r="K108" s="1329"/>
    </row>
    <row r="109" spans="1:11" ht="15.75" x14ac:dyDescent="0.25">
      <c r="A109" s="2007" t="s">
        <v>1454</v>
      </c>
      <c r="B109" s="2008"/>
      <c r="C109" s="2008"/>
      <c r="D109" s="2008"/>
      <c r="E109" s="2008"/>
      <c r="F109" s="2008"/>
      <c r="G109" s="2008"/>
      <c r="H109" s="2008"/>
      <c r="I109" s="2008"/>
      <c r="J109" s="2008"/>
      <c r="K109" s="2009"/>
    </row>
    <row r="110" spans="1:11" ht="15.75" x14ac:dyDescent="0.25">
      <c r="A110" s="1319" t="s">
        <v>1457</v>
      </c>
      <c r="B110" s="1320"/>
      <c r="C110" s="1320"/>
      <c r="D110" s="1321"/>
      <c r="E110" s="1320"/>
      <c r="F110" s="1320"/>
      <c r="G110" s="1320"/>
      <c r="H110" s="1320"/>
      <c r="I110" s="1320"/>
      <c r="J110" s="1320"/>
      <c r="K110" s="1330"/>
    </row>
    <row r="111" spans="1:11" ht="15.75" x14ac:dyDescent="0.25">
      <c r="A111" s="1319" t="s">
        <v>1458</v>
      </c>
      <c r="B111" s="1320"/>
      <c r="C111" s="1320"/>
      <c r="D111" s="1321"/>
      <c r="E111" s="1320"/>
      <c r="F111" s="1320"/>
      <c r="G111" s="1320"/>
      <c r="H111" s="1320"/>
      <c r="I111" s="1320"/>
      <c r="J111" s="1320"/>
      <c r="K111" s="1330"/>
    </row>
    <row r="112" spans="1:11" ht="15.75" x14ac:dyDescent="0.25">
      <c r="A112" s="1322" t="s">
        <v>1455</v>
      </c>
      <c r="B112" s="1320"/>
      <c r="C112" s="1320"/>
      <c r="D112" s="1321"/>
      <c r="E112" s="1320"/>
      <c r="F112" s="1320"/>
      <c r="G112" s="1320"/>
      <c r="H112" s="1320"/>
      <c r="I112" s="1320"/>
      <c r="J112" s="1320"/>
      <c r="K112" s="1330"/>
    </row>
    <row r="113" spans="1:11" ht="15.75" x14ac:dyDescent="0.25">
      <c r="A113" s="1319" t="s">
        <v>1456</v>
      </c>
      <c r="B113" s="1320"/>
      <c r="C113" s="1320"/>
      <c r="D113" s="1321"/>
      <c r="E113" s="1320"/>
      <c r="F113" s="1320"/>
      <c r="G113" s="1320"/>
      <c r="H113" s="1320"/>
      <c r="I113" s="1320"/>
      <c r="J113" s="1320"/>
      <c r="K113" s="1330"/>
    </row>
    <row r="114" spans="1:11" ht="15.75" x14ac:dyDescent="0.25">
      <c r="A114" s="1322" t="s">
        <v>1452</v>
      </c>
      <c r="B114" s="1320"/>
      <c r="C114" s="1320"/>
      <c r="D114" s="1321"/>
      <c r="E114" s="1320"/>
      <c r="F114" s="1320"/>
      <c r="G114" s="1320"/>
      <c r="H114" s="1320"/>
      <c r="I114" s="1320"/>
      <c r="J114" s="1320"/>
      <c r="K114" s="1330"/>
    </row>
    <row r="115" spans="1:11" ht="15.75" x14ac:dyDescent="0.25">
      <c r="A115" s="1322" t="s">
        <v>1459</v>
      </c>
      <c r="B115" s="1320"/>
      <c r="C115" s="1320"/>
      <c r="D115" s="1321"/>
      <c r="E115" s="1320"/>
      <c r="F115" s="1320"/>
      <c r="G115" s="1320"/>
      <c r="H115" s="1320"/>
      <c r="I115" s="1320"/>
      <c r="J115" s="1320"/>
      <c r="K115" s="1330"/>
    </row>
    <row r="116" spans="1:11" ht="16.5" thickBot="1" x14ac:dyDescent="0.3">
      <c r="A116" s="1323" t="s">
        <v>1453</v>
      </c>
      <c r="B116" s="1324"/>
      <c r="C116" s="1324"/>
      <c r="D116" s="1325"/>
      <c r="E116" s="1324"/>
      <c r="F116" s="1324"/>
      <c r="G116" s="1324"/>
      <c r="H116" s="1324"/>
      <c r="I116" s="1324"/>
      <c r="J116" s="1324"/>
      <c r="K116" s="1331"/>
    </row>
  </sheetData>
  <sheetProtection password="C935" sheet="1" scenarios="1" formatCells="0" formatColumns="0" formatRows="0"/>
  <mergeCells count="20">
    <mergeCell ref="A109:K109"/>
    <mergeCell ref="A19:C19"/>
    <mergeCell ref="A18:C18"/>
    <mergeCell ref="A33:C33"/>
    <mergeCell ref="A34:C34"/>
    <mergeCell ref="A48:C48"/>
    <mergeCell ref="A49:C49"/>
    <mergeCell ref="A61:C61"/>
    <mergeCell ref="A62:C62"/>
    <mergeCell ref="A76:D76"/>
    <mergeCell ref="A77:D77"/>
    <mergeCell ref="A92:D92"/>
    <mergeCell ref="A93:D93"/>
    <mergeCell ref="A2:C2"/>
    <mergeCell ref="A3:C3"/>
    <mergeCell ref="A85:B85"/>
    <mergeCell ref="A103:B103"/>
    <mergeCell ref="A87:B87"/>
    <mergeCell ref="A88:B88"/>
    <mergeCell ref="A86:B86"/>
  </mergeCells>
  <pageMargins left="0.7" right="0.7" top="0.75" bottom="0.75" header="0.3" footer="0.3"/>
  <pageSetup paperSize="0" orientation="portrait" horizontalDpi="0" verticalDpi="0" copies="0"/>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WC31"/>
  <sheetViews>
    <sheetView workbookViewId="0">
      <selection activeCell="J2" sqref="J2"/>
    </sheetView>
  </sheetViews>
  <sheetFormatPr baseColWidth="10" defaultColWidth="0" defaultRowHeight="15" zeroHeight="1" x14ac:dyDescent="0.25"/>
  <cols>
    <col min="1" max="1" width="10.7109375" style="3" customWidth="1"/>
    <col min="2" max="3" width="5.7109375" style="3" customWidth="1"/>
    <col min="4" max="4" width="10.7109375" style="3" customWidth="1"/>
    <col min="5" max="5" width="10.7109375" style="271" customWidth="1"/>
    <col min="6" max="6" width="10.7109375" style="3" customWidth="1"/>
    <col min="7" max="7" width="5.7109375" style="3" customWidth="1"/>
    <col min="8" max="10" width="10.7109375" style="3" customWidth="1"/>
    <col min="11" max="11" width="5.7109375" style="3" customWidth="1"/>
    <col min="12" max="14" width="10.7109375" style="3" customWidth="1"/>
    <col min="15" max="15" width="5.7109375" style="3" customWidth="1"/>
    <col min="16" max="17" width="10.7109375" style="3" customWidth="1"/>
    <col min="18" max="19" width="5.7109375" style="3" customWidth="1"/>
    <col min="20" max="20" width="6.28515625" style="3" customWidth="1"/>
    <col min="21" max="21" width="10.7109375" style="3" customWidth="1"/>
    <col min="22" max="22" width="11.42578125" style="3" hidden="1" customWidth="1"/>
    <col min="23" max="256" width="11.42578125" style="3" hidden="1"/>
    <col min="257" max="257" width="10.7109375" style="3" customWidth="1"/>
    <col min="258" max="259" width="5.7109375" style="3" customWidth="1"/>
    <col min="260" max="262" width="10.7109375" style="3" customWidth="1"/>
    <col min="263" max="263" width="5.7109375" style="3" customWidth="1"/>
    <col min="264" max="266" width="10.7109375" style="3" customWidth="1"/>
    <col min="267" max="267" width="5.7109375" style="3" customWidth="1"/>
    <col min="268" max="270" width="10.7109375" style="3" customWidth="1"/>
    <col min="271" max="271" width="5.7109375" style="3" customWidth="1"/>
    <col min="272" max="273" width="10.7109375" style="3" customWidth="1"/>
    <col min="274" max="275" width="5.7109375" style="3" customWidth="1"/>
    <col min="276" max="276" width="6.28515625" style="3" customWidth="1"/>
    <col min="277" max="277" width="10.7109375" style="3" customWidth="1"/>
    <col min="278" max="278" width="11.42578125" style="3" hidden="1" customWidth="1"/>
    <col min="279" max="512" width="11.42578125" style="3" hidden="1"/>
    <col min="513" max="513" width="10.7109375" style="3" customWidth="1"/>
    <col min="514" max="515" width="5.7109375" style="3" customWidth="1"/>
    <col min="516" max="518" width="10.7109375" style="3" customWidth="1"/>
    <col min="519" max="519" width="5.7109375" style="3" customWidth="1"/>
    <col min="520" max="522" width="10.7109375" style="3" customWidth="1"/>
    <col min="523" max="523" width="5.7109375" style="3" customWidth="1"/>
    <col min="524" max="526" width="10.7109375" style="3" customWidth="1"/>
    <col min="527" max="527" width="5.7109375" style="3" customWidth="1"/>
    <col min="528" max="529" width="10.7109375" style="3" customWidth="1"/>
    <col min="530" max="531" width="5.7109375" style="3" customWidth="1"/>
    <col min="532" max="532" width="6.28515625" style="3" customWidth="1"/>
    <col min="533" max="533" width="10.7109375" style="3" customWidth="1"/>
    <col min="534" max="534" width="11.42578125" style="3" hidden="1" customWidth="1"/>
    <col min="535" max="768" width="11.42578125" style="3" hidden="1"/>
    <col min="769" max="769" width="10.7109375" style="3" customWidth="1"/>
    <col min="770" max="771" width="5.7109375" style="3" customWidth="1"/>
    <col min="772" max="774" width="10.7109375" style="3" customWidth="1"/>
    <col min="775" max="775" width="5.7109375" style="3" customWidth="1"/>
    <col min="776" max="778" width="10.7109375" style="3" customWidth="1"/>
    <col min="779" max="779" width="5.7109375" style="3" customWidth="1"/>
    <col min="780" max="782" width="10.7109375" style="3" customWidth="1"/>
    <col min="783" max="783" width="5.7109375" style="3" customWidth="1"/>
    <col min="784" max="785" width="10.7109375" style="3" customWidth="1"/>
    <col min="786" max="787" width="5.7109375" style="3" customWidth="1"/>
    <col min="788" max="788" width="6.28515625" style="3" customWidth="1"/>
    <col min="789" max="789" width="10.7109375" style="3" customWidth="1"/>
    <col min="790" max="790" width="11.42578125" style="3" hidden="1" customWidth="1"/>
    <col min="791" max="1024" width="11.42578125" style="3" hidden="1"/>
    <col min="1025" max="1025" width="10.7109375" style="3" customWidth="1"/>
    <col min="1026" max="1027" width="5.7109375" style="3" customWidth="1"/>
    <col min="1028" max="1030" width="10.7109375" style="3" customWidth="1"/>
    <col min="1031" max="1031" width="5.7109375" style="3" customWidth="1"/>
    <col min="1032" max="1034" width="10.7109375" style="3" customWidth="1"/>
    <col min="1035" max="1035" width="5.7109375" style="3" customWidth="1"/>
    <col min="1036" max="1038" width="10.7109375" style="3" customWidth="1"/>
    <col min="1039" max="1039" width="5.7109375" style="3" customWidth="1"/>
    <col min="1040" max="1041" width="10.7109375" style="3" customWidth="1"/>
    <col min="1042" max="1043" width="5.7109375" style="3" customWidth="1"/>
    <col min="1044" max="1044" width="6.28515625" style="3" customWidth="1"/>
    <col min="1045" max="1045" width="10.7109375" style="3" customWidth="1"/>
    <col min="1046" max="1046" width="11.42578125" style="3" hidden="1" customWidth="1"/>
    <col min="1047" max="1280" width="11.42578125" style="3" hidden="1"/>
    <col min="1281" max="1281" width="10.7109375" style="3" customWidth="1"/>
    <col min="1282" max="1283" width="5.7109375" style="3" customWidth="1"/>
    <col min="1284" max="1286" width="10.7109375" style="3" customWidth="1"/>
    <col min="1287" max="1287" width="5.7109375" style="3" customWidth="1"/>
    <col min="1288" max="1290" width="10.7109375" style="3" customWidth="1"/>
    <col min="1291" max="1291" width="5.7109375" style="3" customWidth="1"/>
    <col min="1292" max="1294" width="10.7109375" style="3" customWidth="1"/>
    <col min="1295" max="1295" width="5.7109375" style="3" customWidth="1"/>
    <col min="1296" max="1297" width="10.7109375" style="3" customWidth="1"/>
    <col min="1298" max="1299" width="5.7109375" style="3" customWidth="1"/>
    <col min="1300" max="1300" width="6.28515625" style="3" customWidth="1"/>
    <col min="1301" max="1301" width="10.7109375" style="3" customWidth="1"/>
    <col min="1302" max="1302" width="11.42578125" style="3" hidden="1" customWidth="1"/>
    <col min="1303" max="1536" width="11.42578125" style="3" hidden="1"/>
    <col min="1537" max="1537" width="10.7109375" style="3" customWidth="1"/>
    <col min="1538" max="1539" width="5.7109375" style="3" customWidth="1"/>
    <col min="1540" max="1542" width="10.7109375" style="3" customWidth="1"/>
    <col min="1543" max="1543" width="5.7109375" style="3" customWidth="1"/>
    <col min="1544" max="1546" width="10.7109375" style="3" customWidth="1"/>
    <col min="1547" max="1547" width="5.7109375" style="3" customWidth="1"/>
    <col min="1548" max="1550" width="10.7109375" style="3" customWidth="1"/>
    <col min="1551" max="1551" width="5.7109375" style="3" customWidth="1"/>
    <col min="1552" max="1553" width="10.7109375" style="3" customWidth="1"/>
    <col min="1554" max="1555" width="5.7109375" style="3" customWidth="1"/>
    <col min="1556" max="1556" width="6.28515625" style="3" customWidth="1"/>
    <col min="1557" max="1557" width="10.7109375" style="3" customWidth="1"/>
    <col min="1558" max="1558" width="11.42578125" style="3" hidden="1" customWidth="1"/>
    <col min="1559" max="1792" width="11.42578125" style="3" hidden="1"/>
    <col min="1793" max="1793" width="10.7109375" style="3" customWidth="1"/>
    <col min="1794" max="1795" width="5.7109375" style="3" customWidth="1"/>
    <col min="1796" max="1798" width="10.7109375" style="3" customWidth="1"/>
    <col min="1799" max="1799" width="5.7109375" style="3" customWidth="1"/>
    <col min="1800" max="1802" width="10.7109375" style="3" customWidth="1"/>
    <col min="1803" max="1803" width="5.7109375" style="3" customWidth="1"/>
    <col min="1804" max="1806" width="10.7109375" style="3" customWidth="1"/>
    <col min="1807" max="1807" width="5.7109375" style="3" customWidth="1"/>
    <col min="1808" max="1809" width="10.7109375" style="3" customWidth="1"/>
    <col min="1810" max="1811" width="5.7109375" style="3" customWidth="1"/>
    <col min="1812" max="1812" width="6.28515625" style="3" customWidth="1"/>
    <col min="1813" max="1813" width="10.7109375" style="3" customWidth="1"/>
    <col min="1814" max="1814" width="11.42578125" style="3" hidden="1" customWidth="1"/>
    <col min="1815" max="2048" width="11.42578125" style="3" hidden="1"/>
    <col min="2049" max="2049" width="10.7109375" style="3" customWidth="1"/>
    <col min="2050" max="2051" width="5.7109375" style="3" customWidth="1"/>
    <col min="2052" max="2054" width="10.7109375" style="3" customWidth="1"/>
    <col min="2055" max="2055" width="5.7109375" style="3" customWidth="1"/>
    <col min="2056" max="2058" width="10.7109375" style="3" customWidth="1"/>
    <col min="2059" max="2059" width="5.7109375" style="3" customWidth="1"/>
    <col min="2060" max="2062" width="10.7109375" style="3" customWidth="1"/>
    <col min="2063" max="2063" width="5.7109375" style="3" customWidth="1"/>
    <col min="2064" max="2065" width="10.7109375" style="3" customWidth="1"/>
    <col min="2066" max="2067" width="5.7109375" style="3" customWidth="1"/>
    <col min="2068" max="2068" width="6.28515625" style="3" customWidth="1"/>
    <col min="2069" max="2069" width="10.7109375" style="3" customWidth="1"/>
    <col min="2070" max="2070" width="11.42578125" style="3" hidden="1" customWidth="1"/>
    <col min="2071" max="2304" width="11.42578125" style="3" hidden="1"/>
    <col min="2305" max="2305" width="10.7109375" style="3" customWidth="1"/>
    <col min="2306" max="2307" width="5.7109375" style="3" customWidth="1"/>
    <col min="2308" max="2310" width="10.7109375" style="3" customWidth="1"/>
    <col min="2311" max="2311" width="5.7109375" style="3" customWidth="1"/>
    <col min="2312" max="2314" width="10.7109375" style="3" customWidth="1"/>
    <col min="2315" max="2315" width="5.7109375" style="3" customWidth="1"/>
    <col min="2316" max="2318" width="10.7109375" style="3" customWidth="1"/>
    <col min="2319" max="2319" width="5.7109375" style="3" customWidth="1"/>
    <col min="2320" max="2321" width="10.7109375" style="3" customWidth="1"/>
    <col min="2322" max="2323" width="5.7109375" style="3" customWidth="1"/>
    <col min="2324" max="2324" width="6.28515625" style="3" customWidth="1"/>
    <col min="2325" max="2325" width="10.7109375" style="3" customWidth="1"/>
    <col min="2326" max="2326" width="11.42578125" style="3" hidden="1" customWidth="1"/>
    <col min="2327" max="2560" width="11.42578125" style="3" hidden="1"/>
    <col min="2561" max="2561" width="10.7109375" style="3" customWidth="1"/>
    <col min="2562" max="2563" width="5.7109375" style="3" customWidth="1"/>
    <col min="2564" max="2566" width="10.7109375" style="3" customWidth="1"/>
    <col min="2567" max="2567" width="5.7109375" style="3" customWidth="1"/>
    <col min="2568" max="2570" width="10.7109375" style="3" customWidth="1"/>
    <col min="2571" max="2571" width="5.7109375" style="3" customWidth="1"/>
    <col min="2572" max="2574" width="10.7109375" style="3" customWidth="1"/>
    <col min="2575" max="2575" width="5.7109375" style="3" customWidth="1"/>
    <col min="2576" max="2577" width="10.7109375" style="3" customWidth="1"/>
    <col min="2578" max="2579" width="5.7109375" style="3" customWidth="1"/>
    <col min="2580" max="2580" width="6.28515625" style="3" customWidth="1"/>
    <col min="2581" max="2581" width="10.7109375" style="3" customWidth="1"/>
    <col min="2582" max="2582" width="11.42578125" style="3" hidden="1" customWidth="1"/>
    <col min="2583" max="2816" width="11.42578125" style="3" hidden="1"/>
    <col min="2817" max="2817" width="10.7109375" style="3" customWidth="1"/>
    <col min="2818" max="2819" width="5.7109375" style="3" customWidth="1"/>
    <col min="2820" max="2822" width="10.7109375" style="3" customWidth="1"/>
    <col min="2823" max="2823" width="5.7109375" style="3" customWidth="1"/>
    <col min="2824" max="2826" width="10.7109375" style="3" customWidth="1"/>
    <col min="2827" max="2827" width="5.7109375" style="3" customWidth="1"/>
    <col min="2828" max="2830" width="10.7109375" style="3" customWidth="1"/>
    <col min="2831" max="2831" width="5.7109375" style="3" customWidth="1"/>
    <col min="2832" max="2833" width="10.7109375" style="3" customWidth="1"/>
    <col min="2834" max="2835" width="5.7109375" style="3" customWidth="1"/>
    <col min="2836" max="2836" width="6.28515625" style="3" customWidth="1"/>
    <col min="2837" max="2837" width="10.7109375" style="3" customWidth="1"/>
    <col min="2838" max="2838" width="11.42578125" style="3" hidden="1" customWidth="1"/>
    <col min="2839" max="3072" width="11.42578125" style="3" hidden="1"/>
    <col min="3073" max="3073" width="10.7109375" style="3" customWidth="1"/>
    <col min="3074" max="3075" width="5.7109375" style="3" customWidth="1"/>
    <col min="3076" max="3078" width="10.7109375" style="3" customWidth="1"/>
    <col min="3079" max="3079" width="5.7109375" style="3" customWidth="1"/>
    <col min="3080" max="3082" width="10.7109375" style="3" customWidth="1"/>
    <col min="3083" max="3083" width="5.7109375" style="3" customWidth="1"/>
    <col min="3084" max="3086" width="10.7109375" style="3" customWidth="1"/>
    <col min="3087" max="3087" width="5.7109375" style="3" customWidth="1"/>
    <col min="3088" max="3089" width="10.7109375" style="3" customWidth="1"/>
    <col min="3090" max="3091" width="5.7109375" style="3" customWidth="1"/>
    <col min="3092" max="3092" width="6.28515625" style="3" customWidth="1"/>
    <col min="3093" max="3093" width="10.7109375" style="3" customWidth="1"/>
    <col min="3094" max="3094" width="11.42578125" style="3" hidden="1" customWidth="1"/>
    <col min="3095" max="3328" width="11.42578125" style="3" hidden="1"/>
    <col min="3329" max="3329" width="10.7109375" style="3" customWidth="1"/>
    <col min="3330" max="3331" width="5.7109375" style="3" customWidth="1"/>
    <col min="3332" max="3334" width="10.7109375" style="3" customWidth="1"/>
    <col min="3335" max="3335" width="5.7109375" style="3" customWidth="1"/>
    <col min="3336" max="3338" width="10.7109375" style="3" customWidth="1"/>
    <col min="3339" max="3339" width="5.7109375" style="3" customWidth="1"/>
    <col min="3340" max="3342" width="10.7109375" style="3" customWidth="1"/>
    <col min="3343" max="3343" width="5.7109375" style="3" customWidth="1"/>
    <col min="3344" max="3345" width="10.7109375" style="3" customWidth="1"/>
    <col min="3346" max="3347" width="5.7109375" style="3" customWidth="1"/>
    <col min="3348" max="3348" width="6.28515625" style="3" customWidth="1"/>
    <col min="3349" max="3349" width="10.7109375" style="3" customWidth="1"/>
    <col min="3350" max="3350" width="11.42578125" style="3" hidden="1" customWidth="1"/>
    <col min="3351" max="3584" width="11.42578125" style="3" hidden="1"/>
    <col min="3585" max="3585" width="10.7109375" style="3" customWidth="1"/>
    <col min="3586" max="3587" width="5.7109375" style="3" customWidth="1"/>
    <col min="3588" max="3590" width="10.7109375" style="3" customWidth="1"/>
    <col min="3591" max="3591" width="5.7109375" style="3" customWidth="1"/>
    <col min="3592" max="3594" width="10.7109375" style="3" customWidth="1"/>
    <col min="3595" max="3595" width="5.7109375" style="3" customWidth="1"/>
    <col min="3596" max="3598" width="10.7109375" style="3" customWidth="1"/>
    <col min="3599" max="3599" width="5.7109375" style="3" customWidth="1"/>
    <col min="3600" max="3601" width="10.7109375" style="3" customWidth="1"/>
    <col min="3602" max="3603" width="5.7109375" style="3" customWidth="1"/>
    <col min="3604" max="3604" width="6.28515625" style="3" customWidth="1"/>
    <col min="3605" max="3605" width="10.7109375" style="3" customWidth="1"/>
    <col min="3606" max="3606" width="11.42578125" style="3" hidden="1" customWidth="1"/>
    <col min="3607" max="3840" width="11.42578125" style="3" hidden="1"/>
    <col min="3841" max="3841" width="10.7109375" style="3" customWidth="1"/>
    <col min="3842" max="3843" width="5.7109375" style="3" customWidth="1"/>
    <col min="3844" max="3846" width="10.7109375" style="3" customWidth="1"/>
    <col min="3847" max="3847" width="5.7109375" style="3" customWidth="1"/>
    <col min="3848" max="3850" width="10.7109375" style="3" customWidth="1"/>
    <col min="3851" max="3851" width="5.7109375" style="3" customWidth="1"/>
    <col min="3852" max="3854" width="10.7109375" style="3" customWidth="1"/>
    <col min="3855" max="3855" width="5.7109375" style="3" customWidth="1"/>
    <col min="3856" max="3857" width="10.7109375" style="3" customWidth="1"/>
    <col min="3858" max="3859" width="5.7109375" style="3" customWidth="1"/>
    <col min="3860" max="3860" width="6.28515625" style="3" customWidth="1"/>
    <col min="3861" max="3861" width="10.7109375" style="3" customWidth="1"/>
    <col min="3862" max="3862" width="11.42578125" style="3" hidden="1" customWidth="1"/>
    <col min="3863" max="4096" width="11.42578125" style="3" hidden="1"/>
    <col min="4097" max="4097" width="10.7109375" style="3" customWidth="1"/>
    <col min="4098" max="4099" width="5.7109375" style="3" customWidth="1"/>
    <col min="4100" max="4102" width="10.7109375" style="3" customWidth="1"/>
    <col min="4103" max="4103" width="5.7109375" style="3" customWidth="1"/>
    <col min="4104" max="4106" width="10.7109375" style="3" customWidth="1"/>
    <col min="4107" max="4107" width="5.7109375" style="3" customWidth="1"/>
    <col min="4108" max="4110" width="10.7109375" style="3" customWidth="1"/>
    <col min="4111" max="4111" width="5.7109375" style="3" customWidth="1"/>
    <col min="4112" max="4113" width="10.7109375" style="3" customWidth="1"/>
    <col min="4114" max="4115" width="5.7109375" style="3" customWidth="1"/>
    <col min="4116" max="4116" width="6.28515625" style="3" customWidth="1"/>
    <col min="4117" max="4117" width="10.7109375" style="3" customWidth="1"/>
    <col min="4118" max="4118" width="11.42578125" style="3" hidden="1" customWidth="1"/>
    <col min="4119" max="4352" width="11.42578125" style="3" hidden="1"/>
    <col min="4353" max="4353" width="10.7109375" style="3" customWidth="1"/>
    <col min="4354" max="4355" width="5.7109375" style="3" customWidth="1"/>
    <col min="4356" max="4358" width="10.7109375" style="3" customWidth="1"/>
    <col min="4359" max="4359" width="5.7109375" style="3" customWidth="1"/>
    <col min="4360" max="4362" width="10.7109375" style="3" customWidth="1"/>
    <col min="4363" max="4363" width="5.7109375" style="3" customWidth="1"/>
    <col min="4364" max="4366" width="10.7109375" style="3" customWidth="1"/>
    <col min="4367" max="4367" width="5.7109375" style="3" customWidth="1"/>
    <col min="4368" max="4369" width="10.7109375" style="3" customWidth="1"/>
    <col min="4370" max="4371" width="5.7109375" style="3" customWidth="1"/>
    <col min="4372" max="4372" width="6.28515625" style="3" customWidth="1"/>
    <col min="4373" max="4373" width="10.7109375" style="3" customWidth="1"/>
    <col min="4374" max="4374" width="11.42578125" style="3" hidden="1" customWidth="1"/>
    <col min="4375" max="4608" width="11.42578125" style="3" hidden="1"/>
    <col min="4609" max="4609" width="10.7109375" style="3" customWidth="1"/>
    <col min="4610" max="4611" width="5.7109375" style="3" customWidth="1"/>
    <col min="4612" max="4614" width="10.7109375" style="3" customWidth="1"/>
    <col min="4615" max="4615" width="5.7109375" style="3" customWidth="1"/>
    <col min="4616" max="4618" width="10.7109375" style="3" customWidth="1"/>
    <col min="4619" max="4619" width="5.7109375" style="3" customWidth="1"/>
    <col min="4620" max="4622" width="10.7109375" style="3" customWidth="1"/>
    <col min="4623" max="4623" width="5.7109375" style="3" customWidth="1"/>
    <col min="4624" max="4625" width="10.7109375" style="3" customWidth="1"/>
    <col min="4626" max="4627" width="5.7109375" style="3" customWidth="1"/>
    <col min="4628" max="4628" width="6.28515625" style="3" customWidth="1"/>
    <col min="4629" max="4629" width="10.7109375" style="3" customWidth="1"/>
    <col min="4630" max="4630" width="11.42578125" style="3" hidden="1" customWidth="1"/>
    <col min="4631" max="4864" width="11.42578125" style="3" hidden="1"/>
    <col min="4865" max="4865" width="10.7109375" style="3" customWidth="1"/>
    <col min="4866" max="4867" width="5.7109375" style="3" customWidth="1"/>
    <col min="4868" max="4870" width="10.7109375" style="3" customWidth="1"/>
    <col min="4871" max="4871" width="5.7109375" style="3" customWidth="1"/>
    <col min="4872" max="4874" width="10.7109375" style="3" customWidth="1"/>
    <col min="4875" max="4875" width="5.7109375" style="3" customWidth="1"/>
    <col min="4876" max="4878" width="10.7109375" style="3" customWidth="1"/>
    <col min="4879" max="4879" width="5.7109375" style="3" customWidth="1"/>
    <col min="4880" max="4881" width="10.7109375" style="3" customWidth="1"/>
    <col min="4882" max="4883" width="5.7109375" style="3" customWidth="1"/>
    <col min="4884" max="4884" width="6.28515625" style="3" customWidth="1"/>
    <col min="4885" max="4885" width="10.7109375" style="3" customWidth="1"/>
    <col min="4886" max="4886" width="11.42578125" style="3" hidden="1" customWidth="1"/>
    <col min="4887" max="5120" width="11.42578125" style="3" hidden="1"/>
    <col min="5121" max="5121" width="10.7109375" style="3" customWidth="1"/>
    <col min="5122" max="5123" width="5.7109375" style="3" customWidth="1"/>
    <col min="5124" max="5126" width="10.7109375" style="3" customWidth="1"/>
    <col min="5127" max="5127" width="5.7109375" style="3" customWidth="1"/>
    <col min="5128" max="5130" width="10.7109375" style="3" customWidth="1"/>
    <col min="5131" max="5131" width="5.7109375" style="3" customWidth="1"/>
    <col min="5132" max="5134" width="10.7109375" style="3" customWidth="1"/>
    <col min="5135" max="5135" width="5.7109375" style="3" customWidth="1"/>
    <col min="5136" max="5137" width="10.7109375" style="3" customWidth="1"/>
    <col min="5138" max="5139" width="5.7109375" style="3" customWidth="1"/>
    <col min="5140" max="5140" width="6.28515625" style="3" customWidth="1"/>
    <col min="5141" max="5141" width="10.7109375" style="3" customWidth="1"/>
    <col min="5142" max="5142" width="11.42578125" style="3" hidden="1" customWidth="1"/>
    <col min="5143" max="5376" width="11.42578125" style="3" hidden="1"/>
    <col min="5377" max="5377" width="10.7109375" style="3" customWidth="1"/>
    <col min="5378" max="5379" width="5.7109375" style="3" customWidth="1"/>
    <col min="5380" max="5382" width="10.7109375" style="3" customWidth="1"/>
    <col min="5383" max="5383" width="5.7109375" style="3" customWidth="1"/>
    <col min="5384" max="5386" width="10.7109375" style="3" customWidth="1"/>
    <col min="5387" max="5387" width="5.7109375" style="3" customWidth="1"/>
    <col min="5388" max="5390" width="10.7109375" style="3" customWidth="1"/>
    <col min="5391" max="5391" width="5.7109375" style="3" customWidth="1"/>
    <col min="5392" max="5393" width="10.7109375" style="3" customWidth="1"/>
    <col min="5394" max="5395" width="5.7109375" style="3" customWidth="1"/>
    <col min="5396" max="5396" width="6.28515625" style="3" customWidth="1"/>
    <col min="5397" max="5397" width="10.7109375" style="3" customWidth="1"/>
    <col min="5398" max="5398" width="11.42578125" style="3" hidden="1" customWidth="1"/>
    <col min="5399" max="5632" width="11.42578125" style="3" hidden="1"/>
    <col min="5633" max="5633" width="10.7109375" style="3" customWidth="1"/>
    <col min="5634" max="5635" width="5.7109375" style="3" customWidth="1"/>
    <col min="5636" max="5638" width="10.7109375" style="3" customWidth="1"/>
    <col min="5639" max="5639" width="5.7109375" style="3" customWidth="1"/>
    <col min="5640" max="5642" width="10.7109375" style="3" customWidth="1"/>
    <col min="5643" max="5643" width="5.7109375" style="3" customWidth="1"/>
    <col min="5644" max="5646" width="10.7109375" style="3" customWidth="1"/>
    <col min="5647" max="5647" width="5.7109375" style="3" customWidth="1"/>
    <col min="5648" max="5649" width="10.7109375" style="3" customWidth="1"/>
    <col min="5650" max="5651" width="5.7109375" style="3" customWidth="1"/>
    <col min="5652" max="5652" width="6.28515625" style="3" customWidth="1"/>
    <col min="5653" max="5653" width="10.7109375" style="3" customWidth="1"/>
    <col min="5654" max="5654" width="11.42578125" style="3" hidden="1" customWidth="1"/>
    <col min="5655" max="5888" width="11.42578125" style="3" hidden="1"/>
    <col min="5889" max="5889" width="10.7109375" style="3" customWidth="1"/>
    <col min="5890" max="5891" width="5.7109375" style="3" customWidth="1"/>
    <col min="5892" max="5894" width="10.7109375" style="3" customWidth="1"/>
    <col min="5895" max="5895" width="5.7109375" style="3" customWidth="1"/>
    <col min="5896" max="5898" width="10.7109375" style="3" customWidth="1"/>
    <col min="5899" max="5899" width="5.7109375" style="3" customWidth="1"/>
    <col min="5900" max="5902" width="10.7109375" style="3" customWidth="1"/>
    <col min="5903" max="5903" width="5.7109375" style="3" customWidth="1"/>
    <col min="5904" max="5905" width="10.7109375" style="3" customWidth="1"/>
    <col min="5906" max="5907" width="5.7109375" style="3" customWidth="1"/>
    <col min="5908" max="5908" width="6.28515625" style="3" customWidth="1"/>
    <col min="5909" max="5909" width="10.7109375" style="3" customWidth="1"/>
    <col min="5910" max="5910" width="11.42578125" style="3" hidden="1" customWidth="1"/>
    <col min="5911" max="6144" width="11.42578125" style="3" hidden="1"/>
    <col min="6145" max="6145" width="10.7109375" style="3" customWidth="1"/>
    <col min="6146" max="6147" width="5.7109375" style="3" customWidth="1"/>
    <col min="6148" max="6150" width="10.7109375" style="3" customWidth="1"/>
    <col min="6151" max="6151" width="5.7109375" style="3" customWidth="1"/>
    <col min="6152" max="6154" width="10.7109375" style="3" customWidth="1"/>
    <col min="6155" max="6155" width="5.7109375" style="3" customWidth="1"/>
    <col min="6156" max="6158" width="10.7109375" style="3" customWidth="1"/>
    <col min="6159" max="6159" width="5.7109375" style="3" customWidth="1"/>
    <col min="6160" max="6161" width="10.7109375" style="3" customWidth="1"/>
    <col min="6162" max="6163" width="5.7109375" style="3" customWidth="1"/>
    <col min="6164" max="6164" width="6.28515625" style="3" customWidth="1"/>
    <col min="6165" max="6165" width="10.7109375" style="3" customWidth="1"/>
    <col min="6166" max="6166" width="11.42578125" style="3" hidden="1" customWidth="1"/>
    <col min="6167" max="6400" width="11.42578125" style="3" hidden="1"/>
    <col min="6401" max="6401" width="10.7109375" style="3" customWidth="1"/>
    <col min="6402" max="6403" width="5.7109375" style="3" customWidth="1"/>
    <col min="6404" max="6406" width="10.7109375" style="3" customWidth="1"/>
    <col min="6407" max="6407" width="5.7109375" style="3" customWidth="1"/>
    <col min="6408" max="6410" width="10.7109375" style="3" customWidth="1"/>
    <col min="6411" max="6411" width="5.7109375" style="3" customWidth="1"/>
    <col min="6412" max="6414" width="10.7109375" style="3" customWidth="1"/>
    <col min="6415" max="6415" width="5.7109375" style="3" customWidth="1"/>
    <col min="6416" max="6417" width="10.7109375" style="3" customWidth="1"/>
    <col min="6418" max="6419" width="5.7109375" style="3" customWidth="1"/>
    <col min="6420" max="6420" width="6.28515625" style="3" customWidth="1"/>
    <col min="6421" max="6421" width="10.7109375" style="3" customWidth="1"/>
    <col min="6422" max="6422" width="11.42578125" style="3" hidden="1" customWidth="1"/>
    <col min="6423" max="6656" width="11.42578125" style="3" hidden="1"/>
    <col min="6657" max="6657" width="10.7109375" style="3" customWidth="1"/>
    <col min="6658" max="6659" width="5.7109375" style="3" customWidth="1"/>
    <col min="6660" max="6662" width="10.7109375" style="3" customWidth="1"/>
    <col min="6663" max="6663" width="5.7109375" style="3" customWidth="1"/>
    <col min="6664" max="6666" width="10.7109375" style="3" customWidth="1"/>
    <col min="6667" max="6667" width="5.7109375" style="3" customWidth="1"/>
    <col min="6668" max="6670" width="10.7109375" style="3" customWidth="1"/>
    <col min="6671" max="6671" width="5.7109375" style="3" customWidth="1"/>
    <col min="6672" max="6673" width="10.7109375" style="3" customWidth="1"/>
    <col min="6674" max="6675" width="5.7109375" style="3" customWidth="1"/>
    <col min="6676" max="6676" width="6.28515625" style="3" customWidth="1"/>
    <col min="6677" max="6677" width="10.7109375" style="3" customWidth="1"/>
    <col min="6678" max="6678" width="11.42578125" style="3" hidden="1" customWidth="1"/>
    <col min="6679" max="6912" width="11.42578125" style="3" hidden="1"/>
    <col min="6913" max="6913" width="10.7109375" style="3" customWidth="1"/>
    <col min="6914" max="6915" width="5.7109375" style="3" customWidth="1"/>
    <col min="6916" max="6918" width="10.7109375" style="3" customWidth="1"/>
    <col min="6919" max="6919" width="5.7109375" style="3" customWidth="1"/>
    <col min="6920" max="6922" width="10.7109375" style="3" customWidth="1"/>
    <col min="6923" max="6923" width="5.7109375" style="3" customWidth="1"/>
    <col min="6924" max="6926" width="10.7109375" style="3" customWidth="1"/>
    <col min="6927" max="6927" width="5.7109375" style="3" customWidth="1"/>
    <col min="6928" max="6929" width="10.7109375" style="3" customWidth="1"/>
    <col min="6930" max="6931" width="5.7109375" style="3" customWidth="1"/>
    <col min="6932" max="6932" width="6.28515625" style="3" customWidth="1"/>
    <col min="6933" max="6933" width="10.7109375" style="3" customWidth="1"/>
    <col min="6934" max="6934" width="11.42578125" style="3" hidden="1" customWidth="1"/>
    <col min="6935" max="7168" width="11.42578125" style="3" hidden="1"/>
    <col min="7169" max="7169" width="10.7109375" style="3" customWidth="1"/>
    <col min="7170" max="7171" width="5.7109375" style="3" customWidth="1"/>
    <col min="7172" max="7174" width="10.7109375" style="3" customWidth="1"/>
    <col min="7175" max="7175" width="5.7109375" style="3" customWidth="1"/>
    <col min="7176" max="7178" width="10.7109375" style="3" customWidth="1"/>
    <col min="7179" max="7179" width="5.7109375" style="3" customWidth="1"/>
    <col min="7180" max="7182" width="10.7109375" style="3" customWidth="1"/>
    <col min="7183" max="7183" width="5.7109375" style="3" customWidth="1"/>
    <col min="7184" max="7185" width="10.7109375" style="3" customWidth="1"/>
    <col min="7186" max="7187" width="5.7109375" style="3" customWidth="1"/>
    <col min="7188" max="7188" width="6.28515625" style="3" customWidth="1"/>
    <col min="7189" max="7189" width="10.7109375" style="3" customWidth="1"/>
    <col min="7190" max="7190" width="11.42578125" style="3" hidden="1" customWidth="1"/>
    <col min="7191" max="7424" width="11.42578125" style="3" hidden="1"/>
    <col min="7425" max="7425" width="10.7109375" style="3" customWidth="1"/>
    <col min="7426" max="7427" width="5.7109375" style="3" customWidth="1"/>
    <col min="7428" max="7430" width="10.7109375" style="3" customWidth="1"/>
    <col min="7431" max="7431" width="5.7109375" style="3" customWidth="1"/>
    <col min="7432" max="7434" width="10.7109375" style="3" customWidth="1"/>
    <col min="7435" max="7435" width="5.7109375" style="3" customWidth="1"/>
    <col min="7436" max="7438" width="10.7109375" style="3" customWidth="1"/>
    <col min="7439" max="7439" width="5.7109375" style="3" customWidth="1"/>
    <col min="7440" max="7441" width="10.7109375" style="3" customWidth="1"/>
    <col min="7442" max="7443" width="5.7109375" style="3" customWidth="1"/>
    <col min="7444" max="7444" width="6.28515625" style="3" customWidth="1"/>
    <col min="7445" max="7445" width="10.7109375" style="3" customWidth="1"/>
    <col min="7446" max="7446" width="11.42578125" style="3" hidden="1" customWidth="1"/>
    <col min="7447" max="7680" width="11.42578125" style="3" hidden="1"/>
    <col min="7681" max="7681" width="10.7109375" style="3" customWidth="1"/>
    <col min="7682" max="7683" width="5.7109375" style="3" customWidth="1"/>
    <col min="7684" max="7686" width="10.7109375" style="3" customWidth="1"/>
    <col min="7687" max="7687" width="5.7109375" style="3" customWidth="1"/>
    <col min="7688" max="7690" width="10.7109375" style="3" customWidth="1"/>
    <col min="7691" max="7691" width="5.7109375" style="3" customWidth="1"/>
    <col min="7692" max="7694" width="10.7109375" style="3" customWidth="1"/>
    <col min="7695" max="7695" width="5.7109375" style="3" customWidth="1"/>
    <col min="7696" max="7697" width="10.7109375" style="3" customWidth="1"/>
    <col min="7698" max="7699" width="5.7109375" style="3" customWidth="1"/>
    <col min="7700" max="7700" width="6.28515625" style="3" customWidth="1"/>
    <col min="7701" max="7701" width="10.7109375" style="3" customWidth="1"/>
    <col min="7702" max="7702" width="11.42578125" style="3" hidden="1" customWidth="1"/>
    <col min="7703" max="7936" width="11.42578125" style="3" hidden="1"/>
    <col min="7937" max="7937" width="10.7109375" style="3" customWidth="1"/>
    <col min="7938" max="7939" width="5.7109375" style="3" customWidth="1"/>
    <col min="7940" max="7942" width="10.7109375" style="3" customWidth="1"/>
    <col min="7943" max="7943" width="5.7109375" style="3" customWidth="1"/>
    <col min="7944" max="7946" width="10.7109375" style="3" customWidth="1"/>
    <col min="7947" max="7947" width="5.7109375" style="3" customWidth="1"/>
    <col min="7948" max="7950" width="10.7109375" style="3" customWidth="1"/>
    <col min="7951" max="7951" width="5.7109375" style="3" customWidth="1"/>
    <col min="7952" max="7953" width="10.7109375" style="3" customWidth="1"/>
    <col min="7954" max="7955" width="5.7109375" style="3" customWidth="1"/>
    <col min="7956" max="7956" width="6.28515625" style="3" customWidth="1"/>
    <col min="7957" max="7957" width="10.7109375" style="3" customWidth="1"/>
    <col min="7958" max="7958" width="11.42578125" style="3" hidden="1" customWidth="1"/>
    <col min="7959" max="8192" width="11.42578125" style="3" hidden="1"/>
    <col min="8193" max="8193" width="10.7109375" style="3" customWidth="1"/>
    <col min="8194" max="8195" width="5.7109375" style="3" customWidth="1"/>
    <col min="8196" max="8198" width="10.7109375" style="3" customWidth="1"/>
    <col min="8199" max="8199" width="5.7109375" style="3" customWidth="1"/>
    <col min="8200" max="8202" width="10.7109375" style="3" customWidth="1"/>
    <col min="8203" max="8203" width="5.7109375" style="3" customWidth="1"/>
    <col min="8204" max="8206" width="10.7109375" style="3" customWidth="1"/>
    <col min="8207" max="8207" width="5.7109375" style="3" customWidth="1"/>
    <col min="8208" max="8209" width="10.7109375" style="3" customWidth="1"/>
    <col min="8210" max="8211" width="5.7109375" style="3" customWidth="1"/>
    <col min="8212" max="8212" width="6.28515625" style="3" customWidth="1"/>
    <col min="8213" max="8213" width="10.7109375" style="3" customWidth="1"/>
    <col min="8214" max="8214" width="11.42578125" style="3" hidden="1" customWidth="1"/>
    <col min="8215" max="8448" width="11.42578125" style="3" hidden="1"/>
    <col min="8449" max="8449" width="10.7109375" style="3" customWidth="1"/>
    <col min="8450" max="8451" width="5.7109375" style="3" customWidth="1"/>
    <col min="8452" max="8454" width="10.7109375" style="3" customWidth="1"/>
    <col min="8455" max="8455" width="5.7109375" style="3" customWidth="1"/>
    <col min="8456" max="8458" width="10.7109375" style="3" customWidth="1"/>
    <col min="8459" max="8459" width="5.7109375" style="3" customWidth="1"/>
    <col min="8460" max="8462" width="10.7109375" style="3" customWidth="1"/>
    <col min="8463" max="8463" width="5.7109375" style="3" customWidth="1"/>
    <col min="8464" max="8465" width="10.7109375" style="3" customWidth="1"/>
    <col min="8466" max="8467" width="5.7109375" style="3" customWidth="1"/>
    <col min="8468" max="8468" width="6.28515625" style="3" customWidth="1"/>
    <col min="8469" max="8469" width="10.7109375" style="3" customWidth="1"/>
    <col min="8470" max="8470" width="11.42578125" style="3" hidden="1" customWidth="1"/>
    <col min="8471" max="8704" width="11.42578125" style="3" hidden="1"/>
    <col min="8705" max="8705" width="10.7109375" style="3" customWidth="1"/>
    <col min="8706" max="8707" width="5.7109375" style="3" customWidth="1"/>
    <col min="8708" max="8710" width="10.7109375" style="3" customWidth="1"/>
    <col min="8711" max="8711" width="5.7109375" style="3" customWidth="1"/>
    <col min="8712" max="8714" width="10.7109375" style="3" customWidth="1"/>
    <col min="8715" max="8715" width="5.7109375" style="3" customWidth="1"/>
    <col min="8716" max="8718" width="10.7109375" style="3" customWidth="1"/>
    <col min="8719" max="8719" width="5.7109375" style="3" customWidth="1"/>
    <col min="8720" max="8721" width="10.7109375" style="3" customWidth="1"/>
    <col min="8722" max="8723" width="5.7109375" style="3" customWidth="1"/>
    <col min="8724" max="8724" width="6.28515625" style="3" customWidth="1"/>
    <col min="8725" max="8725" width="10.7109375" style="3" customWidth="1"/>
    <col min="8726" max="8726" width="11.42578125" style="3" hidden="1" customWidth="1"/>
    <col min="8727" max="8960" width="11.42578125" style="3" hidden="1"/>
    <col min="8961" max="8961" width="10.7109375" style="3" customWidth="1"/>
    <col min="8962" max="8963" width="5.7109375" style="3" customWidth="1"/>
    <col min="8964" max="8966" width="10.7109375" style="3" customWidth="1"/>
    <col min="8967" max="8967" width="5.7109375" style="3" customWidth="1"/>
    <col min="8968" max="8970" width="10.7109375" style="3" customWidth="1"/>
    <col min="8971" max="8971" width="5.7109375" style="3" customWidth="1"/>
    <col min="8972" max="8974" width="10.7109375" style="3" customWidth="1"/>
    <col min="8975" max="8975" width="5.7109375" style="3" customWidth="1"/>
    <col min="8976" max="8977" width="10.7109375" style="3" customWidth="1"/>
    <col min="8978" max="8979" width="5.7109375" style="3" customWidth="1"/>
    <col min="8980" max="8980" width="6.28515625" style="3" customWidth="1"/>
    <col min="8981" max="8981" width="10.7109375" style="3" customWidth="1"/>
    <col min="8982" max="8982" width="11.42578125" style="3" hidden="1" customWidth="1"/>
    <col min="8983" max="9216" width="11.42578125" style="3" hidden="1"/>
    <col min="9217" max="9217" width="10.7109375" style="3" customWidth="1"/>
    <col min="9218" max="9219" width="5.7109375" style="3" customWidth="1"/>
    <col min="9220" max="9222" width="10.7109375" style="3" customWidth="1"/>
    <col min="9223" max="9223" width="5.7109375" style="3" customWidth="1"/>
    <col min="9224" max="9226" width="10.7109375" style="3" customWidth="1"/>
    <col min="9227" max="9227" width="5.7109375" style="3" customWidth="1"/>
    <col min="9228" max="9230" width="10.7109375" style="3" customWidth="1"/>
    <col min="9231" max="9231" width="5.7109375" style="3" customWidth="1"/>
    <col min="9232" max="9233" width="10.7109375" style="3" customWidth="1"/>
    <col min="9234" max="9235" width="5.7109375" style="3" customWidth="1"/>
    <col min="9236" max="9236" width="6.28515625" style="3" customWidth="1"/>
    <col min="9237" max="9237" width="10.7109375" style="3" customWidth="1"/>
    <col min="9238" max="9238" width="11.42578125" style="3" hidden="1" customWidth="1"/>
    <col min="9239" max="9472" width="11.42578125" style="3" hidden="1"/>
    <col min="9473" max="9473" width="10.7109375" style="3" customWidth="1"/>
    <col min="9474" max="9475" width="5.7109375" style="3" customWidth="1"/>
    <col min="9476" max="9478" width="10.7109375" style="3" customWidth="1"/>
    <col min="9479" max="9479" width="5.7109375" style="3" customWidth="1"/>
    <col min="9480" max="9482" width="10.7109375" style="3" customWidth="1"/>
    <col min="9483" max="9483" width="5.7109375" style="3" customWidth="1"/>
    <col min="9484" max="9486" width="10.7109375" style="3" customWidth="1"/>
    <col min="9487" max="9487" width="5.7109375" style="3" customWidth="1"/>
    <col min="9488" max="9489" width="10.7109375" style="3" customWidth="1"/>
    <col min="9490" max="9491" width="5.7109375" style="3" customWidth="1"/>
    <col min="9492" max="9492" width="6.28515625" style="3" customWidth="1"/>
    <col min="9493" max="9493" width="10.7109375" style="3" customWidth="1"/>
    <col min="9494" max="9494" width="11.42578125" style="3" hidden="1" customWidth="1"/>
    <col min="9495" max="9728" width="11.42578125" style="3" hidden="1"/>
    <col min="9729" max="9729" width="10.7109375" style="3" customWidth="1"/>
    <col min="9730" max="9731" width="5.7109375" style="3" customWidth="1"/>
    <col min="9732" max="9734" width="10.7109375" style="3" customWidth="1"/>
    <col min="9735" max="9735" width="5.7109375" style="3" customWidth="1"/>
    <col min="9736" max="9738" width="10.7109375" style="3" customWidth="1"/>
    <col min="9739" max="9739" width="5.7109375" style="3" customWidth="1"/>
    <col min="9740" max="9742" width="10.7109375" style="3" customWidth="1"/>
    <col min="9743" max="9743" width="5.7109375" style="3" customWidth="1"/>
    <col min="9744" max="9745" width="10.7109375" style="3" customWidth="1"/>
    <col min="9746" max="9747" width="5.7109375" style="3" customWidth="1"/>
    <col min="9748" max="9748" width="6.28515625" style="3" customWidth="1"/>
    <col min="9749" max="9749" width="10.7109375" style="3" customWidth="1"/>
    <col min="9750" max="9750" width="11.42578125" style="3" hidden="1" customWidth="1"/>
    <col min="9751" max="9984" width="11.42578125" style="3" hidden="1"/>
    <col min="9985" max="9985" width="10.7109375" style="3" customWidth="1"/>
    <col min="9986" max="9987" width="5.7109375" style="3" customWidth="1"/>
    <col min="9988" max="9990" width="10.7109375" style="3" customWidth="1"/>
    <col min="9991" max="9991" width="5.7109375" style="3" customWidth="1"/>
    <col min="9992" max="9994" width="10.7109375" style="3" customWidth="1"/>
    <col min="9995" max="9995" width="5.7109375" style="3" customWidth="1"/>
    <col min="9996" max="9998" width="10.7109375" style="3" customWidth="1"/>
    <col min="9999" max="9999" width="5.7109375" style="3" customWidth="1"/>
    <col min="10000" max="10001" width="10.7109375" style="3" customWidth="1"/>
    <col min="10002" max="10003" width="5.7109375" style="3" customWidth="1"/>
    <col min="10004" max="10004" width="6.28515625" style="3" customWidth="1"/>
    <col min="10005" max="10005" width="10.7109375" style="3" customWidth="1"/>
    <col min="10006" max="10006" width="11.42578125" style="3" hidden="1" customWidth="1"/>
    <col min="10007" max="10240" width="11.42578125" style="3" hidden="1"/>
    <col min="10241" max="10241" width="10.7109375" style="3" customWidth="1"/>
    <col min="10242" max="10243" width="5.7109375" style="3" customWidth="1"/>
    <col min="10244" max="10246" width="10.7109375" style="3" customWidth="1"/>
    <col min="10247" max="10247" width="5.7109375" style="3" customWidth="1"/>
    <col min="10248" max="10250" width="10.7109375" style="3" customWidth="1"/>
    <col min="10251" max="10251" width="5.7109375" style="3" customWidth="1"/>
    <col min="10252" max="10254" width="10.7109375" style="3" customWidth="1"/>
    <col min="10255" max="10255" width="5.7109375" style="3" customWidth="1"/>
    <col min="10256" max="10257" width="10.7109375" style="3" customWidth="1"/>
    <col min="10258" max="10259" width="5.7109375" style="3" customWidth="1"/>
    <col min="10260" max="10260" width="6.28515625" style="3" customWidth="1"/>
    <col min="10261" max="10261" width="10.7109375" style="3" customWidth="1"/>
    <col min="10262" max="10262" width="11.42578125" style="3" hidden="1" customWidth="1"/>
    <col min="10263" max="10496" width="11.42578125" style="3" hidden="1"/>
    <col min="10497" max="10497" width="10.7109375" style="3" customWidth="1"/>
    <col min="10498" max="10499" width="5.7109375" style="3" customWidth="1"/>
    <col min="10500" max="10502" width="10.7109375" style="3" customWidth="1"/>
    <col min="10503" max="10503" width="5.7109375" style="3" customWidth="1"/>
    <col min="10504" max="10506" width="10.7109375" style="3" customWidth="1"/>
    <col min="10507" max="10507" width="5.7109375" style="3" customWidth="1"/>
    <col min="10508" max="10510" width="10.7109375" style="3" customWidth="1"/>
    <col min="10511" max="10511" width="5.7109375" style="3" customWidth="1"/>
    <col min="10512" max="10513" width="10.7109375" style="3" customWidth="1"/>
    <col min="10514" max="10515" width="5.7109375" style="3" customWidth="1"/>
    <col min="10516" max="10516" width="6.28515625" style="3" customWidth="1"/>
    <col min="10517" max="10517" width="10.7109375" style="3" customWidth="1"/>
    <col min="10518" max="10518" width="11.42578125" style="3" hidden="1" customWidth="1"/>
    <col min="10519" max="10752" width="11.42578125" style="3" hidden="1"/>
    <col min="10753" max="10753" width="10.7109375" style="3" customWidth="1"/>
    <col min="10754" max="10755" width="5.7109375" style="3" customWidth="1"/>
    <col min="10756" max="10758" width="10.7109375" style="3" customWidth="1"/>
    <col min="10759" max="10759" width="5.7109375" style="3" customWidth="1"/>
    <col min="10760" max="10762" width="10.7109375" style="3" customWidth="1"/>
    <col min="10763" max="10763" width="5.7109375" style="3" customWidth="1"/>
    <col min="10764" max="10766" width="10.7109375" style="3" customWidth="1"/>
    <col min="10767" max="10767" width="5.7109375" style="3" customWidth="1"/>
    <col min="10768" max="10769" width="10.7109375" style="3" customWidth="1"/>
    <col min="10770" max="10771" width="5.7109375" style="3" customWidth="1"/>
    <col min="10772" max="10772" width="6.28515625" style="3" customWidth="1"/>
    <col min="10773" max="10773" width="10.7109375" style="3" customWidth="1"/>
    <col min="10774" max="10774" width="11.42578125" style="3" hidden="1" customWidth="1"/>
    <col min="10775" max="11008" width="11.42578125" style="3" hidden="1"/>
    <col min="11009" max="11009" width="10.7109375" style="3" customWidth="1"/>
    <col min="11010" max="11011" width="5.7109375" style="3" customWidth="1"/>
    <col min="11012" max="11014" width="10.7109375" style="3" customWidth="1"/>
    <col min="11015" max="11015" width="5.7109375" style="3" customWidth="1"/>
    <col min="11016" max="11018" width="10.7109375" style="3" customWidth="1"/>
    <col min="11019" max="11019" width="5.7109375" style="3" customWidth="1"/>
    <col min="11020" max="11022" width="10.7109375" style="3" customWidth="1"/>
    <col min="11023" max="11023" width="5.7109375" style="3" customWidth="1"/>
    <col min="11024" max="11025" width="10.7109375" style="3" customWidth="1"/>
    <col min="11026" max="11027" width="5.7109375" style="3" customWidth="1"/>
    <col min="11028" max="11028" width="6.28515625" style="3" customWidth="1"/>
    <col min="11029" max="11029" width="10.7109375" style="3" customWidth="1"/>
    <col min="11030" max="11030" width="11.42578125" style="3" hidden="1" customWidth="1"/>
    <col min="11031" max="11264" width="11.42578125" style="3" hidden="1"/>
    <col min="11265" max="11265" width="10.7109375" style="3" customWidth="1"/>
    <col min="11266" max="11267" width="5.7109375" style="3" customWidth="1"/>
    <col min="11268" max="11270" width="10.7109375" style="3" customWidth="1"/>
    <col min="11271" max="11271" width="5.7109375" style="3" customWidth="1"/>
    <col min="11272" max="11274" width="10.7109375" style="3" customWidth="1"/>
    <col min="11275" max="11275" width="5.7109375" style="3" customWidth="1"/>
    <col min="11276" max="11278" width="10.7109375" style="3" customWidth="1"/>
    <col min="11279" max="11279" width="5.7109375" style="3" customWidth="1"/>
    <col min="11280" max="11281" width="10.7109375" style="3" customWidth="1"/>
    <col min="11282" max="11283" width="5.7109375" style="3" customWidth="1"/>
    <col min="11284" max="11284" width="6.28515625" style="3" customWidth="1"/>
    <col min="11285" max="11285" width="10.7109375" style="3" customWidth="1"/>
    <col min="11286" max="11286" width="11.42578125" style="3" hidden="1" customWidth="1"/>
    <col min="11287" max="11520" width="11.42578125" style="3" hidden="1"/>
    <col min="11521" max="11521" width="10.7109375" style="3" customWidth="1"/>
    <col min="11522" max="11523" width="5.7109375" style="3" customWidth="1"/>
    <col min="11524" max="11526" width="10.7109375" style="3" customWidth="1"/>
    <col min="11527" max="11527" width="5.7109375" style="3" customWidth="1"/>
    <col min="11528" max="11530" width="10.7109375" style="3" customWidth="1"/>
    <col min="11531" max="11531" width="5.7109375" style="3" customWidth="1"/>
    <col min="11532" max="11534" width="10.7109375" style="3" customWidth="1"/>
    <col min="11535" max="11535" width="5.7109375" style="3" customWidth="1"/>
    <col min="11536" max="11537" width="10.7109375" style="3" customWidth="1"/>
    <col min="11538" max="11539" width="5.7109375" style="3" customWidth="1"/>
    <col min="11540" max="11540" width="6.28515625" style="3" customWidth="1"/>
    <col min="11541" max="11541" width="10.7109375" style="3" customWidth="1"/>
    <col min="11542" max="11542" width="11.42578125" style="3" hidden="1" customWidth="1"/>
    <col min="11543" max="11776" width="11.42578125" style="3" hidden="1"/>
    <col min="11777" max="11777" width="10.7109375" style="3" customWidth="1"/>
    <col min="11778" max="11779" width="5.7109375" style="3" customWidth="1"/>
    <col min="11780" max="11782" width="10.7109375" style="3" customWidth="1"/>
    <col min="11783" max="11783" width="5.7109375" style="3" customWidth="1"/>
    <col min="11784" max="11786" width="10.7109375" style="3" customWidth="1"/>
    <col min="11787" max="11787" width="5.7109375" style="3" customWidth="1"/>
    <col min="11788" max="11790" width="10.7109375" style="3" customWidth="1"/>
    <col min="11791" max="11791" width="5.7109375" style="3" customWidth="1"/>
    <col min="11792" max="11793" width="10.7109375" style="3" customWidth="1"/>
    <col min="11794" max="11795" width="5.7109375" style="3" customWidth="1"/>
    <col min="11796" max="11796" width="6.28515625" style="3" customWidth="1"/>
    <col min="11797" max="11797" width="10.7109375" style="3" customWidth="1"/>
    <col min="11798" max="11798" width="11.42578125" style="3" hidden="1" customWidth="1"/>
    <col min="11799" max="12032" width="11.42578125" style="3" hidden="1"/>
    <col min="12033" max="12033" width="10.7109375" style="3" customWidth="1"/>
    <col min="12034" max="12035" width="5.7109375" style="3" customWidth="1"/>
    <col min="12036" max="12038" width="10.7109375" style="3" customWidth="1"/>
    <col min="12039" max="12039" width="5.7109375" style="3" customWidth="1"/>
    <col min="12040" max="12042" width="10.7109375" style="3" customWidth="1"/>
    <col min="12043" max="12043" width="5.7109375" style="3" customWidth="1"/>
    <col min="12044" max="12046" width="10.7109375" style="3" customWidth="1"/>
    <col min="12047" max="12047" width="5.7109375" style="3" customWidth="1"/>
    <col min="12048" max="12049" width="10.7109375" style="3" customWidth="1"/>
    <col min="12050" max="12051" width="5.7109375" style="3" customWidth="1"/>
    <col min="12052" max="12052" width="6.28515625" style="3" customWidth="1"/>
    <col min="12053" max="12053" width="10.7109375" style="3" customWidth="1"/>
    <col min="12054" max="12054" width="11.42578125" style="3" hidden="1" customWidth="1"/>
    <col min="12055" max="12288" width="11.42578125" style="3" hidden="1"/>
    <col min="12289" max="12289" width="10.7109375" style="3" customWidth="1"/>
    <col min="12290" max="12291" width="5.7109375" style="3" customWidth="1"/>
    <col min="12292" max="12294" width="10.7109375" style="3" customWidth="1"/>
    <col min="12295" max="12295" width="5.7109375" style="3" customWidth="1"/>
    <col min="12296" max="12298" width="10.7109375" style="3" customWidth="1"/>
    <col min="12299" max="12299" width="5.7109375" style="3" customWidth="1"/>
    <col min="12300" max="12302" width="10.7109375" style="3" customWidth="1"/>
    <col min="12303" max="12303" width="5.7109375" style="3" customWidth="1"/>
    <col min="12304" max="12305" width="10.7109375" style="3" customWidth="1"/>
    <col min="12306" max="12307" width="5.7109375" style="3" customWidth="1"/>
    <col min="12308" max="12308" width="6.28515625" style="3" customWidth="1"/>
    <col min="12309" max="12309" width="10.7109375" style="3" customWidth="1"/>
    <col min="12310" max="12310" width="11.42578125" style="3" hidden="1" customWidth="1"/>
    <col min="12311" max="12544" width="11.42578125" style="3" hidden="1"/>
    <col min="12545" max="12545" width="10.7109375" style="3" customWidth="1"/>
    <col min="12546" max="12547" width="5.7109375" style="3" customWidth="1"/>
    <col min="12548" max="12550" width="10.7109375" style="3" customWidth="1"/>
    <col min="12551" max="12551" width="5.7109375" style="3" customWidth="1"/>
    <col min="12552" max="12554" width="10.7109375" style="3" customWidth="1"/>
    <col min="12555" max="12555" width="5.7109375" style="3" customWidth="1"/>
    <col min="12556" max="12558" width="10.7109375" style="3" customWidth="1"/>
    <col min="12559" max="12559" width="5.7109375" style="3" customWidth="1"/>
    <col min="12560" max="12561" width="10.7109375" style="3" customWidth="1"/>
    <col min="12562" max="12563" width="5.7109375" style="3" customWidth="1"/>
    <col min="12564" max="12564" width="6.28515625" style="3" customWidth="1"/>
    <col min="12565" max="12565" width="10.7109375" style="3" customWidth="1"/>
    <col min="12566" max="12566" width="11.42578125" style="3" hidden="1" customWidth="1"/>
    <col min="12567" max="12800" width="11.42578125" style="3" hidden="1"/>
    <col min="12801" max="12801" width="10.7109375" style="3" customWidth="1"/>
    <col min="12802" max="12803" width="5.7109375" style="3" customWidth="1"/>
    <col min="12804" max="12806" width="10.7109375" style="3" customWidth="1"/>
    <col min="12807" max="12807" width="5.7109375" style="3" customWidth="1"/>
    <col min="12808" max="12810" width="10.7109375" style="3" customWidth="1"/>
    <col min="12811" max="12811" width="5.7109375" style="3" customWidth="1"/>
    <col min="12812" max="12814" width="10.7109375" style="3" customWidth="1"/>
    <col min="12815" max="12815" width="5.7109375" style="3" customWidth="1"/>
    <col min="12816" max="12817" width="10.7109375" style="3" customWidth="1"/>
    <col min="12818" max="12819" width="5.7109375" style="3" customWidth="1"/>
    <col min="12820" max="12820" width="6.28515625" style="3" customWidth="1"/>
    <col min="12821" max="12821" width="10.7109375" style="3" customWidth="1"/>
    <col min="12822" max="12822" width="11.42578125" style="3" hidden="1" customWidth="1"/>
    <col min="12823" max="13056" width="11.42578125" style="3" hidden="1"/>
    <col min="13057" max="13057" width="10.7109375" style="3" customWidth="1"/>
    <col min="13058" max="13059" width="5.7109375" style="3" customWidth="1"/>
    <col min="13060" max="13062" width="10.7109375" style="3" customWidth="1"/>
    <col min="13063" max="13063" width="5.7109375" style="3" customWidth="1"/>
    <col min="13064" max="13066" width="10.7109375" style="3" customWidth="1"/>
    <col min="13067" max="13067" width="5.7109375" style="3" customWidth="1"/>
    <col min="13068" max="13070" width="10.7109375" style="3" customWidth="1"/>
    <col min="13071" max="13071" width="5.7109375" style="3" customWidth="1"/>
    <col min="13072" max="13073" width="10.7109375" style="3" customWidth="1"/>
    <col min="13074" max="13075" width="5.7109375" style="3" customWidth="1"/>
    <col min="13076" max="13076" width="6.28515625" style="3" customWidth="1"/>
    <col min="13077" max="13077" width="10.7109375" style="3" customWidth="1"/>
    <col min="13078" max="13078" width="11.42578125" style="3" hidden="1" customWidth="1"/>
    <col min="13079" max="13312" width="11.42578125" style="3" hidden="1"/>
    <col min="13313" max="13313" width="10.7109375" style="3" customWidth="1"/>
    <col min="13314" max="13315" width="5.7109375" style="3" customWidth="1"/>
    <col min="13316" max="13318" width="10.7109375" style="3" customWidth="1"/>
    <col min="13319" max="13319" width="5.7109375" style="3" customWidth="1"/>
    <col min="13320" max="13322" width="10.7109375" style="3" customWidth="1"/>
    <col min="13323" max="13323" width="5.7109375" style="3" customWidth="1"/>
    <col min="13324" max="13326" width="10.7109375" style="3" customWidth="1"/>
    <col min="13327" max="13327" width="5.7109375" style="3" customWidth="1"/>
    <col min="13328" max="13329" width="10.7109375" style="3" customWidth="1"/>
    <col min="13330" max="13331" width="5.7109375" style="3" customWidth="1"/>
    <col min="13332" max="13332" width="6.28515625" style="3" customWidth="1"/>
    <col min="13333" max="13333" width="10.7109375" style="3" customWidth="1"/>
    <col min="13334" max="13334" width="11.42578125" style="3" hidden="1" customWidth="1"/>
    <col min="13335" max="13568" width="11.42578125" style="3" hidden="1"/>
    <col min="13569" max="13569" width="10.7109375" style="3" customWidth="1"/>
    <col min="13570" max="13571" width="5.7109375" style="3" customWidth="1"/>
    <col min="13572" max="13574" width="10.7109375" style="3" customWidth="1"/>
    <col min="13575" max="13575" width="5.7109375" style="3" customWidth="1"/>
    <col min="13576" max="13578" width="10.7109375" style="3" customWidth="1"/>
    <col min="13579" max="13579" width="5.7109375" style="3" customWidth="1"/>
    <col min="13580" max="13582" width="10.7109375" style="3" customWidth="1"/>
    <col min="13583" max="13583" width="5.7109375" style="3" customWidth="1"/>
    <col min="13584" max="13585" width="10.7109375" style="3" customWidth="1"/>
    <col min="13586" max="13587" width="5.7109375" style="3" customWidth="1"/>
    <col min="13588" max="13588" width="6.28515625" style="3" customWidth="1"/>
    <col min="13589" max="13589" width="10.7109375" style="3" customWidth="1"/>
    <col min="13590" max="13590" width="11.42578125" style="3" hidden="1" customWidth="1"/>
    <col min="13591" max="13824" width="11.42578125" style="3" hidden="1"/>
    <col min="13825" max="13825" width="10.7109375" style="3" customWidth="1"/>
    <col min="13826" max="13827" width="5.7109375" style="3" customWidth="1"/>
    <col min="13828" max="13830" width="10.7109375" style="3" customWidth="1"/>
    <col min="13831" max="13831" width="5.7109375" style="3" customWidth="1"/>
    <col min="13832" max="13834" width="10.7109375" style="3" customWidth="1"/>
    <col min="13835" max="13835" width="5.7109375" style="3" customWidth="1"/>
    <col min="13836" max="13838" width="10.7109375" style="3" customWidth="1"/>
    <col min="13839" max="13839" width="5.7109375" style="3" customWidth="1"/>
    <col min="13840" max="13841" width="10.7109375" style="3" customWidth="1"/>
    <col min="13842" max="13843" width="5.7109375" style="3" customWidth="1"/>
    <col min="13844" max="13844" width="6.28515625" style="3" customWidth="1"/>
    <col min="13845" max="13845" width="10.7109375" style="3" customWidth="1"/>
    <col min="13846" max="13846" width="11.42578125" style="3" hidden="1" customWidth="1"/>
    <col min="13847" max="14080" width="11.42578125" style="3" hidden="1"/>
    <col min="14081" max="14081" width="10.7109375" style="3" customWidth="1"/>
    <col min="14082" max="14083" width="5.7109375" style="3" customWidth="1"/>
    <col min="14084" max="14086" width="10.7109375" style="3" customWidth="1"/>
    <col min="14087" max="14087" width="5.7109375" style="3" customWidth="1"/>
    <col min="14088" max="14090" width="10.7109375" style="3" customWidth="1"/>
    <col min="14091" max="14091" width="5.7109375" style="3" customWidth="1"/>
    <col min="14092" max="14094" width="10.7109375" style="3" customWidth="1"/>
    <col min="14095" max="14095" width="5.7109375" style="3" customWidth="1"/>
    <col min="14096" max="14097" width="10.7109375" style="3" customWidth="1"/>
    <col min="14098" max="14099" width="5.7109375" style="3" customWidth="1"/>
    <col min="14100" max="14100" width="6.28515625" style="3" customWidth="1"/>
    <col min="14101" max="14101" width="10.7109375" style="3" customWidth="1"/>
    <col min="14102" max="14102" width="11.42578125" style="3" hidden="1" customWidth="1"/>
    <col min="14103" max="14336" width="11.42578125" style="3" hidden="1"/>
    <col min="14337" max="14337" width="10.7109375" style="3" customWidth="1"/>
    <col min="14338" max="14339" width="5.7109375" style="3" customWidth="1"/>
    <col min="14340" max="14342" width="10.7109375" style="3" customWidth="1"/>
    <col min="14343" max="14343" width="5.7109375" style="3" customWidth="1"/>
    <col min="14344" max="14346" width="10.7109375" style="3" customWidth="1"/>
    <col min="14347" max="14347" width="5.7109375" style="3" customWidth="1"/>
    <col min="14348" max="14350" width="10.7109375" style="3" customWidth="1"/>
    <col min="14351" max="14351" width="5.7109375" style="3" customWidth="1"/>
    <col min="14352" max="14353" width="10.7109375" style="3" customWidth="1"/>
    <col min="14354" max="14355" width="5.7109375" style="3" customWidth="1"/>
    <col min="14356" max="14356" width="6.28515625" style="3" customWidth="1"/>
    <col min="14357" max="14357" width="10.7109375" style="3" customWidth="1"/>
    <col min="14358" max="14358" width="11.42578125" style="3" hidden="1" customWidth="1"/>
    <col min="14359" max="14592" width="11.42578125" style="3" hidden="1"/>
    <col min="14593" max="14593" width="10.7109375" style="3" customWidth="1"/>
    <col min="14594" max="14595" width="5.7109375" style="3" customWidth="1"/>
    <col min="14596" max="14598" width="10.7109375" style="3" customWidth="1"/>
    <col min="14599" max="14599" width="5.7109375" style="3" customWidth="1"/>
    <col min="14600" max="14602" width="10.7109375" style="3" customWidth="1"/>
    <col min="14603" max="14603" width="5.7109375" style="3" customWidth="1"/>
    <col min="14604" max="14606" width="10.7109375" style="3" customWidth="1"/>
    <col min="14607" max="14607" width="5.7109375" style="3" customWidth="1"/>
    <col min="14608" max="14609" width="10.7109375" style="3" customWidth="1"/>
    <col min="14610" max="14611" width="5.7109375" style="3" customWidth="1"/>
    <col min="14612" max="14612" width="6.28515625" style="3" customWidth="1"/>
    <col min="14613" max="14613" width="10.7109375" style="3" customWidth="1"/>
    <col min="14614" max="14614" width="11.42578125" style="3" hidden="1" customWidth="1"/>
    <col min="14615" max="14848" width="11.42578125" style="3" hidden="1"/>
    <col min="14849" max="14849" width="10.7109375" style="3" customWidth="1"/>
    <col min="14850" max="14851" width="5.7109375" style="3" customWidth="1"/>
    <col min="14852" max="14854" width="10.7109375" style="3" customWidth="1"/>
    <col min="14855" max="14855" width="5.7109375" style="3" customWidth="1"/>
    <col min="14856" max="14858" width="10.7109375" style="3" customWidth="1"/>
    <col min="14859" max="14859" width="5.7109375" style="3" customWidth="1"/>
    <col min="14860" max="14862" width="10.7109375" style="3" customWidth="1"/>
    <col min="14863" max="14863" width="5.7109375" style="3" customWidth="1"/>
    <col min="14864" max="14865" width="10.7109375" style="3" customWidth="1"/>
    <col min="14866" max="14867" width="5.7109375" style="3" customWidth="1"/>
    <col min="14868" max="14868" width="6.28515625" style="3" customWidth="1"/>
    <col min="14869" max="14869" width="10.7109375" style="3" customWidth="1"/>
    <col min="14870" max="14870" width="11.42578125" style="3" hidden="1" customWidth="1"/>
    <col min="14871" max="15104" width="11.42578125" style="3" hidden="1"/>
    <col min="15105" max="15105" width="10.7109375" style="3" customWidth="1"/>
    <col min="15106" max="15107" width="5.7109375" style="3" customWidth="1"/>
    <col min="15108" max="15110" width="10.7109375" style="3" customWidth="1"/>
    <col min="15111" max="15111" width="5.7109375" style="3" customWidth="1"/>
    <col min="15112" max="15114" width="10.7109375" style="3" customWidth="1"/>
    <col min="15115" max="15115" width="5.7109375" style="3" customWidth="1"/>
    <col min="15116" max="15118" width="10.7109375" style="3" customWidth="1"/>
    <col min="15119" max="15119" width="5.7109375" style="3" customWidth="1"/>
    <col min="15120" max="15121" width="10.7109375" style="3" customWidth="1"/>
    <col min="15122" max="15123" width="5.7109375" style="3" customWidth="1"/>
    <col min="15124" max="15124" width="6.28515625" style="3" customWidth="1"/>
    <col min="15125" max="15125" width="10.7109375" style="3" customWidth="1"/>
    <col min="15126" max="15126" width="11.42578125" style="3" hidden="1" customWidth="1"/>
    <col min="15127" max="15360" width="11.42578125" style="3" hidden="1"/>
    <col min="15361" max="15361" width="10.7109375" style="3" customWidth="1"/>
    <col min="15362" max="15363" width="5.7109375" style="3" customWidth="1"/>
    <col min="15364" max="15366" width="10.7109375" style="3" customWidth="1"/>
    <col min="15367" max="15367" width="5.7109375" style="3" customWidth="1"/>
    <col min="15368" max="15370" width="10.7109375" style="3" customWidth="1"/>
    <col min="15371" max="15371" width="5.7109375" style="3" customWidth="1"/>
    <col min="15372" max="15374" width="10.7109375" style="3" customWidth="1"/>
    <col min="15375" max="15375" width="5.7109375" style="3" customWidth="1"/>
    <col min="15376" max="15377" width="10.7109375" style="3" customWidth="1"/>
    <col min="15378" max="15379" width="5.7109375" style="3" customWidth="1"/>
    <col min="15380" max="15380" width="6.28515625" style="3" customWidth="1"/>
    <col min="15381" max="15381" width="10.7109375" style="3" customWidth="1"/>
    <col min="15382" max="15382" width="11.42578125" style="3" hidden="1" customWidth="1"/>
    <col min="15383" max="15616" width="11.42578125" style="3" hidden="1"/>
    <col min="15617" max="15617" width="10.7109375" style="3" customWidth="1"/>
    <col min="15618" max="15619" width="5.7109375" style="3" customWidth="1"/>
    <col min="15620" max="15622" width="10.7109375" style="3" customWidth="1"/>
    <col min="15623" max="15623" width="5.7109375" style="3" customWidth="1"/>
    <col min="15624" max="15626" width="10.7109375" style="3" customWidth="1"/>
    <col min="15627" max="15627" width="5.7109375" style="3" customWidth="1"/>
    <col min="15628" max="15630" width="10.7109375" style="3" customWidth="1"/>
    <col min="15631" max="15631" width="5.7109375" style="3" customWidth="1"/>
    <col min="15632" max="15633" width="10.7109375" style="3" customWidth="1"/>
    <col min="15634" max="15635" width="5.7109375" style="3" customWidth="1"/>
    <col min="15636" max="15636" width="6.28515625" style="3" customWidth="1"/>
    <col min="15637" max="15637" width="10.7109375" style="3" customWidth="1"/>
    <col min="15638" max="15638" width="11.42578125" style="3" hidden="1" customWidth="1"/>
    <col min="15639" max="15872" width="11.42578125" style="3" hidden="1"/>
    <col min="15873" max="15873" width="10.7109375" style="3" customWidth="1"/>
    <col min="15874" max="15875" width="5.7109375" style="3" customWidth="1"/>
    <col min="15876" max="15878" width="10.7109375" style="3" customWidth="1"/>
    <col min="15879" max="15879" width="5.7109375" style="3" customWidth="1"/>
    <col min="15880" max="15882" width="10.7109375" style="3" customWidth="1"/>
    <col min="15883" max="15883" width="5.7109375" style="3" customWidth="1"/>
    <col min="15884" max="15886" width="10.7109375" style="3" customWidth="1"/>
    <col min="15887" max="15887" width="5.7109375" style="3" customWidth="1"/>
    <col min="15888" max="15889" width="10.7109375" style="3" customWidth="1"/>
    <col min="15890" max="15891" width="5.7109375" style="3" customWidth="1"/>
    <col min="15892" max="15892" width="6.28515625" style="3" customWidth="1"/>
    <col min="15893" max="15893" width="10.7109375" style="3" customWidth="1"/>
    <col min="15894" max="15894" width="11.42578125" style="3" hidden="1" customWidth="1"/>
    <col min="15895" max="16128" width="11.42578125" style="3" hidden="1"/>
    <col min="16129" max="16129" width="10.7109375" style="3" customWidth="1"/>
    <col min="16130" max="16131" width="5.7109375" style="3" customWidth="1"/>
    <col min="16132" max="16134" width="10.7109375" style="3" customWidth="1"/>
    <col min="16135" max="16135" width="5.7109375" style="3" customWidth="1"/>
    <col min="16136" max="16138" width="10.7109375" style="3" customWidth="1"/>
    <col min="16139" max="16139" width="5.7109375" style="3" customWidth="1"/>
    <col min="16140" max="16142" width="10.7109375" style="3" customWidth="1"/>
    <col min="16143" max="16143" width="5.7109375" style="3" customWidth="1"/>
    <col min="16144" max="16145" width="10.7109375" style="3" customWidth="1"/>
    <col min="16146" max="16147" width="5.7109375" style="3" customWidth="1"/>
    <col min="16148" max="16148" width="6.28515625" style="3" customWidth="1"/>
    <col min="16149" max="16149" width="10.7109375" style="3" customWidth="1"/>
    <col min="16150" max="16150" width="11.42578125" style="3" hidden="1" customWidth="1"/>
    <col min="16151" max="16384" width="11.42578125" style="3" hidden="1"/>
  </cols>
  <sheetData>
    <row r="1" spans="1:22" ht="8.25" customHeight="1" x14ac:dyDescent="0.25">
      <c r="A1" s="269"/>
      <c r="B1" s="2"/>
      <c r="C1" s="2"/>
      <c r="D1" s="2"/>
      <c r="E1" s="270"/>
      <c r="F1" s="2"/>
      <c r="G1" s="2"/>
      <c r="H1" s="2"/>
      <c r="I1" s="2"/>
      <c r="J1" s="2"/>
      <c r="K1" s="2"/>
      <c r="L1" s="2"/>
      <c r="M1" s="2"/>
      <c r="N1" s="2"/>
      <c r="O1" s="2"/>
      <c r="P1" s="2"/>
      <c r="Q1" s="2"/>
      <c r="R1" s="2"/>
      <c r="S1" s="2"/>
      <c r="T1" s="2"/>
      <c r="U1" s="2"/>
      <c r="V1" s="2"/>
    </row>
    <row r="2" spans="1:22" ht="8.25" customHeight="1" x14ac:dyDescent="0.25">
      <c r="A2" s="2"/>
      <c r="B2" s="1374"/>
      <c r="C2" s="1374"/>
      <c r="D2" s="1374"/>
      <c r="E2" s="1378"/>
      <c r="F2" s="1374"/>
      <c r="G2" s="1374"/>
      <c r="H2" s="1374"/>
      <c r="I2" s="1374"/>
      <c r="J2" s="1374"/>
      <c r="K2" s="1374"/>
      <c r="L2" s="1374"/>
      <c r="M2" s="1374"/>
      <c r="N2" s="1374"/>
      <c r="O2" s="1374"/>
      <c r="P2" s="1374"/>
      <c r="Q2" s="1374"/>
      <c r="R2" s="1374"/>
      <c r="S2" s="1374"/>
      <c r="T2" s="1374"/>
      <c r="U2" s="2"/>
      <c r="V2" s="2"/>
    </row>
    <row r="3" spans="1:22" ht="15" customHeight="1" x14ac:dyDescent="0.25">
      <c r="A3" s="2"/>
      <c r="B3" s="1374"/>
      <c r="C3" s="1374"/>
      <c r="D3" s="1374"/>
      <c r="E3" s="1378"/>
      <c r="F3" s="1374"/>
      <c r="G3" s="1374"/>
      <c r="H3" s="1374"/>
      <c r="I3" s="1374"/>
      <c r="J3" s="1374"/>
      <c r="K3" s="1374"/>
      <c r="L3" s="1374"/>
      <c r="M3" s="1374"/>
      <c r="N3" s="1374"/>
      <c r="O3" s="1381"/>
      <c r="P3" s="1381"/>
      <c r="Q3" s="1381"/>
      <c r="R3" s="1374"/>
      <c r="S3" s="1374"/>
      <c r="T3" s="1374"/>
      <c r="U3" s="2"/>
      <c r="V3" s="2"/>
    </row>
    <row r="4" spans="1:22" ht="5.0999999999999996" customHeight="1" x14ac:dyDescent="0.25">
      <c r="A4" s="2"/>
      <c r="B4" s="1374"/>
      <c r="C4" s="1374"/>
      <c r="D4" s="1374"/>
      <c r="E4" s="1530" t="s">
        <v>651</v>
      </c>
      <c r="F4" s="1530"/>
      <c r="G4" s="1530"/>
      <c r="H4" s="1530"/>
      <c r="I4" s="1530"/>
      <c r="J4" s="1530"/>
      <c r="K4" s="1530"/>
      <c r="L4" s="1530"/>
      <c r="M4" s="1530"/>
      <c r="N4" s="1530"/>
      <c r="O4" s="1381"/>
      <c r="P4" s="1381"/>
      <c r="Q4" s="1381"/>
      <c r="R4" s="1374"/>
      <c r="S4" s="1374"/>
      <c r="T4" s="1374"/>
      <c r="U4" s="2"/>
      <c r="V4" s="2"/>
    </row>
    <row r="5" spans="1:22" ht="18.75" x14ac:dyDescent="0.25">
      <c r="A5" s="2"/>
      <c r="B5" s="1374"/>
      <c r="C5" s="1374"/>
      <c r="D5" s="1374"/>
      <c r="E5" s="1530"/>
      <c r="F5" s="1530"/>
      <c r="G5" s="1530"/>
      <c r="H5" s="1530"/>
      <c r="I5" s="1530"/>
      <c r="J5" s="1530"/>
      <c r="K5" s="1530"/>
      <c r="L5" s="1530"/>
      <c r="M5" s="1530"/>
      <c r="N5" s="1530"/>
      <c r="O5" s="1379"/>
      <c r="P5" s="1379"/>
      <c r="Q5" s="1379"/>
      <c r="R5" s="1379"/>
      <c r="S5" s="1380"/>
      <c r="T5" s="1374"/>
      <c r="U5" s="2"/>
      <c r="V5" s="2"/>
    </row>
    <row r="6" spans="1:22" ht="5.0999999999999996" customHeight="1" x14ac:dyDescent="0.25">
      <c r="A6" s="2"/>
      <c r="B6" s="1374"/>
      <c r="C6" s="1374"/>
      <c r="D6" s="1374"/>
      <c r="E6" s="1530"/>
      <c r="F6" s="1530"/>
      <c r="G6" s="1530"/>
      <c r="H6" s="1530"/>
      <c r="I6" s="1530"/>
      <c r="J6" s="1530"/>
      <c r="K6" s="1530"/>
      <c r="L6" s="1530"/>
      <c r="M6" s="1530"/>
      <c r="N6" s="1530"/>
      <c r="O6" s="1379"/>
      <c r="P6" s="1379"/>
      <c r="Q6" s="1379"/>
      <c r="R6" s="1379"/>
      <c r="S6" s="1380"/>
      <c r="T6" s="1374"/>
      <c r="U6" s="2"/>
      <c r="V6" s="2"/>
    </row>
    <row r="7" spans="1:22" ht="9" customHeight="1" x14ac:dyDescent="0.25">
      <c r="A7" s="2"/>
      <c r="B7" s="1374"/>
      <c r="C7" s="1374"/>
      <c r="D7" s="1381"/>
      <c r="E7" s="1382"/>
      <c r="F7" s="1381"/>
      <c r="G7" s="1381"/>
      <c r="H7" s="1381"/>
      <c r="I7" s="1381"/>
      <c r="J7" s="1381"/>
      <c r="K7" s="1381"/>
      <c r="L7" s="1381"/>
      <c r="M7" s="1381"/>
      <c r="N7" s="1381"/>
      <c r="O7" s="1381"/>
      <c r="P7" s="1381"/>
      <c r="Q7" s="1381"/>
      <c r="R7" s="1374"/>
      <c r="S7" s="1374"/>
      <c r="T7" s="1374"/>
      <c r="U7" s="2"/>
      <c r="V7" s="2"/>
    </row>
    <row r="8" spans="1:22" ht="8.25" customHeight="1" x14ac:dyDescent="0.25">
      <c r="A8" s="2"/>
      <c r="B8" s="1374"/>
      <c r="C8" s="272"/>
      <c r="D8" s="273"/>
      <c r="E8" s="274"/>
      <c r="F8" s="273"/>
      <c r="G8" s="273"/>
      <c r="H8" s="273"/>
      <c r="I8" s="273"/>
      <c r="J8" s="273"/>
      <c r="K8" s="273"/>
      <c r="L8" s="273"/>
      <c r="M8" s="273"/>
      <c r="N8" s="273"/>
      <c r="O8" s="273"/>
      <c r="P8" s="273"/>
      <c r="Q8" s="273"/>
      <c r="R8" s="272"/>
      <c r="S8" s="272"/>
      <c r="T8" s="1374"/>
      <c r="U8" s="2"/>
      <c r="V8" s="2"/>
    </row>
    <row r="9" spans="1:22" ht="15" customHeight="1" x14ac:dyDescent="0.25">
      <c r="A9" s="2"/>
      <c r="B9" s="1374"/>
      <c r="C9" s="272"/>
      <c r="D9" s="1531" t="s">
        <v>1460</v>
      </c>
      <c r="E9" s="1531"/>
      <c r="F9" s="1531"/>
      <c r="G9" s="1531"/>
      <c r="H9" s="1531"/>
      <c r="I9" s="1531"/>
      <c r="J9" s="1531"/>
      <c r="K9" s="1531"/>
      <c r="L9" s="1531"/>
      <c r="M9" s="1531"/>
      <c r="N9" s="1531"/>
      <c r="O9" s="1531"/>
      <c r="P9" s="1531"/>
      <c r="Q9" s="1531"/>
      <c r="R9" s="1531"/>
      <c r="S9" s="288"/>
      <c r="T9" s="1374"/>
      <c r="U9" s="2"/>
      <c r="V9" s="2"/>
    </row>
    <row r="10" spans="1:22" ht="15" customHeight="1" x14ac:dyDescent="0.25">
      <c r="A10" s="2"/>
      <c r="B10" s="1374"/>
      <c r="C10" s="272"/>
      <c r="D10" s="1531"/>
      <c r="E10" s="1531"/>
      <c r="F10" s="1531"/>
      <c r="G10" s="1531"/>
      <c r="H10" s="1531"/>
      <c r="I10" s="1531"/>
      <c r="J10" s="1531"/>
      <c r="K10" s="1531"/>
      <c r="L10" s="1531"/>
      <c r="M10" s="1531"/>
      <c r="N10" s="1531"/>
      <c r="O10" s="1531"/>
      <c r="P10" s="1531"/>
      <c r="Q10" s="1531"/>
      <c r="R10" s="1531"/>
      <c r="S10" s="288"/>
      <c r="T10" s="1374"/>
      <c r="U10" s="2"/>
      <c r="V10" s="2"/>
    </row>
    <row r="11" spans="1:22" x14ac:dyDescent="0.25">
      <c r="A11" s="2"/>
      <c r="B11" s="1374"/>
      <c r="C11" s="272"/>
      <c r="D11" s="1531" t="s">
        <v>1461</v>
      </c>
      <c r="E11" s="1531"/>
      <c r="F11" s="1531"/>
      <c r="G11" s="1531"/>
      <c r="H11" s="1531"/>
      <c r="I11" s="1531"/>
      <c r="J11" s="1531"/>
      <c r="K11" s="1531"/>
      <c r="L11" s="1531"/>
      <c r="M11" s="1531"/>
      <c r="N11" s="1531"/>
      <c r="O11" s="1531"/>
      <c r="P11" s="1531"/>
      <c r="Q11" s="1531"/>
      <c r="R11" s="1531"/>
      <c r="S11" s="288"/>
      <c r="T11" s="1374"/>
      <c r="U11" s="2"/>
      <c r="V11" s="2"/>
    </row>
    <row r="12" spans="1:22" x14ac:dyDescent="0.25">
      <c r="A12" s="2"/>
      <c r="B12" s="1374"/>
      <c r="C12" s="272"/>
      <c r="D12" s="1531"/>
      <c r="E12" s="1531"/>
      <c r="F12" s="1531"/>
      <c r="G12" s="1531"/>
      <c r="H12" s="1531"/>
      <c r="I12" s="1531"/>
      <c r="J12" s="1531"/>
      <c r="K12" s="1531"/>
      <c r="L12" s="1531"/>
      <c r="M12" s="1531"/>
      <c r="N12" s="1531"/>
      <c r="O12" s="1531"/>
      <c r="P12" s="1531"/>
      <c r="Q12" s="1531"/>
      <c r="R12" s="1531"/>
      <c r="S12" s="288"/>
      <c r="T12" s="1374"/>
      <c r="U12" s="2"/>
      <c r="V12" s="2"/>
    </row>
    <row r="13" spans="1:22" x14ac:dyDescent="0.25">
      <c r="A13" s="2"/>
      <c r="B13" s="1374"/>
      <c r="C13" s="272"/>
      <c r="D13" s="1531"/>
      <c r="E13" s="1531"/>
      <c r="F13" s="1531"/>
      <c r="G13" s="1531"/>
      <c r="H13" s="1531"/>
      <c r="I13" s="1531"/>
      <c r="J13" s="1531"/>
      <c r="K13" s="1531"/>
      <c r="L13" s="1531"/>
      <c r="M13" s="1531"/>
      <c r="N13" s="1531"/>
      <c r="O13" s="1531"/>
      <c r="P13" s="1531"/>
      <c r="Q13" s="1531"/>
      <c r="R13" s="1531"/>
      <c r="S13" s="288"/>
      <c r="T13" s="1374"/>
      <c r="U13" s="2"/>
      <c r="V13" s="2"/>
    </row>
    <row r="14" spans="1:22" x14ac:dyDescent="0.25">
      <c r="A14" s="2"/>
      <c r="B14" s="1374"/>
      <c r="C14" s="272"/>
      <c r="D14" s="1531"/>
      <c r="E14" s="1531"/>
      <c r="F14" s="1531"/>
      <c r="G14" s="1531"/>
      <c r="H14" s="1531"/>
      <c r="I14" s="1531"/>
      <c r="J14" s="1531"/>
      <c r="K14" s="1531"/>
      <c r="L14" s="1531"/>
      <c r="M14" s="1531"/>
      <c r="N14" s="1531"/>
      <c r="O14" s="1531"/>
      <c r="P14" s="1531"/>
      <c r="Q14" s="1531"/>
      <c r="R14" s="1531"/>
      <c r="S14" s="288"/>
      <c r="T14" s="1374"/>
      <c r="U14" s="2"/>
      <c r="V14" s="2"/>
    </row>
    <row r="15" spans="1:22" x14ac:dyDescent="0.25">
      <c r="A15" s="2"/>
      <c r="B15" s="1374"/>
      <c r="C15" s="272"/>
      <c r="D15" s="1531"/>
      <c r="E15" s="1531"/>
      <c r="F15" s="1531"/>
      <c r="G15" s="1531"/>
      <c r="H15" s="1531"/>
      <c r="I15" s="1531"/>
      <c r="J15" s="1531"/>
      <c r="K15" s="1531"/>
      <c r="L15" s="1531"/>
      <c r="M15" s="1531"/>
      <c r="N15" s="1531"/>
      <c r="O15" s="1531"/>
      <c r="P15" s="1531"/>
      <c r="Q15" s="1531"/>
      <c r="R15" s="1531"/>
      <c r="S15" s="288"/>
      <c r="T15" s="1374"/>
      <c r="U15" s="2"/>
      <c r="V15" s="2"/>
    </row>
    <row r="16" spans="1:22" ht="6" customHeight="1" x14ac:dyDescent="0.25">
      <c r="A16" s="2"/>
      <c r="B16" s="1374"/>
      <c r="C16" s="272"/>
      <c r="D16" s="275"/>
      <c r="E16" s="275"/>
      <c r="F16" s="275"/>
      <c r="G16" s="275"/>
      <c r="H16" s="275"/>
      <c r="I16" s="275"/>
      <c r="J16" s="275"/>
      <c r="K16" s="275"/>
      <c r="L16" s="275"/>
      <c r="M16" s="275"/>
      <c r="N16" s="275"/>
      <c r="O16" s="275"/>
      <c r="P16" s="275"/>
      <c r="Q16" s="275"/>
      <c r="R16" s="275"/>
      <c r="S16" s="288"/>
      <c r="T16" s="1374"/>
      <c r="U16" s="2"/>
      <c r="V16" s="2"/>
    </row>
    <row r="17" spans="1:22" ht="15" customHeight="1" x14ac:dyDescent="0.25">
      <c r="A17" s="2"/>
      <c r="B17" s="1374"/>
      <c r="C17" s="272"/>
      <c r="D17" s="1532" t="s">
        <v>652</v>
      </c>
      <c r="E17" s="1532"/>
      <c r="F17" s="1532"/>
      <c r="G17" s="1532"/>
      <c r="H17" s="1532"/>
      <c r="I17" s="275"/>
      <c r="J17" s="275"/>
      <c r="K17" s="275"/>
      <c r="L17" s="275"/>
      <c r="M17" s="275"/>
      <c r="N17" s="275"/>
      <c r="O17" s="275"/>
      <c r="P17" s="275"/>
      <c r="Q17" s="275"/>
      <c r="R17" s="275"/>
      <c r="S17" s="288"/>
      <c r="T17" s="1374"/>
      <c r="U17" s="2"/>
      <c r="V17" s="2"/>
    </row>
    <row r="18" spans="1:22" ht="5.25" customHeight="1" x14ac:dyDescent="0.25">
      <c r="A18" s="2"/>
      <c r="B18" s="1374"/>
      <c r="C18" s="272"/>
      <c r="D18" s="275"/>
      <c r="E18" s="275"/>
      <c r="F18" s="275"/>
      <c r="G18" s="275"/>
      <c r="H18" s="275"/>
      <c r="I18" s="275"/>
      <c r="J18" s="275"/>
      <c r="K18" s="275"/>
      <c r="L18" s="275"/>
      <c r="M18" s="275"/>
      <c r="N18" s="275"/>
      <c r="O18" s="275"/>
      <c r="P18" s="275"/>
      <c r="Q18" s="275"/>
      <c r="R18" s="275"/>
      <c r="S18" s="288"/>
      <c r="T18" s="1374"/>
      <c r="U18" s="2"/>
      <c r="V18" s="2"/>
    </row>
    <row r="19" spans="1:22" ht="21" customHeight="1" x14ac:dyDescent="0.25">
      <c r="A19" s="2"/>
      <c r="B19" s="1374"/>
      <c r="C19" s="272"/>
      <c r="D19" s="1528" t="s">
        <v>653</v>
      </c>
      <c r="E19" s="1528"/>
      <c r="F19" s="1528"/>
      <c r="G19" s="1528"/>
      <c r="H19" s="1528"/>
      <c r="I19" s="1528"/>
      <c r="J19" s="1528"/>
      <c r="K19" s="1528"/>
      <c r="L19" s="1528"/>
      <c r="M19" s="1528"/>
      <c r="N19" s="1528"/>
      <c r="O19" s="1528"/>
      <c r="P19" s="1528"/>
      <c r="Q19" s="1528"/>
      <c r="R19" s="1528"/>
      <c r="S19" s="288"/>
      <c r="T19" s="1374"/>
      <c r="U19" s="2"/>
      <c r="V19" s="2"/>
    </row>
    <row r="20" spans="1:22" ht="24" customHeight="1" x14ac:dyDescent="0.25">
      <c r="A20" s="2"/>
      <c r="B20" s="1374"/>
      <c r="C20" s="272"/>
      <c r="D20" s="1528" t="s">
        <v>654</v>
      </c>
      <c r="E20" s="1528"/>
      <c r="F20" s="1528"/>
      <c r="G20" s="1528"/>
      <c r="H20" s="1528"/>
      <c r="I20" s="1528"/>
      <c r="J20" s="1528"/>
      <c r="K20" s="1528"/>
      <c r="L20" s="1528"/>
      <c r="M20" s="1528"/>
      <c r="N20" s="1528"/>
      <c r="O20" s="1528"/>
      <c r="P20" s="1528"/>
      <c r="Q20" s="1528"/>
      <c r="R20" s="1528"/>
      <c r="S20" s="288"/>
      <c r="T20" s="1374"/>
      <c r="U20" s="2"/>
      <c r="V20" s="2"/>
    </row>
    <row r="21" spans="1:22" ht="27.75" customHeight="1" x14ac:dyDescent="0.25">
      <c r="A21" s="2"/>
      <c r="B21" s="1374"/>
      <c r="C21" s="272"/>
      <c r="D21" s="1528" t="s">
        <v>655</v>
      </c>
      <c r="E21" s="1528"/>
      <c r="F21" s="1528"/>
      <c r="G21" s="1528"/>
      <c r="H21" s="1528"/>
      <c r="I21" s="1528"/>
      <c r="J21" s="1528"/>
      <c r="K21" s="1528"/>
      <c r="L21" s="1528"/>
      <c r="M21" s="1528"/>
      <c r="N21" s="1528"/>
      <c r="O21" s="1528"/>
      <c r="P21" s="1528"/>
      <c r="Q21" s="1528"/>
      <c r="R21" s="1528"/>
      <c r="S21" s="288"/>
      <c r="T21" s="1374"/>
      <c r="U21" s="2"/>
      <c r="V21" s="2"/>
    </row>
    <row r="22" spans="1:22" ht="15" customHeight="1" x14ac:dyDescent="0.25">
      <c r="A22" s="2"/>
      <c r="B22" s="1374"/>
      <c r="C22" s="272"/>
      <c r="D22" s="1528" t="s">
        <v>1462</v>
      </c>
      <c r="E22" s="1528"/>
      <c r="F22" s="1528"/>
      <c r="G22" s="1528"/>
      <c r="H22" s="1528"/>
      <c r="I22" s="1528"/>
      <c r="J22" s="1528"/>
      <c r="K22" s="1528"/>
      <c r="L22" s="1528"/>
      <c r="M22" s="1528"/>
      <c r="N22" s="1528"/>
      <c r="O22" s="1528"/>
      <c r="P22" s="1528"/>
      <c r="Q22" s="1528"/>
      <c r="R22" s="1528"/>
      <c r="S22" s="288"/>
      <c r="T22" s="1374"/>
      <c r="U22" s="2"/>
      <c r="V22" s="2"/>
    </row>
    <row r="23" spans="1:22" ht="4.5" customHeight="1" x14ac:dyDescent="0.25">
      <c r="A23" s="2"/>
      <c r="B23" s="1387"/>
      <c r="C23" s="289"/>
      <c r="D23" s="275"/>
      <c r="E23" s="275"/>
      <c r="F23" s="275"/>
      <c r="G23" s="275"/>
      <c r="H23" s="275"/>
      <c r="I23" s="275"/>
      <c r="J23" s="275"/>
      <c r="K23" s="275"/>
      <c r="L23" s="275"/>
      <c r="M23" s="275"/>
      <c r="N23" s="275"/>
      <c r="O23" s="275"/>
      <c r="P23" s="275"/>
      <c r="Q23" s="275"/>
      <c r="R23" s="275"/>
      <c r="S23" s="288"/>
      <c r="T23" s="1374"/>
      <c r="U23" s="2"/>
      <c r="V23" s="2"/>
    </row>
    <row r="24" spans="1:22" ht="15" customHeight="1" x14ac:dyDescent="0.25">
      <c r="A24" s="2"/>
      <c r="B24" s="1374"/>
      <c r="C24" s="272"/>
      <c r="D24" s="1529"/>
      <c r="E24" s="1529"/>
      <c r="F24" s="1529"/>
      <c r="G24" s="1529"/>
      <c r="H24" s="1529"/>
      <c r="I24" s="1529"/>
      <c r="J24" s="1529"/>
      <c r="K24" s="1529"/>
      <c r="L24" s="1529"/>
      <c r="M24" s="1529"/>
      <c r="N24" s="1529"/>
      <c r="O24" s="1529"/>
      <c r="P24" s="1529"/>
      <c r="Q24" s="1529"/>
      <c r="R24" s="1529"/>
      <c r="S24" s="288"/>
      <c r="T24" s="1374"/>
      <c r="U24" s="2"/>
      <c r="V24" s="2"/>
    </row>
    <row r="25" spans="1:22" ht="15" customHeight="1" x14ac:dyDescent="0.25">
      <c r="A25" s="2"/>
      <c r="B25" s="1374"/>
      <c r="C25" s="272"/>
      <c r="D25" s="1529"/>
      <c r="E25" s="1529"/>
      <c r="F25" s="1529"/>
      <c r="G25" s="1529"/>
      <c r="H25" s="1529"/>
      <c r="I25" s="1529"/>
      <c r="J25" s="1529"/>
      <c r="K25" s="1529"/>
      <c r="L25" s="1529"/>
      <c r="M25" s="1529"/>
      <c r="N25" s="1529"/>
      <c r="O25" s="1529"/>
      <c r="P25" s="1529"/>
      <c r="Q25" s="1529"/>
      <c r="R25" s="1529"/>
      <c r="S25" s="288"/>
      <c r="T25" s="1374"/>
      <c r="U25" s="2"/>
      <c r="V25" s="2"/>
    </row>
    <row r="26" spans="1:22" ht="7.5" customHeight="1" x14ac:dyDescent="0.25">
      <c r="A26" s="2"/>
      <c r="B26" s="1374"/>
      <c r="C26" s="1374"/>
      <c r="D26" s="1374"/>
      <c r="E26" s="1388"/>
      <c r="F26" s="1389"/>
      <c r="G26" s="1389"/>
      <c r="H26" s="1389"/>
      <c r="I26" s="1389"/>
      <c r="J26" s="1389"/>
      <c r="K26" s="1389"/>
      <c r="L26" s="1389"/>
      <c r="M26" s="1389"/>
      <c r="N26" s="1389"/>
      <c r="O26" s="1389"/>
      <c r="P26" s="1389"/>
      <c r="Q26" s="1389"/>
      <c r="R26" s="1389"/>
      <c r="S26" s="1389"/>
      <c r="T26" s="1374"/>
      <c r="U26" s="2"/>
      <c r="V26" s="2"/>
    </row>
    <row r="27" spans="1:22" ht="3.75" customHeight="1" x14ac:dyDescent="0.25">
      <c r="A27" s="2"/>
      <c r="B27" s="1374"/>
      <c r="C27" s="1374"/>
      <c r="D27" s="1390"/>
      <c r="E27" s="1382"/>
      <c r="F27" s="1374"/>
      <c r="G27" s="1374"/>
      <c r="H27" s="1374"/>
      <c r="I27" s="1374"/>
      <c r="J27" s="1374"/>
      <c r="K27" s="1374"/>
      <c r="L27" s="1374"/>
      <c r="M27" s="1374"/>
      <c r="N27" s="1374"/>
      <c r="O27" s="1374"/>
      <c r="P27" s="1374"/>
      <c r="Q27" s="1374"/>
      <c r="R27" s="1391"/>
      <c r="S27" s="1391"/>
      <c r="T27" s="1374"/>
      <c r="U27" s="2"/>
      <c r="V27" s="2"/>
    </row>
    <row r="28" spans="1:22" ht="10.5" customHeight="1" x14ac:dyDescent="0.25">
      <c r="A28" s="2"/>
      <c r="B28" s="2"/>
      <c r="C28" s="2"/>
      <c r="D28" s="2"/>
      <c r="E28" s="270"/>
      <c r="F28" s="2"/>
      <c r="G28" s="2"/>
      <c r="H28" s="2"/>
      <c r="I28" s="2"/>
      <c r="J28" s="2"/>
      <c r="K28" s="2"/>
      <c r="L28" s="2"/>
      <c r="M28" s="2"/>
      <c r="N28" s="2"/>
      <c r="O28" s="2"/>
      <c r="P28" s="2"/>
      <c r="Q28" s="2"/>
      <c r="R28" s="2"/>
      <c r="S28" s="2"/>
      <c r="T28" s="2"/>
      <c r="U28" s="2"/>
      <c r="V28" s="2"/>
    </row>
    <row r="29" spans="1:22" x14ac:dyDescent="0.25"/>
    <row r="30" spans="1:22" x14ac:dyDescent="0.25"/>
    <row r="31" spans="1:22" x14ac:dyDescent="0.25"/>
  </sheetData>
  <sheetProtection password="C935" sheet="1" objects="1" scenarios="1"/>
  <mergeCells count="9">
    <mergeCell ref="D21:R21"/>
    <mergeCell ref="D22:R22"/>
    <mergeCell ref="D24:R25"/>
    <mergeCell ref="D20:R20"/>
    <mergeCell ref="E4:N6"/>
    <mergeCell ref="D9:R10"/>
    <mergeCell ref="D11:R15"/>
    <mergeCell ref="D17:H17"/>
    <mergeCell ref="D19:R1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113"/>
  <sheetViews>
    <sheetView tabSelected="1" zoomScale="90" zoomScaleNormal="90" workbookViewId="0">
      <selection sqref="A1:H1"/>
    </sheetView>
  </sheetViews>
  <sheetFormatPr baseColWidth="10" defaultColWidth="11.42578125" defaultRowHeight="15" x14ac:dyDescent="0.25"/>
  <cols>
    <col min="1" max="1" width="14.5703125" style="1396" bestFit="1" customWidth="1"/>
    <col min="2" max="2" width="9.140625" style="1396" bestFit="1" customWidth="1"/>
    <col min="3" max="3" width="10.28515625" style="1396" customWidth="1"/>
    <col min="4" max="4" width="22.42578125" style="1397" customWidth="1"/>
    <col min="5" max="5" width="34.7109375" style="1397" customWidth="1"/>
    <col min="6" max="6" width="9.28515625" style="1396" customWidth="1"/>
    <col min="7" max="7" width="39.85546875" style="1397" customWidth="1"/>
    <col min="8" max="8" width="98" style="1397" customWidth="1"/>
    <col min="9" max="16384" width="11.42578125" style="3"/>
  </cols>
  <sheetData>
    <row r="1" spans="1:8" ht="18.75" x14ac:dyDescent="0.25">
      <c r="A1" s="1537" t="s">
        <v>1602</v>
      </c>
      <c r="B1" s="1537"/>
      <c r="C1" s="1537"/>
      <c r="D1" s="1537"/>
      <c r="E1" s="1537"/>
      <c r="F1" s="1537"/>
      <c r="G1" s="1537"/>
      <c r="H1" s="1537"/>
    </row>
    <row r="3" spans="1:8" ht="30" x14ac:dyDescent="0.25">
      <c r="A3" s="1512" t="s">
        <v>1184</v>
      </c>
      <c r="B3" s="1511" t="s">
        <v>174</v>
      </c>
      <c r="C3" s="1510" t="s">
        <v>1601</v>
      </c>
      <c r="D3" s="1510" t="s">
        <v>1600</v>
      </c>
      <c r="E3" s="1510" t="s">
        <v>1599</v>
      </c>
      <c r="F3" s="1510" t="s">
        <v>27</v>
      </c>
      <c r="G3" s="1510" t="s">
        <v>1598</v>
      </c>
      <c r="H3" s="1509" t="s">
        <v>1597</v>
      </c>
    </row>
    <row r="4" spans="1:8" ht="39.75" customHeight="1" x14ac:dyDescent="0.25">
      <c r="A4" s="1538" t="s">
        <v>1335</v>
      </c>
      <c r="B4" s="1540">
        <v>1</v>
      </c>
      <c r="C4" s="1540" t="s">
        <v>1474</v>
      </c>
      <c r="D4" s="1543" t="s">
        <v>1518</v>
      </c>
      <c r="E4" s="1508" t="s">
        <v>1596</v>
      </c>
      <c r="F4" s="1507" t="s">
        <v>1516</v>
      </c>
      <c r="G4" s="1505" t="s">
        <v>1588</v>
      </c>
      <c r="H4" s="1504" t="s">
        <v>1595</v>
      </c>
    </row>
    <row r="5" spans="1:8" ht="36" customHeight="1" x14ac:dyDescent="0.25">
      <c r="A5" s="1539"/>
      <c r="B5" s="1541"/>
      <c r="C5" s="1541"/>
      <c r="D5" s="1543"/>
      <c r="E5" s="1508" t="s">
        <v>1594</v>
      </c>
      <c r="F5" s="1507" t="s">
        <v>1516</v>
      </c>
      <c r="G5" s="1505" t="s">
        <v>1588</v>
      </c>
      <c r="H5" s="1504" t="s">
        <v>1593</v>
      </c>
    </row>
    <row r="6" spans="1:8" ht="45" x14ac:dyDescent="0.25">
      <c r="A6" s="1539"/>
      <c r="B6" s="1541"/>
      <c r="C6" s="1541"/>
      <c r="D6" s="1544" t="s">
        <v>1515</v>
      </c>
      <c r="E6" s="1545" t="s">
        <v>1592</v>
      </c>
      <c r="F6" s="1544" t="s">
        <v>252</v>
      </c>
      <c r="G6" s="1506" t="s">
        <v>1588</v>
      </c>
      <c r="H6" s="1503" t="s">
        <v>1591</v>
      </c>
    </row>
    <row r="7" spans="1:8" ht="30" x14ac:dyDescent="0.25">
      <c r="A7" s="1539"/>
      <c r="B7" s="1541"/>
      <c r="C7" s="1541"/>
      <c r="D7" s="1544"/>
      <c r="E7" s="1545"/>
      <c r="F7" s="1544"/>
      <c r="G7" s="1506" t="s">
        <v>1538</v>
      </c>
      <c r="H7" s="1503" t="s">
        <v>1590</v>
      </c>
    </row>
    <row r="8" spans="1:8" ht="45" x14ac:dyDescent="0.25">
      <c r="A8" s="1539"/>
      <c r="B8" s="1541"/>
      <c r="C8" s="1541"/>
      <c r="D8" s="1543" t="s">
        <v>1513</v>
      </c>
      <c r="E8" s="1546" t="s">
        <v>1589</v>
      </c>
      <c r="F8" s="1543" t="s">
        <v>1483</v>
      </c>
      <c r="G8" s="1505" t="s">
        <v>1588</v>
      </c>
      <c r="H8" s="1504" t="s">
        <v>1587</v>
      </c>
    </row>
    <row r="9" spans="1:8" ht="90" x14ac:dyDescent="0.25">
      <c r="A9" s="1539"/>
      <c r="B9" s="1541"/>
      <c r="C9" s="1541"/>
      <c r="D9" s="1543"/>
      <c r="E9" s="1546"/>
      <c r="F9" s="1543"/>
      <c r="G9" s="1505" t="s">
        <v>1586</v>
      </c>
      <c r="H9" s="1504" t="s">
        <v>1585</v>
      </c>
    </row>
    <row r="10" spans="1:8" ht="30" customHeight="1" x14ac:dyDescent="0.25">
      <c r="A10" s="1539"/>
      <c r="B10" s="1541"/>
      <c r="C10" s="1541"/>
      <c r="D10" s="1540" t="s">
        <v>1509</v>
      </c>
      <c r="E10" s="1547" t="s">
        <v>1584</v>
      </c>
      <c r="F10" s="1540" t="s">
        <v>1503</v>
      </c>
      <c r="G10" s="1533" t="s">
        <v>1583</v>
      </c>
      <c r="H10" s="1503" t="s">
        <v>1582</v>
      </c>
    </row>
    <row r="11" spans="1:8" ht="30" customHeight="1" x14ac:dyDescent="0.25">
      <c r="A11" s="1539"/>
      <c r="B11" s="1542"/>
      <c r="C11" s="1542"/>
      <c r="D11" s="1542"/>
      <c r="E11" s="1548"/>
      <c r="F11" s="1542"/>
      <c r="G11" s="1534"/>
      <c r="H11" s="1503" t="s">
        <v>1581</v>
      </c>
    </row>
    <row r="12" spans="1:8" ht="60" x14ac:dyDescent="0.25">
      <c r="A12" s="1539"/>
      <c r="B12" s="1501">
        <v>2</v>
      </c>
      <c r="C12" s="1535" t="s">
        <v>1523</v>
      </c>
      <c r="D12" s="1536"/>
      <c r="E12" s="1502" t="s">
        <v>1580</v>
      </c>
      <c r="F12" s="1501" t="s">
        <v>1521</v>
      </c>
      <c r="G12" s="1500" t="s">
        <v>1579</v>
      </c>
      <c r="H12" s="1499" t="s">
        <v>1578</v>
      </c>
    </row>
    <row r="13" spans="1:8" ht="45" x14ac:dyDescent="0.25">
      <c r="A13" s="1559" t="s">
        <v>1577</v>
      </c>
      <c r="B13" s="1562">
        <v>1</v>
      </c>
      <c r="C13" s="1562" t="s">
        <v>1474</v>
      </c>
      <c r="D13" s="1564" t="s">
        <v>1518</v>
      </c>
      <c r="E13" s="1498" t="s">
        <v>1576</v>
      </c>
      <c r="F13" s="1497" t="s">
        <v>1516</v>
      </c>
      <c r="G13" s="1496" t="s">
        <v>1571</v>
      </c>
      <c r="H13" s="1495" t="s">
        <v>1575</v>
      </c>
    </row>
    <row r="14" spans="1:8" ht="45" x14ac:dyDescent="0.25">
      <c r="A14" s="1560"/>
      <c r="B14" s="1563"/>
      <c r="C14" s="1563"/>
      <c r="D14" s="1565"/>
      <c r="E14" s="1494" t="s">
        <v>1574</v>
      </c>
      <c r="F14" s="1493" t="s">
        <v>1516</v>
      </c>
      <c r="G14" s="1489" t="s">
        <v>1571</v>
      </c>
      <c r="H14" s="1488" t="s">
        <v>1573</v>
      </c>
    </row>
    <row r="15" spans="1:8" ht="45" x14ac:dyDescent="0.25">
      <c r="A15" s="1560"/>
      <c r="B15" s="1563"/>
      <c r="C15" s="1563"/>
      <c r="D15" s="1563" t="s">
        <v>1515</v>
      </c>
      <c r="E15" s="1569" t="s">
        <v>1572</v>
      </c>
      <c r="F15" s="1563" t="s">
        <v>252</v>
      </c>
      <c r="G15" s="1491" t="s">
        <v>1571</v>
      </c>
      <c r="H15" s="1492" t="s">
        <v>1570</v>
      </c>
    </row>
    <row r="16" spans="1:8" ht="30" x14ac:dyDescent="0.25">
      <c r="A16" s="1560"/>
      <c r="B16" s="1563"/>
      <c r="C16" s="1563"/>
      <c r="D16" s="1563"/>
      <c r="E16" s="1569"/>
      <c r="F16" s="1563"/>
      <c r="G16" s="1491" t="s">
        <v>1538</v>
      </c>
      <c r="H16" s="1484" t="s">
        <v>1569</v>
      </c>
    </row>
    <row r="17" spans="1:8" ht="45" x14ac:dyDescent="0.25">
      <c r="A17" s="1560"/>
      <c r="B17" s="1563"/>
      <c r="C17" s="1563"/>
      <c r="D17" s="1565" t="s">
        <v>1513</v>
      </c>
      <c r="E17" s="1567" t="s">
        <v>1568</v>
      </c>
      <c r="F17" s="1565" t="s">
        <v>1483</v>
      </c>
      <c r="G17" s="1489" t="s">
        <v>1567</v>
      </c>
      <c r="H17" s="1490" t="s">
        <v>1566</v>
      </c>
    </row>
    <row r="18" spans="1:8" ht="60" x14ac:dyDescent="0.25">
      <c r="A18" s="1560"/>
      <c r="B18" s="1563"/>
      <c r="C18" s="1563"/>
      <c r="D18" s="1565"/>
      <c r="E18" s="1567"/>
      <c r="F18" s="1565"/>
      <c r="G18" s="1489" t="s">
        <v>1533</v>
      </c>
      <c r="H18" s="1488" t="s">
        <v>1565</v>
      </c>
    </row>
    <row r="19" spans="1:8" ht="45" x14ac:dyDescent="0.25">
      <c r="A19" s="1560"/>
      <c r="B19" s="1563"/>
      <c r="C19" s="1563"/>
      <c r="D19" s="1486" t="s">
        <v>1509</v>
      </c>
      <c r="E19" s="1487" t="s">
        <v>1564</v>
      </c>
      <c r="F19" s="1486" t="s">
        <v>1503</v>
      </c>
      <c r="G19" s="1485" t="s">
        <v>1549</v>
      </c>
      <c r="H19" s="1484" t="s">
        <v>1563</v>
      </c>
    </row>
    <row r="20" spans="1:8" ht="45" x14ac:dyDescent="0.25">
      <c r="A20" s="1561"/>
      <c r="B20" s="1482">
        <v>2</v>
      </c>
      <c r="C20" s="1568" t="s">
        <v>1523</v>
      </c>
      <c r="D20" s="1568"/>
      <c r="E20" s="1483" t="s">
        <v>1562</v>
      </c>
      <c r="F20" s="1482" t="s">
        <v>1521</v>
      </c>
      <c r="G20" s="1481" t="s">
        <v>1520</v>
      </c>
      <c r="H20" s="1480" t="s">
        <v>1561</v>
      </c>
    </row>
    <row r="21" spans="1:8" ht="45" x14ac:dyDescent="0.25">
      <c r="A21" s="1549" t="s">
        <v>1356</v>
      </c>
      <c r="B21" s="1552">
        <v>1</v>
      </c>
      <c r="C21" s="1552" t="s">
        <v>1560</v>
      </c>
      <c r="D21" s="1555" t="s">
        <v>1515</v>
      </c>
      <c r="E21" s="1557" t="s">
        <v>1559</v>
      </c>
      <c r="F21" s="1555" t="s">
        <v>252</v>
      </c>
      <c r="G21" s="1479" t="s">
        <v>1555</v>
      </c>
      <c r="H21" s="1478" t="s">
        <v>1603</v>
      </c>
    </row>
    <row r="22" spans="1:8" ht="60" x14ac:dyDescent="0.25">
      <c r="A22" s="1550"/>
      <c r="B22" s="1553"/>
      <c r="C22" s="1553"/>
      <c r="D22" s="1556"/>
      <c r="E22" s="1558"/>
      <c r="F22" s="1556"/>
      <c r="G22" s="1477" t="s">
        <v>1558</v>
      </c>
      <c r="H22" s="1472" t="s">
        <v>1557</v>
      </c>
    </row>
    <row r="23" spans="1:8" ht="45" x14ac:dyDescent="0.25">
      <c r="A23" s="1550"/>
      <c r="B23" s="1553"/>
      <c r="C23" s="1553"/>
      <c r="D23" s="1553" t="s">
        <v>1513</v>
      </c>
      <c r="E23" s="1570" t="s">
        <v>1556</v>
      </c>
      <c r="F23" s="1553" t="s">
        <v>1483</v>
      </c>
      <c r="G23" s="1475" t="s">
        <v>1555</v>
      </c>
      <c r="H23" s="1476" t="s">
        <v>1604</v>
      </c>
    </row>
    <row r="24" spans="1:8" ht="30" x14ac:dyDescent="0.25">
      <c r="A24" s="1550"/>
      <c r="B24" s="1553"/>
      <c r="C24" s="1553"/>
      <c r="D24" s="1553"/>
      <c r="E24" s="1570"/>
      <c r="F24" s="1553"/>
      <c r="G24" s="1475" t="s">
        <v>1554</v>
      </c>
      <c r="H24" s="1474" t="s">
        <v>1553</v>
      </c>
    </row>
    <row r="25" spans="1:8" ht="30" x14ac:dyDescent="0.25">
      <c r="A25" s="1550"/>
      <c r="B25" s="1553"/>
      <c r="C25" s="1553"/>
      <c r="D25" s="1553"/>
      <c r="E25" s="1570"/>
      <c r="F25" s="1553"/>
      <c r="G25" s="1475" t="s">
        <v>1520</v>
      </c>
      <c r="H25" s="1474" t="s">
        <v>1552</v>
      </c>
    </row>
    <row r="26" spans="1:8" x14ac:dyDescent="0.25">
      <c r="A26" s="1550"/>
      <c r="B26" s="1553"/>
      <c r="C26" s="1553"/>
      <c r="D26" s="1571" t="s">
        <v>1551</v>
      </c>
      <c r="E26" s="1558" t="s">
        <v>1550</v>
      </c>
      <c r="F26" s="1556" t="s">
        <v>1503</v>
      </c>
      <c r="G26" s="1473" t="s">
        <v>1549</v>
      </c>
      <c r="H26" s="1472" t="s">
        <v>1548</v>
      </c>
    </row>
    <row r="27" spans="1:8" ht="60" x14ac:dyDescent="0.25">
      <c r="A27" s="1551"/>
      <c r="B27" s="1554"/>
      <c r="C27" s="1554"/>
      <c r="D27" s="1572"/>
      <c r="E27" s="1573"/>
      <c r="F27" s="1574"/>
      <c r="G27" s="1471" t="s">
        <v>1547</v>
      </c>
      <c r="H27" s="1470" t="s">
        <v>1546</v>
      </c>
    </row>
    <row r="28" spans="1:8" ht="45" x14ac:dyDescent="0.25">
      <c r="A28" s="1576" t="s">
        <v>1192</v>
      </c>
      <c r="B28" s="1580">
        <v>1</v>
      </c>
      <c r="C28" s="1580" t="s">
        <v>1474</v>
      </c>
      <c r="D28" s="1583" t="s">
        <v>1518</v>
      </c>
      <c r="E28" s="1525" t="s">
        <v>1545</v>
      </c>
      <c r="F28" s="1469" t="s">
        <v>1516</v>
      </c>
      <c r="G28" s="1468" t="s">
        <v>1540</v>
      </c>
      <c r="H28" s="1467" t="s">
        <v>1544</v>
      </c>
    </row>
    <row r="29" spans="1:8" ht="45" x14ac:dyDescent="0.25">
      <c r="A29" s="1577"/>
      <c r="B29" s="1581"/>
      <c r="C29" s="1581"/>
      <c r="D29" s="1584"/>
      <c r="E29" s="1524" t="s">
        <v>1543</v>
      </c>
      <c r="F29" s="1462" t="s">
        <v>1516</v>
      </c>
      <c r="G29" s="1463" t="s">
        <v>1540</v>
      </c>
      <c r="H29" s="1460" t="s">
        <v>1542</v>
      </c>
    </row>
    <row r="30" spans="1:8" ht="45" x14ac:dyDescent="0.25">
      <c r="A30" s="1577"/>
      <c r="B30" s="1581"/>
      <c r="C30" s="1581"/>
      <c r="D30" s="1566" t="s">
        <v>1515</v>
      </c>
      <c r="E30" s="1575" t="s">
        <v>1541</v>
      </c>
      <c r="F30" s="1566" t="s">
        <v>252</v>
      </c>
      <c r="G30" s="1465" t="s">
        <v>1540</v>
      </c>
      <c r="H30" s="1466" t="s">
        <v>1539</v>
      </c>
    </row>
    <row r="31" spans="1:8" ht="30" x14ac:dyDescent="0.25">
      <c r="A31" s="1577"/>
      <c r="B31" s="1581"/>
      <c r="C31" s="1581"/>
      <c r="D31" s="1566"/>
      <c r="E31" s="1575"/>
      <c r="F31" s="1566"/>
      <c r="G31" s="1465" t="s">
        <v>1538</v>
      </c>
      <c r="H31" s="1457" t="s">
        <v>1537</v>
      </c>
    </row>
    <row r="32" spans="1:8" ht="45" x14ac:dyDescent="0.25">
      <c r="A32" s="1577"/>
      <c r="B32" s="1581"/>
      <c r="C32" s="1581"/>
      <c r="D32" s="1584" t="s">
        <v>1513</v>
      </c>
      <c r="E32" s="1603" t="s">
        <v>1536</v>
      </c>
      <c r="F32" s="1584" t="s">
        <v>1483</v>
      </c>
      <c r="G32" s="1463" t="s">
        <v>1535</v>
      </c>
      <c r="H32" s="1464" t="s">
        <v>1534</v>
      </c>
    </row>
    <row r="33" spans="1:8" ht="60" x14ac:dyDescent="0.25">
      <c r="A33" s="1577"/>
      <c r="B33" s="1581"/>
      <c r="C33" s="1581"/>
      <c r="D33" s="1584"/>
      <c r="E33" s="1603"/>
      <c r="F33" s="1584"/>
      <c r="G33" s="1463" t="s">
        <v>1533</v>
      </c>
      <c r="H33" s="1460" t="s">
        <v>1532</v>
      </c>
    </row>
    <row r="34" spans="1:8" ht="45" x14ac:dyDescent="0.25">
      <c r="A34" s="1577"/>
      <c r="B34" s="1581"/>
      <c r="C34" s="1581"/>
      <c r="D34" s="1459" t="s">
        <v>1509</v>
      </c>
      <c r="E34" s="1523" t="s">
        <v>1531</v>
      </c>
      <c r="F34" s="1459" t="s">
        <v>1503</v>
      </c>
      <c r="G34" s="1458" t="s">
        <v>1525</v>
      </c>
      <c r="H34" s="1457" t="s">
        <v>1530</v>
      </c>
    </row>
    <row r="35" spans="1:8" ht="30" x14ac:dyDescent="0.25">
      <c r="A35" s="1577"/>
      <c r="B35" s="1581"/>
      <c r="C35" s="1581"/>
      <c r="D35" s="1462" t="s">
        <v>250</v>
      </c>
      <c r="E35" s="1524" t="s">
        <v>1527</v>
      </c>
      <c r="F35" s="1462" t="s">
        <v>1529</v>
      </c>
      <c r="G35" s="1461" t="s">
        <v>1528</v>
      </c>
      <c r="H35" s="1460" t="s">
        <v>1527</v>
      </c>
    </row>
    <row r="36" spans="1:8" ht="30" x14ac:dyDescent="0.25">
      <c r="A36" s="1578"/>
      <c r="B36" s="1582"/>
      <c r="C36" s="1582"/>
      <c r="D36" s="1459" t="s">
        <v>249</v>
      </c>
      <c r="E36" s="1523" t="s">
        <v>1526</v>
      </c>
      <c r="F36" s="1459" t="s">
        <v>1503</v>
      </c>
      <c r="G36" s="1458" t="s">
        <v>1525</v>
      </c>
      <c r="H36" s="1457" t="s">
        <v>1524</v>
      </c>
    </row>
    <row r="37" spans="1:8" ht="30" x14ac:dyDescent="0.25">
      <c r="A37" s="1579"/>
      <c r="B37" s="1456">
        <v>2</v>
      </c>
      <c r="C37" s="1604" t="s">
        <v>1523</v>
      </c>
      <c r="D37" s="1604"/>
      <c r="E37" s="1522" t="s">
        <v>1522</v>
      </c>
      <c r="F37" s="1456" t="s">
        <v>1521</v>
      </c>
      <c r="G37" s="1455" t="s">
        <v>1520</v>
      </c>
      <c r="H37" s="1454" t="s">
        <v>1519</v>
      </c>
    </row>
    <row r="38" spans="1:8" ht="30" x14ac:dyDescent="0.25">
      <c r="A38" s="1592" t="s">
        <v>1195</v>
      </c>
      <c r="B38" s="1595">
        <v>1</v>
      </c>
      <c r="C38" s="1595" t="s">
        <v>1474</v>
      </c>
      <c r="D38" s="1453" t="s">
        <v>1518</v>
      </c>
      <c r="E38" s="1521" t="s">
        <v>1517</v>
      </c>
      <c r="F38" s="1453" t="s">
        <v>1516</v>
      </c>
      <c r="G38" s="1452" t="s">
        <v>1511</v>
      </c>
      <c r="H38" s="1451" t="s">
        <v>1510</v>
      </c>
    </row>
    <row r="39" spans="1:8" ht="60" x14ac:dyDescent="0.25">
      <c r="A39" s="1593"/>
      <c r="B39" s="1596"/>
      <c r="C39" s="1596"/>
      <c r="D39" s="1441" t="s">
        <v>1515</v>
      </c>
      <c r="E39" s="1519" t="s">
        <v>1514</v>
      </c>
      <c r="F39" s="1441" t="s">
        <v>252</v>
      </c>
      <c r="G39" s="1450" t="s">
        <v>1511</v>
      </c>
      <c r="H39" s="1449" t="s">
        <v>1510</v>
      </c>
    </row>
    <row r="40" spans="1:8" ht="45" x14ac:dyDescent="0.25">
      <c r="A40" s="1593"/>
      <c r="B40" s="1596"/>
      <c r="C40" s="1596"/>
      <c r="D40" s="1445" t="s">
        <v>1513</v>
      </c>
      <c r="E40" s="1520" t="s">
        <v>1512</v>
      </c>
      <c r="F40" s="1445" t="s">
        <v>1483</v>
      </c>
      <c r="G40" s="1448" t="s">
        <v>1511</v>
      </c>
      <c r="H40" s="1443" t="s">
        <v>1510</v>
      </c>
    </row>
    <row r="41" spans="1:8" ht="45" x14ac:dyDescent="0.25">
      <c r="A41" s="1593"/>
      <c r="B41" s="1596"/>
      <c r="C41" s="1596"/>
      <c r="D41" s="1441" t="s">
        <v>1509</v>
      </c>
      <c r="E41" s="1519" t="s">
        <v>1508</v>
      </c>
      <c r="F41" s="1441" t="s">
        <v>1503</v>
      </c>
      <c r="G41" s="1440" t="s">
        <v>1507</v>
      </c>
      <c r="H41" s="1447" t="s">
        <v>1506</v>
      </c>
    </row>
    <row r="42" spans="1:8" ht="30" x14ac:dyDescent="0.25">
      <c r="A42" s="1593"/>
      <c r="B42" s="1596"/>
      <c r="C42" s="1596"/>
      <c r="D42" s="1446" t="s">
        <v>1505</v>
      </c>
      <c r="E42" s="1520" t="s">
        <v>1504</v>
      </c>
      <c r="F42" s="1445" t="s">
        <v>1503</v>
      </c>
      <c r="G42" s="1444" t="s">
        <v>1502</v>
      </c>
      <c r="H42" s="1443" t="s">
        <v>1501</v>
      </c>
    </row>
    <row r="43" spans="1:8" ht="45" x14ac:dyDescent="0.25">
      <c r="A43" s="1593"/>
      <c r="B43" s="1596"/>
      <c r="C43" s="1596"/>
      <c r="D43" s="1442" t="s">
        <v>1500</v>
      </c>
      <c r="E43" s="1519" t="s">
        <v>1499</v>
      </c>
      <c r="F43" s="1441" t="s">
        <v>1494</v>
      </c>
      <c r="G43" s="1440" t="s">
        <v>1489</v>
      </c>
      <c r="H43" s="1439" t="s">
        <v>1499</v>
      </c>
    </row>
    <row r="44" spans="1:8" ht="30" x14ac:dyDescent="0.25">
      <c r="A44" s="1594"/>
      <c r="B44" s="1597"/>
      <c r="C44" s="1597"/>
      <c r="D44" s="1438" t="s">
        <v>1498</v>
      </c>
      <c r="E44" s="1518" t="s">
        <v>1497</v>
      </c>
      <c r="F44" s="1437" t="s">
        <v>1494</v>
      </c>
      <c r="G44" s="1436" t="s">
        <v>1489</v>
      </c>
      <c r="H44" s="1435" t="s">
        <v>1497</v>
      </c>
    </row>
    <row r="45" spans="1:8" ht="60" x14ac:dyDescent="0.25">
      <c r="A45" s="1585" t="s">
        <v>1198</v>
      </c>
      <c r="B45" s="1588">
        <v>1</v>
      </c>
      <c r="C45" s="1588" t="s">
        <v>1474</v>
      </c>
      <c r="D45" s="1434" t="s">
        <v>1496</v>
      </c>
      <c r="E45" s="1517" t="s">
        <v>1492</v>
      </c>
      <c r="F45" s="1433" t="s">
        <v>1494</v>
      </c>
      <c r="G45" s="1432" t="s">
        <v>1489</v>
      </c>
      <c r="H45" s="1431" t="s">
        <v>1492</v>
      </c>
    </row>
    <row r="46" spans="1:8" ht="60" x14ac:dyDescent="0.25">
      <c r="A46" s="1586"/>
      <c r="B46" s="1589"/>
      <c r="C46" s="1589"/>
      <c r="D46" s="1425" t="s">
        <v>1495</v>
      </c>
      <c r="E46" s="1513" t="s">
        <v>1492</v>
      </c>
      <c r="F46" s="1424" t="s">
        <v>1494</v>
      </c>
      <c r="G46" s="1423" t="s">
        <v>1493</v>
      </c>
      <c r="H46" s="1430" t="s">
        <v>1492</v>
      </c>
    </row>
    <row r="47" spans="1:8" ht="43.15" customHeight="1" x14ac:dyDescent="0.25">
      <c r="A47" s="1586"/>
      <c r="B47" s="1589"/>
      <c r="C47" s="1589"/>
      <c r="D47" s="1591" t="s">
        <v>1491</v>
      </c>
      <c r="E47" s="1428" t="s">
        <v>1490</v>
      </c>
      <c r="F47" s="1427" t="s">
        <v>1483</v>
      </c>
      <c r="G47" s="1429" t="s">
        <v>1489</v>
      </c>
      <c r="H47" s="1598" t="s">
        <v>1488</v>
      </c>
    </row>
    <row r="48" spans="1:8" ht="48" x14ac:dyDescent="0.25">
      <c r="A48" s="1586"/>
      <c r="B48" s="1589"/>
      <c r="C48" s="1589"/>
      <c r="D48" s="1591"/>
      <c r="E48" s="1428" t="s">
        <v>1487</v>
      </c>
      <c r="F48" s="1427" t="s">
        <v>1479</v>
      </c>
      <c r="G48" s="1426" t="s">
        <v>1486</v>
      </c>
      <c r="H48" s="1598"/>
    </row>
    <row r="49" spans="1:8" ht="43.15" customHeight="1" x14ac:dyDescent="0.25">
      <c r="A49" s="1586"/>
      <c r="B49" s="1589"/>
      <c r="C49" s="1589"/>
      <c r="D49" s="1599" t="s">
        <v>1485</v>
      </c>
      <c r="E49" s="1513" t="s">
        <v>1484</v>
      </c>
      <c r="F49" s="1424" t="s">
        <v>1483</v>
      </c>
      <c r="G49" s="1423" t="s">
        <v>1482</v>
      </c>
      <c r="H49" s="1601" t="s">
        <v>1481</v>
      </c>
    </row>
    <row r="50" spans="1:8" ht="60" x14ac:dyDescent="0.25">
      <c r="A50" s="1587"/>
      <c r="B50" s="1590"/>
      <c r="C50" s="1590"/>
      <c r="D50" s="1600"/>
      <c r="E50" s="1514" t="s">
        <v>1480</v>
      </c>
      <c r="F50" s="1422" t="s">
        <v>1479</v>
      </c>
      <c r="G50" s="1421" t="s">
        <v>1478</v>
      </c>
      <c r="H50" s="1602"/>
    </row>
    <row r="51" spans="1:8" ht="60" x14ac:dyDescent="0.25">
      <c r="A51" s="1420" t="s">
        <v>1477</v>
      </c>
      <c r="B51" s="1419">
        <v>1</v>
      </c>
      <c r="C51" s="1419" t="s">
        <v>1474</v>
      </c>
      <c r="D51" s="1418" t="s">
        <v>1476</v>
      </c>
      <c r="E51" s="1515" t="s">
        <v>1475</v>
      </c>
      <c r="F51" s="1417" t="s">
        <v>770</v>
      </c>
      <c r="G51" s="1416" t="s">
        <v>1472</v>
      </c>
      <c r="H51" s="1415" t="s">
        <v>1475</v>
      </c>
    </row>
    <row r="52" spans="1:8" ht="60" x14ac:dyDescent="0.25">
      <c r="A52" s="1414" t="s">
        <v>1359</v>
      </c>
      <c r="B52" s="1413">
        <v>1</v>
      </c>
      <c r="C52" s="1413" t="s">
        <v>1474</v>
      </c>
      <c r="D52" s="1412" t="s">
        <v>1473</v>
      </c>
      <c r="E52" s="1516" t="s">
        <v>1471</v>
      </c>
      <c r="F52" s="1412" t="s">
        <v>770</v>
      </c>
      <c r="G52" s="1411" t="s">
        <v>1472</v>
      </c>
      <c r="H52" s="1410" t="s">
        <v>1471</v>
      </c>
    </row>
    <row r="53" spans="1:8" x14ac:dyDescent="0.25">
      <c r="A53" s="1409"/>
      <c r="B53" s="1408"/>
      <c r="C53" s="1408"/>
      <c r="D53" s="1407"/>
      <c r="E53" s="1407"/>
      <c r="F53" s="1408"/>
      <c r="G53" s="1407"/>
      <c r="H53" s="1406"/>
    </row>
    <row r="54" spans="1:8" x14ac:dyDescent="0.25">
      <c r="A54" s="1405"/>
      <c r="B54" s="1404"/>
      <c r="C54" s="1404"/>
      <c r="D54" s="1403"/>
      <c r="E54" s="1403"/>
      <c r="F54" s="1404"/>
      <c r="G54" s="1403"/>
      <c r="H54" s="1402"/>
    </row>
    <row r="55" spans="1:8" x14ac:dyDescent="0.25">
      <c r="A55" s="1405"/>
      <c r="B55" s="1404"/>
      <c r="C55" s="1404"/>
      <c r="D55" s="1403"/>
      <c r="E55" s="1403"/>
      <c r="F55" s="1404"/>
      <c r="G55" s="1403"/>
      <c r="H55" s="1402"/>
    </row>
    <row r="56" spans="1:8" x14ac:dyDescent="0.25">
      <c r="A56" s="1405"/>
      <c r="B56" s="1404"/>
      <c r="C56" s="1404"/>
      <c r="D56" s="1403"/>
      <c r="E56" s="1403"/>
      <c r="F56" s="1404"/>
      <c r="G56" s="1403"/>
      <c r="H56" s="1402"/>
    </row>
    <row r="57" spans="1:8" x14ac:dyDescent="0.25">
      <c r="A57" s="1405"/>
      <c r="B57" s="1404"/>
      <c r="C57" s="1404"/>
      <c r="D57" s="1403"/>
      <c r="E57" s="1403"/>
      <c r="F57" s="1404"/>
      <c r="G57" s="1403"/>
      <c r="H57" s="1402"/>
    </row>
    <row r="58" spans="1:8" x14ac:dyDescent="0.25">
      <c r="A58" s="1405"/>
      <c r="B58" s="1404"/>
      <c r="C58" s="1404"/>
      <c r="D58" s="1403"/>
      <c r="E58" s="1403"/>
      <c r="F58" s="1404"/>
      <c r="G58" s="1403"/>
      <c r="H58" s="1402"/>
    </row>
    <row r="59" spans="1:8" x14ac:dyDescent="0.25">
      <c r="A59" s="1405"/>
      <c r="B59" s="1404"/>
      <c r="C59" s="1404"/>
      <c r="D59" s="1403"/>
      <c r="E59" s="1403"/>
      <c r="F59" s="1404"/>
      <c r="G59" s="1403"/>
      <c r="H59" s="1402"/>
    </row>
    <row r="60" spans="1:8" x14ac:dyDescent="0.25">
      <c r="A60" s="1405"/>
      <c r="B60" s="1404"/>
      <c r="C60" s="1404"/>
      <c r="D60" s="1403"/>
      <c r="E60" s="1403"/>
      <c r="F60" s="1404"/>
      <c r="G60" s="1403"/>
      <c r="H60" s="1402"/>
    </row>
    <row r="61" spans="1:8" x14ac:dyDescent="0.25">
      <c r="A61" s="1405"/>
      <c r="B61" s="1404"/>
      <c r="C61" s="1404"/>
      <c r="D61" s="1403"/>
      <c r="E61" s="1403"/>
      <c r="F61" s="1404"/>
      <c r="G61" s="1403"/>
      <c r="H61" s="1402"/>
    </row>
    <row r="62" spans="1:8" x14ac:dyDescent="0.25">
      <c r="A62" s="1405"/>
      <c r="B62" s="1404"/>
      <c r="C62" s="1404"/>
      <c r="D62" s="1403"/>
      <c r="E62" s="1403"/>
      <c r="F62" s="1404"/>
      <c r="G62" s="1403"/>
      <c r="H62" s="1402"/>
    </row>
    <row r="63" spans="1:8" x14ac:dyDescent="0.25">
      <c r="A63" s="1405"/>
      <c r="B63" s="1404"/>
      <c r="C63" s="1404"/>
      <c r="D63" s="1403"/>
      <c r="E63" s="1403"/>
      <c r="F63" s="1404"/>
      <c r="G63" s="1403"/>
      <c r="H63" s="1402"/>
    </row>
    <row r="64" spans="1:8" x14ac:dyDescent="0.25">
      <c r="A64" s="1405"/>
      <c r="B64" s="1404"/>
      <c r="C64" s="1404"/>
      <c r="D64" s="1403"/>
      <c r="E64" s="1403"/>
      <c r="F64" s="1404"/>
      <c r="G64" s="1403"/>
      <c r="H64" s="1402"/>
    </row>
    <row r="65" spans="1:8" x14ac:dyDescent="0.25">
      <c r="A65" s="1405"/>
      <c r="B65" s="1404"/>
      <c r="C65" s="1404"/>
      <c r="D65" s="1403"/>
      <c r="E65" s="1403"/>
      <c r="F65" s="1404"/>
      <c r="G65" s="1403"/>
      <c r="H65" s="1402"/>
    </row>
    <row r="66" spans="1:8" x14ac:dyDescent="0.25">
      <c r="A66" s="1405"/>
      <c r="B66" s="1404"/>
      <c r="C66" s="1404"/>
      <c r="D66" s="1403"/>
      <c r="E66" s="1403"/>
      <c r="F66" s="1404"/>
      <c r="G66" s="1403"/>
      <c r="H66" s="1402"/>
    </row>
    <row r="67" spans="1:8" x14ac:dyDescent="0.25">
      <c r="A67" s="1405"/>
      <c r="B67" s="1404"/>
      <c r="C67" s="1404"/>
      <c r="D67" s="1403"/>
      <c r="E67" s="1403"/>
      <c r="F67" s="1404"/>
      <c r="G67" s="1403"/>
      <c r="H67" s="1402"/>
    </row>
    <row r="68" spans="1:8" x14ac:dyDescent="0.25">
      <c r="A68" s="1405"/>
      <c r="B68" s="1404"/>
      <c r="C68" s="1404"/>
      <c r="D68" s="1403"/>
      <c r="E68" s="1403"/>
      <c r="F68" s="1404"/>
      <c r="G68" s="1403"/>
      <c r="H68" s="1402"/>
    </row>
    <row r="69" spans="1:8" x14ac:dyDescent="0.25">
      <c r="A69" s="1405"/>
      <c r="B69" s="1404"/>
      <c r="C69" s="1404"/>
      <c r="D69" s="1403"/>
      <c r="E69" s="1403"/>
      <c r="F69" s="1404"/>
      <c r="G69" s="1403"/>
      <c r="H69" s="1402"/>
    </row>
    <row r="70" spans="1:8" x14ac:dyDescent="0.25">
      <c r="A70" s="1405"/>
      <c r="B70" s="1404"/>
      <c r="C70" s="1404"/>
      <c r="D70" s="1403"/>
      <c r="E70" s="1403"/>
      <c r="F70" s="1404"/>
      <c r="G70" s="1403"/>
      <c r="H70" s="1402"/>
    </row>
    <row r="71" spans="1:8" x14ac:dyDescent="0.25">
      <c r="A71" s="1405"/>
      <c r="B71" s="1404"/>
      <c r="C71" s="1404"/>
      <c r="D71" s="1403"/>
      <c r="E71" s="1403"/>
      <c r="F71" s="1404"/>
      <c r="G71" s="1403"/>
      <c r="H71" s="1402"/>
    </row>
    <row r="72" spans="1:8" x14ac:dyDescent="0.25">
      <c r="A72" s="1405"/>
      <c r="B72" s="1404"/>
      <c r="C72" s="1404"/>
      <c r="D72" s="1403"/>
      <c r="E72" s="1403"/>
      <c r="F72" s="1404"/>
      <c r="G72" s="1403"/>
      <c r="H72" s="1402"/>
    </row>
    <row r="73" spans="1:8" x14ac:dyDescent="0.25">
      <c r="A73" s="1405"/>
      <c r="B73" s="1404"/>
      <c r="C73" s="1404"/>
      <c r="D73" s="1403"/>
      <c r="E73" s="1403"/>
      <c r="F73" s="1404"/>
      <c r="G73" s="1403"/>
      <c r="H73" s="1402"/>
    </row>
    <row r="74" spans="1:8" x14ac:dyDescent="0.25">
      <c r="A74" s="1405"/>
      <c r="B74" s="1404"/>
      <c r="C74" s="1404"/>
      <c r="D74" s="1403"/>
      <c r="E74" s="1403"/>
      <c r="F74" s="1404"/>
      <c r="G74" s="1403"/>
      <c r="H74" s="1402"/>
    </row>
    <row r="75" spans="1:8" x14ac:dyDescent="0.25">
      <c r="A75" s="1405"/>
      <c r="B75" s="1404"/>
      <c r="C75" s="1404"/>
      <c r="D75" s="1403"/>
      <c r="E75" s="1403"/>
      <c r="F75" s="1404"/>
      <c r="G75" s="1403"/>
      <c r="H75" s="1402"/>
    </row>
    <row r="76" spans="1:8" x14ac:dyDescent="0.25">
      <c r="A76" s="1405"/>
      <c r="B76" s="1404"/>
      <c r="C76" s="1404"/>
      <c r="D76" s="1403"/>
      <c r="E76" s="1403"/>
      <c r="F76" s="1404"/>
      <c r="G76" s="1403"/>
      <c r="H76" s="1402"/>
    </row>
    <row r="77" spans="1:8" x14ac:dyDescent="0.25">
      <c r="A77" s="1405"/>
      <c r="B77" s="1404"/>
      <c r="C77" s="1404"/>
      <c r="D77" s="1403"/>
      <c r="E77" s="1403"/>
      <c r="F77" s="1404"/>
      <c r="G77" s="1403"/>
      <c r="H77" s="1402"/>
    </row>
    <row r="78" spans="1:8" x14ac:dyDescent="0.25">
      <c r="A78" s="1405"/>
      <c r="B78" s="1404"/>
      <c r="C78" s="1404"/>
      <c r="D78" s="1403"/>
      <c r="E78" s="1403"/>
      <c r="F78" s="1404"/>
      <c r="G78" s="1403"/>
      <c r="H78" s="1402"/>
    </row>
    <row r="79" spans="1:8" x14ac:dyDescent="0.25">
      <c r="A79" s="1405"/>
      <c r="B79" s="1404"/>
      <c r="C79" s="1404"/>
      <c r="D79" s="1403"/>
      <c r="E79" s="1403"/>
      <c r="F79" s="1404"/>
      <c r="G79" s="1403"/>
      <c r="H79" s="1402"/>
    </row>
    <row r="80" spans="1:8" x14ac:dyDescent="0.25">
      <c r="A80" s="1405"/>
      <c r="B80" s="1404"/>
      <c r="C80" s="1404"/>
      <c r="D80" s="1403"/>
      <c r="E80" s="1403"/>
      <c r="F80" s="1404"/>
      <c r="G80" s="1403"/>
      <c r="H80" s="1402"/>
    </row>
    <row r="81" spans="1:8" x14ac:dyDescent="0.25">
      <c r="A81" s="1405"/>
      <c r="B81" s="1404"/>
      <c r="C81" s="1404"/>
      <c r="D81" s="1403"/>
      <c r="E81" s="1403"/>
      <c r="F81" s="1404"/>
      <c r="G81" s="1403"/>
      <c r="H81" s="1402"/>
    </row>
    <row r="82" spans="1:8" x14ac:dyDescent="0.25">
      <c r="A82" s="1405"/>
      <c r="B82" s="1404"/>
      <c r="C82" s="1404"/>
      <c r="D82" s="1403"/>
      <c r="E82" s="1403"/>
      <c r="F82" s="1404"/>
      <c r="G82" s="1403"/>
      <c r="H82" s="1402"/>
    </row>
    <row r="83" spans="1:8" x14ac:dyDescent="0.25">
      <c r="A83" s="1405"/>
      <c r="B83" s="1404"/>
      <c r="C83" s="1404"/>
      <c r="D83" s="1403"/>
      <c r="E83" s="1403"/>
      <c r="F83" s="1404"/>
      <c r="G83" s="1403"/>
      <c r="H83" s="1402"/>
    </row>
    <row r="84" spans="1:8" x14ac:dyDescent="0.25">
      <c r="A84" s="1405"/>
      <c r="B84" s="1404"/>
      <c r="C84" s="1404"/>
      <c r="D84" s="1403"/>
      <c r="E84" s="1403"/>
      <c r="F84" s="1404"/>
      <c r="G84" s="1403"/>
      <c r="H84" s="1402"/>
    </row>
    <row r="85" spans="1:8" x14ac:dyDescent="0.25">
      <c r="A85" s="1405"/>
      <c r="B85" s="1404"/>
      <c r="C85" s="1404"/>
      <c r="D85" s="1403"/>
      <c r="E85" s="1403"/>
      <c r="F85" s="1404"/>
      <c r="G85" s="1403"/>
      <c r="H85" s="1402"/>
    </row>
    <row r="86" spans="1:8" x14ac:dyDescent="0.25">
      <c r="A86" s="1405"/>
      <c r="B86" s="1404"/>
      <c r="C86" s="1404"/>
      <c r="D86" s="1403"/>
      <c r="E86" s="1403"/>
      <c r="F86" s="1404"/>
      <c r="G86" s="1403"/>
      <c r="H86" s="1402"/>
    </row>
    <row r="87" spans="1:8" x14ac:dyDescent="0.25">
      <c r="A87" s="1405"/>
      <c r="B87" s="1404"/>
      <c r="C87" s="1404"/>
      <c r="D87" s="1403"/>
      <c r="E87" s="1403"/>
      <c r="F87" s="1404"/>
      <c r="G87" s="1403"/>
      <c r="H87" s="1402"/>
    </row>
    <row r="88" spans="1:8" x14ac:dyDescent="0.25">
      <c r="A88" s="1405"/>
      <c r="B88" s="1404"/>
      <c r="C88" s="1404"/>
      <c r="D88" s="1403"/>
      <c r="E88" s="1403"/>
      <c r="F88" s="1404"/>
      <c r="G88" s="1403"/>
      <c r="H88" s="1402"/>
    </row>
    <row r="89" spans="1:8" x14ac:dyDescent="0.25">
      <c r="A89" s="1405"/>
      <c r="B89" s="1404"/>
      <c r="C89" s="1404"/>
      <c r="D89" s="1403"/>
      <c r="E89" s="1403"/>
      <c r="F89" s="1404"/>
      <c r="G89" s="1403"/>
      <c r="H89" s="1402"/>
    </row>
    <row r="90" spans="1:8" x14ac:dyDescent="0.25">
      <c r="A90" s="1405"/>
      <c r="B90" s="1404"/>
      <c r="C90" s="1404"/>
      <c r="D90" s="1403"/>
      <c r="E90" s="1403"/>
      <c r="F90" s="1404"/>
      <c r="G90" s="1403"/>
      <c r="H90" s="1402"/>
    </row>
    <row r="91" spans="1:8" x14ac:dyDescent="0.25">
      <c r="A91" s="1405"/>
      <c r="B91" s="1404"/>
      <c r="C91" s="1404"/>
      <c r="D91" s="1403"/>
      <c r="E91" s="1403"/>
      <c r="F91" s="1404"/>
      <c r="G91" s="1403"/>
      <c r="H91" s="1402"/>
    </row>
    <row r="92" spans="1:8" x14ac:dyDescent="0.25">
      <c r="A92" s="1405"/>
      <c r="B92" s="1404"/>
      <c r="C92" s="1404"/>
      <c r="D92" s="1403"/>
      <c r="E92" s="1403"/>
      <c r="F92" s="1404"/>
      <c r="G92" s="1403"/>
      <c r="H92" s="1402"/>
    </row>
    <row r="93" spans="1:8" x14ac:dyDescent="0.25">
      <c r="A93" s="1405"/>
      <c r="B93" s="1404"/>
      <c r="C93" s="1404"/>
      <c r="D93" s="1403"/>
      <c r="E93" s="1403"/>
      <c r="F93" s="1404"/>
      <c r="G93" s="1403"/>
      <c r="H93" s="1402"/>
    </row>
    <row r="94" spans="1:8" x14ac:dyDescent="0.25">
      <c r="A94" s="1405"/>
      <c r="B94" s="1404"/>
      <c r="C94" s="1404"/>
      <c r="D94" s="1403"/>
      <c r="E94" s="1403"/>
      <c r="F94" s="1404"/>
      <c r="G94" s="1403"/>
      <c r="H94" s="1402"/>
    </row>
    <row r="95" spans="1:8" x14ac:dyDescent="0.25">
      <c r="A95" s="1405"/>
      <c r="B95" s="1404"/>
      <c r="C95" s="1404"/>
      <c r="D95" s="1403"/>
      <c r="E95" s="1403"/>
      <c r="F95" s="1404"/>
      <c r="G95" s="1403"/>
      <c r="H95" s="1402"/>
    </row>
    <row r="96" spans="1:8" x14ac:dyDescent="0.25">
      <c r="A96" s="1405"/>
      <c r="B96" s="1404"/>
      <c r="C96" s="1404"/>
      <c r="D96" s="1403"/>
      <c r="E96" s="1403"/>
      <c r="F96" s="1404"/>
      <c r="G96" s="1403"/>
      <c r="H96" s="1402"/>
    </row>
    <row r="97" spans="1:8" x14ac:dyDescent="0.25">
      <c r="A97" s="1405"/>
      <c r="B97" s="1404"/>
      <c r="C97" s="1404"/>
      <c r="D97" s="1403"/>
      <c r="E97" s="1403"/>
      <c r="F97" s="1404"/>
      <c r="G97" s="1403"/>
      <c r="H97" s="1402"/>
    </row>
    <row r="98" spans="1:8" x14ac:dyDescent="0.25">
      <c r="A98" s="1405"/>
      <c r="B98" s="1404"/>
      <c r="C98" s="1404"/>
      <c r="D98" s="1403"/>
      <c r="E98" s="1403"/>
      <c r="F98" s="1404"/>
      <c r="G98" s="1403"/>
      <c r="H98" s="1402"/>
    </row>
    <row r="99" spans="1:8" x14ac:dyDescent="0.25">
      <c r="A99" s="1405"/>
      <c r="B99" s="1404"/>
      <c r="C99" s="1404"/>
      <c r="D99" s="1403"/>
      <c r="E99" s="1403"/>
      <c r="F99" s="1404"/>
      <c r="G99" s="1403"/>
      <c r="H99" s="1402"/>
    </row>
    <row r="100" spans="1:8" x14ac:dyDescent="0.25">
      <c r="A100" s="1405"/>
      <c r="B100" s="1404"/>
      <c r="C100" s="1404"/>
      <c r="D100" s="1403"/>
      <c r="E100" s="1403"/>
      <c r="F100" s="1404"/>
      <c r="G100" s="1403"/>
      <c r="H100" s="1402"/>
    </row>
    <row r="101" spans="1:8" x14ac:dyDescent="0.25">
      <c r="A101" s="1405"/>
      <c r="B101" s="1404"/>
      <c r="C101" s="1404"/>
      <c r="D101" s="1403"/>
      <c r="E101" s="1403"/>
      <c r="F101" s="1404"/>
      <c r="G101" s="1403"/>
      <c r="H101" s="1402"/>
    </row>
    <row r="102" spans="1:8" x14ac:dyDescent="0.25">
      <c r="A102" s="1405"/>
      <c r="B102" s="1404"/>
      <c r="C102" s="1404"/>
      <c r="D102" s="1403"/>
      <c r="E102" s="1403"/>
      <c r="F102" s="1404"/>
      <c r="G102" s="1403"/>
      <c r="H102" s="1402"/>
    </row>
    <row r="103" spans="1:8" x14ac:dyDescent="0.25">
      <c r="A103" s="1405"/>
      <c r="B103" s="1404"/>
      <c r="C103" s="1404"/>
      <c r="D103" s="1403"/>
      <c r="E103" s="1403"/>
      <c r="F103" s="1404"/>
      <c r="G103" s="1403"/>
      <c r="H103" s="1402"/>
    </row>
    <row r="104" spans="1:8" x14ac:dyDescent="0.25">
      <c r="A104" s="1405"/>
      <c r="B104" s="1404"/>
      <c r="C104" s="1404"/>
      <c r="D104" s="1403"/>
      <c r="E104" s="1403"/>
      <c r="F104" s="1404"/>
      <c r="G104" s="1403"/>
      <c r="H104" s="1402"/>
    </row>
    <row r="105" spans="1:8" x14ac:dyDescent="0.25">
      <c r="A105" s="1405"/>
      <c r="B105" s="1404"/>
      <c r="C105" s="1404"/>
      <c r="D105" s="1403"/>
      <c r="E105" s="1403"/>
      <c r="F105" s="1404"/>
      <c r="G105" s="1403"/>
      <c r="H105" s="1402"/>
    </row>
    <row r="106" spans="1:8" x14ac:dyDescent="0.25">
      <c r="A106" s="1405"/>
      <c r="B106" s="1404"/>
      <c r="C106" s="1404"/>
      <c r="D106" s="1403"/>
      <c r="E106" s="1403"/>
      <c r="F106" s="1404"/>
      <c r="G106" s="1403"/>
      <c r="H106" s="1402"/>
    </row>
    <row r="107" spans="1:8" x14ac:dyDescent="0.25">
      <c r="A107" s="1405"/>
      <c r="B107" s="1404"/>
      <c r="C107" s="1404"/>
      <c r="D107" s="1403"/>
      <c r="E107" s="1403"/>
      <c r="F107" s="1404"/>
      <c r="G107" s="1403"/>
      <c r="H107" s="1402"/>
    </row>
    <row r="108" spans="1:8" x14ac:dyDescent="0.25">
      <c r="A108" s="1405"/>
      <c r="B108" s="1404"/>
      <c r="C108" s="1404"/>
      <c r="D108" s="1403"/>
      <c r="E108" s="1403"/>
      <c r="F108" s="1404"/>
      <c r="G108" s="1403"/>
      <c r="H108" s="1402"/>
    </row>
    <row r="109" spans="1:8" x14ac:dyDescent="0.25">
      <c r="A109" s="1405"/>
      <c r="B109" s="1404"/>
      <c r="C109" s="1404"/>
      <c r="D109" s="1403"/>
      <c r="E109" s="1403"/>
      <c r="F109" s="1404"/>
      <c r="G109" s="1403"/>
      <c r="H109" s="1402"/>
    </row>
    <row r="110" spans="1:8" x14ac:dyDescent="0.25">
      <c r="A110" s="1405"/>
      <c r="B110" s="1404"/>
      <c r="C110" s="1404"/>
      <c r="D110" s="1403"/>
      <c r="E110" s="1403"/>
      <c r="F110" s="1404"/>
      <c r="G110" s="1403"/>
      <c r="H110" s="1402"/>
    </row>
    <row r="111" spans="1:8" x14ac:dyDescent="0.25">
      <c r="A111" s="1405"/>
      <c r="B111" s="1404"/>
      <c r="C111" s="1404"/>
      <c r="D111" s="1403"/>
      <c r="E111" s="1403"/>
      <c r="F111" s="1404"/>
      <c r="G111" s="1403"/>
      <c r="H111" s="1402"/>
    </row>
    <row r="112" spans="1:8" x14ac:dyDescent="0.25">
      <c r="A112" s="1405"/>
      <c r="B112" s="1404"/>
      <c r="C112" s="1404"/>
      <c r="D112" s="1403"/>
      <c r="E112" s="1403"/>
      <c r="F112" s="1404"/>
      <c r="G112" s="1403"/>
      <c r="H112" s="1402"/>
    </row>
    <row r="113" spans="1:8" x14ac:dyDescent="0.25">
      <c r="A113" s="1401"/>
      <c r="B113" s="1400"/>
      <c r="C113" s="1400"/>
      <c r="D113" s="1399"/>
      <c r="E113" s="1399"/>
      <c r="F113" s="1400"/>
      <c r="G113" s="1399"/>
      <c r="H113" s="1398"/>
    </row>
  </sheetData>
  <mergeCells count="60">
    <mergeCell ref="H47:H48"/>
    <mergeCell ref="D49:D50"/>
    <mergeCell ref="H49:H50"/>
    <mergeCell ref="D32:D33"/>
    <mergeCell ref="E32:E33"/>
    <mergeCell ref="F32:F33"/>
    <mergeCell ref="C37:D37"/>
    <mergeCell ref="A45:A50"/>
    <mergeCell ref="B45:B50"/>
    <mergeCell ref="C45:C50"/>
    <mergeCell ref="D47:D48"/>
    <mergeCell ref="A38:A44"/>
    <mergeCell ref="B38:B44"/>
    <mergeCell ref="C38:C44"/>
    <mergeCell ref="A28:A37"/>
    <mergeCell ref="B28:B36"/>
    <mergeCell ref="C28:C36"/>
    <mergeCell ref="D28:D29"/>
    <mergeCell ref="D30:D31"/>
    <mergeCell ref="F30:F31"/>
    <mergeCell ref="F15:F16"/>
    <mergeCell ref="D17:D18"/>
    <mergeCell ref="E17:E18"/>
    <mergeCell ref="F17:F18"/>
    <mergeCell ref="C20:D20"/>
    <mergeCell ref="E15:E16"/>
    <mergeCell ref="F21:F22"/>
    <mergeCell ref="D23:D25"/>
    <mergeCell ref="E23:E25"/>
    <mergeCell ref="F23:F25"/>
    <mergeCell ref="D26:D27"/>
    <mergeCell ref="E26:E27"/>
    <mergeCell ref="F26:F27"/>
    <mergeCell ref="E30:E31"/>
    <mergeCell ref="A13:A20"/>
    <mergeCell ref="B13:B19"/>
    <mergeCell ref="C13:C19"/>
    <mergeCell ref="D13:D14"/>
    <mergeCell ref="D15:D16"/>
    <mergeCell ref="A21:A27"/>
    <mergeCell ref="B21:B27"/>
    <mergeCell ref="C21:C27"/>
    <mergeCell ref="D21:D22"/>
    <mergeCell ref="E21:E22"/>
    <mergeCell ref="G10:G11"/>
    <mergeCell ref="C12:D12"/>
    <mergeCell ref="A1:H1"/>
    <mergeCell ref="A4:A12"/>
    <mergeCell ref="B4:B11"/>
    <mergeCell ref="C4:C11"/>
    <mergeCell ref="D4:D5"/>
    <mergeCell ref="D6:D7"/>
    <mergeCell ref="E6:E7"/>
    <mergeCell ref="F6:F7"/>
    <mergeCell ref="D8:D9"/>
    <mergeCell ref="E8:E9"/>
    <mergeCell ref="F8:F9"/>
    <mergeCell ref="D10:D11"/>
    <mergeCell ref="E10:E11"/>
    <mergeCell ref="F10:F11"/>
  </mergeCells>
  <printOptions horizontalCentered="1"/>
  <pageMargins left="0.19685039370078741" right="0.19685039370078741" top="0.39370078740157483" bottom="0.19685039370078741" header="0.31496062992125984" footer="0.31496062992125984"/>
  <pageSetup scale="57" fitToHeight="5" orientation="landscape" r:id="rId1"/>
  <rowBreaks count="1" manualBreakCount="1">
    <brk id="27" max="7"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2:ED472"/>
  <sheetViews>
    <sheetView zoomScale="70" zoomScaleNormal="70" workbookViewId="0">
      <selection activeCell="B2" sqref="B2:AL3"/>
    </sheetView>
  </sheetViews>
  <sheetFormatPr baseColWidth="10" defaultColWidth="11.42578125" defaultRowHeight="15" x14ac:dyDescent="0.25"/>
  <cols>
    <col min="1" max="1" width="5.5703125" style="97" customWidth="1"/>
    <col min="2" max="2" width="37.85546875" style="98" customWidth="1"/>
    <col min="3" max="3" width="59.42578125" style="98" customWidth="1"/>
    <col min="4" max="4" width="16.42578125" style="98" customWidth="1"/>
    <col min="5" max="5" width="20.7109375" style="98" customWidth="1"/>
    <col min="6" max="16" width="14.42578125" style="98" hidden="1" customWidth="1"/>
    <col min="17" max="17" width="16.7109375" style="98" hidden="1" customWidth="1"/>
    <col min="18" max="18" width="10" style="98" hidden="1" customWidth="1"/>
    <col min="19" max="19" width="13.42578125" style="98" hidden="1" customWidth="1"/>
    <col min="20" max="20" width="13" style="98" hidden="1" customWidth="1"/>
    <col min="21" max="21" width="11.42578125" style="98" hidden="1" customWidth="1"/>
    <col min="22" max="22" width="16.140625" style="93" hidden="1" customWidth="1"/>
    <col min="23" max="23" width="17" style="98" hidden="1" customWidth="1"/>
    <col min="24" max="24" width="13.85546875" style="98" customWidth="1"/>
    <col min="25" max="25" width="15.7109375" style="98" customWidth="1"/>
    <col min="26" max="26" width="16.140625" style="98" hidden="1" customWidth="1"/>
    <col min="27" max="27" width="13.85546875" style="94" customWidth="1"/>
    <col min="28" max="28" width="17" style="94" customWidth="1"/>
    <col min="29" max="29" width="15.85546875" style="98" hidden="1" customWidth="1"/>
    <col min="30" max="30" width="12.85546875" style="94" hidden="1" customWidth="1"/>
    <col min="31" max="31" width="20.42578125" style="95" customWidth="1"/>
    <col min="32" max="32" width="20.5703125" style="98" customWidth="1"/>
    <col min="33" max="33" width="17.140625" style="98" hidden="1" customWidth="1"/>
    <col min="34" max="35" width="12.85546875" style="96" customWidth="1"/>
    <col min="36" max="36" width="16.7109375" style="98" hidden="1" customWidth="1"/>
    <col min="37" max="37" width="12.85546875" style="94" hidden="1" customWidth="1"/>
    <col min="38" max="38" width="11.42578125" style="98" customWidth="1"/>
    <col min="39" max="39" width="20.5703125" style="98" customWidth="1"/>
    <col min="40" max="40" width="17" style="98" hidden="1" customWidth="1"/>
    <col min="41" max="42" width="12.85546875" style="98" customWidth="1"/>
    <col min="43" max="43" width="16.140625" style="98" hidden="1" customWidth="1"/>
    <col min="44" max="44" width="15.140625" style="94" hidden="1" customWidth="1"/>
    <col min="45" max="45" width="11.42578125" style="98" customWidth="1"/>
    <col min="46" max="46" width="20.5703125" style="98" customWidth="1"/>
    <col min="47" max="47" width="16.140625" style="98" hidden="1" customWidth="1"/>
    <col min="48" max="48" width="12.85546875" style="94" customWidth="1"/>
    <col min="49" max="49" width="17.28515625" style="98" hidden="1" customWidth="1"/>
    <col min="50" max="50" width="12.85546875" style="94" hidden="1" customWidth="1"/>
    <col min="51" max="51" width="11.42578125" style="98" customWidth="1"/>
    <col min="52" max="52" width="20.5703125" style="98" customWidth="1"/>
    <col min="53" max="53" width="16.5703125" style="98" hidden="1" customWidth="1"/>
    <col min="54" max="54" width="12.85546875" style="94" customWidth="1"/>
    <col min="55" max="55" width="16" style="94" customWidth="1"/>
    <col min="56" max="56" width="17" style="98" hidden="1" customWidth="1"/>
    <col min="57" max="57" width="12.85546875" style="94" hidden="1" customWidth="1"/>
    <col min="58" max="58" width="21.5703125" style="98" customWidth="1"/>
    <col min="59" max="59" width="20" style="98" customWidth="1"/>
    <col min="60" max="60" width="16.5703125" style="99" customWidth="1"/>
    <col min="61" max="61" width="52.85546875" style="102" customWidth="1"/>
    <col min="62" max="62" width="18.5703125" style="178" customWidth="1"/>
    <col min="63" max="64" width="16.7109375" style="178" customWidth="1"/>
    <col min="65" max="66" width="11.7109375" style="169" customWidth="1"/>
    <col min="67" max="67" width="18.42578125" style="169" customWidth="1"/>
    <col min="68" max="68" width="16.28515625" style="178" customWidth="1"/>
    <col min="69" max="69" width="16" style="178" customWidth="1"/>
    <col min="70" max="70" width="13.42578125" style="178" customWidth="1"/>
    <col min="71" max="72" width="11.7109375" style="178" customWidth="1"/>
    <col min="73" max="73" width="14.85546875" style="178" bestFit="1" customWidth="1"/>
    <col min="74" max="78" width="11.7109375" style="178" customWidth="1"/>
    <col min="79" max="79" width="14.85546875" style="178" bestFit="1" customWidth="1"/>
    <col min="80" max="80" width="11.7109375" style="180" customWidth="1"/>
    <col min="81" max="82" width="11.7109375" style="178" customWidth="1"/>
    <col min="83" max="84" width="11.7109375" style="180" customWidth="1"/>
    <col min="85" max="85" width="14.85546875" style="180" bestFit="1" customWidth="1"/>
    <col min="86" max="86" width="11.7109375" style="180" customWidth="1"/>
    <col min="87" max="88" width="11.7109375" style="178" customWidth="1"/>
    <col min="89" max="90" width="11.7109375" style="180" customWidth="1"/>
    <col min="91" max="91" width="14.85546875" style="180" bestFit="1" customWidth="1"/>
    <col min="92" max="92" width="11.7109375" style="225" customWidth="1"/>
    <col min="93" max="94" width="11.7109375" style="100" customWidth="1"/>
    <col min="95" max="99" width="11.7109375" style="101" customWidth="1"/>
    <col min="100" max="100" width="11.42578125" style="101" customWidth="1"/>
    <col min="101" max="101" width="13.42578125" style="101" customWidth="1"/>
    <col min="102" max="102" width="14.85546875" style="101" customWidth="1"/>
    <col min="103" max="103" width="11.5703125" style="101" customWidth="1"/>
    <col min="104" max="111" width="11.42578125" style="101" customWidth="1"/>
    <col min="112" max="126" width="11.42578125" style="101"/>
    <col min="127" max="134" width="11.42578125" style="100"/>
    <col min="135" max="16384" width="11.42578125" style="98"/>
  </cols>
  <sheetData>
    <row r="2" spans="1:134" s="27" customFormat="1" ht="18.75" customHeight="1" x14ac:dyDescent="0.25">
      <c r="A2" s="26"/>
      <c r="B2" s="1605" t="s">
        <v>1338</v>
      </c>
      <c r="C2" s="1605"/>
      <c r="D2" s="1605"/>
      <c r="E2" s="1605"/>
      <c r="F2" s="1605"/>
      <c r="G2" s="1605"/>
      <c r="H2" s="1605"/>
      <c r="I2" s="1605"/>
      <c r="J2" s="1605"/>
      <c r="K2" s="1605"/>
      <c r="L2" s="1605"/>
      <c r="M2" s="1605"/>
      <c r="N2" s="1605"/>
      <c r="O2" s="1605"/>
      <c r="P2" s="1605"/>
      <c r="Q2" s="1605"/>
      <c r="R2" s="1605"/>
      <c r="S2" s="1605"/>
      <c r="T2" s="1605"/>
      <c r="U2" s="1605"/>
      <c r="V2" s="1605"/>
      <c r="W2" s="1605"/>
      <c r="X2" s="1605"/>
      <c r="Y2" s="1605"/>
      <c r="Z2" s="1605"/>
      <c r="AA2" s="1605"/>
      <c r="AB2" s="1605"/>
      <c r="AC2" s="1605"/>
      <c r="AD2" s="1605"/>
      <c r="AE2" s="1605"/>
      <c r="AF2" s="1605"/>
      <c r="AG2" s="1605"/>
      <c r="AH2" s="1605"/>
      <c r="AI2" s="1605"/>
      <c r="AJ2" s="1605"/>
      <c r="AK2" s="1605"/>
      <c r="AL2" s="1605"/>
      <c r="AM2" s="31"/>
      <c r="AN2" s="32"/>
      <c r="AO2" s="32"/>
      <c r="AP2" s="32"/>
      <c r="AQ2" s="32"/>
      <c r="AR2" s="33"/>
      <c r="AS2" s="30"/>
      <c r="AT2" s="31"/>
      <c r="AU2" s="32"/>
      <c r="AV2" s="33"/>
      <c r="AW2" s="32"/>
      <c r="AX2" s="33"/>
      <c r="AY2" s="30"/>
      <c r="AZ2" s="31"/>
      <c r="BA2" s="32"/>
      <c r="BB2" s="33"/>
      <c r="BC2" s="33"/>
      <c r="BD2" s="32"/>
      <c r="BE2" s="33"/>
      <c r="BF2" s="34"/>
      <c r="BG2" s="35"/>
      <c r="BH2" s="28"/>
      <c r="BI2" s="64"/>
      <c r="BJ2" s="168"/>
      <c r="BK2" s="168"/>
      <c r="BL2" s="168"/>
      <c r="BM2" s="169"/>
      <c r="BN2" s="169"/>
      <c r="BO2" s="169"/>
      <c r="BP2" s="168"/>
      <c r="BQ2" s="168"/>
      <c r="BR2" s="168"/>
      <c r="BS2" s="168"/>
      <c r="BT2" s="168"/>
      <c r="BU2" s="168"/>
      <c r="BV2" s="168"/>
      <c r="BW2" s="168"/>
      <c r="BX2" s="168"/>
      <c r="BY2" s="168"/>
      <c r="BZ2" s="168"/>
      <c r="CA2" s="168"/>
      <c r="CB2" s="170"/>
      <c r="CC2" s="168"/>
      <c r="CD2" s="168"/>
      <c r="CE2" s="170"/>
      <c r="CF2" s="170"/>
      <c r="CG2" s="170"/>
      <c r="CH2" s="170"/>
      <c r="CI2" s="168"/>
      <c r="CJ2" s="168"/>
      <c r="CK2" s="170"/>
      <c r="CL2" s="170"/>
      <c r="CM2" s="170"/>
      <c r="CN2" s="430"/>
      <c r="CO2" s="36"/>
      <c r="CP2" s="36"/>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6"/>
      <c r="DX2" s="36"/>
      <c r="DY2" s="36"/>
      <c r="DZ2" s="36"/>
      <c r="EA2" s="36"/>
      <c r="EB2" s="36"/>
      <c r="EC2" s="36"/>
      <c r="ED2" s="36"/>
    </row>
    <row r="3" spans="1:134" s="27" customFormat="1" ht="33" customHeight="1" x14ac:dyDescent="0.25">
      <c r="A3" s="26"/>
      <c r="B3" s="1605"/>
      <c r="C3" s="1605"/>
      <c r="D3" s="1605"/>
      <c r="E3" s="1605"/>
      <c r="F3" s="1605"/>
      <c r="G3" s="1605"/>
      <c r="H3" s="1605"/>
      <c r="I3" s="1605"/>
      <c r="J3" s="1605"/>
      <c r="K3" s="1605"/>
      <c r="L3" s="1605"/>
      <c r="M3" s="1605"/>
      <c r="N3" s="1605"/>
      <c r="O3" s="1605"/>
      <c r="P3" s="1605"/>
      <c r="Q3" s="1605"/>
      <c r="R3" s="1605"/>
      <c r="S3" s="1605"/>
      <c r="T3" s="1605"/>
      <c r="U3" s="1605"/>
      <c r="V3" s="1605"/>
      <c r="W3" s="1605"/>
      <c r="X3" s="1605"/>
      <c r="Y3" s="1605"/>
      <c r="Z3" s="1605"/>
      <c r="AA3" s="1605"/>
      <c r="AB3" s="1605"/>
      <c r="AC3" s="1605"/>
      <c r="AD3" s="1605"/>
      <c r="AE3" s="1605"/>
      <c r="AF3" s="1605"/>
      <c r="AG3" s="1605"/>
      <c r="AH3" s="1605"/>
      <c r="AI3" s="1605"/>
      <c r="AJ3" s="1605"/>
      <c r="AK3" s="1605"/>
      <c r="AL3" s="1605"/>
      <c r="AM3" s="39"/>
      <c r="AN3" s="40"/>
      <c r="AO3" s="40"/>
      <c r="AP3" s="40"/>
      <c r="AQ3" s="40"/>
      <c r="AR3" s="41"/>
      <c r="AS3" s="38"/>
      <c r="AT3" s="39"/>
      <c r="AU3" s="40"/>
      <c r="AV3" s="41"/>
      <c r="AW3" s="40"/>
      <c r="AX3" s="41"/>
      <c r="AY3" s="38"/>
      <c r="AZ3" s="39"/>
      <c r="BA3" s="40"/>
      <c r="BB3" s="41"/>
      <c r="BC3" s="41"/>
      <c r="BD3" s="40"/>
      <c r="BE3" s="41"/>
      <c r="BF3" s="42"/>
      <c r="BG3" s="32"/>
      <c r="BH3" s="28"/>
      <c r="BI3" s="64"/>
      <c r="BJ3" s="168"/>
      <c r="BK3" s="168"/>
      <c r="BL3" s="168"/>
      <c r="BM3" s="169"/>
      <c r="BN3" s="169"/>
      <c r="BO3" s="169"/>
      <c r="BP3" s="168"/>
      <c r="BQ3" s="168"/>
      <c r="BR3" s="168"/>
      <c r="BS3" s="168"/>
      <c r="BT3" s="168"/>
      <c r="BU3" s="168"/>
      <c r="BV3" s="168"/>
      <c r="BW3" s="168"/>
      <c r="BX3" s="168"/>
      <c r="BY3" s="168"/>
      <c r="BZ3" s="168"/>
      <c r="CA3" s="168"/>
      <c r="CB3" s="170"/>
      <c r="CC3" s="168"/>
      <c r="CD3" s="168"/>
      <c r="CE3" s="170"/>
      <c r="CF3" s="170"/>
      <c r="CG3" s="170"/>
      <c r="CH3" s="170"/>
      <c r="CI3" s="168"/>
      <c r="CJ3" s="168"/>
      <c r="CK3" s="170"/>
      <c r="CL3" s="170"/>
      <c r="CM3" s="170"/>
      <c r="CN3" s="430"/>
      <c r="CO3" s="36"/>
      <c r="CP3" s="36"/>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6"/>
      <c r="DX3" s="36"/>
      <c r="DY3" s="36"/>
      <c r="DZ3" s="36"/>
      <c r="EA3" s="36"/>
      <c r="EB3" s="36"/>
      <c r="EC3" s="36"/>
      <c r="ED3" s="36"/>
    </row>
    <row r="4" spans="1:134" s="26" customFormat="1" ht="18.75" customHeight="1" x14ac:dyDescent="0.25">
      <c r="A4" s="43"/>
      <c r="B4" s="31"/>
      <c r="C4" s="267"/>
      <c r="D4" s="43"/>
      <c r="E4" s="44"/>
      <c r="F4" s="44"/>
      <c r="G4" s="44"/>
      <c r="H4" s="44"/>
      <c r="I4" s="44"/>
      <c r="J4" s="44"/>
      <c r="K4" s="44"/>
      <c r="L4" s="44"/>
      <c r="M4" s="44"/>
      <c r="N4" s="44"/>
      <c r="O4" s="44"/>
      <c r="P4" s="44"/>
      <c r="Q4" s="44"/>
      <c r="R4" s="45"/>
      <c r="S4" s="44"/>
      <c r="T4" s="44"/>
      <c r="U4" s="44"/>
      <c r="V4" s="46"/>
      <c r="W4" s="46"/>
      <c r="X4" s="43"/>
      <c r="Y4" s="43"/>
      <c r="Z4" s="46"/>
      <c r="AA4" s="47"/>
      <c r="AB4" s="47"/>
      <c r="AC4" s="46"/>
      <c r="AD4" s="47"/>
      <c r="AE4" s="48"/>
      <c r="AF4" s="43"/>
      <c r="AG4" s="46"/>
      <c r="AH4" s="49"/>
      <c r="AI4" s="49"/>
      <c r="AJ4" s="46"/>
      <c r="AK4" s="47"/>
      <c r="AL4" s="43"/>
      <c r="AM4" s="43"/>
      <c r="AN4" s="46"/>
      <c r="AO4" s="46"/>
      <c r="AP4" s="46"/>
      <c r="AQ4" s="46"/>
      <c r="AR4" s="47"/>
      <c r="AS4" s="43"/>
      <c r="AT4" s="43"/>
      <c r="AU4" s="46"/>
      <c r="AV4" s="47"/>
      <c r="AW4" s="46"/>
      <c r="AX4" s="47"/>
      <c r="AY4" s="43"/>
      <c r="AZ4" s="43"/>
      <c r="BA4" s="46"/>
      <c r="BB4" s="47"/>
      <c r="BC4" s="47"/>
      <c r="BD4" s="46"/>
      <c r="BE4" s="47"/>
      <c r="BF4" s="50"/>
      <c r="BG4" s="51"/>
      <c r="BH4" s="28"/>
      <c r="BI4" s="164"/>
      <c r="BJ4" s="165"/>
      <c r="BK4" s="165"/>
      <c r="BL4" s="165"/>
      <c r="BM4" s="166"/>
      <c r="BN4" s="166"/>
      <c r="BO4" s="166"/>
      <c r="BP4" s="165"/>
      <c r="BQ4" s="165"/>
      <c r="BR4" s="165"/>
      <c r="BS4" s="165"/>
      <c r="BT4" s="165"/>
      <c r="BU4" s="165"/>
      <c r="BV4" s="165"/>
      <c r="BW4" s="165"/>
      <c r="BX4" s="165"/>
      <c r="BY4" s="165"/>
      <c r="BZ4" s="165"/>
      <c r="CA4" s="165"/>
      <c r="CB4" s="167"/>
      <c r="CC4" s="165"/>
      <c r="CD4" s="165"/>
      <c r="CE4" s="167"/>
      <c r="CF4" s="167"/>
      <c r="CG4" s="167"/>
      <c r="CH4" s="167"/>
      <c r="CI4" s="165"/>
      <c r="CJ4" s="165"/>
      <c r="CK4" s="167"/>
      <c r="CL4" s="167"/>
      <c r="CM4" s="167"/>
      <c r="CN4" s="431"/>
      <c r="CO4" s="29"/>
      <c r="CP4" s="29"/>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9"/>
      <c r="DX4" s="29"/>
      <c r="DY4" s="29"/>
      <c r="DZ4" s="29"/>
      <c r="EA4" s="29"/>
      <c r="EB4" s="29"/>
      <c r="EC4" s="29"/>
      <c r="ED4" s="29"/>
    </row>
    <row r="5" spans="1:134" s="27" customFormat="1" ht="18.75" customHeight="1" x14ac:dyDescent="0.25">
      <c r="A5" s="26"/>
      <c r="B5" s="1624" t="s">
        <v>647</v>
      </c>
      <c r="C5" s="1624"/>
      <c r="D5" s="1624"/>
      <c r="E5" s="1624"/>
      <c r="F5" s="1624"/>
      <c r="G5" s="1624"/>
      <c r="H5" s="1624"/>
      <c r="I5" s="1624"/>
      <c r="J5" s="1624"/>
      <c r="K5" s="1624"/>
      <c r="L5" s="1624"/>
      <c r="M5" s="1624"/>
      <c r="N5" s="1624"/>
      <c r="O5" s="1624"/>
      <c r="P5" s="1624"/>
      <c r="Q5" s="1624"/>
      <c r="R5" s="1624"/>
      <c r="S5" s="1624"/>
      <c r="T5" s="1624"/>
      <c r="U5" s="1624"/>
      <c r="V5" s="1624"/>
      <c r="W5" s="1624"/>
      <c r="X5" s="1624"/>
      <c r="Y5" s="1624"/>
      <c r="Z5" s="1624"/>
      <c r="AA5" s="1624"/>
      <c r="AB5" s="1624"/>
      <c r="AC5" s="1624"/>
      <c r="AD5" s="1624"/>
      <c r="AE5" s="1624"/>
      <c r="AF5" s="1624"/>
      <c r="AG5" s="1624"/>
      <c r="AH5" s="1624"/>
      <c r="AI5" s="1624"/>
      <c r="AJ5" s="1624"/>
      <c r="AK5" s="1624"/>
      <c r="AL5" s="1624"/>
      <c r="BH5" s="28"/>
      <c r="BI5" s="64"/>
      <c r="BJ5" s="168"/>
      <c r="BK5" s="168"/>
      <c r="BL5" s="168"/>
      <c r="BM5" s="169"/>
      <c r="BN5" s="169"/>
      <c r="BO5" s="169"/>
      <c r="BP5" s="168"/>
      <c r="BQ5" s="168"/>
      <c r="BR5" s="168"/>
      <c r="BS5" s="168"/>
      <c r="BT5" s="168"/>
      <c r="BU5" s="168"/>
      <c r="BV5" s="168"/>
      <c r="BW5" s="168"/>
      <c r="BX5" s="168"/>
      <c r="BY5" s="168"/>
      <c r="BZ5" s="168"/>
      <c r="CA5" s="168"/>
      <c r="CB5" s="170"/>
      <c r="CC5" s="168"/>
      <c r="CD5" s="168"/>
      <c r="CE5" s="170"/>
      <c r="CF5" s="170"/>
      <c r="CG5" s="170"/>
      <c r="CH5" s="170"/>
      <c r="CI5" s="168"/>
      <c r="CJ5" s="168"/>
      <c r="CK5" s="170"/>
      <c r="CL5" s="170"/>
      <c r="CM5" s="170"/>
      <c r="CN5" s="430"/>
      <c r="CO5" s="36"/>
      <c r="CP5" s="36"/>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6"/>
      <c r="DX5" s="36"/>
      <c r="DY5" s="36"/>
      <c r="DZ5" s="36"/>
      <c r="EA5" s="36"/>
      <c r="EB5" s="36"/>
      <c r="EC5" s="36"/>
      <c r="ED5" s="36"/>
    </row>
    <row r="6" spans="1:134" s="27" customFormat="1" x14ac:dyDescent="0.25">
      <c r="A6" s="26"/>
      <c r="B6" s="264" t="s">
        <v>17</v>
      </c>
      <c r="C6" s="1612" t="s">
        <v>1464</v>
      </c>
      <c r="D6" s="1612"/>
      <c r="E6" s="1612"/>
      <c r="F6" s="1612"/>
      <c r="G6" s="1612"/>
      <c r="H6" s="1612"/>
      <c r="I6" s="1612"/>
      <c r="J6" s="1612"/>
      <c r="K6" s="1612"/>
      <c r="L6" s="264" t="s">
        <v>16</v>
      </c>
      <c r="M6" s="265"/>
      <c r="N6" s="265"/>
      <c r="O6" s="265"/>
      <c r="P6" s="265"/>
      <c r="Q6" s="265"/>
      <c r="R6" s="265"/>
      <c r="S6" s="265"/>
      <c r="T6" s="265"/>
      <c r="U6" s="265"/>
      <c r="V6" s="265"/>
      <c r="W6" s="265"/>
      <c r="X6" s="264" t="s">
        <v>649</v>
      </c>
      <c r="Y6" s="1625" t="s">
        <v>1467</v>
      </c>
      <c r="Z6" s="1625"/>
      <c r="AA6" s="1625"/>
      <c r="AB6" s="1625"/>
      <c r="AC6" s="1625"/>
      <c r="AD6" s="1625"/>
      <c r="AE6" s="1625"/>
      <c r="AF6" s="1625"/>
      <c r="AG6" s="1625"/>
      <c r="AH6" s="1625"/>
      <c r="AI6" s="1625"/>
      <c r="AJ6" s="1625"/>
      <c r="AK6" s="1625"/>
      <c r="AL6" s="1625"/>
      <c r="BH6" s="28"/>
      <c r="BI6" s="64"/>
      <c r="BJ6" s="168"/>
      <c r="BK6" s="168"/>
      <c r="BL6" s="168"/>
      <c r="BM6" s="169"/>
      <c r="BN6" s="169"/>
      <c r="BO6" s="169"/>
      <c r="BP6" s="168"/>
      <c r="BQ6" s="168"/>
      <c r="BR6" s="168"/>
      <c r="BS6" s="168"/>
      <c r="BT6" s="168"/>
      <c r="BU6" s="168"/>
      <c r="BV6" s="168"/>
      <c r="BW6" s="168"/>
      <c r="BX6" s="168"/>
      <c r="BY6" s="168"/>
      <c r="BZ6" s="168"/>
      <c r="CA6" s="168"/>
      <c r="CB6" s="170"/>
      <c r="CC6" s="168"/>
      <c r="CD6" s="168"/>
      <c r="CE6" s="170"/>
      <c r="CF6" s="170"/>
      <c r="CG6" s="170"/>
      <c r="CH6" s="170"/>
      <c r="CI6" s="168"/>
      <c r="CJ6" s="168"/>
      <c r="CK6" s="170"/>
      <c r="CL6" s="170"/>
      <c r="CM6" s="170"/>
      <c r="CN6" s="430"/>
      <c r="CO6" s="36"/>
      <c r="CP6" s="36"/>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6"/>
      <c r="DX6" s="36"/>
      <c r="DY6" s="36"/>
      <c r="DZ6" s="36"/>
      <c r="EA6" s="36"/>
      <c r="EB6" s="36"/>
      <c r="EC6" s="36"/>
      <c r="ED6" s="36"/>
    </row>
    <row r="7" spans="1:134" s="27" customFormat="1" x14ac:dyDescent="0.25">
      <c r="A7" s="26"/>
      <c r="B7" s="264" t="s">
        <v>648</v>
      </c>
      <c r="C7" s="1612" t="s">
        <v>1465</v>
      </c>
      <c r="D7" s="1612"/>
      <c r="E7" s="1612"/>
      <c r="F7" s="1612"/>
      <c r="G7" s="1612"/>
      <c r="H7" s="1612"/>
      <c r="I7" s="1612"/>
      <c r="J7" s="1612"/>
      <c r="K7" s="1612"/>
      <c r="L7" s="264" t="s">
        <v>17</v>
      </c>
      <c r="M7" s="265"/>
      <c r="N7" s="265"/>
      <c r="O7" s="265"/>
      <c r="P7" s="265"/>
      <c r="Q7" s="265"/>
      <c r="R7" s="265"/>
      <c r="S7" s="265"/>
      <c r="T7" s="265"/>
      <c r="U7" s="265"/>
      <c r="V7" s="265"/>
      <c r="W7" s="265"/>
      <c r="X7" s="264" t="s">
        <v>16</v>
      </c>
      <c r="Y7" s="1625" t="s">
        <v>1468</v>
      </c>
      <c r="Z7" s="1625"/>
      <c r="AA7" s="1625"/>
      <c r="AB7" s="1625"/>
      <c r="AC7" s="1625"/>
      <c r="AD7" s="1625"/>
      <c r="AE7" s="1625"/>
      <c r="AF7" s="1625"/>
      <c r="AG7" s="1625"/>
      <c r="AH7" s="1625"/>
      <c r="AI7" s="1625"/>
      <c r="AJ7" s="1625"/>
      <c r="AK7" s="1625"/>
      <c r="AL7" s="1625"/>
      <c r="BH7" s="28"/>
      <c r="BI7" s="64"/>
      <c r="BJ7" s="168"/>
      <c r="BK7" s="168"/>
      <c r="BL7" s="168"/>
      <c r="BM7" s="169"/>
      <c r="BN7" s="169"/>
      <c r="BO7" s="169"/>
      <c r="BP7" s="168"/>
      <c r="BQ7" s="168"/>
      <c r="BR7" s="168"/>
      <c r="BS7" s="168"/>
      <c r="BT7" s="168"/>
      <c r="BU7" s="168"/>
      <c r="BV7" s="168"/>
      <c r="BW7" s="168"/>
      <c r="BX7" s="168"/>
      <c r="BY7" s="168"/>
      <c r="BZ7" s="168"/>
      <c r="CA7" s="168"/>
      <c r="CB7" s="170"/>
      <c r="CC7" s="168"/>
      <c r="CD7" s="168"/>
      <c r="CE7" s="170"/>
      <c r="CF7" s="170"/>
      <c r="CG7" s="170"/>
      <c r="CH7" s="170"/>
      <c r="CI7" s="168"/>
      <c r="CJ7" s="168"/>
      <c r="CK7" s="170"/>
      <c r="CL7" s="170"/>
      <c r="CM7" s="170"/>
      <c r="CN7" s="430"/>
      <c r="CO7" s="36"/>
      <c r="CP7" s="36"/>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6"/>
      <c r="DX7" s="36"/>
      <c r="DY7" s="36"/>
      <c r="DZ7" s="36"/>
      <c r="EA7" s="36"/>
      <c r="EB7" s="36"/>
      <c r="EC7" s="36"/>
      <c r="ED7" s="36"/>
    </row>
    <row r="8" spans="1:134" s="27" customFormat="1" x14ac:dyDescent="0.25">
      <c r="A8" s="26"/>
      <c r="B8" s="264" t="s">
        <v>18</v>
      </c>
      <c r="C8" s="1612" t="s">
        <v>1466</v>
      </c>
      <c r="D8" s="1612"/>
      <c r="E8" s="1612"/>
      <c r="F8" s="1612"/>
      <c r="G8" s="1612"/>
      <c r="H8" s="1612"/>
      <c r="I8" s="1612"/>
      <c r="J8" s="1612"/>
      <c r="K8" s="1612"/>
      <c r="L8" s="264" t="s">
        <v>19</v>
      </c>
      <c r="M8" s="265"/>
      <c r="N8" s="265"/>
      <c r="O8" s="265"/>
      <c r="P8" s="265"/>
      <c r="Q8" s="265"/>
      <c r="R8" s="265"/>
      <c r="S8" s="265"/>
      <c r="T8" s="265"/>
      <c r="U8" s="265"/>
      <c r="V8" s="265"/>
      <c r="W8" s="265"/>
      <c r="X8" s="264" t="s">
        <v>19</v>
      </c>
      <c r="Y8" s="1625">
        <v>3174291112</v>
      </c>
      <c r="Z8" s="1625"/>
      <c r="AA8" s="1625"/>
      <c r="AB8" s="1625"/>
      <c r="AC8" s="1625"/>
      <c r="AD8" s="1625"/>
      <c r="AE8" s="1625"/>
      <c r="AF8" s="1625"/>
      <c r="AG8" s="1625"/>
      <c r="AH8" s="1625"/>
      <c r="AI8" s="1625"/>
      <c r="AJ8" s="1625"/>
      <c r="AK8" s="1625"/>
      <c r="AL8" s="1625"/>
      <c r="BH8" s="28"/>
      <c r="BI8" s="64"/>
      <c r="BJ8" s="168"/>
      <c r="BK8" s="168"/>
      <c r="BL8" s="168"/>
      <c r="BM8" s="169"/>
      <c r="BN8" s="169"/>
      <c r="BO8" s="169"/>
      <c r="BP8" s="168"/>
      <c r="BQ8" s="168"/>
      <c r="BR8" s="168"/>
      <c r="BS8" s="168"/>
      <c r="BT8" s="168"/>
      <c r="BU8" s="168"/>
      <c r="BV8" s="168"/>
      <c r="BW8" s="168"/>
      <c r="BX8" s="168"/>
      <c r="BY8" s="168"/>
      <c r="BZ8" s="168"/>
      <c r="CA8" s="168"/>
      <c r="CB8" s="170"/>
      <c r="CC8" s="168"/>
      <c r="CD8" s="168"/>
      <c r="CE8" s="170"/>
      <c r="CF8" s="170"/>
      <c r="CG8" s="170"/>
      <c r="CH8" s="170"/>
      <c r="CI8" s="168"/>
      <c r="CJ8" s="168"/>
      <c r="CK8" s="170"/>
      <c r="CL8" s="170"/>
      <c r="CM8" s="170"/>
      <c r="CN8" s="430"/>
      <c r="CO8" s="36"/>
      <c r="CP8" s="36"/>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6"/>
      <c r="DX8" s="36"/>
      <c r="DY8" s="36"/>
      <c r="DZ8" s="36"/>
      <c r="EA8" s="36"/>
      <c r="EB8" s="36"/>
      <c r="EC8" s="36"/>
      <c r="ED8" s="36"/>
    </row>
    <row r="9" spans="1:134" s="27" customFormat="1" x14ac:dyDescent="0.25">
      <c r="A9" s="26"/>
      <c r="B9" s="264" t="s">
        <v>20</v>
      </c>
      <c r="C9" s="1612" t="s">
        <v>1470</v>
      </c>
      <c r="D9" s="1612"/>
      <c r="E9" s="1612"/>
      <c r="F9" s="1612"/>
      <c r="G9" s="1612"/>
      <c r="H9" s="1612"/>
      <c r="I9" s="1612"/>
      <c r="J9" s="1612"/>
      <c r="K9" s="1612"/>
      <c r="L9" s="264" t="s">
        <v>21</v>
      </c>
      <c r="M9" s="265"/>
      <c r="N9" s="265"/>
      <c r="O9" s="265"/>
      <c r="P9" s="265"/>
      <c r="Q9" s="265"/>
      <c r="R9" s="265"/>
      <c r="S9" s="265"/>
      <c r="T9" s="265"/>
      <c r="U9" s="265"/>
      <c r="V9" s="265"/>
      <c r="W9" s="265"/>
      <c r="X9" s="264" t="s">
        <v>21</v>
      </c>
      <c r="Y9" s="1625">
        <v>2019</v>
      </c>
      <c r="Z9" s="1625"/>
      <c r="AA9" s="1625"/>
      <c r="AB9" s="1625"/>
      <c r="AC9" s="1625"/>
      <c r="AD9" s="1625"/>
      <c r="AE9" s="1625"/>
      <c r="AF9" s="1625"/>
      <c r="AG9" s="1625"/>
      <c r="AH9" s="1625"/>
      <c r="AI9" s="1625"/>
      <c r="AJ9" s="1625"/>
      <c r="AK9" s="1625"/>
      <c r="AL9" s="1625"/>
      <c r="BH9" s="28"/>
      <c r="BI9" s="64"/>
      <c r="BJ9" s="168"/>
      <c r="BK9" s="168"/>
      <c r="BL9" s="168"/>
      <c r="BM9" s="169"/>
      <c r="BN9" s="169"/>
      <c r="BO9" s="169"/>
      <c r="BP9" s="168"/>
      <c r="BQ9" s="168"/>
      <c r="BR9" s="168"/>
      <c r="BS9" s="168"/>
      <c r="BT9" s="168"/>
      <c r="BU9" s="168"/>
      <c r="BV9" s="168"/>
      <c r="BW9" s="168"/>
      <c r="BX9" s="168"/>
      <c r="BY9" s="168"/>
      <c r="BZ9" s="168"/>
      <c r="CA9" s="168"/>
      <c r="CB9" s="170"/>
      <c r="CC9" s="168"/>
      <c r="CD9" s="168"/>
      <c r="CE9" s="170"/>
      <c r="CF9" s="170"/>
      <c r="CG9" s="170"/>
      <c r="CH9" s="170"/>
      <c r="CI9" s="168"/>
      <c r="CJ9" s="168"/>
      <c r="CK9" s="170"/>
      <c r="CL9" s="170"/>
      <c r="CM9" s="170"/>
      <c r="CN9" s="430"/>
      <c r="CO9" s="36"/>
      <c r="CP9" s="36"/>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6"/>
      <c r="DX9" s="36"/>
      <c r="DY9" s="36"/>
      <c r="DZ9" s="36"/>
      <c r="EA9" s="36"/>
      <c r="EB9" s="36"/>
      <c r="EC9" s="36"/>
      <c r="ED9" s="36"/>
    </row>
    <row r="10" spans="1:134" s="27" customFormat="1" x14ac:dyDescent="0.25">
      <c r="A10" s="26"/>
      <c r="B10" s="264" t="s">
        <v>121</v>
      </c>
      <c r="C10" s="1613" t="s">
        <v>1469</v>
      </c>
      <c r="D10" s="1612"/>
      <c r="E10" s="1612"/>
      <c r="F10" s="1612"/>
      <c r="G10" s="1612"/>
      <c r="H10" s="1612"/>
      <c r="I10" s="1612"/>
      <c r="J10" s="1612"/>
      <c r="K10" s="1612"/>
      <c r="L10" s="264" t="s">
        <v>22</v>
      </c>
      <c r="M10" s="266"/>
      <c r="N10" s="265"/>
      <c r="O10" s="265"/>
      <c r="P10" s="265"/>
      <c r="Q10" s="265"/>
      <c r="R10" s="265"/>
      <c r="S10" s="265"/>
      <c r="T10" s="265"/>
      <c r="U10" s="265"/>
      <c r="V10" s="265"/>
      <c r="W10" s="265"/>
      <c r="X10" s="264" t="s">
        <v>22</v>
      </c>
      <c r="Y10" s="1626">
        <v>44386</v>
      </c>
      <c r="Z10" s="1627"/>
      <c r="AA10" s="1627"/>
      <c r="AB10" s="1627"/>
      <c r="AC10" s="1627"/>
      <c r="AD10" s="1627"/>
      <c r="AE10" s="1627"/>
      <c r="AF10" s="1627"/>
      <c r="AG10" s="1627"/>
      <c r="AH10" s="1627"/>
      <c r="AI10" s="1627"/>
      <c r="AJ10" s="1627"/>
      <c r="AK10" s="1627"/>
      <c r="AL10" s="1627"/>
      <c r="BH10" s="28"/>
      <c r="BI10" s="64"/>
      <c r="BJ10" s="168"/>
      <c r="BK10" s="168"/>
      <c r="BL10" s="168"/>
      <c r="BM10" s="169"/>
      <c r="BN10" s="169"/>
      <c r="BO10" s="169"/>
      <c r="BP10" s="171"/>
      <c r="BQ10" s="171"/>
      <c r="BR10" s="171"/>
      <c r="BS10" s="171"/>
      <c r="BT10" s="171"/>
      <c r="BU10" s="171"/>
      <c r="BV10" s="168"/>
      <c r="BW10" s="171"/>
      <c r="BX10" s="171"/>
      <c r="BY10" s="168"/>
      <c r="BZ10" s="168"/>
      <c r="CA10" s="168"/>
      <c r="CB10" s="170"/>
      <c r="CC10" s="171"/>
      <c r="CD10" s="171"/>
      <c r="CE10" s="170"/>
      <c r="CF10" s="170"/>
      <c r="CG10" s="170"/>
      <c r="CH10" s="170"/>
      <c r="CI10" s="171"/>
      <c r="CJ10" s="171"/>
      <c r="CK10" s="170"/>
      <c r="CL10" s="170"/>
      <c r="CM10" s="170"/>
      <c r="CN10" s="430"/>
      <c r="CO10" s="36"/>
      <c r="CP10" s="36"/>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6"/>
      <c r="DX10" s="36"/>
      <c r="DY10" s="36"/>
      <c r="DZ10" s="36"/>
      <c r="EA10" s="36"/>
      <c r="EB10" s="36"/>
      <c r="EC10" s="36"/>
      <c r="ED10" s="36"/>
    </row>
    <row r="11" spans="1:134" s="26" customFormat="1" ht="15.75" thickBot="1" x14ac:dyDescent="0.3">
      <c r="B11" s="52"/>
      <c r="C11" s="53"/>
      <c r="D11" s="53"/>
      <c r="E11" s="54"/>
      <c r="F11" s="54"/>
      <c r="G11" s="54"/>
      <c r="H11" s="54"/>
      <c r="I11" s="54"/>
      <c r="J11" s="54"/>
      <c r="K11" s="54"/>
      <c r="L11" s="54"/>
      <c r="M11" s="54"/>
      <c r="N11" s="54"/>
      <c r="O11" s="54"/>
      <c r="P11" s="54"/>
      <c r="Q11" s="54"/>
      <c r="R11" s="55"/>
      <c r="S11" s="54"/>
      <c r="T11" s="54"/>
      <c r="U11" s="54"/>
      <c r="V11" s="56"/>
      <c r="W11" s="56"/>
      <c r="X11" s="53"/>
      <c r="Y11" s="57"/>
      <c r="Z11" s="58"/>
      <c r="AA11" s="59"/>
      <c r="AB11" s="59"/>
      <c r="AC11" s="58"/>
      <c r="AD11" s="59"/>
      <c r="AE11" s="60"/>
      <c r="AF11" s="57"/>
      <c r="AG11" s="58"/>
      <c r="AH11" s="61"/>
      <c r="AI11" s="61"/>
      <c r="AJ11" s="58"/>
      <c r="AK11" s="59"/>
      <c r="AL11" s="53"/>
      <c r="AM11" s="57"/>
      <c r="AN11" s="58"/>
      <c r="AO11" s="58"/>
      <c r="AP11" s="58"/>
      <c r="AQ11" s="58"/>
      <c r="AR11" s="59"/>
      <c r="AS11" s="53"/>
      <c r="AT11" s="57"/>
      <c r="AU11" s="58"/>
      <c r="AV11" s="59"/>
      <c r="AW11" s="58"/>
      <c r="AX11" s="59"/>
      <c r="AY11" s="53"/>
      <c r="AZ11" s="57"/>
      <c r="BA11" s="58"/>
      <c r="BB11" s="59"/>
      <c r="BC11" s="59"/>
      <c r="BD11" s="58"/>
      <c r="BE11" s="59"/>
      <c r="BF11" s="62"/>
      <c r="BG11" s="63"/>
      <c r="BH11" s="28"/>
      <c r="BI11" s="164"/>
      <c r="BJ11" s="165"/>
      <c r="BK11" s="165"/>
      <c r="BL11" s="165"/>
      <c r="BM11" s="166"/>
      <c r="BN11" s="166"/>
      <c r="BO11" s="166"/>
      <c r="BP11" s="172"/>
      <c r="BQ11" s="172"/>
      <c r="BR11" s="172"/>
      <c r="BS11" s="172"/>
      <c r="BT11" s="172"/>
      <c r="BU11" s="172"/>
      <c r="BV11" s="165"/>
      <c r="BW11" s="172"/>
      <c r="BX11" s="172"/>
      <c r="BY11" s="165"/>
      <c r="BZ11" s="165"/>
      <c r="CA11" s="165"/>
      <c r="CB11" s="167"/>
      <c r="CC11" s="172"/>
      <c r="CD11" s="172"/>
      <c r="CE11" s="167"/>
      <c r="CF11" s="167"/>
      <c r="CG11" s="167"/>
      <c r="CH11" s="167"/>
      <c r="CI11" s="172"/>
      <c r="CJ11" s="172"/>
      <c r="CK11" s="167"/>
      <c r="CL11" s="167"/>
      <c r="CM11" s="167"/>
      <c r="CN11" s="431"/>
      <c r="CO11" s="29"/>
      <c r="CP11" s="29"/>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9"/>
      <c r="DX11" s="29"/>
      <c r="DY11" s="29"/>
      <c r="DZ11" s="29"/>
      <c r="EA11" s="29"/>
      <c r="EB11" s="29"/>
      <c r="EC11" s="29"/>
      <c r="ED11" s="29"/>
    </row>
    <row r="12" spans="1:134" s="64" customFormat="1" ht="30.75" customHeight="1" x14ac:dyDescent="0.25">
      <c r="A12" s="26"/>
      <c r="B12" s="1614" t="s">
        <v>23</v>
      </c>
      <c r="C12" s="1615"/>
      <c r="D12" s="1615"/>
      <c r="E12" s="1615"/>
      <c r="F12" s="1615"/>
      <c r="G12" s="1615"/>
      <c r="H12" s="1615"/>
      <c r="I12" s="1615"/>
      <c r="J12" s="1615"/>
      <c r="K12" s="1615"/>
      <c r="L12" s="1615"/>
      <c r="M12" s="1615"/>
      <c r="N12" s="1615"/>
      <c r="O12" s="1615"/>
      <c r="P12" s="1615"/>
      <c r="Q12" s="1615"/>
      <c r="R12" s="1615"/>
      <c r="S12" s="1615"/>
      <c r="T12" s="1615"/>
      <c r="U12" s="1615"/>
      <c r="V12" s="1615"/>
      <c r="W12" s="1615"/>
      <c r="X12" s="1615"/>
      <c r="Y12" s="1615"/>
      <c r="Z12" s="1615"/>
      <c r="AA12" s="1615"/>
      <c r="AB12" s="1615"/>
      <c r="AC12" s="1615"/>
      <c r="AD12" s="1615"/>
      <c r="AE12" s="1615"/>
      <c r="AF12" s="1615"/>
      <c r="AG12" s="1615"/>
      <c r="AH12" s="1615"/>
      <c r="AI12" s="1615"/>
      <c r="AJ12" s="1615"/>
      <c r="AK12" s="1615"/>
      <c r="AL12" s="1615"/>
      <c r="AM12" s="1615"/>
      <c r="AN12" s="1615"/>
      <c r="AO12" s="1615"/>
      <c r="AP12" s="1615"/>
      <c r="AQ12" s="1615"/>
      <c r="AR12" s="1615"/>
      <c r="AS12" s="1615"/>
      <c r="AT12" s="1615"/>
      <c r="AU12" s="1615"/>
      <c r="AV12" s="1615"/>
      <c r="AW12" s="1615"/>
      <c r="AX12" s="1615"/>
      <c r="AY12" s="1615"/>
      <c r="AZ12" s="1615"/>
      <c r="BA12" s="1615"/>
      <c r="BB12" s="1615"/>
      <c r="BC12" s="1615"/>
      <c r="BD12" s="1615"/>
      <c r="BE12" s="1615"/>
      <c r="BF12" s="1615"/>
      <c r="BG12" s="1616"/>
      <c r="BH12" s="28"/>
      <c r="BJ12" s="168"/>
      <c r="BK12" s="168"/>
      <c r="BL12" s="168"/>
      <c r="BM12" s="169"/>
      <c r="BN12" s="169"/>
      <c r="BO12" s="169"/>
      <c r="BP12" s="168"/>
      <c r="BQ12" s="168"/>
      <c r="BR12" s="168"/>
      <c r="BS12" s="168"/>
      <c r="BT12" s="168"/>
      <c r="BU12" s="168"/>
      <c r="BV12" s="168"/>
      <c r="BW12" s="168"/>
      <c r="BX12" s="168"/>
      <c r="BY12" s="168"/>
      <c r="BZ12" s="168"/>
      <c r="CA12" s="168"/>
      <c r="CB12" s="170"/>
      <c r="CC12" s="168"/>
      <c r="CD12" s="168"/>
      <c r="CE12" s="170"/>
      <c r="CF12" s="170"/>
      <c r="CG12" s="170"/>
      <c r="CH12" s="170"/>
      <c r="CI12" s="168"/>
      <c r="CJ12" s="168"/>
      <c r="CK12" s="170"/>
      <c r="CL12" s="170"/>
      <c r="CM12" s="170"/>
      <c r="CN12" s="430"/>
      <c r="CO12" s="36"/>
      <c r="CP12" s="36"/>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6"/>
      <c r="DX12" s="36"/>
      <c r="DY12" s="36"/>
      <c r="DZ12" s="36"/>
      <c r="EA12" s="36"/>
      <c r="EB12" s="36"/>
      <c r="EC12" s="36"/>
      <c r="ED12" s="36"/>
    </row>
    <row r="13" spans="1:134" s="27" customFormat="1" ht="15.75" x14ac:dyDescent="0.25">
      <c r="A13" s="26"/>
      <c r="B13" s="71"/>
      <c r="C13" s="540"/>
      <c r="D13" s="540"/>
      <c r="E13" s="540"/>
      <c r="F13" s="540"/>
      <c r="G13" s="540"/>
      <c r="H13" s="540"/>
      <c r="I13" s="540"/>
      <c r="J13" s="540"/>
      <c r="K13" s="540"/>
      <c r="L13" s="540"/>
      <c r="M13" s="540"/>
      <c r="N13" s="540"/>
      <c r="O13" s="540"/>
      <c r="P13" s="540"/>
      <c r="Q13" s="540"/>
      <c r="R13" s="540"/>
      <c r="S13" s="540"/>
      <c r="T13" s="540"/>
      <c r="U13" s="540"/>
      <c r="V13" s="540"/>
      <c r="W13" s="540"/>
      <c r="X13" s="540"/>
      <c r="Y13" s="540"/>
      <c r="Z13" s="540"/>
      <c r="AA13" s="541"/>
      <c r="AB13" s="542"/>
      <c r="AC13" s="543"/>
      <c r="AD13" s="542"/>
      <c r="AE13" s="544"/>
      <c r="AF13" s="540"/>
      <c r="AG13" s="540"/>
      <c r="AH13" s="545"/>
      <c r="AI13" s="542"/>
      <c r="AJ13" s="543"/>
      <c r="AK13" s="542"/>
      <c r="AL13" s="540"/>
      <c r="AM13" s="540"/>
      <c r="AN13" s="540"/>
      <c r="AO13" s="540"/>
      <c r="AP13" s="542"/>
      <c r="AQ13" s="543"/>
      <c r="AR13" s="542"/>
      <c r="AS13" s="540"/>
      <c r="AT13" s="540"/>
      <c r="AU13" s="540"/>
      <c r="AV13" s="542"/>
      <c r="AW13" s="543"/>
      <c r="AX13" s="542"/>
      <c r="AY13" s="540"/>
      <c r="AZ13" s="540"/>
      <c r="BA13" s="546"/>
      <c r="BB13" s="547"/>
      <c r="BC13" s="542"/>
      <c r="BD13" s="543"/>
      <c r="BE13" s="542"/>
      <c r="BF13" s="542"/>
      <c r="BG13" s="72"/>
      <c r="BH13" s="28"/>
      <c r="BI13" s="64"/>
      <c r="BJ13" s="168"/>
      <c r="BK13" s="168"/>
      <c r="BL13" s="168"/>
      <c r="BM13" s="169"/>
      <c r="BN13" s="169"/>
      <c r="BO13" s="169"/>
      <c r="BP13" s="168"/>
      <c r="BQ13" s="168"/>
      <c r="BR13" s="168"/>
      <c r="BS13" s="168"/>
      <c r="BT13" s="168"/>
      <c r="BU13" s="168"/>
      <c r="BV13" s="168"/>
      <c r="BW13" s="168"/>
      <c r="BX13" s="168"/>
      <c r="BY13" s="168"/>
      <c r="BZ13" s="168"/>
      <c r="CA13" s="168"/>
      <c r="CB13" s="170"/>
      <c r="CC13" s="168"/>
      <c r="CD13" s="168"/>
      <c r="CE13" s="170"/>
      <c r="CF13" s="170"/>
      <c r="CG13" s="170"/>
      <c r="CH13" s="170"/>
      <c r="CI13" s="168"/>
      <c r="CJ13" s="168"/>
      <c r="CK13" s="170"/>
      <c r="CL13" s="170"/>
      <c r="CM13" s="170"/>
      <c r="CN13" s="430"/>
      <c r="CO13" s="36"/>
      <c r="CP13" s="36"/>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6"/>
      <c r="DX13" s="36"/>
      <c r="DY13" s="36"/>
      <c r="DZ13" s="36"/>
      <c r="EA13" s="36"/>
      <c r="EB13" s="36"/>
      <c r="EC13" s="36"/>
      <c r="ED13" s="36"/>
    </row>
    <row r="14" spans="1:134" s="64" customFormat="1" ht="21.75" customHeight="1" x14ac:dyDescent="0.25">
      <c r="A14" s="26"/>
      <c r="B14" s="1628" t="s">
        <v>48</v>
      </c>
      <c r="C14" s="1629"/>
      <c r="D14" s="1629"/>
      <c r="E14" s="1629"/>
      <c r="F14" s="1629"/>
      <c r="G14" s="1629"/>
      <c r="H14" s="1629"/>
      <c r="I14" s="1629"/>
      <c r="J14" s="1629"/>
      <c r="K14" s="1629"/>
      <c r="L14" s="1629"/>
      <c r="M14" s="1629"/>
      <c r="N14" s="1629"/>
      <c r="O14" s="1629"/>
      <c r="P14" s="1629"/>
      <c r="Q14" s="1629"/>
      <c r="R14" s="1629"/>
      <c r="S14" s="1629"/>
      <c r="T14" s="1629"/>
      <c r="U14" s="1629"/>
      <c r="V14" s="1629"/>
      <c r="W14" s="1629"/>
      <c r="X14" s="1629"/>
      <c r="Y14" s="1629"/>
      <c r="Z14" s="1629"/>
      <c r="AA14" s="1629"/>
      <c r="AB14" s="1629"/>
      <c r="AC14" s="1629"/>
      <c r="AD14" s="1629"/>
      <c r="AE14" s="1629"/>
      <c r="AF14" s="1629"/>
      <c r="AG14" s="1629"/>
      <c r="AH14" s="1629"/>
      <c r="AI14" s="1629"/>
      <c r="AJ14" s="1629"/>
      <c r="AK14" s="1629"/>
      <c r="AL14" s="1629"/>
      <c r="AM14" s="1629"/>
      <c r="AN14" s="1629"/>
      <c r="AO14" s="1629"/>
      <c r="AP14" s="1629"/>
      <c r="AQ14" s="1629"/>
      <c r="AR14" s="1629"/>
      <c r="AS14" s="1629"/>
      <c r="AT14" s="1629"/>
      <c r="AU14" s="1629"/>
      <c r="AV14" s="1629"/>
      <c r="AW14" s="1629"/>
      <c r="AX14" s="1629"/>
      <c r="AY14" s="1629"/>
      <c r="AZ14" s="1629"/>
      <c r="BA14" s="1629"/>
      <c r="BB14" s="1629"/>
      <c r="BC14" s="1629"/>
      <c r="BD14" s="1629"/>
      <c r="BE14" s="1629"/>
      <c r="BF14" s="1629"/>
      <c r="BG14" s="1630"/>
      <c r="BH14" s="28"/>
      <c r="BJ14" s="168"/>
      <c r="BK14" s="168"/>
      <c r="BL14" s="168"/>
      <c r="BM14" s="169"/>
      <c r="BN14" s="169"/>
      <c r="BO14" s="169"/>
      <c r="BP14" s="168"/>
      <c r="BQ14" s="168"/>
      <c r="BR14" s="168"/>
      <c r="BS14" s="168"/>
      <c r="BT14" s="168"/>
      <c r="BU14" s="168"/>
      <c r="BV14" s="168"/>
      <c r="BW14" s="168"/>
      <c r="BX14" s="168"/>
      <c r="BY14" s="168"/>
      <c r="BZ14" s="168"/>
      <c r="CA14" s="168"/>
      <c r="CB14" s="170"/>
      <c r="CC14" s="168"/>
      <c r="CD14" s="168"/>
      <c r="CE14" s="170"/>
      <c r="CF14" s="170"/>
      <c r="CG14" s="170"/>
      <c r="CH14" s="170"/>
      <c r="CI14" s="168"/>
      <c r="CJ14" s="168"/>
      <c r="CK14" s="170"/>
      <c r="CL14" s="170"/>
      <c r="CM14" s="170"/>
      <c r="CN14" s="430"/>
      <c r="CO14" s="36"/>
      <c r="CP14" s="36"/>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6"/>
      <c r="DX14" s="36"/>
      <c r="DY14" s="36"/>
      <c r="DZ14" s="36"/>
      <c r="EA14" s="36"/>
      <c r="EB14" s="36"/>
      <c r="EC14" s="36"/>
      <c r="ED14" s="36"/>
    </row>
    <row r="15" spans="1:134" s="64" customFormat="1" ht="15" customHeight="1" x14ac:dyDescent="0.25">
      <c r="A15" s="26"/>
      <c r="B15" s="1631" t="s">
        <v>283</v>
      </c>
      <c r="C15" s="1633" t="s">
        <v>287</v>
      </c>
      <c r="D15" s="1633" t="s">
        <v>25</v>
      </c>
      <c r="E15" s="1633"/>
      <c r="F15" s="1633"/>
      <c r="G15" s="1633"/>
      <c r="H15" s="1633"/>
      <c r="I15" s="1633"/>
      <c r="J15" s="1633"/>
      <c r="K15" s="1633"/>
      <c r="L15" s="1633"/>
      <c r="M15" s="1633"/>
      <c r="N15" s="1633"/>
      <c r="O15" s="1633"/>
      <c r="P15" s="1633"/>
      <c r="Q15" s="1633"/>
      <c r="R15" s="1633"/>
      <c r="S15" s="1633" t="s">
        <v>193</v>
      </c>
      <c r="T15" s="1633"/>
      <c r="U15" s="1633"/>
      <c r="V15" s="1633"/>
      <c r="W15" s="1633"/>
      <c r="X15" s="1617" t="s">
        <v>201</v>
      </c>
      <c r="Y15" s="1617"/>
      <c r="Z15" s="1617"/>
      <c r="AA15" s="1617"/>
      <c r="AB15" s="1617"/>
      <c r="AC15" s="1617"/>
      <c r="AD15" s="1617"/>
      <c r="AE15" s="1617" t="s">
        <v>200</v>
      </c>
      <c r="AF15" s="1617"/>
      <c r="AG15" s="1617"/>
      <c r="AH15" s="1617"/>
      <c r="AI15" s="1617"/>
      <c r="AJ15" s="1617"/>
      <c r="AK15" s="1617"/>
      <c r="AL15" s="1617" t="s">
        <v>199</v>
      </c>
      <c r="AM15" s="1617"/>
      <c r="AN15" s="1617"/>
      <c r="AO15" s="1617"/>
      <c r="AP15" s="1617"/>
      <c r="AQ15" s="1617"/>
      <c r="AR15" s="1617"/>
      <c r="AS15" s="1617" t="s">
        <v>363</v>
      </c>
      <c r="AT15" s="1617"/>
      <c r="AU15" s="1617"/>
      <c r="AV15" s="1617"/>
      <c r="AW15" s="1617"/>
      <c r="AX15" s="1617"/>
      <c r="AY15" s="1617" t="s">
        <v>198</v>
      </c>
      <c r="AZ15" s="1617"/>
      <c r="BA15" s="1617"/>
      <c r="BB15" s="1617"/>
      <c r="BC15" s="1617"/>
      <c r="BD15" s="1617"/>
      <c r="BE15" s="1617"/>
      <c r="BF15" s="1621" t="s">
        <v>606</v>
      </c>
      <c r="BG15" s="1620" t="s">
        <v>26</v>
      </c>
      <c r="BH15" s="28"/>
      <c r="BJ15" s="168"/>
      <c r="BK15" s="168"/>
      <c r="BL15" s="168"/>
      <c r="BM15" s="169"/>
      <c r="BN15" s="169"/>
      <c r="BO15" s="169"/>
      <c r="BP15" s="168"/>
      <c r="BQ15" s="168"/>
      <c r="BR15" s="168"/>
      <c r="BS15" s="168"/>
      <c r="BT15" s="168"/>
      <c r="BU15" s="168"/>
      <c r="BV15" s="168"/>
      <c r="BW15" s="168"/>
      <c r="BX15" s="168"/>
      <c r="BY15" s="168"/>
      <c r="BZ15" s="168"/>
      <c r="CA15" s="168"/>
      <c r="CB15" s="170"/>
      <c r="CC15" s="168"/>
      <c r="CD15" s="168"/>
      <c r="CE15" s="170"/>
      <c r="CF15" s="170"/>
      <c r="CG15" s="170"/>
      <c r="CH15" s="170"/>
      <c r="CI15" s="168"/>
      <c r="CJ15" s="168"/>
      <c r="CK15" s="170"/>
      <c r="CL15" s="170"/>
      <c r="CM15" s="170"/>
      <c r="CN15" s="430"/>
      <c r="CO15" s="36"/>
      <c r="CP15" s="36"/>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6"/>
      <c r="DX15" s="36"/>
      <c r="DY15" s="36"/>
      <c r="DZ15" s="36"/>
      <c r="EA15" s="36"/>
      <c r="EB15" s="36"/>
      <c r="EC15" s="36"/>
      <c r="ED15" s="36"/>
    </row>
    <row r="16" spans="1:134" s="64" customFormat="1" ht="60" x14ac:dyDescent="0.25">
      <c r="A16" s="26"/>
      <c r="B16" s="1632"/>
      <c r="C16" s="1633"/>
      <c r="D16" s="548" t="s">
        <v>27</v>
      </c>
      <c r="E16" s="548" t="s">
        <v>659</v>
      </c>
      <c r="F16" s="548" t="s">
        <v>29</v>
      </c>
      <c r="G16" s="548" t="s">
        <v>30</v>
      </c>
      <c r="H16" s="548" t="s">
        <v>31</v>
      </c>
      <c r="I16" s="548" t="s">
        <v>32</v>
      </c>
      <c r="J16" s="548" t="s">
        <v>33</v>
      </c>
      <c r="K16" s="548" t="s">
        <v>34</v>
      </c>
      <c r="L16" s="548" t="s">
        <v>35</v>
      </c>
      <c r="M16" s="548" t="s">
        <v>36</v>
      </c>
      <c r="N16" s="548" t="s">
        <v>37</v>
      </c>
      <c r="O16" s="548" t="s">
        <v>38</v>
      </c>
      <c r="P16" s="548" t="s">
        <v>39</v>
      </c>
      <c r="Q16" s="548" t="s">
        <v>40</v>
      </c>
      <c r="R16" s="548" t="s">
        <v>41</v>
      </c>
      <c r="S16" s="548" t="s">
        <v>42</v>
      </c>
      <c r="T16" s="548" t="s">
        <v>43</v>
      </c>
      <c r="U16" s="548" t="s">
        <v>44</v>
      </c>
      <c r="V16" s="549" t="s">
        <v>210</v>
      </c>
      <c r="W16" s="550" t="s">
        <v>193</v>
      </c>
      <c r="X16" s="1621" t="s">
        <v>194</v>
      </c>
      <c r="Y16" s="1621"/>
      <c r="Z16" s="548" t="s">
        <v>202</v>
      </c>
      <c r="AA16" s="551" t="s">
        <v>605</v>
      </c>
      <c r="AB16" s="551" t="s">
        <v>617</v>
      </c>
      <c r="AC16" s="550" t="s">
        <v>203</v>
      </c>
      <c r="AD16" s="551" t="s">
        <v>294</v>
      </c>
      <c r="AE16" s="1621" t="s">
        <v>195</v>
      </c>
      <c r="AF16" s="1621"/>
      <c r="AG16" s="550" t="s">
        <v>204</v>
      </c>
      <c r="AH16" s="552" t="s">
        <v>618</v>
      </c>
      <c r="AI16" s="552" t="s">
        <v>619</v>
      </c>
      <c r="AJ16" s="550" t="s">
        <v>205</v>
      </c>
      <c r="AK16" s="551" t="s">
        <v>294</v>
      </c>
      <c r="AL16" s="1621" t="s">
        <v>196</v>
      </c>
      <c r="AM16" s="1621"/>
      <c r="AN16" s="548" t="s">
        <v>206</v>
      </c>
      <c r="AO16" s="548" t="s">
        <v>620</v>
      </c>
      <c r="AP16" s="548" t="s">
        <v>621</v>
      </c>
      <c r="AQ16" s="550" t="s">
        <v>207</v>
      </c>
      <c r="AR16" s="551" t="s">
        <v>294</v>
      </c>
      <c r="AS16" s="1621" t="s">
        <v>622</v>
      </c>
      <c r="AT16" s="1621"/>
      <c r="AU16" s="550" t="s">
        <v>365</v>
      </c>
      <c r="AV16" s="551" t="s">
        <v>623</v>
      </c>
      <c r="AW16" s="550" t="s">
        <v>364</v>
      </c>
      <c r="AX16" s="551" t="s">
        <v>294</v>
      </c>
      <c r="AY16" s="1621" t="s">
        <v>197</v>
      </c>
      <c r="AZ16" s="1621"/>
      <c r="BA16" s="550" t="s">
        <v>208</v>
      </c>
      <c r="BB16" s="551" t="s">
        <v>624</v>
      </c>
      <c r="BC16" s="551" t="s">
        <v>625</v>
      </c>
      <c r="BD16" s="550" t="s">
        <v>209</v>
      </c>
      <c r="BE16" s="551" t="s">
        <v>294</v>
      </c>
      <c r="BF16" s="1621"/>
      <c r="BG16" s="1620"/>
      <c r="BH16" s="28"/>
      <c r="BJ16" s="168"/>
      <c r="BK16" s="168"/>
      <c r="BL16" s="168"/>
      <c r="BM16" s="169"/>
      <c r="BN16" s="169"/>
      <c r="BO16" s="169"/>
      <c r="BP16" s="168"/>
      <c r="BQ16" s="168"/>
      <c r="BR16" s="168"/>
      <c r="BS16" s="168"/>
      <c r="BT16" s="168"/>
      <c r="BU16" s="168"/>
      <c r="BV16" s="168"/>
      <c r="BW16" s="168"/>
      <c r="BX16" s="168"/>
      <c r="BY16" s="168"/>
      <c r="BZ16" s="168"/>
      <c r="CA16" s="168"/>
      <c r="CB16" s="170"/>
      <c r="CC16" s="168"/>
      <c r="CD16" s="168"/>
      <c r="CE16" s="170"/>
      <c r="CF16" s="170"/>
      <c r="CG16" s="170"/>
      <c r="CH16" s="170"/>
      <c r="CI16" s="168"/>
      <c r="CJ16" s="168"/>
      <c r="CK16" s="170"/>
      <c r="CL16" s="170"/>
      <c r="CM16" s="170"/>
      <c r="CN16" s="430"/>
      <c r="CO16" s="36"/>
      <c r="CP16" s="36"/>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6"/>
      <c r="DX16" s="36"/>
      <c r="DY16" s="36"/>
      <c r="DZ16" s="36"/>
      <c r="EA16" s="36"/>
      <c r="EB16" s="36"/>
      <c r="EC16" s="36"/>
      <c r="ED16" s="36"/>
    </row>
    <row r="17" spans="1:134" s="27" customFormat="1" ht="15" customHeight="1" x14ac:dyDescent="0.25">
      <c r="A17" s="26"/>
      <c r="B17" s="161" t="s">
        <v>397</v>
      </c>
      <c r="C17" s="553" t="s">
        <v>213</v>
      </c>
      <c r="D17" s="423" t="str">
        <f t="shared" ref="D17:D27" si="0">VLOOKUP($C17,$BI$79:$CM$461,2,FALSE)</f>
        <v>t</v>
      </c>
      <c r="E17" s="1393">
        <v>197.32</v>
      </c>
      <c r="F17" s="421"/>
      <c r="G17" s="421"/>
      <c r="H17" s="421"/>
      <c r="I17" s="421"/>
      <c r="J17" s="421"/>
      <c r="K17" s="421"/>
      <c r="L17" s="421"/>
      <c r="M17" s="421"/>
      <c r="N17" s="421"/>
      <c r="O17" s="421"/>
      <c r="P17" s="421"/>
      <c r="Q17" s="422">
        <f t="shared" ref="Q17:Q27" si="1">SUM(E17:P17)</f>
        <v>197.32</v>
      </c>
      <c r="R17" s="423">
        <f t="shared" ref="R17:R27" si="2">COUNT(E17:P17)</f>
        <v>1</v>
      </c>
      <c r="S17" s="422">
        <f t="shared" ref="S17:S27" si="3">IF(R17&gt;1,AVERAGE(E17:P17),0)</f>
        <v>0</v>
      </c>
      <c r="T17" s="422">
        <f t="shared" ref="T17:T27" si="4">IF(R17&gt;1,STDEV(E17:P17),0)</f>
        <v>0</v>
      </c>
      <c r="U17" s="422">
        <f t="shared" ref="U17:U27" si="5">IF(R17&gt;1,VLOOKUP($R17,$BI$413:$BJ$425,2,FALSE),0)</f>
        <v>0</v>
      </c>
      <c r="V17" s="424"/>
      <c r="W17" s="425">
        <f t="shared" ref="W17:W27" si="6">IF(R17&gt;1,1-((S17-((T17*U17)/(SQRT(R17))))/S17),VLOOKUP($C17,$BI$79:$CP$461,34,FALSE))</f>
        <v>0.17499999999999999</v>
      </c>
      <c r="X17" s="554">
        <f t="shared" ref="X17:X27" si="7">VLOOKUP($C17,$BI$79:$CM$461,3,FALSE)</f>
        <v>2214.4580000000001</v>
      </c>
      <c r="Y17" s="555" t="str">
        <f t="shared" ref="Y17:Y27" si="8">VLOOKUP($C17,$BI$79:$CM$461,4,FALSE)</f>
        <v>kg CO2/t</v>
      </c>
      <c r="Z17" s="425">
        <f t="shared" ref="Z17:Z27" si="9">IF($Q17&gt;0,VLOOKUP($C17,$BI$79:$CM$461,6,FALSE),0)</f>
        <v>2.9299999999999999E-3</v>
      </c>
      <c r="AA17" s="556">
        <f t="shared" ref="AA17:AA27" si="10">($Q17*X17)/1000</f>
        <v>436.95685256000002</v>
      </c>
      <c r="AB17" s="556">
        <f t="shared" ref="AB17:AB27" si="11">AA17*$BJ$431</f>
        <v>436.95685256000002</v>
      </c>
      <c r="AC17" s="425">
        <f t="shared" ref="AC17:AC27" si="12">IF(AA17&gt;0,SQRT(($W17*$W17)+(Z17*Z17)+($V17*$V17)),0)</f>
        <v>0.17502452656699288</v>
      </c>
      <c r="AD17" s="556">
        <f t="shared" ref="AD17:AD27" si="13">(AB17*AC17)^2</f>
        <v>5848.9099128888092</v>
      </c>
      <c r="AE17" s="557">
        <f t="shared" ref="AE17:AE27" si="14">VLOOKUP($C17,$BI$79:$CM$461,9,FALSE)</f>
        <v>2.91702E-2</v>
      </c>
      <c r="AF17" s="555" t="str">
        <f t="shared" ref="AF17:AF27" si="15">VLOOKUP($C17,$BI$79:$CM$461,10,FALSE)</f>
        <v>kg CH4/t</v>
      </c>
      <c r="AG17" s="425">
        <f t="shared" ref="AG17:AG27" si="16">IF($Q17&gt;0,VLOOKUP($C17,$BI$79:$CM$461,24,FALSE),0)</f>
        <v>0</v>
      </c>
      <c r="AH17" s="558">
        <f t="shared" ref="AH17:AH27" si="17">($Q17*AE17)/1000</f>
        <v>5.755863864E-3</v>
      </c>
      <c r="AI17" s="558">
        <f t="shared" ref="AI17:AI27" si="18">AH17*$BJ$432</f>
        <v>0.16116418819200001</v>
      </c>
      <c r="AJ17" s="425">
        <f t="shared" ref="AJ17:AJ27" si="19">IF(AH17&gt;0,SQRT(($W17*$W17)+(AG17*AG17)+($V17*$V17)),0)</f>
        <v>0.17499999999999999</v>
      </c>
      <c r="AK17" s="556">
        <f t="shared" ref="AK17:AK27" si="20">(AI17*AJ17)^2</f>
        <v>7.9545055138983338E-4</v>
      </c>
      <c r="AL17" s="557">
        <f t="shared" ref="AL17:AL27" si="21">VLOOKUP($C17,$BI$79:$CM$461,15,FALSE)</f>
        <v>4.3755299999999997E-2</v>
      </c>
      <c r="AM17" s="555" t="str">
        <f t="shared" ref="AM17:AM27" si="22">VLOOKUP($C17,$BI$79:$CM$461,16,FALSE)</f>
        <v>kg N2O/t</v>
      </c>
      <c r="AN17" s="425">
        <f t="shared" ref="AN17:AN27" si="23">IF($Q17&gt;0,VLOOKUP($C17,$BI$79:$CM$461,30,FALSE),0)</f>
        <v>0</v>
      </c>
      <c r="AO17" s="558">
        <f t="shared" ref="AO17:AO27" si="24">($Q17*AL17)/1000</f>
        <v>8.633795796E-3</v>
      </c>
      <c r="AP17" s="558">
        <f t="shared" ref="AP17:AP27" si="25">AO17*$BJ$433</f>
        <v>2.2879558859399998</v>
      </c>
      <c r="AQ17" s="425">
        <f t="shared" ref="AQ17:AQ27" si="26">IF(AO17&gt;0,SQRT(($W17*$W17)+(AN17*AN17)+($V17*$V17)),0)</f>
        <v>0.17499999999999999</v>
      </c>
      <c r="AR17" s="556">
        <f t="shared" ref="AR17:AR27" si="27">(AP17*AQ17)^2</f>
        <v>0.16031397791522936</v>
      </c>
      <c r="AS17" s="559">
        <v>0</v>
      </c>
      <c r="AT17" s="555">
        <v>0</v>
      </c>
      <c r="AU17" s="425">
        <v>0</v>
      </c>
      <c r="AV17" s="558">
        <f t="shared" ref="AV17:AV27" si="28">($Q17*AS17)/1000</f>
        <v>0</v>
      </c>
      <c r="AW17" s="425">
        <f t="shared" ref="AW17:AW27" si="29">IF(AV17&gt;0,SQRT(($W17*$W17)+(AU17*AU17)+($V17*$V17)),0)</f>
        <v>0</v>
      </c>
      <c r="AX17" s="556">
        <f t="shared" ref="AX17:AX27" si="30">(AV17*AW17)^2</f>
        <v>0</v>
      </c>
      <c r="AY17" s="559">
        <v>0</v>
      </c>
      <c r="AZ17" s="555">
        <v>0</v>
      </c>
      <c r="BA17" s="425">
        <v>0</v>
      </c>
      <c r="BB17" s="558">
        <f t="shared" ref="BB17:BB27" si="31">($Q17*AY17)/1000</f>
        <v>0</v>
      </c>
      <c r="BC17" s="558">
        <f t="shared" ref="BC17:BC27" si="32">BB17*$BJ$434</f>
        <v>0</v>
      </c>
      <c r="BD17" s="425">
        <f t="shared" ref="BD17:BD27" si="33">IF(BB17&gt;0,SQRT(($W17*$W17)+(BA17*BA17)+($V17*$V17)),0)</f>
        <v>0</v>
      </c>
      <c r="BE17" s="556">
        <f t="shared" ref="BE17:BE27" si="34">(BC17*BD17)^2</f>
        <v>0</v>
      </c>
      <c r="BF17" s="422">
        <f t="shared" ref="BF17:BF27" si="35">AB17+AI17+AP17+AV17+BC17</f>
        <v>439.40597263413201</v>
      </c>
      <c r="BG17" s="67">
        <f t="shared" ref="BG17:BG27" si="36">IF(BF17&gt;0,SQRT(AD17+AK17+AR17+AX17+BE17)/BF17,0)</f>
        <v>0.17405138825767866</v>
      </c>
      <c r="BH17" s="28">
        <f t="shared" ref="BH17:BH36" si="37">(BF17*BG17)^2</f>
        <v>5849.0710223172755</v>
      </c>
      <c r="BI17" s="64"/>
      <c r="BJ17" s="168"/>
      <c r="BK17" s="168"/>
      <c r="BL17" s="168"/>
      <c r="BM17" s="169"/>
      <c r="BN17" s="169"/>
      <c r="BO17" s="169"/>
      <c r="BP17" s="168"/>
      <c r="BQ17" s="168"/>
      <c r="BR17" s="168"/>
      <c r="BS17" s="168"/>
      <c r="BT17" s="168"/>
      <c r="BU17" s="168"/>
      <c r="BV17" s="168"/>
      <c r="BW17" s="168"/>
      <c r="BX17" s="168"/>
      <c r="BY17" s="168"/>
      <c r="BZ17" s="168"/>
      <c r="CA17" s="168"/>
      <c r="CB17" s="170"/>
      <c r="CC17" s="168"/>
      <c r="CD17" s="168"/>
      <c r="CE17" s="170"/>
      <c r="CF17" s="170"/>
      <c r="CG17" s="170"/>
      <c r="CH17" s="170"/>
      <c r="CI17" s="168"/>
      <c r="CJ17" s="168"/>
      <c r="CK17" s="170"/>
      <c r="CL17" s="170"/>
      <c r="CM17" s="170"/>
      <c r="CN17" s="430"/>
      <c r="CO17" s="36"/>
      <c r="CP17" s="36"/>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6"/>
      <c r="DX17" s="36"/>
      <c r="DY17" s="36"/>
      <c r="DZ17" s="36"/>
      <c r="EA17" s="36"/>
      <c r="EB17" s="36"/>
      <c r="EC17" s="36"/>
      <c r="ED17" s="36"/>
    </row>
    <row r="18" spans="1:134" s="27" customFormat="1" x14ac:dyDescent="0.25">
      <c r="A18" s="26"/>
      <c r="B18" s="162" t="s">
        <v>396</v>
      </c>
      <c r="C18" s="553" t="s">
        <v>3</v>
      </c>
      <c r="D18" s="423" t="str">
        <f t="shared" si="0"/>
        <v>t</v>
      </c>
      <c r="E18" s="1393">
        <v>11814.39</v>
      </c>
      <c r="F18" s="421"/>
      <c r="G18" s="421"/>
      <c r="H18" s="421"/>
      <c r="I18" s="421"/>
      <c r="J18" s="421"/>
      <c r="K18" s="421"/>
      <c r="L18" s="421"/>
      <c r="M18" s="421"/>
      <c r="N18" s="421"/>
      <c r="O18" s="421"/>
      <c r="P18" s="421"/>
      <c r="Q18" s="422">
        <f t="shared" si="1"/>
        <v>11814.39</v>
      </c>
      <c r="R18" s="423">
        <f t="shared" si="2"/>
        <v>1</v>
      </c>
      <c r="S18" s="422">
        <f t="shared" si="3"/>
        <v>0</v>
      </c>
      <c r="T18" s="422">
        <f t="shared" si="4"/>
        <v>0</v>
      </c>
      <c r="U18" s="422">
        <f t="shared" si="5"/>
        <v>0</v>
      </c>
      <c r="V18" s="424"/>
      <c r="W18" s="425">
        <f t="shared" si="6"/>
        <v>0.8</v>
      </c>
      <c r="X18" s="554">
        <f t="shared" si="7"/>
        <v>0</v>
      </c>
      <c r="Y18" s="555" t="str">
        <f t="shared" si="8"/>
        <v>kg CO2/t</v>
      </c>
      <c r="Z18" s="425">
        <f t="shared" si="9"/>
        <v>4.4099999999999999E-3</v>
      </c>
      <c r="AA18" s="556">
        <f t="shared" si="10"/>
        <v>0</v>
      </c>
      <c r="AB18" s="556">
        <f t="shared" si="11"/>
        <v>0</v>
      </c>
      <c r="AC18" s="425">
        <f t="shared" si="12"/>
        <v>0</v>
      </c>
      <c r="AD18" s="556">
        <f t="shared" si="13"/>
        <v>0</v>
      </c>
      <c r="AE18" s="557">
        <f t="shared" si="14"/>
        <v>0.50980349999999997</v>
      </c>
      <c r="AF18" s="555" t="str">
        <f t="shared" si="15"/>
        <v>kg CH4/t</v>
      </c>
      <c r="AG18" s="425">
        <f t="shared" si="16"/>
        <v>0</v>
      </c>
      <c r="AH18" s="558">
        <f t="shared" si="17"/>
        <v>6.0230173723649996</v>
      </c>
      <c r="AI18" s="558">
        <f t="shared" si="18"/>
        <v>168.64448642622</v>
      </c>
      <c r="AJ18" s="425">
        <f t="shared" si="19"/>
        <v>0.8</v>
      </c>
      <c r="AK18" s="556">
        <f t="shared" si="20"/>
        <v>18202.216193256645</v>
      </c>
      <c r="AL18" s="557">
        <f t="shared" si="21"/>
        <v>6.7973800000000001E-2</v>
      </c>
      <c r="AM18" s="555" t="str">
        <f t="shared" si="22"/>
        <v>kg N2O/t</v>
      </c>
      <c r="AN18" s="425">
        <f t="shared" si="23"/>
        <v>0</v>
      </c>
      <c r="AO18" s="558">
        <f t="shared" si="24"/>
        <v>0.80306898298199991</v>
      </c>
      <c r="AP18" s="558">
        <f t="shared" si="25"/>
        <v>212.81328049022997</v>
      </c>
      <c r="AQ18" s="425">
        <f t="shared" si="26"/>
        <v>0.8</v>
      </c>
      <c r="AR18" s="556">
        <f t="shared" si="27"/>
        <v>28985.275105928515</v>
      </c>
      <c r="AS18" s="559">
        <v>0</v>
      </c>
      <c r="AT18" s="555">
        <v>0</v>
      </c>
      <c r="AU18" s="425">
        <v>0</v>
      </c>
      <c r="AV18" s="558">
        <f t="shared" si="28"/>
        <v>0</v>
      </c>
      <c r="AW18" s="425">
        <f t="shared" si="29"/>
        <v>0</v>
      </c>
      <c r="AX18" s="556">
        <f t="shared" si="30"/>
        <v>0</v>
      </c>
      <c r="AY18" s="559">
        <v>0</v>
      </c>
      <c r="AZ18" s="555">
        <v>0</v>
      </c>
      <c r="BA18" s="425">
        <v>0</v>
      </c>
      <c r="BB18" s="558">
        <f t="shared" si="31"/>
        <v>0</v>
      </c>
      <c r="BC18" s="558">
        <f t="shared" si="32"/>
        <v>0</v>
      </c>
      <c r="BD18" s="425">
        <f t="shared" si="33"/>
        <v>0</v>
      </c>
      <c r="BE18" s="556">
        <f t="shared" si="34"/>
        <v>0</v>
      </c>
      <c r="BF18" s="422">
        <f t="shared" si="35"/>
        <v>381.45776691644994</v>
      </c>
      <c r="BG18" s="67">
        <f t="shared" si="36"/>
        <v>0.56946492842767882</v>
      </c>
      <c r="BH18" s="28">
        <f t="shared" si="37"/>
        <v>47187.49129918516</v>
      </c>
      <c r="BI18" s="64"/>
      <c r="BJ18" s="168"/>
      <c r="BK18" s="168"/>
      <c r="BL18" s="168"/>
      <c r="BM18" s="169"/>
      <c r="BN18" s="169"/>
      <c r="BO18" s="169"/>
      <c r="BP18" s="168"/>
      <c r="BQ18" s="168"/>
      <c r="BR18" s="168"/>
      <c r="BS18" s="168"/>
      <c r="BT18" s="168"/>
      <c r="BU18" s="168"/>
      <c r="BV18" s="168"/>
      <c r="BW18" s="168"/>
      <c r="BX18" s="168"/>
      <c r="BY18" s="168"/>
      <c r="BZ18" s="168"/>
      <c r="CA18" s="168"/>
      <c r="CB18" s="170"/>
      <c r="CC18" s="168"/>
      <c r="CD18" s="168"/>
      <c r="CE18" s="170"/>
      <c r="CF18" s="170"/>
      <c r="CG18" s="170"/>
      <c r="CH18" s="170"/>
      <c r="CI18" s="168"/>
      <c r="CJ18" s="168"/>
      <c r="CK18" s="170"/>
      <c r="CL18" s="170"/>
      <c r="CM18" s="170"/>
      <c r="CN18" s="430"/>
      <c r="CO18" s="36"/>
      <c r="CP18" s="36"/>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6"/>
      <c r="DX18" s="36"/>
      <c r="DY18" s="36"/>
      <c r="DZ18" s="36"/>
      <c r="EA18" s="36"/>
      <c r="EB18" s="36"/>
      <c r="EC18" s="36"/>
      <c r="ED18" s="36"/>
    </row>
    <row r="19" spans="1:134" s="27" customFormat="1" x14ac:dyDescent="0.25">
      <c r="A19" s="26"/>
      <c r="B19" s="162"/>
      <c r="C19" s="553"/>
      <c r="D19" s="423">
        <f t="shared" si="0"/>
        <v>0</v>
      </c>
      <c r="E19" s="1393"/>
      <c r="F19" s="421"/>
      <c r="G19" s="421"/>
      <c r="H19" s="421"/>
      <c r="I19" s="421"/>
      <c r="J19" s="421"/>
      <c r="K19" s="421"/>
      <c r="L19" s="421"/>
      <c r="M19" s="421"/>
      <c r="N19" s="421"/>
      <c r="O19" s="421"/>
      <c r="P19" s="421"/>
      <c r="Q19" s="422">
        <f t="shared" si="1"/>
        <v>0</v>
      </c>
      <c r="R19" s="423">
        <f t="shared" si="2"/>
        <v>0</v>
      </c>
      <c r="S19" s="422">
        <f t="shared" si="3"/>
        <v>0</v>
      </c>
      <c r="T19" s="422">
        <f t="shared" si="4"/>
        <v>0</v>
      </c>
      <c r="U19" s="422">
        <f t="shared" si="5"/>
        <v>0</v>
      </c>
      <c r="V19" s="424"/>
      <c r="W19" s="425">
        <f t="shared" si="6"/>
        <v>0</v>
      </c>
      <c r="X19" s="554">
        <f t="shared" si="7"/>
        <v>0</v>
      </c>
      <c r="Y19" s="555">
        <f t="shared" si="8"/>
        <v>0</v>
      </c>
      <c r="Z19" s="425">
        <f t="shared" si="9"/>
        <v>0</v>
      </c>
      <c r="AA19" s="556">
        <f t="shared" si="10"/>
        <v>0</v>
      </c>
      <c r="AB19" s="556">
        <f t="shared" si="11"/>
        <v>0</v>
      </c>
      <c r="AC19" s="425">
        <f t="shared" si="12"/>
        <v>0</v>
      </c>
      <c r="AD19" s="556">
        <f t="shared" si="13"/>
        <v>0</v>
      </c>
      <c r="AE19" s="557">
        <f t="shared" si="14"/>
        <v>0</v>
      </c>
      <c r="AF19" s="555">
        <f t="shared" si="15"/>
        <v>0</v>
      </c>
      <c r="AG19" s="425">
        <f t="shared" si="16"/>
        <v>0</v>
      </c>
      <c r="AH19" s="558">
        <f t="shared" si="17"/>
        <v>0</v>
      </c>
      <c r="AI19" s="558">
        <f t="shared" si="18"/>
        <v>0</v>
      </c>
      <c r="AJ19" s="425">
        <f t="shared" si="19"/>
        <v>0</v>
      </c>
      <c r="AK19" s="556">
        <f t="shared" si="20"/>
        <v>0</v>
      </c>
      <c r="AL19" s="557">
        <f t="shared" si="21"/>
        <v>0</v>
      </c>
      <c r="AM19" s="555">
        <f t="shared" si="22"/>
        <v>0</v>
      </c>
      <c r="AN19" s="425">
        <f t="shared" si="23"/>
        <v>0</v>
      </c>
      <c r="AO19" s="558">
        <f t="shared" si="24"/>
        <v>0</v>
      </c>
      <c r="AP19" s="558">
        <f t="shared" si="25"/>
        <v>0</v>
      </c>
      <c r="AQ19" s="425">
        <f t="shared" si="26"/>
        <v>0</v>
      </c>
      <c r="AR19" s="556">
        <f t="shared" si="27"/>
        <v>0</v>
      </c>
      <c r="AS19" s="559">
        <v>0</v>
      </c>
      <c r="AT19" s="555">
        <v>0</v>
      </c>
      <c r="AU19" s="425">
        <v>0</v>
      </c>
      <c r="AV19" s="558">
        <f t="shared" si="28"/>
        <v>0</v>
      </c>
      <c r="AW19" s="425">
        <f t="shared" si="29"/>
        <v>0</v>
      </c>
      <c r="AX19" s="556">
        <f t="shared" si="30"/>
        <v>0</v>
      </c>
      <c r="AY19" s="559">
        <v>0</v>
      </c>
      <c r="AZ19" s="555">
        <v>0</v>
      </c>
      <c r="BA19" s="425">
        <v>0</v>
      </c>
      <c r="BB19" s="558">
        <f t="shared" si="31"/>
        <v>0</v>
      </c>
      <c r="BC19" s="558">
        <f t="shared" si="32"/>
        <v>0</v>
      </c>
      <c r="BD19" s="425">
        <f t="shared" si="33"/>
        <v>0</v>
      </c>
      <c r="BE19" s="556">
        <f t="shared" si="34"/>
        <v>0</v>
      </c>
      <c r="BF19" s="422">
        <f t="shared" si="35"/>
        <v>0</v>
      </c>
      <c r="BG19" s="67">
        <f t="shared" si="36"/>
        <v>0</v>
      </c>
      <c r="BH19" s="28">
        <f t="shared" si="37"/>
        <v>0</v>
      </c>
      <c r="BI19" s="64"/>
      <c r="BJ19" s="168"/>
      <c r="BK19" s="168"/>
      <c r="BL19" s="168"/>
      <c r="BM19" s="169"/>
      <c r="BN19" s="169"/>
      <c r="BO19" s="169"/>
      <c r="BP19" s="168"/>
      <c r="BQ19" s="168"/>
      <c r="BR19" s="168"/>
      <c r="BS19" s="168"/>
      <c r="BT19" s="168"/>
      <c r="BU19" s="168"/>
      <c r="BV19" s="168"/>
      <c r="BW19" s="168"/>
      <c r="BX19" s="168"/>
      <c r="BY19" s="168"/>
      <c r="BZ19" s="168"/>
      <c r="CA19" s="168"/>
      <c r="CB19" s="170"/>
      <c r="CC19" s="168"/>
      <c r="CD19" s="168"/>
      <c r="CE19" s="170"/>
      <c r="CF19" s="170"/>
      <c r="CG19" s="170"/>
      <c r="CH19" s="170"/>
      <c r="CI19" s="168"/>
      <c r="CJ19" s="168"/>
      <c r="CK19" s="170"/>
      <c r="CL19" s="170"/>
      <c r="CM19" s="170"/>
      <c r="CN19" s="430"/>
      <c r="CO19" s="36"/>
      <c r="CP19" s="36"/>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6"/>
      <c r="DX19" s="36"/>
      <c r="DY19" s="36"/>
      <c r="DZ19" s="36"/>
      <c r="EA19" s="36"/>
      <c r="EB19" s="36"/>
      <c r="EC19" s="36"/>
      <c r="ED19" s="36"/>
    </row>
    <row r="20" spans="1:134" s="27" customFormat="1" x14ac:dyDescent="0.25">
      <c r="A20" s="26"/>
      <c r="B20" s="163"/>
      <c r="C20" s="553"/>
      <c r="D20" s="423">
        <f t="shared" si="0"/>
        <v>0</v>
      </c>
      <c r="E20" s="1393"/>
      <c r="F20" s="421"/>
      <c r="G20" s="421"/>
      <c r="H20" s="421"/>
      <c r="I20" s="421"/>
      <c r="J20" s="421"/>
      <c r="K20" s="421"/>
      <c r="L20" s="421"/>
      <c r="M20" s="421"/>
      <c r="N20" s="421"/>
      <c r="O20" s="421"/>
      <c r="P20" s="421"/>
      <c r="Q20" s="422">
        <f t="shared" si="1"/>
        <v>0</v>
      </c>
      <c r="R20" s="423">
        <f t="shared" si="2"/>
        <v>0</v>
      </c>
      <c r="S20" s="422">
        <f t="shared" si="3"/>
        <v>0</v>
      </c>
      <c r="T20" s="422">
        <f t="shared" si="4"/>
        <v>0</v>
      </c>
      <c r="U20" s="422">
        <f t="shared" si="5"/>
        <v>0</v>
      </c>
      <c r="V20" s="424"/>
      <c r="W20" s="425">
        <f t="shared" si="6"/>
        <v>0</v>
      </c>
      <c r="X20" s="554">
        <f t="shared" si="7"/>
        <v>0</v>
      </c>
      <c r="Y20" s="555">
        <f t="shared" si="8"/>
        <v>0</v>
      </c>
      <c r="Z20" s="425">
        <f t="shared" si="9"/>
        <v>0</v>
      </c>
      <c r="AA20" s="556">
        <f t="shared" si="10"/>
        <v>0</v>
      </c>
      <c r="AB20" s="556">
        <f t="shared" si="11"/>
        <v>0</v>
      </c>
      <c r="AC20" s="425">
        <f t="shared" si="12"/>
        <v>0</v>
      </c>
      <c r="AD20" s="556">
        <f t="shared" si="13"/>
        <v>0</v>
      </c>
      <c r="AE20" s="557">
        <f t="shared" si="14"/>
        <v>0</v>
      </c>
      <c r="AF20" s="555">
        <f t="shared" si="15"/>
        <v>0</v>
      </c>
      <c r="AG20" s="425">
        <f t="shared" si="16"/>
        <v>0</v>
      </c>
      <c r="AH20" s="558">
        <f t="shared" si="17"/>
        <v>0</v>
      </c>
      <c r="AI20" s="558">
        <f t="shared" si="18"/>
        <v>0</v>
      </c>
      <c r="AJ20" s="425">
        <f t="shared" si="19"/>
        <v>0</v>
      </c>
      <c r="AK20" s="556">
        <f t="shared" si="20"/>
        <v>0</v>
      </c>
      <c r="AL20" s="557">
        <f t="shared" si="21"/>
        <v>0</v>
      </c>
      <c r="AM20" s="555">
        <f t="shared" si="22"/>
        <v>0</v>
      </c>
      <c r="AN20" s="425">
        <f t="shared" si="23"/>
        <v>0</v>
      </c>
      <c r="AO20" s="558">
        <f t="shared" si="24"/>
        <v>0</v>
      </c>
      <c r="AP20" s="558">
        <f t="shared" si="25"/>
        <v>0</v>
      </c>
      <c r="AQ20" s="425">
        <f t="shared" si="26"/>
        <v>0</v>
      </c>
      <c r="AR20" s="556">
        <f t="shared" si="27"/>
        <v>0</v>
      </c>
      <c r="AS20" s="559">
        <v>0</v>
      </c>
      <c r="AT20" s="555">
        <v>0</v>
      </c>
      <c r="AU20" s="425">
        <v>0</v>
      </c>
      <c r="AV20" s="558">
        <f t="shared" si="28"/>
        <v>0</v>
      </c>
      <c r="AW20" s="425">
        <f t="shared" si="29"/>
        <v>0</v>
      </c>
      <c r="AX20" s="556">
        <f t="shared" si="30"/>
        <v>0</v>
      </c>
      <c r="AY20" s="559">
        <v>0</v>
      </c>
      <c r="AZ20" s="555">
        <v>0</v>
      </c>
      <c r="BA20" s="425">
        <v>0</v>
      </c>
      <c r="BB20" s="558">
        <f t="shared" si="31"/>
        <v>0</v>
      </c>
      <c r="BC20" s="558">
        <f t="shared" si="32"/>
        <v>0</v>
      </c>
      <c r="BD20" s="425">
        <f t="shared" si="33"/>
        <v>0</v>
      </c>
      <c r="BE20" s="556">
        <f t="shared" si="34"/>
        <v>0</v>
      </c>
      <c r="BF20" s="422">
        <f t="shared" si="35"/>
        <v>0</v>
      </c>
      <c r="BG20" s="67">
        <f t="shared" si="36"/>
        <v>0</v>
      </c>
      <c r="BH20" s="28">
        <f t="shared" si="37"/>
        <v>0</v>
      </c>
      <c r="BI20" s="64"/>
      <c r="BJ20" s="168"/>
      <c r="BK20" s="168"/>
      <c r="BL20" s="168"/>
      <c r="BM20" s="169"/>
      <c r="BN20" s="169"/>
      <c r="BO20" s="169"/>
      <c r="BP20" s="168"/>
      <c r="BQ20" s="168"/>
      <c r="BR20" s="168"/>
      <c r="BS20" s="168"/>
      <c r="BT20" s="168"/>
      <c r="BU20" s="168"/>
      <c r="BV20" s="168"/>
      <c r="BW20" s="168"/>
      <c r="BX20" s="168"/>
      <c r="BY20" s="168"/>
      <c r="BZ20" s="168"/>
      <c r="CA20" s="168"/>
      <c r="CB20" s="170"/>
      <c r="CC20" s="168"/>
      <c r="CD20" s="168"/>
      <c r="CE20" s="170"/>
      <c r="CF20" s="170"/>
      <c r="CG20" s="170"/>
      <c r="CH20" s="170"/>
      <c r="CI20" s="168"/>
      <c r="CJ20" s="168"/>
      <c r="CK20" s="170"/>
      <c r="CL20" s="170"/>
      <c r="CM20" s="170"/>
      <c r="CN20" s="430"/>
      <c r="CO20" s="36"/>
      <c r="CP20" s="36"/>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6"/>
      <c r="DX20" s="36"/>
      <c r="DY20" s="36"/>
      <c r="DZ20" s="36"/>
      <c r="EA20" s="36"/>
      <c r="EB20" s="36"/>
      <c r="EC20" s="36"/>
      <c r="ED20" s="36"/>
    </row>
    <row r="21" spans="1:134" s="27" customFormat="1" ht="15" customHeight="1" x14ac:dyDescent="0.25">
      <c r="A21" s="26"/>
      <c r="B21" s="161" t="s">
        <v>402</v>
      </c>
      <c r="C21" s="553" t="s">
        <v>234</v>
      </c>
      <c r="D21" s="423" t="str">
        <f t="shared" si="0"/>
        <v>Gal</v>
      </c>
      <c r="E21" s="144">
        <v>26366.240000000002</v>
      </c>
      <c r="F21" s="144"/>
      <c r="G21" s="421"/>
      <c r="H21" s="421"/>
      <c r="I21" s="421"/>
      <c r="J21" s="421"/>
      <c r="K21" s="421"/>
      <c r="L21" s="421"/>
      <c r="M21" s="421"/>
      <c r="N21" s="421"/>
      <c r="O21" s="421"/>
      <c r="P21" s="421"/>
      <c r="Q21" s="422">
        <f t="shared" si="1"/>
        <v>26366.240000000002</v>
      </c>
      <c r="R21" s="423">
        <f t="shared" si="2"/>
        <v>1</v>
      </c>
      <c r="S21" s="422">
        <f t="shared" si="3"/>
        <v>0</v>
      </c>
      <c r="T21" s="422">
        <f t="shared" si="4"/>
        <v>0</v>
      </c>
      <c r="U21" s="422">
        <f t="shared" si="5"/>
        <v>0</v>
      </c>
      <c r="V21" s="424"/>
      <c r="W21" s="425">
        <f t="shared" si="6"/>
        <v>0.17499999999999999</v>
      </c>
      <c r="X21" s="554">
        <f t="shared" si="7"/>
        <v>9.6232000000000006</v>
      </c>
      <c r="Y21" s="555" t="str">
        <f t="shared" si="8"/>
        <v>kg CO2/gal</v>
      </c>
      <c r="Z21" s="425">
        <f t="shared" si="9"/>
        <v>2.0399999999999997E-3</v>
      </c>
      <c r="AA21" s="556">
        <f t="shared" si="10"/>
        <v>253.72760076800003</v>
      </c>
      <c r="AB21" s="556">
        <f t="shared" si="11"/>
        <v>253.72760076800003</v>
      </c>
      <c r="AC21" s="425">
        <f t="shared" si="12"/>
        <v>0.17501188988180202</v>
      </c>
      <c r="AD21" s="556">
        <f t="shared" si="13"/>
        <v>1971.8348355813878</v>
      </c>
      <c r="AE21" s="557">
        <f t="shared" si="14"/>
        <v>2.7199999999999997E-5</v>
      </c>
      <c r="AF21" s="555" t="str">
        <f t="shared" si="15"/>
        <v>kg CH4/gal</v>
      </c>
      <c r="AG21" s="425">
        <f t="shared" si="16"/>
        <v>0</v>
      </c>
      <c r="AH21" s="558">
        <f t="shared" si="17"/>
        <v>7.1716172800000003E-4</v>
      </c>
      <c r="AI21" s="558">
        <f t="shared" si="18"/>
        <v>2.0080528384000002E-2</v>
      </c>
      <c r="AJ21" s="425">
        <f t="shared" si="19"/>
        <v>0.17499999999999999</v>
      </c>
      <c r="AK21" s="556">
        <f t="shared" si="20"/>
        <v>1.2348845868031783E-5</v>
      </c>
      <c r="AL21" s="557">
        <f t="shared" si="21"/>
        <v>5.4E-6</v>
      </c>
      <c r="AM21" s="555" t="str">
        <f t="shared" si="22"/>
        <v>kg N2O/gal</v>
      </c>
      <c r="AN21" s="425">
        <f t="shared" si="23"/>
        <v>0</v>
      </c>
      <c r="AO21" s="561">
        <f t="shared" si="24"/>
        <v>1.4237769599999999E-4</v>
      </c>
      <c r="AP21" s="558">
        <f t="shared" si="25"/>
        <v>3.7730089439999996E-2</v>
      </c>
      <c r="AQ21" s="425">
        <f t="shared" si="26"/>
        <v>0.17499999999999999</v>
      </c>
      <c r="AR21" s="556">
        <f t="shared" si="27"/>
        <v>4.3596514255230976E-5</v>
      </c>
      <c r="AS21" s="559">
        <v>0</v>
      </c>
      <c r="AT21" s="555">
        <v>0</v>
      </c>
      <c r="AU21" s="425">
        <v>0</v>
      </c>
      <c r="AV21" s="558">
        <f t="shared" si="28"/>
        <v>0</v>
      </c>
      <c r="AW21" s="425">
        <f t="shared" si="29"/>
        <v>0</v>
      </c>
      <c r="AX21" s="556">
        <f t="shared" si="30"/>
        <v>0</v>
      </c>
      <c r="AY21" s="559">
        <v>0</v>
      </c>
      <c r="AZ21" s="555">
        <v>0</v>
      </c>
      <c r="BA21" s="425">
        <v>0</v>
      </c>
      <c r="BB21" s="558">
        <f t="shared" si="31"/>
        <v>0</v>
      </c>
      <c r="BC21" s="558">
        <f t="shared" si="32"/>
        <v>0</v>
      </c>
      <c r="BD21" s="425">
        <f t="shared" si="33"/>
        <v>0</v>
      </c>
      <c r="BE21" s="556">
        <f t="shared" si="34"/>
        <v>0</v>
      </c>
      <c r="BF21" s="422">
        <f t="shared" si="35"/>
        <v>253.78541138582403</v>
      </c>
      <c r="BG21" s="67">
        <f t="shared" si="36"/>
        <v>0.17497202582702473</v>
      </c>
      <c r="BH21" s="28">
        <f t="shared" si="37"/>
        <v>1971.8348915267477</v>
      </c>
      <c r="BI21" s="64"/>
      <c r="BJ21" s="168"/>
      <c r="BK21" s="168"/>
      <c r="BL21" s="168"/>
      <c r="BM21" s="169"/>
      <c r="BN21" s="169"/>
      <c r="BO21" s="169"/>
      <c r="BP21" s="168"/>
      <c r="BQ21" s="168"/>
      <c r="BR21" s="168"/>
      <c r="BS21" s="168"/>
      <c r="BT21" s="168"/>
      <c r="BU21" s="168"/>
      <c r="BV21" s="168"/>
      <c r="BW21" s="168"/>
      <c r="BX21" s="168"/>
      <c r="BY21" s="168"/>
      <c r="BZ21" s="168"/>
      <c r="CA21" s="168"/>
      <c r="CB21" s="170"/>
      <c r="CC21" s="168"/>
      <c r="CD21" s="168"/>
      <c r="CE21" s="170"/>
      <c r="CF21" s="170"/>
      <c r="CG21" s="170"/>
      <c r="CH21" s="170"/>
      <c r="CI21" s="168"/>
      <c r="CJ21" s="168"/>
      <c r="CK21" s="170"/>
      <c r="CL21" s="170"/>
      <c r="CM21" s="170"/>
      <c r="CN21" s="430"/>
      <c r="CO21" s="36"/>
      <c r="CP21" s="36"/>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6"/>
      <c r="DX21" s="36"/>
      <c r="DY21" s="36"/>
      <c r="DZ21" s="36"/>
      <c r="EA21" s="36"/>
      <c r="EB21" s="36"/>
      <c r="EC21" s="36"/>
      <c r="ED21" s="36"/>
    </row>
    <row r="22" spans="1:134" s="27" customFormat="1" x14ac:dyDescent="0.25">
      <c r="A22" s="26"/>
      <c r="B22" s="162" t="s">
        <v>396</v>
      </c>
      <c r="C22" s="553" t="s">
        <v>237</v>
      </c>
      <c r="D22" s="423" t="str">
        <f t="shared" si="0"/>
        <v>Gal</v>
      </c>
      <c r="E22" s="144">
        <v>101573.21</v>
      </c>
      <c r="F22" s="421"/>
      <c r="G22" s="421"/>
      <c r="H22" s="421"/>
      <c r="I22" s="421"/>
      <c r="J22" s="421"/>
      <c r="K22" s="421"/>
      <c r="L22" s="421"/>
      <c r="M22" s="421"/>
      <c r="N22" s="421"/>
      <c r="O22" s="421"/>
      <c r="P22" s="421"/>
      <c r="Q22" s="422">
        <f>SUM(E22:P22)</f>
        <v>101573.21</v>
      </c>
      <c r="R22" s="423">
        <f>COUNT(E22:P22)</f>
        <v>1</v>
      </c>
      <c r="S22" s="422">
        <f>IF(R22&gt;1,AVERAGE(E22:P22),0)</f>
        <v>0</v>
      </c>
      <c r="T22" s="422">
        <f>IF(R22&gt;1,STDEV(E22:P22),0)</f>
        <v>0</v>
      </c>
      <c r="U22" s="422">
        <f t="shared" si="5"/>
        <v>0</v>
      </c>
      <c r="V22" s="424"/>
      <c r="W22" s="425">
        <f t="shared" si="6"/>
        <v>0.8</v>
      </c>
      <c r="X22" s="554">
        <f t="shared" si="7"/>
        <v>0</v>
      </c>
      <c r="Y22" s="555" t="str">
        <f t="shared" si="8"/>
        <v>kg CO2/gal</v>
      </c>
      <c r="Z22" s="425">
        <f t="shared" si="9"/>
        <v>2.98E-3</v>
      </c>
      <c r="AA22" s="556">
        <f>($Q22*X22)/1000</f>
        <v>0</v>
      </c>
      <c r="AB22" s="556">
        <f t="shared" si="11"/>
        <v>0</v>
      </c>
      <c r="AC22" s="425">
        <f>IF(AA22&gt;0,SQRT(($W22*$W22)+(Z22*Z22)+($V22*$V22)),0)</f>
        <v>0</v>
      </c>
      <c r="AD22" s="556">
        <f>(AB22*AC22)^2</f>
        <v>0</v>
      </c>
      <c r="AE22" s="557">
        <f t="shared" si="14"/>
        <v>2.6299999999999999E-5</v>
      </c>
      <c r="AF22" s="555" t="str">
        <f t="shared" si="15"/>
        <v>kg CH4/gal</v>
      </c>
      <c r="AG22" s="425">
        <f t="shared" si="16"/>
        <v>9.5000000000000001E-2</v>
      </c>
      <c r="AH22" s="558">
        <f>($Q22*AE22)/1000</f>
        <v>2.6713754230000002E-3</v>
      </c>
      <c r="AI22" s="558">
        <f t="shared" si="18"/>
        <v>7.4798511844000007E-2</v>
      </c>
      <c r="AJ22" s="425">
        <f>IF(AH22&gt;0,SQRT(($W22*$W22)+(AG22*AG22)+($V22*$V22)),0)</f>
        <v>0.80562087857751064</v>
      </c>
      <c r="AK22" s="556">
        <f>(AI22*AJ22)^2</f>
        <v>3.631176346210332E-3</v>
      </c>
      <c r="AL22" s="562">
        <f t="shared" si="21"/>
        <v>5.3000000000000001E-6</v>
      </c>
      <c r="AM22" s="555" t="str">
        <f t="shared" si="22"/>
        <v>kg N2O/gal</v>
      </c>
      <c r="AN22" s="425">
        <f t="shared" si="23"/>
        <v>0.12</v>
      </c>
      <c r="AO22" s="558">
        <f>($Q22*AL22)/1000</f>
        <v>5.3833801300000002E-4</v>
      </c>
      <c r="AP22" s="558">
        <f t="shared" si="25"/>
        <v>0.14265957344499999</v>
      </c>
      <c r="AQ22" s="425">
        <f>IF(AO22&gt;0,SQRT(($W22*$W22)+(AN22*AN22)+($V22*$V22)),0)</f>
        <v>0.80894993664626746</v>
      </c>
      <c r="AR22" s="556">
        <f>(AP22*AQ22)^2</f>
        <v>1.3318187749221319E-2</v>
      </c>
      <c r="AS22" s="559">
        <v>0</v>
      </c>
      <c r="AT22" s="555">
        <v>0</v>
      </c>
      <c r="AU22" s="425">
        <v>0</v>
      </c>
      <c r="AV22" s="558">
        <f t="shared" si="28"/>
        <v>0</v>
      </c>
      <c r="AW22" s="425">
        <f>IF(AV22&gt;0,SQRT(($W22*$W22)+(AU22*AU22)+($V22*$V22)),0)</f>
        <v>0</v>
      </c>
      <c r="AX22" s="556">
        <f>(AV22*AW22)^2</f>
        <v>0</v>
      </c>
      <c r="AY22" s="559">
        <v>0</v>
      </c>
      <c r="AZ22" s="555">
        <v>0</v>
      </c>
      <c r="BA22" s="425">
        <v>0</v>
      </c>
      <c r="BB22" s="558">
        <f>($Q22*AY22)/1000</f>
        <v>0</v>
      </c>
      <c r="BC22" s="558">
        <f t="shared" si="32"/>
        <v>0</v>
      </c>
      <c r="BD22" s="425">
        <f>IF(BB22&gt;0,SQRT(($W22*$W22)+(BA22*BA22)+($V22*$V22)),0)</f>
        <v>0</v>
      </c>
      <c r="BE22" s="556">
        <f>(BC22*BD22)^2</f>
        <v>0</v>
      </c>
      <c r="BF22" s="422">
        <f t="shared" si="35"/>
        <v>0.21745808528900001</v>
      </c>
      <c r="BG22" s="67">
        <f t="shared" si="36"/>
        <v>0.5986888153190828</v>
      </c>
      <c r="BH22" s="28">
        <f>(BF22*BG22)^2</f>
        <v>1.6949364095431647E-2</v>
      </c>
      <c r="BI22" s="64"/>
      <c r="BJ22" s="168"/>
      <c r="BK22" s="168"/>
      <c r="BL22" s="168"/>
      <c r="BM22" s="169"/>
      <c r="BN22" s="169"/>
      <c r="BO22" s="169"/>
      <c r="BP22" s="168"/>
      <c r="BQ22" s="168"/>
      <c r="BR22" s="168"/>
      <c r="BS22" s="168"/>
      <c r="BT22" s="168"/>
      <c r="BU22" s="168"/>
      <c r="BV22" s="168"/>
      <c r="BW22" s="168"/>
      <c r="BX22" s="168"/>
      <c r="BY22" s="168"/>
      <c r="BZ22" s="168"/>
      <c r="CA22" s="168"/>
      <c r="CB22" s="170"/>
      <c r="CC22" s="168"/>
      <c r="CD22" s="168"/>
      <c r="CE22" s="170"/>
      <c r="CF22" s="170"/>
      <c r="CG22" s="170"/>
      <c r="CH22" s="170"/>
      <c r="CI22" s="168"/>
      <c r="CJ22" s="168"/>
      <c r="CK22" s="170"/>
      <c r="CL22" s="170"/>
      <c r="CM22" s="170"/>
      <c r="CN22" s="430"/>
      <c r="CO22" s="36"/>
      <c r="CP22" s="36"/>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6"/>
      <c r="DX22" s="36"/>
      <c r="DY22" s="36"/>
      <c r="DZ22" s="36"/>
      <c r="EA22" s="36"/>
      <c r="EB22" s="36"/>
      <c r="EC22" s="36"/>
      <c r="ED22" s="36"/>
    </row>
    <row r="23" spans="1:134" s="27" customFormat="1" x14ac:dyDescent="0.25">
      <c r="A23" s="26"/>
      <c r="B23" s="162"/>
      <c r="C23" s="553" t="s">
        <v>367</v>
      </c>
      <c r="D23" s="423" t="str">
        <f t="shared" si="0"/>
        <v>Gal</v>
      </c>
      <c r="E23" s="1393">
        <v>99833.3</v>
      </c>
      <c r="F23" s="421"/>
      <c r="G23" s="421"/>
      <c r="H23" s="421"/>
      <c r="I23" s="421"/>
      <c r="J23" s="421"/>
      <c r="K23" s="421"/>
      <c r="L23" s="421"/>
      <c r="M23" s="421"/>
      <c r="N23" s="421"/>
      <c r="O23" s="421"/>
      <c r="P23" s="421"/>
      <c r="Q23" s="422">
        <f t="shared" si="1"/>
        <v>99833.3</v>
      </c>
      <c r="R23" s="423">
        <f t="shared" si="2"/>
        <v>1</v>
      </c>
      <c r="S23" s="422">
        <f t="shared" si="3"/>
        <v>0</v>
      </c>
      <c r="T23" s="422">
        <f t="shared" si="4"/>
        <v>0</v>
      </c>
      <c r="U23" s="422">
        <f t="shared" si="5"/>
        <v>0</v>
      </c>
      <c r="V23" s="424"/>
      <c r="W23" s="425">
        <f t="shared" si="6"/>
        <v>0.17499999999999999</v>
      </c>
      <c r="X23" s="554">
        <f t="shared" si="7"/>
        <v>8.8085000000000004</v>
      </c>
      <c r="Y23" s="555" t="str">
        <f t="shared" si="8"/>
        <v>kg CO2/gal</v>
      </c>
      <c r="Z23" s="425">
        <f t="shared" si="9"/>
        <v>2.0300000000000001E-3</v>
      </c>
      <c r="AA23" s="556">
        <f t="shared" si="10"/>
        <v>879.38162305000003</v>
      </c>
      <c r="AB23" s="556">
        <f t="shared" si="11"/>
        <v>879.38162305000003</v>
      </c>
      <c r="AC23" s="425">
        <f t="shared" si="12"/>
        <v>0.17501177360394929</v>
      </c>
      <c r="AD23" s="556">
        <f t="shared" si="13"/>
        <v>23685.867934671693</v>
      </c>
      <c r="AE23" s="557">
        <f t="shared" si="14"/>
        <v>2.6599999999999999E-5</v>
      </c>
      <c r="AF23" s="555" t="str">
        <f t="shared" si="15"/>
        <v>kg CH4/gal</v>
      </c>
      <c r="AG23" s="425">
        <f t="shared" si="16"/>
        <v>1.1000000000000001</v>
      </c>
      <c r="AH23" s="558">
        <f t="shared" si="17"/>
        <v>2.6555657799999998E-3</v>
      </c>
      <c r="AI23" s="558">
        <f t="shared" si="18"/>
        <v>7.4355841839999992E-2</v>
      </c>
      <c r="AJ23" s="425">
        <f t="shared" si="19"/>
        <v>1.1138334704972732</v>
      </c>
      <c r="AK23" s="556">
        <f t="shared" si="20"/>
        <v>6.8591566020213502E-3</v>
      </c>
      <c r="AL23" s="557">
        <f t="shared" si="21"/>
        <v>5.3000000000000001E-6</v>
      </c>
      <c r="AM23" s="555" t="str">
        <f t="shared" si="22"/>
        <v>kg N2O/gal</v>
      </c>
      <c r="AN23" s="425">
        <f t="shared" si="23"/>
        <v>0.11</v>
      </c>
      <c r="AO23" s="558">
        <f t="shared" si="24"/>
        <v>5.2911649000000004E-4</v>
      </c>
      <c r="AP23" s="558">
        <f t="shared" si="25"/>
        <v>0.14021586985000001</v>
      </c>
      <c r="AQ23" s="425">
        <f t="shared" si="26"/>
        <v>0.20670026608594388</v>
      </c>
      <c r="AR23" s="556">
        <f t="shared" si="27"/>
        <v>8.3999444199166933E-4</v>
      </c>
      <c r="AS23" s="559">
        <v>0</v>
      </c>
      <c r="AT23" s="555">
        <v>0</v>
      </c>
      <c r="AU23" s="425">
        <v>0</v>
      </c>
      <c r="AV23" s="558">
        <f t="shared" si="28"/>
        <v>0</v>
      </c>
      <c r="AW23" s="425">
        <f t="shared" si="29"/>
        <v>0</v>
      </c>
      <c r="AX23" s="556">
        <f t="shared" si="30"/>
        <v>0</v>
      </c>
      <c r="AY23" s="559">
        <v>0</v>
      </c>
      <c r="AZ23" s="555">
        <v>0</v>
      </c>
      <c r="BA23" s="425">
        <v>0</v>
      </c>
      <c r="BB23" s="558">
        <f t="shared" si="31"/>
        <v>0</v>
      </c>
      <c r="BC23" s="558">
        <f t="shared" si="32"/>
        <v>0</v>
      </c>
      <c r="BD23" s="425">
        <f t="shared" si="33"/>
        <v>0</v>
      </c>
      <c r="BE23" s="556">
        <f t="shared" si="34"/>
        <v>0</v>
      </c>
      <c r="BF23" s="422">
        <f t="shared" si="35"/>
        <v>879.59619476168996</v>
      </c>
      <c r="BG23" s="67">
        <f t="shared" si="36"/>
        <v>0.1749691090688878</v>
      </c>
      <c r="BH23" s="28">
        <f t="shared" si="37"/>
        <v>23685.875633822736</v>
      </c>
      <c r="BI23" s="64"/>
      <c r="BJ23" s="168"/>
      <c r="BK23" s="168"/>
      <c r="BL23" s="168"/>
      <c r="BM23" s="169"/>
      <c r="BN23" s="169"/>
      <c r="BO23" s="169"/>
      <c r="BP23" s="168"/>
      <c r="BQ23" s="168"/>
      <c r="BR23" s="168"/>
      <c r="BS23" s="168"/>
      <c r="BT23" s="168"/>
      <c r="BU23" s="168"/>
      <c r="BV23" s="168"/>
      <c r="BW23" s="168"/>
      <c r="BX23" s="168"/>
      <c r="BY23" s="168"/>
      <c r="BZ23" s="168"/>
      <c r="CA23" s="168"/>
      <c r="CB23" s="170"/>
      <c r="CC23" s="168"/>
      <c r="CD23" s="168"/>
      <c r="CE23" s="170"/>
      <c r="CF23" s="170"/>
      <c r="CG23" s="170"/>
      <c r="CH23" s="170"/>
      <c r="CI23" s="168"/>
      <c r="CJ23" s="168"/>
      <c r="CK23" s="170"/>
      <c r="CL23" s="170"/>
      <c r="CM23" s="170"/>
      <c r="CN23" s="430"/>
      <c r="CO23" s="36"/>
      <c r="CP23" s="36"/>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6"/>
      <c r="DX23" s="36"/>
      <c r="DY23" s="36"/>
      <c r="DZ23" s="36"/>
      <c r="EA23" s="36"/>
      <c r="EB23" s="36"/>
      <c r="EC23" s="36"/>
      <c r="ED23" s="36"/>
    </row>
    <row r="24" spans="1:134" s="27" customFormat="1" x14ac:dyDescent="0.25">
      <c r="A24" s="26"/>
      <c r="B24" s="163"/>
      <c r="C24" s="553"/>
      <c r="D24" s="423">
        <f t="shared" si="0"/>
        <v>0</v>
      </c>
      <c r="E24" s="1393"/>
      <c r="F24" s="421"/>
      <c r="G24" s="421"/>
      <c r="H24" s="421"/>
      <c r="I24" s="421"/>
      <c r="J24" s="421"/>
      <c r="K24" s="421"/>
      <c r="L24" s="421"/>
      <c r="M24" s="421"/>
      <c r="N24" s="421"/>
      <c r="O24" s="421"/>
      <c r="P24" s="421"/>
      <c r="Q24" s="422">
        <f t="shared" si="1"/>
        <v>0</v>
      </c>
      <c r="R24" s="423">
        <f t="shared" si="2"/>
        <v>0</v>
      </c>
      <c r="S24" s="422">
        <f t="shared" si="3"/>
        <v>0</v>
      </c>
      <c r="T24" s="422">
        <f t="shared" si="4"/>
        <v>0</v>
      </c>
      <c r="U24" s="422">
        <f t="shared" si="5"/>
        <v>0</v>
      </c>
      <c r="V24" s="424"/>
      <c r="W24" s="425">
        <f t="shared" si="6"/>
        <v>0</v>
      </c>
      <c r="X24" s="554">
        <f t="shared" si="7"/>
        <v>0</v>
      </c>
      <c r="Y24" s="555">
        <f t="shared" si="8"/>
        <v>0</v>
      </c>
      <c r="Z24" s="425">
        <f t="shared" si="9"/>
        <v>0</v>
      </c>
      <c r="AA24" s="556">
        <f t="shared" si="10"/>
        <v>0</v>
      </c>
      <c r="AB24" s="556">
        <f t="shared" si="11"/>
        <v>0</v>
      </c>
      <c r="AC24" s="425">
        <f t="shared" si="12"/>
        <v>0</v>
      </c>
      <c r="AD24" s="556">
        <f t="shared" si="13"/>
        <v>0</v>
      </c>
      <c r="AE24" s="557">
        <f t="shared" si="14"/>
        <v>0</v>
      </c>
      <c r="AF24" s="555">
        <f t="shared" si="15"/>
        <v>0</v>
      </c>
      <c r="AG24" s="425">
        <f t="shared" si="16"/>
        <v>0</v>
      </c>
      <c r="AH24" s="558">
        <f t="shared" si="17"/>
        <v>0</v>
      </c>
      <c r="AI24" s="558">
        <f t="shared" si="18"/>
        <v>0</v>
      </c>
      <c r="AJ24" s="425">
        <f t="shared" si="19"/>
        <v>0</v>
      </c>
      <c r="AK24" s="556">
        <f t="shared" si="20"/>
        <v>0</v>
      </c>
      <c r="AL24" s="557">
        <f t="shared" si="21"/>
        <v>0</v>
      </c>
      <c r="AM24" s="555">
        <f t="shared" si="22"/>
        <v>0</v>
      </c>
      <c r="AN24" s="425">
        <f t="shared" si="23"/>
        <v>0</v>
      </c>
      <c r="AO24" s="558">
        <f t="shared" si="24"/>
        <v>0</v>
      </c>
      <c r="AP24" s="558">
        <f t="shared" si="25"/>
        <v>0</v>
      </c>
      <c r="AQ24" s="425">
        <f t="shared" si="26"/>
        <v>0</v>
      </c>
      <c r="AR24" s="556">
        <f t="shared" si="27"/>
        <v>0</v>
      </c>
      <c r="AS24" s="559">
        <v>0</v>
      </c>
      <c r="AT24" s="555">
        <v>0</v>
      </c>
      <c r="AU24" s="425">
        <v>0</v>
      </c>
      <c r="AV24" s="558">
        <f t="shared" si="28"/>
        <v>0</v>
      </c>
      <c r="AW24" s="425">
        <f t="shared" si="29"/>
        <v>0</v>
      </c>
      <c r="AX24" s="556">
        <f t="shared" si="30"/>
        <v>0</v>
      </c>
      <c r="AY24" s="559">
        <v>0</v>
      </c>
      <c r="AZ24" s="555">
        <v>0</v>
      </c>
      <c r="BA24" s="425">
        <v>0</v>
      </c>
      <c r="BB24" s="558">
        <f t="shared" si="31"/>
        <v>0</v>
      </c>
      <c r="BC24" s="558">
        <f t="shared" si="32"/>
        <v>0</v>
      </c>
      <c r="BD24" s="425">
        <f t="shared" si="33"/>
        <v>0</v>
      </c>
      <c r="BE24" s="556">
        <f t="shared" si="34"/>
        <v>0</v>
      </c>
      <c r="BF24" s="422">
        <f t="shared" si="35"/>
        <v>0</v>
      </c>
      <c r="BG24" s="67">
        <f t="shared" si="36"/>
        <v>0</v>
      </c>
      <c r="BH24" s="28">
        <f t="shared" si="37"/>
        <v>0</v>
      </c>
      <c r="BI24" s="64"/>
      <c r="BJ24" s="168"/>
      <c r="BK24" s="168"/>
      <c r="BL24" s="168"/>
      <c r="BM24" s="169"/>
      <c r="BN24" s="169"/>
      <c r="BO24" s="169"/>
      <c r="BP24" s="168"/>
      <c r="BQ24" s="168"/>
      <c r="BR24" s="168"/>
      <c r="BS24" s="168"/>
      <c r="BT24" s="168"/>
      <c r="BU24" s="168"/>
      <c r="BV24" s="168"/>
      <c r="BW24" s="168"/>
      <c r="BX24" s="168"/>
      <c r="BY24" s="168"/>
      <c r="BZ24" s="168"/>
      <c r="CA24" s="168"/>
      <c r="CB24" s="170"/>
      <c r="CC24" s="168"/>
      <c r="CD24" s="168"/>
      <c r="CE24" s="170"/>
      <c r="CF24" s="170"/>
      <c r="CG24" s="170"/>
      <c r="CH24" s="170"/>
      <c r="CI24" s="168"/>
      <c r="CJ24" s="168"/>
      <c r="CK24" s="170"/>
      <c r="CL24" s="170"/>
      <c r="CM24" s="170"/>
      <c r="CN24" s="430"/>
      <c r="CO24" s="36"/>
      <c r="CP24" s="36"/>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6"/>
      <c r="DX24" s="36"/>
      <c r="DY24" s="36"/>
      <c r="DZ24" s="36"/>
      <c r="EA24" s="36"/>
      <c r="EB24" s="36"/>
      <c r="EC24" s="36"/>
      <c r="ED24" s="36"/>
    </row>
    <row r="25" spans="1:134" s="27" customFormat="1" x14ac:dyDescent="0.25">
      <c r="A25" s="26"/>
      <c r="B25" s="161" t="s">
        <v>398</v>
      </c>
      <c r="C25" s="560" t="s">
        <v>427</v>
      </c>
      <c r="D25" s="423" t="str">
        <f t="shared" si="0"/>
        <v>m3</v>
      </c>
      <c r="E25" s="143">
        <v>11653665.824817929</v>
      </c>
      <c r="F25" s="143"/>
      <c r="G25" s="143"/>
      <c r="H25" s="144"/>
      <c r="I25" s="144"/>
      <c r="J25" s="144"/>
      <c r="K25" s="144"/>
      <c r="L25" s="421"/>
      <c r="M25" s="421"/>
      <c r="N25" s="421"/>
      <c r="O25" s="421"/>
      <c r="P25" s="421"/>
      <c r="Q25" s="422">
        <f t="shared" si="1"/>
        <v>11653665.824817929</v>
      </c>
      <c r="R25" s="423">
        <f t="shared" si="2"/>
        <v>1</v>
      </c>
      <c r="S25" s="422">
        <f t="shared" si="3"/>
        <v>0</v>
      </c>
      <c r="T25" s="422">
        <f t="shared" si="4"/>
        <v>0</v>
      </c>
      <c r="U25" s="422">
        <f t="shared" si="5"/>
        <v>0</v>
      </c>
      <c r="V25" s="424"/>
      <c r="W25" s="425">
        <f t="shared" si="6"/>
        <v>0.17499999999999999</v>
      </c>
      <c r="X25" s="554">
        <f t="shared" si="7"/>
        <v>1.9805999999999999</v>
      </c>
      <c r="Y25" s="555" t="str">
        <f t="shared" si="8"/>
        <v>kg CO2/m3</v>
      </c>
      <c r="Z25" s="425">
        <f t="shared" si="9"/>
        <v>6.5890000000000004E-2</v>
      </c>
      <c r="AA25" s="556">
        <f t="shared" si="10"/>
        <v>23081.250532634389</v>
      </c>
      <c r="AB25" s="556">
        <f t="shared" si="11"/>
        <v>23081.250532634389</v>
      </c>
      <c r="AC25" s="425">
        <f t="shared" si="12"/>
        <v>0.18699329426479441</v>
      </c>
      <c r="AD25" s="556">
        <f t="shared" si="13"/>
        <v>18628193.278353605</v>
      </c>
      <c r="AE25" s="557">
        <f t="shared" si="14"/>
        <v>3.57E-5</v>
      </c>
      <c r="AF25" s="555" t="str">
        <f t="shared" si="15"/>
        <v>kg CH4/m3</v>
      </c>
      <c r="AG25" s="425">
        <f t="shared" si="16"/>
        <v>15.4</v>
      </c>
      <c r="AH25" s="563">
        <f t="shared" si="17"/>
        <v>0.41603586994600011</v>
      </c>
      <c r="AI25" s="558">
        <f t="shared" si="18"/>
        <v>11.649004358488003</v>
      </c>
      <c r="AJ25" s="425">
        <f t="shared" si="19"/>
        <v>15.400994286084259</v>
      </c>
      <c r="AK25" s="556">
        <f t="shared" si="20"/>
        <v>32186.602382492645</v>
      </c>
      <c r="AL25" s="557">
        <f t="shared" si="21"/>
        <v>3.5999999999999998E-6</v>
      </c>
      <c r="AM25" s="555" t="str">
        <f t="shared" si="22"/>
        <v>kg N2O/m3</v>
      </c>
      <c r="AN25" s="425">
        <f t="shared" si="23"/>
        <v>0.77</v>
      </c>
      <c r="AO25" s="558">
        <f t="shared" si="24"/>
        <v>4.1953196969344547E-2</v>
      </c>
      <c r="AP25" s="558">
        <f t="shared" si="25"/>
        <v>11.117597196876305</v>
      </c>
      <c r="AQ25" s="425">
        <f t="shared" si="26"/>
        <v>0.78963599208749347</v>
      </c>
      <c r="AR25" s="556">
        <f t="shared" si="27"/>
        <v>77.06829321803275</v>
      </c>
      <c r="AS25" s="559">
        <v>0</v>
      </c>
      <c r="AT25" s="555">
        <v>0</v>
      </c>
      <c r="AU25" s="425">
        <v>0</v>
      </c>
      <c r="AV25" s="558">
        <f t="shared" si="28"/>
        <v>0</v>
      </c>
      <c r="AW25" s="425">
        <f t="shared" si="29"/>
        <v>0</v>
      </c>
      <c r="AX25" s="556">
        <f t="shared" si="30"/>
        <v>0</v>
      </c>
      <c r="AY25" s="559">
        <v>0</v>
      </c>
      <c r="AZ25" s="555">
        <v>0</v>
      </c>
      <c r="BA25" s="425">
        <v>0</v>
      </c>
      <c r="BB25" s="558">
        <f t="shared" si="31"/>
        <v>0</v>
      </c>
      <c r="BC25" s="558">
        <f t="shared" si="32"/>
        <v>0</v>
      </c>
      <c r="BD25" s="425">
        <f t="shared" si="33"/>
        <v>0</v>
      </c>
      <c r="BE25" s="556">
        <f t="shared" si="34"/>
        <v>0</v>
      </c>
      <c r="BF25" s="422">
        <f t="shared" si="35"/>
        <v>23104.017134189755</v>
      </c>
      <c r="BG25" s="67">
        <f t="shared" si="36"/>
        <v>0.1869707366860853</v>
      </c>
      <c r="BH25" s="28">
        <f t="shared" si="37"/>
        <v>18660456.949029315</v>
      </c>
      <c r="BI25" s="64"/>
      <c r="BJ25" s="168"/>
      <c r="BK25" s="168"/>
      <c r="BL25" s="168"/>
      <c r="BM25" s="169"/>
      <c r="BN25" s="169"/>
      <c r="BO25" s="169"/>
      <c r="BP25" s="168"/>
      <c r="BQ25" s="168"/>
      <c r="BR25" s="168"/>
      <c r="BS25" s="168"/>
      <c r="BT25" s="168"/>
      <c r="BU25" s="168"/>
      <c r="BV25" s="168"/>
      <c r="BW25" s="168"/>
      <c r="BX25" s="168"/>
      <c r="BY25" s="168"/>
      <c r="BZ25" s="168"/>
      <c r="CA25" s="168"/>
      <c r="CB25" s="170"/>
      <c r="CC25" s="168"/>
      <c r="CD25" s="168"/>
      <c r="CE25" s="170"/>
      <c r="CF25" s="170"/>
      <c r="CG25" s="170"/>
      <c r="CH25" s="170"/>
      <c r="CI25" s="168"/>
      <c r="CJ25" s="168"/>
      <c r="CK25" s="170"/>
      <c r="CL25" s="170"/>
      <c r="CM25" s="170"/>
      <c r="CN25" s="430"/>
      <c r="CO25" s="36"/>
      <c r="CP25" s="36"/>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6"/>
      <c r="DX25" s="36"/>
      <c r="DY25" s="36"/>
      <c r="DZ25" s="36"/>
      <c r="EA25" s="36"/>
      <c r="EB25" s="36"/>
      <c r="EC25" s="36"/>
      <c r="ED25" s="36"/>
    </row>
    <row r="26" spans="1:134" s="27" customFormat="1" x14ac:dyDescent="0.25">
      <c r="A26" s="26"/>
      <c r="B26" s="162" t="s">
        <v>396</v>
      </c>
      <c r="C26" s="560" t="s">
        <v>275</v>
      </c>
      <c r="D26" s="423" t="str">
        <f t="shared" si="0"/>
        <v>m3</v>
      </c>
      <c r="E26" s="1341">
        <v>2590.8000000000002</v>
      </c>
      <c r="F26" s="153"/>
      <c r="G26" s="153"/>
      <c r="H26" s="154"/>
      <c r="I26" s="154"/>
      <c r="J26" s="154"/>
      <c r="K26" s="154"/>
      <c r="L26" s="153"/>
      <c r="M26" s="155"/>
      <c r="N26" s="156"/>
      <c r="O26" s="156"/>
      <c r="P26" s="156"/>
      <c r="Q26" s="422">
        <f t="shared" si="1"/>
        <v>2590.8000000000002</v>
      </c>
      <c r="R26" s="423">
        <f t="shared" si="2"/>
        <v>1</v>
      </c>
      <c r="S26" s="422">
        <f t="shared" si="3"/>
        <v>0</v>
      </c>
      <c r="T26" s="422">
        <f t="shared" si="4"/>
        <v>0</v>
      </c>
      <c r="U26" s="422">
        <f t="shared" si="5"/>
        <v>0</v>
      </c>
      <c r="V26" s="424"/>
      <c r="W26" s="425">
        <f t="shared" si="6"/>
        <v>0.17499999999999999</v>
      </c>
      <c r="X26" s="554">
        <f t="shared" si="7"/>
        <v>4.6929999999999996</v>
      </c>
      <c r="Y26" s="555" t="str">
        <f t="shared" si="8"/>
        <v>kg CO2/m3</v>
      </c>
      <c r="Z26" s="425">
        <f t="shared" si="9"/>
        <v>2.6000000000000002E-2</v>
      </c>
      <c r="AA26" s="556">
        <f t="shared" si="10"/>
        <v>12.158624400000001</v>
      </c>
      <c r="AB26" s="556">
        <f t="shared" si="11"/>
        <v>12.158624400000001</v>
      </c>
      <c r="AC26" s="425">
        <f t="shared" si="12"/>
        <v>0.17692088627406319</v>
      </c>
      <c r="AD26" s="556">
        <f t="shared" si="13"/>
        <v>4.6272940426459197</v>
      </c>
      <c r="AE26" s="557">
        <f t="shared" si="14"/>
        <v>9.9199999999999999E-5</v>
      </c>
      <c r="AF26" s="555" t="str">
        <f t="shared" si="15"/>
        <v>kg CH4/m3</v>
      </c>
      <c r="AG26" s="425">
        <f t="shared" si="16"/>
        <v>0</v>
      </c>
      <c r="AH26" s="558">
        <f t="shared" si="17"/>
        <v>2.5700736000000004E-4</v>
      </c>
      <c r="AI26" s="558">
        <f t="shared" si="18"/>
        <v>7.1962060800000015E-3</v>
      </c>
      <c r="AJ26" s="425">
        <f t="shared" si="19"/>
        <v>0.17499999999999999</v>
      </c>
      <c r="AK26" s="556">
        <f t="shared" si="20"/>
        <v>1.5859273220910126E-6</v>
      </c>
      <c r="AL26" s="564">
        <f t="shared" si="21"/>
        <v>9.9000000000000001E-6</v>
      </c>
      <c r="AM26" s="555" t="str">
        <f t="shared" si="22"/>
        <v>kg N2O/m3</v>
      </c>
      <c r="AN26" s="425">
        <f t="shared" si="23"/>
        <v>0</v>
      </c>
      <c r="AO26" s="558">
        <f t="shared" si="24"/>
        <v>2.5648920000000002E-5</v>
      </c>
      <c r="AP26" s="558">
        <f t="shared" si="25"/>
        <v>6.7969638000000008E-3</v>
      </c>
      <c r="AQ26" s="425">
        <f t="shared" si="26"/>
        <v>0.17499999999999999</v>
      </c>
      <c r="AR26" s="556">
        <f t="shared" si="27"/>
        <v>1.4148357050168824E-6</v>
      </c>
      <c r="AS26" s="559">
        <v>0</v>
      </c>
      <c r="AT26" s="555">
        <v>0</v>
      </c>
      <c r="AU26" s="425">
        <v>0</v>
      </c>
      <c r="AV26" s="558">
        <f t="shared" si="28"/>
        <v>0</v>
      </c>
      <c r="AW26" s="425">
        <f t="shared" si="29"/>
        <v>0</v>
      </c>
      <c r="AX26" s="556">
        <f t="shared" si="30"/>
        <v>0</v>
      </c>
      <c r="AY26" s="559">
        <v>0</v>
      </c>
      <c r="AZ26" s="555">
        <v>0</v>
      </c>
      <c r="BA26" s="425">
        <v>0</v>
      </c>
      <c r="BB26" s="558">
        <f t="shared" si="31"/>
        <v>0</v>
      </c>
      <c r="BC26" s="558">
        <f t="shared" si="32"/>
        <v>0</v>
      </c>
      <c r="BD26" s="425">
        <f t="shared" si="33"/>
        <v>0</v>
      </c>
      <c r="BE26" s="556">
        <f t="shared" si="34"/>
        <v>0</v>
      </c>
      <c r="BF26" s="422">
        <f t="shared" si="35"/>
        <v>12.17261756988</v>
      </c>
      <c r="BG26" s="67">
        <f t="shared" si="36"/>
        <v>0.1767175621728512</v>
      </c>
      <c r="BH26" s="28">
        <f t="shared" si="37"/>
        <v>4.6272970434089453</v>
      </c>
      <c r="BI26" s="64"/>
      <c r="BJ26" s="168"/>
      <c r="BK26" s="168"/>
      <c r="BL26" s="168"/>
      <c r="BM26" s="169"/>
      <c r="BN26" s="169"/>
      <c r="BO26" s="169"/>
      <c r="BP26" s="168"/>
      <c r="BQ26" s="168"/>
      <c r="BR26" s="168"/>
      <c r="BS26" s="168"/>
      <c r="BT26" s="168"/>
      <c r="BU26" s="168"/>
      <c r="BV26" s="168"/>
      <c r="BW26" s="168"/>
      <c r="BX26" s="168"/>
      <c r="BY26" s="168"/>
      <c r="BZ26" s="168"/>
      <c r="CA26" s="168"/>
      <c r="CB26" s="170"/>
      <c r="CC26" s="168"/>
      <c r="CD26" s="168"/>
      <c r="CE26" s="170"/>
      <c r="CF26" s="170"/>
      <c r="CG26" s="170"/>
      <c r="CH26" s="170"/>
      <c r="CI26" s="168"/>
      <c r="CJ26" s="168"/>
      <c r="CK26" s="170"/>
      <c r="CL26" s="170"/>
      <c r="CM26" s="170"/>
      <c r="CN26" s="430"/>
      <c r="CO26" s="36"/>
      <c r="CP26" s="36"/>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6"/>
      <c r="DX26" s="36"/>
      <c r="DY26" s="36"/>
      <c r="DZ26" s="36"/>
      <c r="EA26" s="36"/>
      <c r="EB26" s="36"/>
      <c r="EC26" s="36"/>
      <c r="ED26" s="36"/>
    </row>
    <row r="27" spans="1:134" s="27" customFormat="1" x14ac:dyDescent="0.25">
      <c r="A27" s="26"/>
      <c r="B27" s="163"/>
      <c r="C27" s="553" t="s">
        <v>427</v>
      </c>
      <c r="D27" s="423" t="str">
        <f t="shared" si="0"/>
        <v>m3</v>
      </c>
      <c r="E27" s="421">
        <v>9239206</v>
      </c>
      <c r="F27" s="421"/>
      <c r="G27" s="421"/>
      <c r="H27" s="421"/>
      <c r="I27" s="421"/>
      <c r="J27" s="421"/>
      <c r="K27" s="421"/>
      <c r="L27" s="421"/>
      <c r="M27" s="421"/>
      <c r="N27" s="421"/>
      <c r="O27" s="421"/>
      <c r="P27" s="421"/>
      <c r="Q27" s="422">
        <f t="shared" si="1"/>
        <v>9239206</v>
      </c>
      <c r="R27" s="423">
        <f t="shared" si="2"/>
        <v>1</v>
      </c>
      <c r="S27" s="422">
        <f t="shared" si="3"/>
        <v>0</v>
      </c>
      <c r="T27" s="422">
        <f t="shared" si="4"/>
        <v>0</v>
      </c>
      <c r="U27" s="422">
        <f t="shared" si="5"/>
        <v>0</v>
      </c>
      <c r="V27" s="424"/>
      <c r="W27" s="425">
        <f t="shared" si="6"/>
        <v>0.17499999999999999</v>
      </c>
      <c r="X27" s="554">
        <f t="shared" si="7"/>
        <v>1.9805999999999999</v>
      </c>
      <c r="Y27" s="555" t="str">
        <f t="shared" si="8"/>
        <v>kg CO2/m3</v>
      </c>
      <c r="Z27" s="425">
        <f t="shared" si="9"/>
        <v>6.5890000000000004E-2</v>
      </c>
      <c r="AA27" s="556">
        <f t="shared" si="10"/>
        <v>18299.171403600001</v>
      </c>
      <c r="AB27" s="556">
        <f t="shared" si="11"/>
        <v>18299.171403600001</v>
      </c>
      <c r="AC27" s="425">
        <f t="shared" si="12"/>
        <v>0.18699329426479441</v>
      </c>
      <c r="AD27" s="556">
        <f t="shared" si="13"/>
        <v>11708868.147569241</v>
      </c>
      <c r="AE27" s="557">
        <f t="shared" si="14"/>
        <v>3.57E-5</v>
      </c>
      <c r="AF27" s="555" t="str">
        <f t="shared" si="15"/>
        <v>kg CH4/m3</v>
      </c>
      <c r="AG27" s="425">
        <f t="shared" si="16"/>
        <v>15.4</v>
      </c>
      <c r="AH27" s="558">
        <f t="shared" si="17"/>
        <v>0.3298396542</v>
      </c>
      <c r="AI27" s="558">
        <f t="shared" si="18"/>
        <v>9.2355103175999993</v>
      </c>
      <c r="AJ27" s="425">
        <f t="shared" si="19"/>
        <v>15.400994286084259</v>
      </c>
      <c r="AK27" s="556">
        <f t="shared" si="20"/>
        <v>20231.091538693363</v>
      </c>
      <c r="AL27" s="557">
        <f t="shared" si="21"/>
        <v>3.5999999999999998E-6</v>
      </c>
      <c r="AM27" s="555" t="str">
        <f t="shared" si="22"/>
        <v>kg N2O/m3</v>
      </c>
      <c r="AN27" s="425">
        <f t="shared" si="23"/>
        <v>0.77</v>
      </c>
      <c r="AO27" s="558">
        <f t="shared" si="24"/>
        <v>3.3261141600000002E-2</v>
      </c>
      <c r="AP27" s="558">
        <f t="shared" si="25"/>
        <v>8.8142025240000006</v>
      </c>
      <c r="AQ27" s="425">
        <f t="shared" si="26"/>
        <v>0.78963599208749347</v>
      </c>
      <c r="AR27" s="556">
        <f t="shared" si="27"/>
        <v>48.441760838757219</v>
      </c>
      <c r="AS27" s="559">
        <v>0</v>
      </c>
      <c r="AT27" s="555">
        <v>0</v>
      </c>
      <c r="AU27" s="425">
        <v>0</v>
      </c>
      <c r="AV27" s="558">
        <f t="shared" si="28"/>
        <v>0</v>
      </c>
      <c r="AW27" s="425">
        <f t="shared" si="29"/>
        <v>0</v>
      </c>
      <c r="AX27" s="556">
        <f t="shared" si="30"/>
        <v>0</v>
      </c>
      <c r="AY27" s="559">
        <v>0</v>
      </c>
      <c r="AZ27" s="555">
        <v>0</v>
      </c>
      <c r="BA27" s="425">
        <v>0</v>
      </c>
      <c r="BB27" s="558">
        <f t="shared" si="31"/>
        <v>0</v>
      </c>
      <c r="BC27" s="558">
        <f t="shared" si="32"/>
        <v>0</v>
      </c>
      <c r="BD27" s="425">
        <f t="shared" si="33"/>
        <v>0</v>
      </c>
      <c r="BE27" s="556">
        <f t="shared" si="34"/>
        <v>0</v>
      </c>
      <c r="BF27" s="422">
        <f t="shared" si="35"/>
        <v>18317.221116441604</v>
      </c>
      <c r="BG27" s="67">
        <f t="shared" si="36"/>
        <v>0.18697073668608527</v>
      </c>
      <c r="BH27" s="28">
        <f t="shared" si="37"/>
        <v>11729147.680868773</v>
      </c>
      <c r="BI27" s="64"/>
      <c r="BJ27" s="168"/>
      <c r="BK27" s="168"/>
      <c r="BL27" s="168"/>
      <c r="BM27" s="169"/>
      <c r="BN27" s="169"/>
      <c r="BO27" s="169"/>
      <c r="BP27" s="168"/>
      <c r="BQ27" s="168"/>
      <c r="BR27" s="168"/>
      <c r="BS27" s="168"/>
      <c r="BT27" s="168"/>
      <c r="BU27" s="168"/>
      <c r="BV27" s="168"/>
      <c r="BW27" s="168"/>
      <c r="BX27" s="168"/>
      <c r="BY27" s="168"/>
      <c r="BZ27" s="168"/>
      <c r="CA27" s="168"/>
      <c r="CB27" s="170"/>
      <c r="CC27" s="168"/>
      <c r="CD27" s="168"/>
      <c r="CE27" s="170"/>
      <c r="CF27" s="170"/>
      <c r="CG27" s="170"/>
      <c r="CH27" s="170"/>
      <c r="CI27" s="168"/>
      <c r="CJ27" s="168"/>
      <c r="CK27" s="170"/>
      <c r="CL27" s="170"/>
      <c r="CM27" s="170"/>
      <c r="CN27" s="430"/>
      <c r="CO27" s="36"/>
      <c r="CP27" s="36"/>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6"/>
      <c r="DX27" s="36"/>
      <c r="DY27" s="36"/>
      <c r="DZ27" s="36"/>
      <c r="EA27" s="36"/>
      <c r="EB27" s="36"/>
      <c r="EC27" s="36"/>
      <c r="ED27" s="36"/>
    </row>
    <row r="28" spans="1:134" s="27" customFormat="1" x14ac:dyDescent="0.25">
      <c r="A28" s="26"/>
      <c r="B28" s="68" t="s">
        <v>46</v>
      </c>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6"/>
      <c r="AB28" s="567">
        <f>SUM(AB17:AB27)</f>
        <v>42962.646637012389</v>
      </c>
      <c r="AC28" s="568">
        <f>IF(AB28&gt;0,SQRT(SUM(AD17:AD27))/AB28,0)</f>
        <v>0.12826883868170888</v>
      </c>
      <c r="AD28" s="569"/>
      <c r="AE28" s="570"/>
      <c r="AF28" s="565"/>
      <c r="AG28" s="565"/>
      <c r="AH28" s="571"/>
      <c r="AI28" s="567">
        <f>SUM(AI17:AI27)</f>
        <v>189.86659637864801</v>
      </c>
      <c r="AJ28" s="568">
        <f>IF(AI28&gt;0,SQRT(SUM(AK17:AK27))/AI28,0)</f>
        <v>1.399635824056461</v>
      </c>
      <c r="AK28" s="569"/>
      <c r="AL28" s="565"/>
      <c r="AM28" s="565"/>
      <c r="AN28" s="565"/>
      <c r="AO28" s="565"/>
      <c r="AP28" s="567">
        <f>SUM(AP17:AP27)</f>
        <v>235.36043859358131</v>
      </c>
      <c r="AQ28" s="568">
        <f>IF(AP28&gt;0,SQRT(SUM(AR17:AR27))/AP28,0)</f>
        <v>0.72492787008090542</v>
      </c>
      <c r="AR28" s="569"/>
      <c r="AS28" s="565"/>
      <c r="AT28" s="565"/>
      <c r="AU28" s="565"/>
      <c r="AV28" s="567">
        <f>SUM(AV17:AV27)</f>
        <v>0</v>
      </c>
      <c r="AW28" s="568">
        <f>IF(AV28&gt;0,SQRT(SUM(AX17:AX27))/AV28,0)</f>
        <v>0</v>
      </c>
      <c r="AX28" s="569"/>
      <c r="AY28" s="565"/>
      <c r="AZ28" s="565"/>
      <c r="BA28" s="572"/>
      <c r="BB28" s="569"/>
      <c r="BC28" s="567">
        <f>SUM(BC17:BC27)</f>
        <v>0</v>
      </c>
      <c r="BD28" s="568">
        <f>IF(BC28&gt;0,SQRT(SUM(BE17:BE27))/BC28,0)</f>
        <v>0</v>
      </c>
      <c r="BE28" s="569"/>
      <c r="BF28" s="567">
        <f>SUM(BF17:BF27)</f>
        <v>43387.87367198462</v>
      </c>
      <c r="BG28" s="69">
        <f>IF(BF28&gt;0,SQRT(SUM(BH17:BH27))/BF28,0)</f>
        <v>0.1272201109083573</v>
      </c>
      <c r="BH28" s="28">
        <f t="shared" si="37"/>
        <v>30468303.546991352</v>
      </c>
      <c r="BI28" s="64"/>
      <c r="BJ28" s="168"/>
      <c r="BK28" s="168"/>
      <c r="BL28" s="168"/>
      <c r="BM28" s="169"/>
      <c r="BN28" s="169"/>
      <c r="BO28" s="169"/>
      <c r="BP28" s="168"/>
      <c r="BQ28" s="168"/>
      <c r="BR28" s="168"/>
      <c r="BS28" s="168"/>
      <c r="BT28" s="168"/>
      <c r="BU28" s="168"/>
      <c r="BV28" s="168"/>
      <c r="BW28" s="168"/>
      <c r="BX28" s="168"/>
      <c r="BY28" s="168"/>
      <c r="BZ28" s="168"/>
      <c r="CA28" s="168"/>
      <c r="CB28" s="170"/>
      <c r="CC28" s="168"/>
      <c r="CD28" s="168"/>
      <c r="CE28" s="170"/>
      <c r="CF28" s="170"/>
      <c r="CG28" s="170"/>
      <c r="CH28" s="170"/>
      <c r="CI28" s="168"/>
      <c r="CJ28" s="168"/>
      <c r="CK28" s="170"/>
      <c r="CL28" s="170"/>
      <c r="CM28" s="170"/>
      <c r="CN28" s="430"/>
      <c r="CO28" s="36"/>
      <c r="CP28" s="36"/>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6"/>
      <c r="DX28" s="36"/>
      <c r="DY28" s="36"/>
      <c r="DZ28" s="36"/>
      <c r="EA28" s="36"/>
      <c r="EB28" s="36"/>
      <c r="EC28" s="36"/>
      <c r="ED28" s="36"/>
    </row>
    <row r="29" spans="1:134" s="27" customFormat="1" ht="15" customHeight="1" x14ac:dyDescent="0.25">
      <c r="A29" s="26"/>
      <c r="B29" s="161" t="s">
        <v>399</v>
      </c>
      <c r="C29" s="553" t="s">
        <v>184</v>
      </c>
      <c r="D29" s="423" t="str">
        <f t="shared" ref="D29:D34" si="38">VLOOKUP($C29,$BI$79:$CM$461,2,FALSE)</f>
        <v>kg</v>
      </c>
      <c r="E29" s="145">
        <v>401.62</v>
      </c>
      <c r="F29" s="145"/>
      <c r="G29" s="145"/>
      <c r="H29" s="145"/>
      <c r="I29" s="145"/>
      <c r="J29" s="145"/>
      <c r="K29" s="421"/>
      <c r="L29" s="421"/>
      <c r="M29" s="421"/>
      <c r="N29" s="421"/>
      <c r="O29" s="421"/>
      <c r="P29" s="421"/>
      <c r="Q29" s="422">
        <f t="shared" ref="Q29:Q34" si="39">SUM(E29:P29)</f>
        <v>401.62</v>
      </c>
      <c r="R29" s="423">
        <f t="shared" ref="R29:R34" si="40">COUNT(E29:P29)</f>
        <v>1</v>
      </c>
      <c r="S29" s="422">
        <f t="shared" ref="S29:S34" si="41">IF(R29&gt;1,AVERAGE(E29:P29),0)</f>
        <v>0</v>
      </c>
      <c r="T29" s="422">
        <f t="shared" ref="T29:T34" si="42">IF(R29&gt;1,STDEV(E29:P29),0)</f>
        <v>0</v>
      </c>
      <c r="U29" s="422">
        <f t="shared" ref="U29:U34" si="43">IF(R29&gt;1,VLOOKUP($R29,$BI$413:$BJ$425,2,FALSE),0)</f>
        <v>0</v>
      </c>
      <c r="V29" s="424"/>
      <c r="W29" s="425">
        <f t="shared" ref="W29:W34" si="44">IF(R29&gt;1,1-((S29-((T29*U29)/(SQRT(R29))))/S29),VLOOKUP($C29,$BI$79:$CP$461,34,FALSE))</f>
        <v>0.255</v>
      </c>
      <c r="X29" s="554">
        <v>0</v>
      </c>
      <c r="Y29" s="555">
        <v>0</v>
      </c>
      <c r="Z29" s="425">
        <v>0</v>
      </c>
      <c r="AA29" s="556">
        <f t="shared" ref="AA29:AA34" si="45">($Q29*X29)/1000</f>
        <v>0</v>
      </c>
      <c r="AB29" s="556">
        <f t="shared" ref="AB29:AB34" si="46">AA29*$BJ$431</f>
        <v>0</v>
      </c>
      <c r="AC29" s="425">
        <f t="shared" ref="AC29:AC34" si="47">IF(AA29&gt;0,SQRT(($W29*$W29)+(Z29*Z29)+($V29*$V29)),0)</f>
        <v>0</v>
      </c>
      <c r="AD29" s="556">
        <f t="shared" ref="AD29:AD34" si="48">(AB29*AC29)^2</f>
        <v>0</v>
      </c>
      <c r="AE29" s="557">
        <v>0</v>
      </c>
      <c r="AF29" s="555">
        <v>0</v>
      </c>
      <c r="AG29" s="425">
        <v>0</v>
      </c>
      <c r="AH29" s="558">
        <f t="shared" ref="AH29:AH34" si="49">($Q29*AE29)/1000</f>
        <v>0</v>
      </c>
      <c r="AI29" s="558">
        <f t="shared" ref="AI29:AI34" si="50">AH29*$BJ$432</f>
        <v>0</v>
      </c>
      <c r="AJ29" s="425">
        <f t="shared" ref="AJ29:AJ34" si="51">IF(AH29&gt;0,SQRT(($W29*$W29)+(AG29*AG29)+($V29*$V29)),0)</f>
        <v>0</v>
      </c>
      <c r="AK29" s="556">
        <f t="shared" ref="AK29:AK34" si="52">(AI29*AJ29)^2</f>
        <v>0</v>
      </c>
      <c r="AL29" s="557">
        <v>0</v>
      </c>
      <c r="AM29" s="555">
        <f>VLOOKUP($C29,$BI$79:$CM$461,28,FALSE)</f>
        <v>0</v>
      </c>
      <c r="AN29" s="425">
        <v>0</v>
      </c>
      <c r="AO29" s="558">
        <f t="shared" ref="AO29:AO34" si="53">(W29*AL29)/1000</f>
        <v>0</v>
      </c>
      <c r="AP29" s="558">
        <f t="shared" ref="AP29:AP34" si="54">AO29*$BJ$433</f>
        <v>0</v>
      </c>
      <c r="AQ29" s="425">
        <f t="shared" ref="AQ29:AQ34" si="55">IF(AO29&gt;0,SQRT(($W29*$W29)+(AN29*AN29)+($V29*$V29)),0)</f>
        <v>0</v>
      </c>
      <c r="AR29" s="556">
        <f t="shared" ref="AR29:AR34" si="56">(AP29*AQ29)^2</f>
        <v>0</v>
      </c>
      <c r="AS29" s="559">
        <f t="shared" ref="AS29:AS34" si="57">VLOOKUP($C29,$BI$79:$CM$461,3,FALSE)</f>
        <v>1923.5</v>
      </c>
      <c r="AT29" s="555" t="str">
        <f t="shared" ref="AT29:AT34" si="58">VLOOKUP($C29,$BI$79:$CM$461,4,FALSE)</f>
        <v>kgCO2e/kg</v>
      </c>
      <c r="AU29" s="425">
        <f t="shared" ref="AU29:AU34" si="59">IF($Q29&gt;0,VLOOKUP($C29,$BI$79:$CM$461,6,FALSE),0)</f>
        <v>0.5</v>
      </c>
      <c r="AV29" s="558">
        <f t="shared" ref="AV29:AV34" si="60">($Q29*AS29)/1000</f>
        <v>772.51607000000001</v>
      </c>
      <c r="AW29" s="425">
        <f t="shared" ref="AW29:AW34" si="61">IF(AV29&gt;0,SQRT(($W29*$W29)+(AU29*AU29)+($V29*$V29)),0)</f>
        <v>0.56127087934436792</v>
      </c>
      <c r="AX29" s="556">
        <f t="shared" ref="AX29:AX36" si="62">(AV29*AW29)^2</f>
        <v>188000.95922555737</v>
      </c>
      <c r="AY29" s="559">
        <v>0</v>
      </c>
      <c r="AZ29" s="555">
        <v>0</v>
      </c>
      <c r="BA29" s="425">
        <v>0</v>
      </c>
      <c r="BB29" s="558">
        <f t="shared" ref="BB29:BB34" si="63">($Q29*AY29)/1000</f>
        <v>0</v>
      </c>
      <c r="BC29" s="558">
        <f t="shared" ref="BC29:BC34" si="64">BB29*$BJ$434</f>
        <v>0</v>
      </c>
      <c r="BD29" s="425">
        <v>0</v>
      </c>
      <c r="BE29" s="556">
        <f t="shared" ref="BE29:BE34" si="65">(BC29*BD29)^2</f>
        <v>0</v>
      </c>
      <c r="BF29" s="422">
        <f t="shared" ref="BF29:BF34" si="66">AB29+AI29+AP29+AV29+BC29</f>
        <v>772.51607000000001</v>
      </c>
      <c r="BG29" s="67">
        <f t="shared" ref="BG29:BG34" si="67">IF(BF29&gt;0,SQRT(AD29+AK29+AR29+AX29+BE29)/BF29,0)</f>
        <v>0.56127087934436792</v>
      </c>
      <c r="BH29" s="28">
        <f t="shared" si="37"/>
        <v>188000.95922555737</v>
      </c>
      <c r="BI29" s="64"/>
      <c r="BJ29" s="168"/>
      <c r="BK29" s="168"/>
      <c r="BL29" s="168"/>
      <c r="BM29" s="169"/>
      <c r="BN29" s="169"/>
      <c r="BO29" s="169"/>
      <c r="BP29" s="168"/>
      <c r="BQ29" s="168"/>
      <c r="BR29" s="168"/>
      <c r="BS29" s="168"/>
      <c r="BT29" s="168"/>
      <c r="BU29" s="168"/>
      <c r="BV29" s="168"/>
      <c r="BW29" s="168"/>
      <c r="BX29" s="168"/>
      <c r="BY29" s="168"/>
      <c r="BZ29" s="168"/>
      <c r="CA29" s="168"/>
      <c r="CB29" s="170"/>
      <c r="CC29" s="168"/>
      <c r="CD29" s="168"/>
      <c r="CE29" s="170"/>
      <c r="CF29" s="170"/>
      <c r="CG29" s="170"/>
      <c r="CH29" s="170"/>
      <c r="CI29" s="168"/>
      <c r="CJ29" s="168"/>
      <c r="CK29" s="170"/>
      <c r="CL29" s="170"/>
      <c r="CM29" s="170"/>
      <c r="CN29" s="430"/>
      <c r="CO29" s="36"/>
      <c r="CP29" s="36"/>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6"/>
      <c r="DX29" s="36"/>
      <c r="DY29" s="36"/>
      <c r="DZ29" s="36"/>
      <c r="EA29" s="36"/>
      <c r="EB29" s="36"/>
      <c r="EC29" s="36"/>
      <c r="ED29" s="36"/>
    </row>
    <row r="30" spans="1:134" s="27" customFormat="1" x14ac:dyDescent="0.25">
      <c r="A30" s="26"/>
      <c r="B30" s="162" t="s">
        <v>400</v>
      </c>
      <c r="C30" s="553"/>
      <c r="D30" s="423">
        <f t="shared" si="38"/>
        <v>0</v>
      </c>
      <c r="E30" s="145"/>
      <c r="F30" s="421"/>
      <c r="G30" s="421"/>
      <c r="H30" s="421"/>
      <c r="I30" s="421"/>
      <c r="J30" s="421"/>
      <c r="K30" s="421"/>
      <c r="L30" s="421"/>
      <c r="M30" s="421"/>
      <c r="N30" s="421"/>
      <c r="O30" s="421"/>
      <c r="P30" s="421"/>
      <c r="Q30" s="422">
        <f>SUM(E30:P30)</f>
        <v>0</v>
      </c>
      <c r="R30" s="423">
        <f>COUNT(E30:P30)</f>
        <v>0</v>
      </c>
      <c r="S30" s="422">
        <f>IF(R30&gt;1,AVERAGE(E30:P30),0)</f>
        <v>0</v>
      </c>
      <c r="T30" s="422">
        <f>IF(R30&gt;1,STDEV(E30:P30),0)</f>
        <v>0</v>
      </c>
      <c r="U30" s="422">
        <f t="shared" si="43"/>
        <v>0</v>
      </c>
      <c r="V30" s="424"/>
      <c r="W30" s="425">
        <f t="shared" si="44"/>
        <v>0</v>
      </c>
      <c r="X30" s="554">
        <v>0</v>
      </c>
      <c r="Y30" s="555">
        <v>0</v>
      </c>
      <c r="Z30" s="425">
        <v>0</v>
      </c>
      <c r="AA30" s="556">
        <f>($Q30*X30)/1000</f>
        <v>0</v>
      </c>
      <c r="AB30" s="556">
        <f t="shared" si="46"/>
        <v>0</v>
      </c>
      <c r="AC30" s="425">
        <f>IF(AA30&gt;0,SQRT(($W30*$W30)+(Z30*Z30)+($V30*$V30)),0)</f>
        <v>0</v>
      </c>
      <c r="AD30" s="556">
        <f>(AB30*AC30)^2</f>
        <v>0</v>
      </c>
      <c r="AE30" s="557">
        <v>0</v>
      </c>
      <c r="AF30" s="555">
        <v>0</v>
      </c>
      <c r="AG30" s="425">
        <v>0</v>
      </c>
      <c r="AH30" s="558">
        <f>($Q30*AE30)/1000</f>
        <v>0</v>
      </c>
      <c r="AI30" s="558">
        <f t="shared" si="50"/>
        <v>0</v>
      </c>
      <c r="AJ30" s="425">
        <f>IF(AH30&gt;0,SQRT(($W30*$W30)+(AG30*AG30)+($V30*$V30)),0)</f>
        <v>0</v>
      </c>
      <c r="AK30" s="556">
        <f>(AI30*AJ30)^2</f>
        <v>0</v>
      </c>
      <c r="AL30" s="557">
        <v>0</v>
      </c>
      <c r="AM30" s="555">
        <v>0</v>
      </c>
      <c r="AN30" s="425">
        <v>0</v>
      </c>
      <c r="AO30" s="558">
        <f>(W30*AL30)/1000</f>
        <v>0</v>
      </c>
      <c r="AP30" s="558">
        <f t="shared" si="54"/>
        <v>0</v>
      </c>
      <c r="AQ30" s="425">
        <f>IF(AO30&gt;0,SQRT(($W30*$W30)+(AN30*AN30)+($V30*$V30)),0)</f>
        <v>0</v>
      </c>
      <c r="AR30" s="556">
        <f>(AP30*AQ30)^2</f>
        <v>0</v>
      </c>
      <c r="AS30" s="559">
        <f t="shared" si="57"/>
        <v>0</v>
      </c>
      <c r="AT30" s="555">
        <f t="shared" si="58"/>
        <v>0</v>
      </c>
      <c r="AU30" s="425">
        <f t="shared" si="59"/>
        <v>0</v>
      </c>
      <c r="AV30" s="558">
        <f t="shared" si="60"/>
        <v>0</v>
      </c>
      <c r="AW30" s="425">
        <f t="shared" si="61"/>
        <v>0</v>
      </c>
      <c r="AX30" s="556">
        <f t="shared" si="62"/>
        <v>0</v>
      </c>
      <c r="AY30" s="559">
        <v>0</v>
      </c>
      <c r="AZ30" s="555">
        <v>0</v>
      </c>
      <c r="BA30" s="425">
        <v>0</v>
      </c>
      <c r="BB30" s="558">
        <f t="shared" si="63"/>
        <v>0</v>
      </c>
      <c r="BC30" s="558">
        <f t="shared" si="64"/>
        <v>0</v>
      </c>
      <c r="BD30" s="425">
        <v>0</v>
      </c>
      <c r="BE30" s="556">
        <f>(BC30*BD30)^2</f>
        <v>0</v>
      </c>
      <c r="BF30" s="422">
        <f t="shared" si="66"/>
        <v>0</v>
      </c>
      <c r="BG30" s="67">
        <f t="shared" si="67"/>
        <v>0</v>
      </c>
      <c r="BH30" s="28">
        <f>(BF30*BG30)^2</f>
        <v>0</v>
      </c>
      <c r="BI30" s="64"/>
      <c r="BJ30" s="168"/>
      <c r="BK30" s="168"/>
      <c r="BL30" s="168"/>
      <c r="BM30" s="169"/>
      <c r="BN30" s="169"/>
      <c r="BO30" s="169"/>
      <c r="BP30" s="168"/>
      <c r="BQ30" s="168"/>
      <c r="BR30" s="168"/>
      <c r="BS30" s="168"/>
      <c r="BT30" s="168"/>
      <c r="BU30" s="168"/>
      <c r="BV30" s="168"/>
      <c r="BW30" s="168"/>
      <c r="BX30" s="168"/>
      <c r="BY30" s="168"/>
      <c r="BZ30" s="168"/>
      <c r="CA30" s="168"/>
      <c r="CB30" s="170"/>
      <c r="CC30" s="168"/>
      <c r="CD30" s="168"/>
      <c r="CE30" s="170"/>
      <c r="CF30" s="170"/>
      <c r="CG30" s="170"/>
      <c r="CH30" s="170"/>
      <c r="CI30" s="168"/>
      <c r="CJ30" s="168"/>
      <c r="CK30" s="170"/>
      <c r="CL30" s="170"/>
      <c r="CM30" s="170"/>
      <c r="CN30" s="430"/>
      <c r="CO30" s="36"/>
      <c r="CP30" s="36"/>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6"/>
      <c r="DX30" s="36"/>
      <c r="DY30" s="36"/>
      <c r="DZ30" s="36"/>
      <c r="EA30" s="36"/>
      <c r="EB30" s="36"/>
      <c r="EC30" s="36"/>
      <c r="ED30" s="36"/>
    </row>
    <row r="31" spans="1:134" s="27" customFormat="1" x14ac:dyDescent="0.25">
      <c r="A31" s="26"/>
      <c r="B31" s="162"/>
      <c r="C31" s="553"/>
      <c r="D31" s="423">
        <f t="shared" si="38"/>
        <v>0</v>
      </c>
      <c r="E31" s="421"/>
      <c r="F31" s="421"/>
      <c r="G31" s="421"/>
      <c r="H31" s="421"/>
      <c r="I31" s="421"/>
      <c r="J31" s="421"/>
      <c r="K31" s="421"/>
      <c r="L31" s="421"/>
      <c r="M31" s="421"/>
      <c r="N31" s="421"/>
      <c r="O31" s="421"/>
      <c r="P31" s="421"/>
      <c r="Q31" s="422">
        <f>SUM(E31:P31)</f>
        <v>0</v>
      </c>
      <c r="R31" s="423">
        <f>COUNT(E31:P31)</f>
        <v>0</v>
      </c>
      <c r="S31" s="422">
        <f>IF(R31&gt;1,AVERAGE(E31:P31),0)</f>
        <v>0</v>
      </c>
      <c r="T31" s="422">
        <f>IF(R31&gt;1,STDEV(E31:P31),0)</f>
        <v>0</v>
      </c>
      <c r="U31" s="422">
        <f t="shared" si="43"/>
        <v>0</v>
      </c>
      <c r="V31" s="424"/>
      <c r="W31" s="425">
        <f t="shared" si="44"/>
        <v>0</v>
      </c>
      <c r="X31" s="554">
        <v>0</v>
      </c>
      <c r="Y31" s="555">
        <v>0</v>
      </c>
      <c r="Z31" s="425">
        <v>0</v>
      </c>
      <c r="AA31" s="556">
        <f>($Q31*X31)/1000</f>
        <v>0</v>
      </c>
      <c r="AB31" s="556">
        <f t="shared" si="46"/>
        <v>0</v>
      </c>
      <c r="AC31" s="425">
        <f>IF(AA31&gt;0,SQRT(($W31*$W31)+(Z31*Z31)+($V31*$V31)),0)</f>
        <v>0</v>
      </c>
      <c r="AD31" s="556">
        <f>(AB31*AC31)^2</f>
        <v>0</v>
      </c>
      <c r="AE31" s="557">
        <v>0</v>
      </c>
      <c r="AF31" s="555">
        <v>0</v>
      </c>
      <c r="AG31" s="425">
        <v>0</v>
      </c>
      <c r="AH31" s="558">
        <f>($Q31*AE31)/1000</f>
        <v>0</v>
      </c>
      <c r="AI31" s="558">
        <f t="shared" si="50"/>
        <v>0</v>
      </c>
      <c r="AJ31" s="425">
        <f>IF(AH31&gt;0,SQRT(($W31*$W31)+(AG31*AG31)+($V31*$V31)),0)</f>
        <v>0</v>
      </c>
      <c r="AK31" s="556">
        <f>(AI31*AJ31)^2</f>
        <v>0</v>
      </c>
      <c r="AL31" s="557">
        <v>0</v>
      </c>
      <c r="AM31" s="555">
        <v>0</v>
      </c>
      <c r="AN31" s="425">
        <v>0</v>
      </c>
      <c r="AO31" s="558">
        <f>(W31*AL31)/1000</f>
        <v>0</v>
      </c>
      <c r="AP31" s="558">
        <f t="shared" si="54"/>
        <v>0</v>
      </c>
      <c r="AQ31" s="425">
        <f>IF(AO31&gt;0,SQRT(($W31*$W31)+(AN31*AN31)+($V31*$V31)),0)</f>
        <v>0</v>
      </c>
      <c r="AR31" s="556">
        <f>(AP31*AQ31)^2</f>
        <v>0</v>
      </c>
      <c r="AS31" s="559">
        <f t="shared" si="57"/>
        <v>0</v>
      </c>
      <c r="AT31" s="555">
        <f t="shared" si="58"/>
        <v>0</v>
      </c>
      <c r="AU31" s="425">
        <f t="shared" si="59"/>
        <v>0</v>
      </c>
      <c r="AV31" s="558">
        <f t="shared" si="60"/>
        <v>0</v>
      </c>
      <c r="AW31" s="425">
        <f t="shared" si="61"/>
        <v>0</v>
      </c>
      <c r="AX31" s="556">
        <f t="shared" si="62"/>
        <v>0</v>
      </c>
      <c r="AY31" s="559">
        <v>0</v>
      </c>
      <c r="AZ31" s="555">
        <v>0</v>
      </c>
      <c r="BA31" s="425">
        <v>0</v>
      </c>
      <c r="BB31" s="558">
        <f t="shared" si="63"/>
        <v>0</v>
      </c>
      <c r="BC31" s="558">
        <f t="shared" si="64"/>
        <v>0</v>
      </c>
      <c r="BD31" s="425">
        <v>0</v>
      </c>
      <c r="BE31" s="556">
        <f>(BC31*BD31)^2</f>
        <v>0</v>
      </c>
      <c r="BF31" s="422">
        <f t="shared" si="66"/>
        <v>0</v>
      </c>
      <c r="BG31" s="67">
        <f t="shared" si="67"/>
        <v>0</v>
      </c>
      <c r="BH31" s="28">
        <f>(BF31*BG31)^2</f>
        <v>0</v>
      </c>
      <c r="BI31" s="64"/>
      <c r="BJ31" s="168"/>
      <c r="BK31" s="168"/>
      <c r="BL31" s="168"/>
      <c r="BM31" s="169"/>
      <c r="BN31" s="169"/>
      <c r="BO31" s="169"/>
      <c r="BP31" s="168"/>
      <c r="BQ31" s="168"/>
      <c r="BR31" s="168"/>
      <c r="BS31" s="168"/>
      <c r="BT31" s="168"/>
      <c r="BU31" s="168"/>
      <c r="BV31" s="168"/>
      <c r="BW31" s="168"/>
      <c r="BX31" s="168"/>
      <c r="BY31" s="168"/>
      <c r="BZ31" s="168"/>
      <c r="CA31" s="168"/>
      <c r="CB31" s="170"/>
      <c r="CC31" s="168"/>
      <c r="CD31" s="168"/>
      <c r="CE31" s="170"/>
      <c r="CF31" s="170"/>
      <c r="CG31" s="170"/>
      <c r="CH31" s="170"/>
      <c r="CI31" s="168"/>
      <c r="CJ31" s="168"/>
      <c r="CK31" s="170"/>
      <c r="CL31" s="170"/>
      <c r="CM31" s="170"/>
      <c r="CN31" s="430"/>
      <c r="CO31" s="36"/>
      <c r="CP31" s="36"/>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6"/>
      <c r="DX31" s="36"/>
      <c r="DY31" s="36"/>
      <c r="DZ31" s="36"/>
      <c r="EA31" s="36"/>
      <c r="EB31" s="36"/>
      <c r="EC31" s="36"/>
      <c r="ED31" s="36"/>
    </row>
    <row r="32" spans="1:134" s="27" customFormat="1" x14ac:dyDescent="0.25">
      <c r="A32" s="26"/>
      <c r="B32" s="162"/>
      <c r="C32" s="553"/>
      <c r="D32" s="423">
        <f t="shared" si="38"/>
        <v>0</v>
      </c>
      <c r="E32" s="152"/>
      <c r="F32" s="421"/>
      <c r="G32" s="421"/>
      <c r="H32" s="421"/>
      <c r="I32" s="421"/>
      <c r="J32" s="421"/>
      <c r="K32" s="421"/>
      <c r="L32" s="421"/>
      <c r="M32" s="421"/>
      <c r="N32" s="421"/>
      <c r="O32" s="421"/>
      <c r="P32" s="421"/>
      <c r="Q32" s="422">
        <f t="shared" si="39"/>
        <v>0</v>
      </c>
      <c r="R32" s="423">
        <f t="shared" si="40"/>
        <v>0</v>
      </c>
      <c r="S32" s="422">
        <f t="shared" si="41"/>
        <v>0</v>
      </c>
      <c r="T32" s="422">
        <f t="shared" si="42"/>
        <v>0</v>
      </c>
      <c r="U32" s="422">
        <f t="shared" si="43"/>
        <v>0</v>
      </c>
      <c r="V32" s="424"/>
      <c r="W32" s="425">
        <f t="shared" si="44"/>
        <v>0</v>
      </c>
      <c r="X32" s="554">
        <v>0</v>
      </c>
      <c r="Y32" s="555">
        <v>0</v>
      </c>
      <c r="Z32" s="425">
        <v>0</v>
      </c>
      <c r="AA32" s="556">
        <f t="shared" si="45"/>
        <v>0</v>
      </c>
      <c r="AB32" s="556">
        <f t="shared" si="46"/>
        <v>0</v>
      </c>
      <c r="AC32" s="425">
        <f t="shared" si="47"/>
        <v>0</v>
      </c>
      <c r="AD32" s="556">
        <f t="shared" si="48"/>
        <v>0</v>
      </c>
      <c r="AE32" s="557">
        <v>0</v>
      </c>
      <c r="AF32" s="555">
        <v>0</v>
      </c>
      <c r="AG32" s="425">
        <v>0</v>
      </c>
      <c r="AH32" s="558">
        <f t="shared" si="49"/>
        <v>0</v>
      </c>
      <c r="AI32" s="558">
        <f t="shared" si="50"/>
        <v>0</v>
      </c>
      <c r="AJ32" s="425">
        <f t="shared" si="51"/>
        <v>0</v>
      </c>
      <c r="AK32" s="556">
        <f t="shared" si="52"/>
        <v>0</v>
      </c>
      <c r="AL32" s="557">
        <v>0</v>
      </c>
      <c r="AM32" s="555">
        <v>0</v>
      </c>
      <c r="AN32" s="425">
        <v>0</v>
      </c>
      <c r="AO32" s="558">
        <f t="shared" si="53"/>
        <v>0</v>
      </c>
      <c r="AP32" s="558">
        <f t="shared" si="54"/>
        <v>0</v>
      </c>
      <c r="AQ32" s="425">
        <f t="shared" si="55"/>
        <v>0</v>
      </c>
      <c r="AR32" s="556">
        <f t="shared" si="56"/>
        <v>0</v>
      </c>
      <c r="AS32" s="559">
        <f t="shared" si="57"/>
        <v>0</v>
      </c>
      <c r="AT32" s="555">
        <f t="shared" si="58"/>
        <v>0</v>
      </c>
      <c r="AU32" s="425">
        <f t="shared" si="59"/>
        <v>0</v>
      </c>
      <c r="AV32" s="558">
        <f t="shared" si="60"/>
        <v>0</v>
      </c>
      <c r="AW32" s="425">
        <f t="shared" si="61"/>
        <v>0</v>
      </c>
      <c r="AX32" s="556">
        <f t="shared" si="62"/>
        <v>0</v>
      </c>
      <c r="AY32" s="559">
        <v>0</v>
      </c>
      <c r="AZ32" s="555">
        <v>0</v>
      </c>
      <c r="BA32" s="425">
        <v>0</v>
      </c>
      <c r="BB32" s="558">
        <f t="shared" si="63"/>
        <v>0</v>
      </c>
      <c r="BC32" s="558">
        <f t="shared" si="64"/>
        <v>0</v>
      </c>
      <c r="BD32" s="425">
        <v>0</v>
      </c>
      <c r="BE32" s="556">
        <f t="shared" si="65"/>
        <v>0</v>
      </c>
      <c r="BF32" s="422">
        <f t="shared" si="66"/>
        <v>0</v>
      </c>
      <c r="BG32" s="67">
        <f t="shared" si="67"/>
        <v>0</v>
      </c>
      <c r="BH32" s="28">
        <f t="shared" si="37"/>
        <v>0</v>
      </c>
      <c r="BI32" s="64"/>
      <c r="BJ32" s="168"/>
      <c r="BK32" s="168"/>
      <c r="BL32" s="168"/>
      <c r="BM32" s="169"/>
      <c r="BN32" s="169"/>
      <c r="BO32" s="169"/>
      <c r="BP32" s="168"/>
      <c r="BQ32" s="168"/>
      <c r="BR32" s="168"/>
      <c r="BS32" s="168"/>
      <c r="BT32" s="168"/>
      <c r="BU32" s="168"/>
      <c r="BV32" s="168"/>
      <c r="BW32" s="168"/>
      <c r="BX32" s="168"/>
      <c r="BY32" s="168"/>
      <c r="BZ32" s="168"/>
      <c r="CA32" s="168"/>
      <c r="CB32" s="170"/>
      <c r="CC32" s="168"/>
      <c r="CD32" s="168"/>
      <c r="CE32" s="170"/>
      <c r="CF32" s="170"/>
      <c r="CG32" s="170"/>
      <c r="CH32" s="170"/>
      <c r="CI32" s="168"/>
      <c r="CJ32" s="168"/>
      <c r="CK32" s="170"/>
      <c r="CL32" s="170"/>
      <c r="CM32" s="170"/>
      <c r="CN32" s="430"/>
      <c r="CO32" s="36"/>
      <c r="CP32" s="36"/>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6"/>
      <c r="DX32" s="36"/>
      <c r="DY32" s="36"/>
      <c r="DZ32" s="36"/>
      <c r="EA32" s="36"/>
      <c r="EB32" s="36"/>
      <c r="EC32" s="36"/>
      <c r="ED32" s="36"/>
    </row>
    <row r="33" spans="1:134" s="27" customFormat="1" x14ac:dyDescent="0.25">
      <c r="A33" s="26"/>
      <c r="B33" s="162"/>
      <c r="C33" s="553"/>
      <c r="D33" s="423">
        <f t="shared" si="38"/>
        <v>0</v>
      </c>
      <c r="E33" s="421"/>
      <c r="F33" s="421"/>
      <c r="G33" s="421"/>
      <c r="H33" s="421"/>
      <c r="I33" s="421"/>
      <c r="J33" s="421"/>
      <c r="K33" s="421"/>
      <c r="L33" s="421"/>
      <c r="M33" s="421"/>
      <c r="N33" s="421"/>
      <c r="O33" s="421"/>
      <c r="P33" s="421"/>
      <c r="Q33" s="422">
        <f t="shared" si="39"/>
        <v>0</v>
      </c>
      <c r="R33" s="423">
        <f t="shared" si="40"/>
        <v>0</v>
      </c>
      <c r="S33" s="422">
        <f t="shared" si="41"/>
        <v>0</v>
      </c>
      <c r="T33" s="422">
        <f t="shared" si="42"/>
        <v>0</v>
      </c>
      <c r="U33" s="422">
        <f t="shared" si="43"/>
        <v>0</v>
      </c>
      <c r="V33" s="424"/>
      <c r="W33" s="425">
        <f t="shared" si="44"/>
        <v>0</v>
      </c>
      <c r="X33" s="554">
        <v>0</v>
      </c>
      <c r="Y33" s="555">
        <v>0</v>
      </c>
      <c r="Z33" s="425">
        <v>0</v>
      </c>
      <c r="AA33" s="556">
        <f t="shared" si="45"/>
        <v>0</v>
      </c>
      <c r="AB33" s="556">
        <f t="shared" si="46"/>
        <v>0</v>
      </c>
      <c r="AC33" s="425">
        <f t="shared" si="47"/>
        <v>0</v>
      </c>
      <c r="AD33" s="556">
        <f t="shared" si="48"/>
        <v>0</v>
      </c>
      <c r="AE33" s="557">
        <v>0</v>
      </c>
      <c r="AF33" s="555">
        <v>0</v>
      </c>
      <c r="AG33" s="425">
        <v>0</v>
      </c>
      <c r="AH33" s="558">
        <f t="shared" si="49"/>
        <v>0</v>
      </c>
      <c r="AI33" s="558">
        <f t="shared" si="50"/>
        <v>0</v>
      </c>
      <c r="AJ33" s="425">
        <f t="shared" si="51"/>
        <v>0</v>
      </c>
      <c r="AK33" s="556">
        <f t="shared" si="52"/>
        <v>0</v>
      </c>
      <c r="AL33" s="557">
        <v>0</v>
      </c>
      <c r="AM33" s="555">
        <v>0</v>
      </c>
      <c r="AN33" s="425">
        <v>0</v>
      </c>
      <c r="AO33" s="558">
        <f t="shared" si="53"/>
        <v>0</v>
      </c>
      <c r="AP33" s="558">
        <f t="shared" si="54"/>
        <v>0</v>
      </c>
      <c r="AQ33" s="425">
        <f t="shared" si="55"/>
        <v>0</v>
      </c>
      <c r="AR33" s="556">
        <f t="shared" si="56"/>
        <v>0</v>
      </c>
      <c r="AS33" s="559">
        <f t="shared" si="57"/>
        <v>0</v>
      </c>
      <c r="AT33" s="555">
        <f t="shared" si="58"/>
        <v>0</v>
      </c>
      <c r="AU33" s="425">
        <f t="shared" si="59"/>
        <v>0</v>
      </c>
      <c r="AV33" s="558">
        <f t="shared" si="60"/>
        <v>0</v>
      </c>
      <c r="AW33" s="425">
        <f t="shared" si="61"/>
        <v>0</v>
      </c>
      <c r="AX33" s="556">
        <f t="shared" si="62"/>
        <v>0</v>
      </c>
      <c r="AY33" s="559">
        <v>0</v>
      </c>
      <c r="AZ33" s="555">
        <v>0</v>
      </c>
      <c r="BA33" s="425">
        <v>0</v>
      </c>
      <c r="BB33" s="558">
        <f t="shared" si="63"/>
        <v>0</v>
      </c>
      <c r="BC33" s="558">
        <f t="shared" si="64"/>
        <v>0</v>
      </c>
      <c r="BD33" s="425">
        <v>0</v>
      </c>
      <c r="BE33" s="556">
        <f t="shared" si="65"/>
        <v>0</v>
      </c>
      <c r="BF33" s="422">
        <f t="shared" si="66"/>
        <v>0</v>
      </c>
      <c r="BG33" s="67">
        <f t="shared" si="67"/>
        <v>0</v>
      </c>
      <c r="BH33" s="28">
        <f t="shared" si="37"/>
        <v>0</v>
      </c>
      <c r="BI33" s="64"/>
      <c r="BJ33" s="168"/>
      <c r="BK33" s="168"/>
      <c r="BL33" s="168"/>
      <c r="BM33" s="169"/>
      <c r="BN33" s="169"/>
      <c r="BO33" s="169"/>
      <c r="BP33" s="168"/>
      <c r="BQ33" s="168"/>
      <c r="BR33" s="168"/>
      <c r="BS33" s="168"/>
      <c r="BT33" s="168"/>
      <c r="BU33" s="168"/>
      <c r="BV33" s="168"/>
      <c r="BW33" s="168"/>
      <c r="BX33" s="168"/>
      <c r="BY33" s="168"/>
      <c r="BZ33" s="168"/>
      <c r="CA33" s="168"/>
      <c r="CB33" s="170"/>
      <c r="CC33" s="168"/>
      <c r="CD33" s="168"/>
      <c r="CE33" s="170"/>
      <c r="CF33" s="170"/>
      <c r="CG33" s="170"/>
      <c r="CH33" s="170"/>
      <c r="CI33" s="168"/>
      <c r="CJ33" s="168"/>
      <c r="CK33" s="170"/>
      <c r="CL33" s="170"/>
      <c r="CM33" s="170"/>
      <c r="CN33" s="430"/>
      <c r="CO33" s="36"/>
      <c r="CP33" s="36"/>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6"/>
      <c r="DX33" s="36"/>
      <c r="DY33" s="36"/>
      <c r="DZ33" s="36"/>
      <c r="EA33" s="36"/>
      <c r="EB33" s="36"/>
      <c r="EC33" s="36"/>
      <c r="ED33" s="36"/>
    </row>
    <row r="34" spans="1:134" s="27" customFormat="1" x14ac:dyDescent="0.25">
      <c r="A34" s="26"/>
      <c r="B34" s="163"/>
      <c r="C34" s="553"/>
      <c r="D34" s="423">
        <f t="shared" si="38"/>
        <v>0</v>
      </c>
      <c r="E34" s="421"/>
      <c r="F34" s="421"/>
      <c r="G34" s="421"/>
      <c r="H34" s="421"/>
      <c r="I34" s="421"/>
      <c r="J34" s="421"/>
      <c r="K34" s="421"/>
      <c r="L34" s="421"/>
      <c r="M34" s="421"/>
      <c r="N34" s="421"/>
      <c r="O34" s="421"/>
      <c r="P34" s="421"/>
      <c r="Q34" s="422">
        <f t="shared" si="39"/>
        <v>0</v>
      </c>
      <c r="R34" s="423">
        <f t="shared" si="40"/>
        <v>0</v>
      </c>
      <c r="S34" s="422">
        <f t="shared" si="41"/>
        <v>0</v>
      </c>
      <c r="T34" s="422">
        <f t="shared" si="42"/>
        <v>0</v>
      </c>
      <c r="U34" s="422">
        <f t="shared" si="43"/>
        <v>0</v>
      </c>
      <c r="V34" s="424"/>
      <c r="W34" s="425">
        <f t="shared" si="44"/>
        <v>0</v>
      </c>
      <c r="X34" s="554">
        <v>0</v>
      </c>
      <c r="Y34" s="555">
        <v>0</v>
      </c>
      <c r="Z34" s="425">
        <v>0</v>
      </c>
      <c r="AA34" s="556">
        <f t="shared" si="45"/>
        <v>0</v>
      </c>
      <c r="AB34" s="556">
        <f t="shared" si="46"/>
        <v>0</v>
      </c>
      <c r="AC34" s="425">
        <f t="shared" si="47"/>
        <v>0</v>
      </c>
      <c r="AD34" s="556">
        <f t="shared" si="48"/>
        <v>0</v>
      </c>
      <c r="AE34" s="557">
        <v>0</v>
      </c>
      <c r="AF34" s="555">
        <v>0</v>
      </c>
      <c r="AG34" s="425">
        <v>0</v>
      </c>
      <c r="AH34" s="558">
        <f t="shared" si="49"/>
        <v>0</v>
      </c>
      <c r="AI34" s="558">
        <f t="shared" si="50"/>
        <v>0</v>
      </c>
      <c r="AJ34" s="425">
        <f t="shared" si="51"/>
        <v>0</v>
      </c>
      <c r="AK34" s="556">
        <f t="shared" si="52"/>
        <v>0</v>
      </c>
      <c r="AL34" s="557">
        <v>0</v>
      </c>
      <c r="AM34" s="555">
        <v>0</v>
      </c>
      <c r="AN34" s="425">
        <v>0</v>
      </c>
      <c r="AO34" s="558">
        <f t="shared" si="53"/>
        <v>0</v>
      </c>
      <c r="AP34" s="558">
        <f t="shared" si="54"/>
        <v>0</v>
      </c>
      <c r="AQ34" s="425">
        <f t="shared" si="55"/>
        <v>0</v>
      </c>
      <c r="AR34" s="556">
        <f t="shared" si="56"/>
        <v>0</v>
      </c>
      <c r="AS34" s="559">
        <f t="shared" si="57"/>
        <v>0</v>
      </c>
      <c r="AT34" s="555">
        <f t="shared" si="58"/>
        <v>0</v>
      </c>
      <c r="AU34" s="425">
        <f t="shared" si="59"/>
        <v>0</v>
      </c>
      <c r="AV34" s="558">
        <f t="shared" si="60"/>
        <v>0</v>
      </c>
      <c r="AW34" s="425">
        <f t="shared" si="61"/>
        <v>0</v>
      </c>
      <c r="AX34" s="556">
        <f t="shared" si="62"/>
        <v>0</v>
      </c>
      <c r="AY34" s="559">
        <v>0</v>
      </c>
      <c r="AZ34" s="555">
        <v>0</v>
      </c>
      <c r="BA34" s="425">
        <v>0</v>
      </c>
      <c r="BB34" s="558">
        <f t="shared" si="63"/>
        <v>0</v>
      </c>
      <c r="BC34" s="558">
        <f t="shared" si="64"/>
        <v>0</v>
      </c>
      <c r="BD34" s="425">
        <v>0</v>
      </c>
      <c r="BE34" s="556">
        <f t="shared" si="65"/>
        <v>0</v>
      </c>
      <c r="BF34" s="422">
        <f t="shared" si="66"/>
        <v>0</v>
      </c>
      <c r="BG34" s="67">
        <f t="shared" si="67"/>
        <v>0</v>
      </c>
      <c r="BH34" s="28">
        <f t="shared" si="37"/>
        <v>0</v>
      </c>
      <c r="BI34" s="64"/>
      <c r="BJ34" s="168"/>
      <c r="BK34" s="168"/>
      <c r="BL34" s="168"/>
      <c r="BM34" s="169"/>
      <c r="BN34" s="169"/>
      <c r="BO34" s="169"/>
      <c r="BP34" s="168"/>
      <c r="BQ34" s="168"/>
      <c r="BR34" s="168"/>
      <c r="BS34" s="168"/>
      <c r="BT34" s="168"/>
      <c r="BU34" s="168"/>
      <c r="BV34" s="168"/>
      <c r="BW34" s="168"/>
      <c r="BX34" s="168"/>
      <c r="BY34" s="168"/>
      <c r="BZ34" s="168"/>
      <c r="CA34" s="168"/>
      <c r="CB34" s="170"/>
      <c r="CC34" s="168"/>
      <c r="CD34" s="168"/>
      <c r="CE34" s="170"/>
      <c r="CF34" s="170"/>
      <c r="CG34" s="170"/>
      <c r="CH34" s="170"/>
      <c r="CI34" s="168"/>
      <c r="CJ34" s="168"/>
      <c r="CK34" s="170"/>
      <c r="CL34" s="170"/>
      <c r="CM34" s="170"/>
      <c r="CN34" s="430"/>
      <c r="CO34" s="36"/>
      <c r="CP34" s="36"/>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6"/>
      <c r="DX34" s="36"/>
      <c r="DY34" s="36"/>
      <c r="DZ34" s="36"/>
      <c r="EA34" s="36"/>
      <c r="EB34" s="36"/>
      <c r="EC34" s="36"/>
      <c r="ED34" s="36"/>
    </row>
    <row r="35" spans="1:134" s="27" customFormat="1" x14ac:dyDescent="0.25">
      <c r="A35" s="26"/>
      <c r="B35" s="68" t="s">
        <v>286</v>
      </c>
      <c r="C35" s="565"/>
      <c r="D35" s="565"/>
      <c r="E35" s="565"/>
      <c r="F35" s="565"/>
      <c r="G35" s="565"/>
      <c r="H35" s="565"/>
      <c r="I35" s="565"/>
      <c r="J35" s="565"/>
      <c r="K35" s="565"/>
      <c r="L35" s="565"/>
      <c r="M35" s="565"/>
      <c r="N35" s="565"/>
      <c r="O35" s="565"/>
      <c r="P35" s="565"/>
      <c r="Q35" s="565"/>
      <c r="R35" s="565"/>
      <c r="S35" s="565"/>
      <c r="T35" s="565"/>
      <c r="U35" s="565"/>
      <c r="V35" s="565"/>
      <c r="W35" s="565"/>
      <c r="X35" s="565"/>
      <c r="Y35" s="565"/>
      <c r="Z35" s="565"/>
      <c r="AA35" s="566"/>
      <c r="AB35" s="567">
        <f>SUM(AB29:AB34)</f>
        <v>0</v>
      </c>
      <c r="AC35" s="568">
        <f>IF(AB35&gt;0,SQRT(SUM(AD29:AD34))/AB35,0)</f>
        <v>0</v>
      </c>
      <c r="AD35" s="567">
        <f>(AB35*AC35)^2</f>
        <v>0</v>
      </c>
      <c r="AE35" s="570"/>
      <c r="AF35" s="565"/>
      <c r="AG35" s="565"/>
      <c r="AH35" s="571"/>
      <c r="AI35" s="567">
        <f>SUM(AI29:AI34)</f>
        <v>0</v>
      </c>
      <c r="AJ35" s="568">
        <f>IF(AI35&gt;0,SQRT(SUM(AK29:AK34))/AI35,0)</f>
        <v>0</v>
      </c>
      <c r="AK35" s="567">
        <f>(AI35*AJ35)^2</f>
        <v>0</v>
      </c>
      <c r="AL35" s="565"/>
      <c r="AM35" s="565"/>
      <c r="AN35" s="565"/>
      <c r="AO35" s="565"/>
      <c r="AP35" s="567">
        <f>SUM(AP29:AP34)</f>
        <v>0</v>
      </c>
      <c r="AQ35" s="568">
        <f>IF(AP35&gt;0,SQRT(SUM(AR29:AR34))/AP35,0)</f>
        <v>0</v>
      </c>
      <c r="AR35" s="567">
        <f>(AP35*AQ35)^2</f>
        <v>0</v>
      </c>
      <c r="AS35" s="565"/>
      <c r="AT35" s="565"/>
      <c r="AU35" s="565"/>
      <c r="AV35" s="567">
        <f>SUM(AV29:AV34)</f>
        <v>772.51607000000001</v>
      </c>
      <c r="AW35" s="568">
        <f>IF(AV35&gt;0,SQRT(SUM(AX29:AX34))/AV35,0)</f>
        <v>0.56127087934436792</v>
      </c>
      <c r="AX35" s="567">
        <f t="shared" si="62"/>
        <v>188000.95922555737</v>
      </c>
      <c r="AY35" s="565"/>
      <c r="AZ35" s="565"/>
      <c r="BA35" s="572"/>
      <c r="BB35" s="569"/>
      <c r="BC35" s="567">
        <f>SUM(BC29:BC34)</f>
        <v>0</v>
      </c>
      <c r="BD35" s="568">
        <f>IF(BC35&gt;0,SQRT(SUM(BE29:BE34))/BC35,0)</f>
        <v>0</v>
      </c>
      <c r="BE35" s="567">
        <f>(BC35*BD35)^2</f>
        <v>0</v>
      </c>
      <c r="BF35" s="567">
        <f>SUM(BF29:BF34)</f>
        <v>772.51607000000001</v>
      </c>
      <c r="BG35" s="69">
        <f>IF(BF35&gt;0,SQRT(SUM(BH29:BH34))/BF35,0)</f>
        <v>0.56127087934436792</v>
      </c>
      <c r="BH35" s="28">
        <f t="shared" si="37"/>
        <v>188000.95922555737</v>
      </c>
      <c r="BI35" s="64"/>
      <c r="BJ35" s="168"/>
      <c r="BK35" s="168"/>
      <c r="BL35" s="168"/>
      <c r="BM35" s="169"/>
      <c r="BN35" s="169"/>
      <c r="BO35" s="169"/>
      <c r="BP35" s="168"/>
      <c r="BQ35" s="168"/>
      <c r="BR35" s="168"/>
      <c r="BS35" s="168"/>
      <c r="BT35" s="168"/>
      <c r="BU35" s="168"/>
      <c r="BV35" s="168"/>
      <c r="BW35" s="168"/>
      <c r="BX35" s="168"/>
      <c r="BY35" s="168"/>
      <c r="BZ35" s="168"/>
      <c r="CA35" s="168"/>
      <c r="CB35" s="170"/>
      <c r="CC35" s="168"/>
      <c r="CD35" s="168"/>
      <c r="CE35" s="170"/>
      <c r="CF35" s="170"/>
      <c r="CG35" s="170"/>
      <c r="CH35" s="170"/>
      <c r="CI35" s="168"/>
      <c r="CJ35" s="168"/>
      <c r="CK35" s="170"/>
      <c r="CL35" s="170"/>
      <c r="CM35" s="170"/>
      <c r="CN35" s="430"/>
      <c r="CO35" s="36"/>
      <c r="CP35" s="36"/>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6"/>
      <c r="DX35" s="36"/>
      <c r="DY35" s="36"/>
      <c r="DZ35" s="36"/>
      <c r="EA35" s="36"/>
      <c r="EB35" s="36"/>
      <c r="EC35" s="36"/>
      <c r="ED35" s="36"/>
    </row>
    <row r="36" spans="1:134" s="27" customFormat="1" ht="15.75" x14ac:dyDescent="0.25">
      <c r="A36" s="26"/>
      <c r="B36" s="68" t="s">
        <v>50</v>
      </c>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4"/>
      <c r="AB36" s="575">
        <f>+AB28+AB35</f>
        <v>42962.646637012389</v>
      </c>
      <c r="AC36" s="576">
        <f>IF(AB36&gt;0,(SQRT(AD28+AD35))/AB36,0)</f>
        <v>0</v>
      </c>
      <c r="AD36" s="575">
        <f>(AB36*AC36)^2</f>
        <v>0</v>
      </c>
      <c r="AE36" s="577"/>
      <c r="AF36" s="573"/>
      <c r="AG36" s="573"/>
      <c r="AH36" s="578"/>
      <c r="AI36" s="575">
        <f>+AI28+AI35</f>
        <v>189.86659637864801</v>
      </c>
      <c r="AJ36" s="576">
        <f>IF(AI36&gt;0,(SQRT(AK28+AK35))/AI36,0)</f>
        <v>0</v>
      </c>
      <c r="AK36" s="575">
        <f>(AI36*AJ36)^2</f>
        <v>0</v>
      </c>
      <c r="AL36" s="573"/>
      <c r="AM36" s="573"/>
      <c r="AN36" s="573"/>
      <c r="AO36" s="573"/>
      <c r="AP36" s="575">
        <f>+AP28+AP35</f>
        <v>235.36043859358131</v>
      </c>
      <c r="AQ36" s="576">
        <f>IF(AP36&gt;0,(SQRT(AR28+AR35))/AP36,0)</f>
        <v>0</v>
      </c>
      <c r="AR36" s="575">
        <f>(AP36*AQ36)^2</f>
        <v>0</v>
      </c>
      <c r="AS36" s="573"/>
      <c r="AT36" s="573"/>
      <c r="AU36" s="573"/>
      <c r="AV36" s="575">
        <f>+AV28+AV35</f>
        <v>772.51607000000001</v>
      </c>
      <c r="AW36" s="576">
        <f>IF(AV36&gt;0,(SQRT(AX28+AX35))/AV36,0)</f>
        <v>0.56127087934436792</v>
      </c>
      <c r="AX36" s="575">
        <f t="shared" si="62"/>
        <v>188000.95922555737</v>
      </c>
      <c r="AY36" s="573"/>
      <c r="AZ36" s="573"/>
      <c r="BA36" s="579"/>
      <c r="BB36" s="580"/>
      <c r="BC36" s="575">
        <f>+BC28+BC35</f>
        <v>0</v>
      </c>
      <c r="BD36" s="576">
        <f>IF(BC36&gt;0,(SQRT(BE28+BE35))/BC36,0)</f>
        <v>0</v>
      </c>
      <c r="BE36" s="575">
        <f>(BC36*BD36)^2</f>
        <v>0</v>
      </c>
      <c r="BF36" s="575">
        <f>+BF28+BF35</f>
        <v>44160.389741984618</v>
      </c>
      <c r="BG36" s="70">
        <f>IF(BF36&gt;0,(SQRT(BH28+BH35))/BF36,0)</f>
        <v>0.12537963550829861</v>
      </c>
      <c r="BH36" s="28">
        <f t="shared" si="37"/>
        <v>30656304.50621691</v>
      </c>
      <c r="BI36" s="64"/>
      <c r="BJ36" s="168"/>
      <c r="BK36" s="168"/>
      <c r="BL36" s="168"/>
      <c r="BM36" s="169"/>
      <c r="BN36" s="169"/>
      <c r="BO36" s="169"/>
      <c r="BP36" s="168"/>
      <c r="BQ36" s="168"/>
      <c r="BR36" s="168"/>
      <c r="BS36" s="168"/>
      <c r="BT36" s="168"/>
      <c r="BU36" s="168"/>
      <c r="BV36" s="168"/>
      <c r="BW36" s="168"/>
      <c r="BX36" s="168"/>
      <c r="BY36" s="168"/>
      <c r="BZ36" s="168"/>
      <c r="CA36" s="168"/>
      <c r="CB36" s="170"/>
      <c r="CC36" s="168"/>
      <c r="CD36" s="168"/>
      <c r="CE36" s="170"/>
      <c r="CF36" s="170"/>
      <c r="CG36" s="170"/>
      <c r="CH36" s="170"/>
      <c r="CI36" s="168"/>
      <c r="CJ36" s="168"/>
      <c r="CK36" s="170"/>
      <c r="CL36" s="170"/>
      <c r="CM36" s="170"/>
      <c r="CN36" s="430"/>
      <c r="CO36" s="36"/>
      <c r="CP36" s="36"/>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6"/>
      <c r="DX36" s="36"/>
      <c r="DY36" s="36"/>
      <c r="DZ36" s="36"/>
      <c r="EA36" s="36"/>
      <c r="EB36" s="36"/>
      <c r="EC36" s="36"/>
      <c r="ED36" s="36"/>
    </row>
    <row r="37" spans="1:134" s="27" customFormat="1" ht="15.75" customHeight="1" x14ac:dyDescent="0.25">
      <c r="A37" s="26"/>
      <c r="B37" s="581"/>
      <c r="C37" s="582"/>
      <c r="D37" s="582"/>
      <c r="E37" s="582"/>
      <c r="F37" s="582"/>
      <c r="G37" s="582"/>
      <c r="H37" s="582"/>
      <c r="I37" s="582"/>
      <c r="J37" s="582"/>
      <c r="K37" s="582"/>
      <c r="L37" s="582"/>
      <c r="M37" s="582"/>
      <c r="N37" s="582"/>
      <c r="O37" s="582"/>
      <c r="P37" s="582"/>
      <c r="Q37" s="582"/>
      <c r="R37" s="582"/>
      <c r="S37" s="582"/>
      <c r="T37" s="582"/>
      <c r="U37" s="582"/>
      <c r="V37" s="582"/>
      <c r="W37" s="582"/>
      <c r="X37" s="582"/>
      <c r="Y37" s="582"/>
      <c r="Z37" s="582"/>
      <c r="AA37" s="583"/>
      <c r="AB37" s="584"/>
      <c r="AC37" s="585"/>
      <c r="AD37" s="584"/>
      <c r="AE37" s="586"/>
      <c r="AF37" s="582"/>
      <c r="AG37" s="582"/>
      <c r="AH37" s="587"/>
      <c r="AI37" s="584"/>
      <c r="AJ37" s="585"/>
      <c r="AK37" s="584"/>
      <c r="AL37" s="582"/>
      <c r="AM37" s="582"/>
      <c r="AN37" s="582"/>
      <c r="AO37" s="582"/>
      <c r="AP37" s="584"/>
      <c r="AQ37" s="585"/>
      <c r="AR37" s="584"/>
      <c r="AS37" s="582"/>
      <c r="AT37" s="582"/>
      <c r="AU37" s="582"/>
      <c r="AV37" s="584"/>
      <c r="AW37" s="585"/>
      <c r="AX37" s="584"/>
      <c r="AY37" s="582"/>
      <c r="AZ37" s="582"/>
      <c r="BA37" s="588"/>
      <c r="BB37" s="589"/>
      <c r="BC37" s="584"/>
      <c r="BD37" s="585"/>
      <c r="BE37" s="584"/>
      <c r="BF37" s="584"/>
      <c r="BG37" s="590"/>
      <c r="BH37" s="28"/>
      <c r="BI37" s="64"/>
      <c r="BJ37" s="168"/>
      <c r="BK37" s="168"/>
      <c r="BL37" s="168"/>
      <c r="BM37" s="169"/>
      <c r="BN37" s="169"/>
      <c r="BO37" s="169"/>
      <c r="BP37" s="168"/>
      <c r="BQ37" s="168"/>
      <c r="BR37" s="168"/>
      <c r="BS37" s="168"/>
      <c r="BT37" s="168"/>
      <c r="BU37" s="168"/>
      <c r="BV37" s="168"/>
      <c r="BW37" s="168"/>
      <c r="BX37" s="168"/>
      <c r="BY37" s="168"/>
      <c r="BZ37" s="168"/>
      <c r="CA37" s="168"/>
      <c r="CB37" s="170"/>
      <c r="CC37" s="168"/>
      <c r="CD37" s="168"/>
      <c r="CE37" s="170"/>
      <c r="CF37" s="170"/>
      <c r="CG37" s="170"/>
      <c r="CH37" s="170"/>
      <c r="CI37" s="168"/>
      <c r="CJ37" s="168"/>
      <c r="CK37" s="170"/>
      <c r="CL37" s="170"/>
      <c r="CM37" s="170"/>
      <c r="CN37" s="430"/>
      <c r="CO37" s="36"/>
      <c r="CP37" s="36"/>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6"/>
      <c r="DX37" s="36"/>
      <c r="DY37" s="36"/>
      <c r="DZ37" s="36"/>
      <c r="EA37" s="36"/>
      <c r="EB37" s="36"/>
      <c r="EC37" s="36"/>
      <c r="ED37" s="36"/>
    </row>
    <row r="38" spans="1:134" s="82" customFormat="1" ht="30.75" customHeight="1" thickBot="1" x14ac:dyDescent="0.3">
      <c r="A38" s="26"/>
      <c r="B38" s="73" t="s">
        <v>64</v>
      </c>
      <c r="C38" s="74"/>
      <c r="D38" s="74"/>
      <c r="E38" s="74"/>
      <c r="F38" s="74"/>
      <c r="G38" s="74"/>
      <c r="H38" s="74"/>
      <c r="I38" s="74"/>
      <c r="J38" s="74"/>
      <c r="K38" s="74"/>
      <c r="L38" s="74"/>
      <c r="M38" s="74"/>
      <c r="N38" s="74"/>
      <c r="O38" s="74"/>
      <c r="P38" s="74"/>
      <c r="Q38" s="74"/>
      <c r="R38" s="74"/>
      <c r="S38" s="74"/>
      <c r="T38" s="74"/>
      <c r="U38" s="74"/>
      <c r="V38" s="74"/>
      <c r="W38" s="74"/>
      <c r="X38" s="74"/>
      <c r="Y38" s="74"/>
      <c r="Z38" s="74"/>
      <c r="AA38" s="75"/>
      <c r="AB38" s="78">
        <f>AB36</f>
        <v>42962.646637012389</v>
      </c>
      <c r="AC38" s="77" t="e">
        <f>IF(AB38&gt;0,(SQRT(#REF!+AD36+#REF!))/AB38,0)</f>
        <v>#REF!</v>
      </c>
      <c r="AD38" s="76" t="e">
        <f>(AB38*AC38)^2</f>
        <v>#REF!</v>
      </c>
      <c r="AE38" s="78"/>
      <c r="AF38" s="78"/>
      <c r="AG38" s="78"/>
      <c r="AH38" s="78"/>
      <c r="AI38" s="78">
        <f>AI36</f>
        <v>189.86659637864801</v>
      </c>
      <c r="AJ38" s="78" t="e">
        <f>IF(AI38&gt;0,(SQRT(#REF!+AK36+#REF!))/AI38,0)</f>
        <v>#REF!</v>
      </c>
      <c r="AK38" s="78" t="e">
        <f>(AI38*AJ38)^2</f>
        <v>#REF!</v>
      </c>
      <c r="AL38" s="78"/>
      <c r="AM38" s="78"/>
      <c r="AN38" s="78"/>
      <c r="AO38" s="78"/>
      <c r="AP38" s="78">
        <f>AP36</f>
        <v>235.36043859358131</v>
      </c>
      <c r="AQ38" s="78" t="e">
        <f>IF(AP38&gt;0,(SQRT(#REF!+AR36+#REF!))/AP38,0)</f>
        <v>#REF!</v>
      </c>
      <c r="AR38" s="78" t="e">
        <f>(AP38*AQ38)^2</f>
        <v>#REF!</v>
      </c>
      <c r="AS38" s="78"/>
      <c r="AT38" s="78"/>
      <c r="AU38" s="78"/>
      <c r="AV38" s="78">
        <f>AV36</f>
        <v>772.51607000000001</v>
      </c>
      <c r="AW38" s="78" t="e">
        <f>IF(AV38&gt;0,(SQRT(#REF!+AX36+#REF!))/AV38,0)</f>
        <v>#REF!</v>
      </c>
      <c r="AX38" s="78" t="e">
        <f>(AV38*AW38)^2</f>
        <v>#REF!</v>
      </c>
      <c r="AY38" s="78"/>
      <c r="AZ38" s="78"/>
      <c r="BA38" s="78"/>
      <c r="BB38" s="78"/>
      <c r="BC38" s="78">
        <f>BC36</f>
        <v>0</v>
      </c>
      <c r="BD38" s="78">
        <f>IF(BC38&gt;0,(SQRT(#REF!+BE36+#REF!))/BC38,0)</f>
        <v>0</v>
      </c>
      <c r="BE38" s="78">
        <f>(BC38*BD38)^2</f>
        <v>0</v>
      </c>
      <c r="BF38" s="601">
        <f>BF36</f>
        <v>44160.389741984618</v>
      </c>
      <c r="BG38" s="79">
        <f>BG36</f>
        <v>0.12537963550829861</v>
      </c>
      <c r="BH38" s="28">
        <f t="shared" ref="BH38:BH44" si="68">(BF38*BG38)^2</f>
        <v>30656304.50621691</v>
      </c>
      <c r="BI38" s="174"/>
      <c r="BJ38" s="175"/>
      <c r="BK38" s="175"/>
      <c r="BL38" s="175"/>
      <c r="BM38" s="176"/>
      <c r="BN38" s="176"/>
      <c r="BO38" s="176"/>
      <c r="BP38" s="175"/>
      <c r="BQ38" s="175"/>
      <c r="BR38" s="175"/>
      <c r="BS38" s="175"/>
      <c r="BT38" s="175"/>
      <c r="BU38" s="175"/>
      <c r="BV38" s="175"/>
      <c r="BW38" s="175"/>
      <c r="BX38" s="175"/>
      <c r="BY38" s="175"/>
      <c r="BZ38" s="175"/>
      <c r="CA38" s="175"/>
      <c r="CB38" s="177"/>
      <c r="CC38" s="175"/>
      <c r="CD38" s="175"/>
      <c r="CE38" s="177"/>
      <c r="CF38" s="177"/>
      <c r="CG38" s="177"/>
      <c r="CH38" s="177"/>
      <c r="CI38" s="175"/>
      <c r="CJ38" s="175"/>
      <c r="CK38" s="177"/>
      <c r="CL38" s="177"/>
      <c r="CM38" s="177"/>
      <c r="CN38" s="432"/>
      <c r="CO38" s="80"/>
      <c r="CP38" s="80"/>
      <c r="CQ38" s="81"/>
      <c r="CR38" s="81"/>
      <c r="CS38" s="81"/>
      <c r="CT38" s="81"/>
      <c r="CU38" s="81"/>
      <c r="CV38" s="81"/>
      <c r="CW38" s="81"/>
      <c r="CX38" s="81"/>
      <c r="CY38" s="81"/>
      <c r="CZ38" s="81"/>
      <c r="DA38" s="81"/>
      <c r="DB38" s="81"/>
      <c r="DC38" s="81"/>
      <c r="DD38" s="81"/>
      <c r="DE38" s="81"/>
      <c r="DF38" s="81"/>
      <c r="DG38" s="81"/>
      <c r="DH38" s="81"/>
      <c r="DI38" s="81"/>
      <c r="DJ38" s="81"/>
      <c r="DK38" s="81"/>
      <c r="DL38" s="81"/>
      <c r="DM38" s="81"/>
      <c r="DN38" s="81"/>
      <c r="DO38" s="81"/>
      <c r="DP38" s="81"/>
      <c r="DQ38" s="81"/>
      <c r="DR38" s="81"/>
      <c r="DS38" s="81"/>
      <c r="DT38" s="81"/>
      <c r="DU38" s="81"/>
      <c r="DV38" s="81"/>
      <c r="DW38" s="80"/>
      <c r="DX38" s="80"/>
      <c r="DY38" s="80"/>
      <c r="DZ38" s="80"/>
      <c r="EA38" s="80"/>
      <c r="EB38" s="80"/>
      <c r="EC38" s="80"/>
      <c r="ED38" s="80"/>
    </row>
    <row r="39" spans="1:134" s="26" customFormat="1" ht="21.75" thickBot="1" x14ac:dyDescent="0.3">
      <c r="B39" s="591"/>
      <c r="C39" s="83"/>
      <c r="D39" s="83"/>
      <c r="E39" s="84"/>
      <c r="F39" s="84"/>
      <c r="G39" s="84"/>
      <c r="H39" s="84"/>
      <c r="I39" s="84"/>
      <c r="J39" s="84"/>
      <c r="K39" s="84"/>
      <c r="L39" s="84"/>
      <c r="M39" s="84"/>
      <c r="N39" s="84"/>
      <c r="O39" s="84"/>
      <c r="P39" s="84"/>
      <c r="Q39" s="84"/>
      <c r="R39" s="85"/>
      <c r="S39" s="84"/>
      <c r="T39" s="84"/>
      <c r="U39" s="84"/>
      <c r="V39" s="86"/>
      <c r="W39" s="86"/>
      <c r="X39" s="83"/>
      <c r="Y39" s="83"/>
      <c r="Z39" s="86"/>
      <c r="AA39" s="87"/>
      <c r="AB39" s="87"/>
      <c r="AC39" s="86"/>
      <c r="AD39" s="87"/>
      <c r="AE39" s="88"/>
      <c r="AF39" s="83"/>
      <c r="AG39" s="86"/>
      <c r="AH39" s="89"/>
      <c r="AI39" s="89"/>
      <c r="AJ39" s="86"/>
      <c r="AK39" s="87"/>
      <c r="AL39" s="83"/>
      <c r="AM39" s="83"/>
      <c r="AN39" s="86"/>
      <c r="AO39" s="86"/>
      <c r="AP39" s="86"/>
      <c r="AQ39" s="86"/>
      <c r="AR39" s="87"/>
      <c r="AS39" s="83"/>
      <c r="AT39" s="83"/>
      <c r="AU39" s="86"/>
      <c r="AV39" s="87"/>
      <c r="AW39" s="86"/>
      <c r="AX39" s="87"/>
      <c r="AY39" s="83"/>
      <c r="AZ39" s="83"/>
      <c r="BA39" s="86"/>
      <c r="BB39" s="87"/>
      <c r="BC39" s="87"/>
      <c r="BD39" s="86"/>
      <c r="BE39" s="87"/>
      <c r="BF39" s="84"/>
      <c r="BG39" s="592"/>
      <c r="BH39" s="28">
        <f t="shared" si="68"/>
        <v>0</v>
      </c>
      <c r="BI39" s="164"/>
      <c r="BJ39" s="165"/>
      <c r="BK39" s="165"/>
      <c r="BL39" s="165"/>
      <c r="BM39" s="166"/>
      <c r="BN39" s="166"/>
      <c r="BO39" s="166"/>
      <c r="BP39" s="165"/>
      <c r="BQ39" s="165"/>
      <c r="BR39" s="165"/>
      <c r="BS39" s="165"/>
      <c r="BT39" s="165"/>
      <c r="BU39" s="165"/>
      <c r="BV39" s="165"/>
      <c r="BW39" s="165"/>
      <c r="BX39" s="165"/>
      <c r="BY39" s="165"/>
      <c r="BZ39" s="165"/>
      <c r="CA39" s="165"/>
      <c r="CB39" s="167"/>
      <c r="CC39" s="165"/>
      <c r="CD39" s="165"/>
      <c r="CE39" s="167"/>
      <c r="CF39" s="167"/>
      <c r="CG39" s="167"/>
      <c r="CH39" s="167"/>
      <c r="CI39" s="165"/>
      <c r="CJ39" s="165"/>
      <c r="CK39" s="167"/>
      <c r="CL39" s="167"/>
      <c r="CM39" s="167"/>
      <c r="CN39" s="431"/>
      <c r="CO39" s="29"/>
      <c r="CP39" s="29"/>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9"/>
      <c r="DX39" s="29"/>
      <c r="DY39" s="29"/>
      <c r="DZ39" s="29"/>
      <c r="EA39" s="29"/>
      <c r="EB39" s="29"/>
      <c r="EC39" s="29"/>
      <c r="ED39" s="29"/>
    </row>
    <row r="40" spans="1:134" s="27" customFormat="1" ht="31.5" customHeight="1" x14ac:dyDescent="0.25">
      <c r="A40" s="26"/>
      <c r="B40" s="1614" t="s">
        <v>65</v>
      </c>
      <c r="C40" s="1615"/>
      <c r="D40" s="1615"/>
      <c r="E40" s="1615"/>
      <c r="F40" s="1615"/>
      <c r="G40" s="1615"/>
      <c r="H40" s="1615"/>
      <c r="I40" s="1615"/>
      <c r="J40" s="1615"/>
      <c r="K40" s="1615"/>
      <c r="L40" s="1615"/>
      <c r="M40" s="1615"/>
      <c r="N40" s="1615"/>
      <c r="O40" s="1615"/>
      <c r="P40" s="1615"/>
      <c r="Q40" s="1615"/>
      <c r="R40" s="1615"/>
      <c r="S40" s="1615"/>
      <c r="T40" s="1615"/>
      <c r="U40" s="1615"/>
      <c r="V40" s="1615"/>
      <c r="W40" s="1615"/>
      <c r="X40" s="1615"/>
      <c r="Y40" s="1615"/>
      <c r="Z40" s="1615"/>
      <c r="AA40" s="1615"/>
      <c r="AB40" s="1615"/>
      <c r="AC40" s="1615"/>
      <c r="AD40" s="1615"/>
      <c r="AE40" s="1615"/>
      <c r="AF40" s="1615"/>
      <c r="AG40" s="1615"/>
      <c r="AH40" s="1615"/>
      <c r="AI40" s="1615"/>
      <c r="AJ40" s="1615"/>
      <c r="AK40" s="1615"/>
      <c r="AL40" s="1615"/>
      <c r="AM40" s="1615"/>
      <c r="AN40" s="1615"/>
      <c r="AO40" s="1615"/>
      <c r="AP40" s="1615"/>
      <c r="AQ40" s="1615"/>
      <c r="AR40" s="1615"/>
      <c r="AS40" s="1615"/>
      <c r="AT40" s="1615"/>
      <c r="AU40" s="1615"/>
      <c r="AV40" s="1615"/>
      <c r="AW40" s="1615"/>
      <c r="AX40" s="1615"/>
      <c r="AY40" s="1615"/>
      <c r="AZ40" s="1615"/>
      <c r="BA40" s="1615"/>
      <c r="BB40" s="1615"/>
      <c r="BC40" s="1615"/>
      <c r="BD40" s="1615"/>
      <c r="BE40" s="1615"/>
      <c r="BF40" s="1615"/>
      <c r="BG40" s="1616"/>
      <c r="BH40" s="28">
        <f t="shared" si="68"/>
        <v>0</v>
      </c>
      <c r="BI40" s="64"/>
      <c r="BJ40" s="168"/>
      <c r="BK40" s="168"/>
      <c r="BL40" s="168"/>
      <c r="BM40" s="169"/>
      <c r="BN40" s="169"/>
      <c r="BO40" s="169"/>
      <c r="BP40" s="168"/>
      <c r="BQ40" s="168"/>
      <c r="BR40" s="168"/>
      <c r="BS40" s="168"/>
      <c r="BT40" s="168"/>
      <c r="BU40" s="168"/>
      <c r="BV40" s="168"/>
      <c r="BW40" s="168"/>
      <c r="BX40" s="168"/>
      <c r="BY40" s="168"/>
      <c r="BZ40" s="168"/>
      <c r="CA40" s="168"/>
      <c r="CB40" s="170"/>
      <c r="CC40" s="168"/>
      <c r="CD40" s="168"/>
      <c r="CE40" s="170"/>
      <c r="CF40" s="170"/>
      <c r="CG40" s="170"/>
      <c r="CH40" s="170"/>
      <c r="CI40" s="168"/>
      <c r="CJ40" s="168"/>
      <c r="CK40" s="170"/>
      <c r="CL40" s="170"/>
      <c r="CM40" s="170"/>
      <c r="CN40" s="430"/>
      <c r="CO40" s="36"/>
      <c r="CP40" s="36"/>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6"/>
      <c r="DX40" s="36"/>
      <c r="DY40" s="36"/>
      <c r="DZ40" s="36"/>
      <c r="EA40" s="36"/>
      <c r="EB40" s="36"/>
      <c r="EC40" s="36"/>
      <c r="ED40" s="36"/>
    </row>
    <row r="41" spans="1:134" s="27" customFormat="1" ht="15" customHeight="1" x14ac:dyDescent="0.25">
      <c r="A41" s="26"/>
      <c r="B41" s="90" t="s">
        <v>66</v>
      </c>
      <c r="C41" s="553" t="s">
        <v>443</v>
      </c>
      <c r="D41" s="423" t="str">
        <f>VLOOKUP($C41,$BI$79:$CM$461,2,FALSE)</f>
        <v>KWh</v>
      </c>
      <c r="E41" s="157">
        <v>83110769</v>
      </c>
      <c r="F41" s="157"/>
      <c r="G41" s="157"/>
      <c r="H41" s="157"/>
      <c r="I41" s="158"/>
      <c r="J41" s="158"/>
      <c r="K41" s="158"/>
      <c r="L41" s="159"/>
      <c r="M41" s="159"/>
      <c r="N41" s="157"/>
      <c r="O41" s="157"/>
      <c r="P41" s="157"/>
      <c r="Q41" s="422">
        <f>SUM(E41:P41)</f>
        <v>83110769</v>
      </c>
      <c r="R41" s="423">
        <f>COUNT(E41:P41)</f>
        <v>1</v>
      </c>
      <c r="S41" s="422">
        <f>IF(R41&gt;1,AVERAGE(E41:P41),0)</f>
        <v>0</v>
      </c>
      <c r="T41" s="422">
        <f>IF(R41&gt;1,STDEV(E41:P41),0)</f>
        <v>0</v>
      </c>
      <c r="U41" s="422">
        <f>IF(R41&gt;1,VLOOKUP($R41,$BI$413:$BJ$425,2,FALSE),0)</f>
        <v>0</v>
      </c>
      <c r="V41" s="424"/>
      <c r="W41" s="425">
        <f>IF(R41&gt;1,1-((S41-((T41*U41)/(SQRT(R41))))/S41),VLOOKUP($C41,$BI$79:$CP$461,34,FALSE))</f>
        <v>7.5000000000000011E-2</v>
      </c>
      <c r="X41" s="557">
        <f>VLOOKUP($C41,$BI$79:$CM$461,3,FALSE)</f>
        <v>0.19900000000000001</v>
      </c>
      <c r="Y41" s="555" t="str">
        <f>VLOOKUP($C41,$BI$79:$CM$461,4,FALSE)</f>
        <v>kgCO2 e/KWh</v>
      </c>
      <c r="Z41" s="425">
        <f>IF($Q41&gt;0,VLOOKUP($C41,$BI$79:$CM$461,6,FALSE),0)</f>
        <v>0.1</v>
      </c>
      <c r="AA41" s="556">
        <f>($Q41*X41)/1000</f>
        <v>16539.043031000001</v>
      </c>
      <c r="AB41" s="593">
        <f>AA41*$BJ$431</f>
        <v>16539.043031000001</v>
      </c>
      <c r="AC41" s="425">
        <f>IF(AA41&gt;0,SQRT(($W41*$W41)+(Z41*Z41)+($V41*$V41)),0)</f>
        <v>0.125</v>
      </c>
      <c r="AD41" s="556">
        <f>(AB41*AC41)^2</f>
        <v>4274061.630957339</v>
      </c>
      <c r="AE41" s="557">
        <v>0</v>
      </c>
      <c r="AF41" s="555">
        <v>0</v>
      </c>
      <c r="AG41" s="425">
        <v>0</v>
      </c>
      <c r="AH41" s="558">
        <f>($Q41*AE41)/1000</f>
        <v>0</v>
      </c>
      <c r="AI41" s="558">
        <f>AH41*$BJ$432</f>
        <v>0</v>
      </c>
      <c r="AJ41" s="425">
        <f>IF(AH41&gt;0,SQRT(($W41*$W41)+(AG41*AG41)+($V41*$V41)),0)</f>
        <v>0</v>
      </c>
      <c r="AK41" s="556">
        <f>(AI41*AJ41)^2</f>
        <v>0</v>
      </c>
      <c r="AL41" s="557">
        <v>0</v>
      </c>
      <c r="AM41" s="555">
        <v>0</v>
      </c>
      <c r="AN41" s="425">
        <v>0</v>
      </c>
      <c r="AO41" s="558">
        <f>(W41*AL41)/1000</f>
        <v>0</v>
      </c>
      <c r="AP41" s="558">
        <f>AO41*$BJ$433</f>
        <v>0</v>
      </c>
      <c r="AQ41" s="425">
        <f>IF(AO41&gt;0,SQRT(($W41*$W41)+(AN41*AN41)+($V41*$V41)),0)</f>
        <v>0</v>
      </c>
      <c r="AR41" s="556">
        <f>(AP41*AQ41)^2</f>
        <v>0</v>
      </c>
      <c r="AS41" s="559">
        <v>0</v>
      </c>
      <c r="AT41" s="555">
        <v>0</v>
      </c>
      <c r="AU41" s="425">
        <v>0</v>
      </c>
      <c r="AV41" s="558">
        <v>0</v>
      </c>
      <c r="AW41" s="425">
        <v>0</v>
      </c>
      <c r="AX41" s="556">
        <f>(AV41*AW41)^2</f>
        <v>0</v>
      </c>
      <c r="AY41" s="559">
        <v>0</v>
      </c>
      <c r="AZ41" s="555">
        <v>0</v>
      </c>
      <c r="BA41" s="425">
        <v>0</v>
      </c>
      <c r="BB41" s="558">
        <f>($Q41*AY41)/1000</f>
        <v>0</v>
      </c>
      <c r="BC41" s="558">
        <f>BB41*$BJ$434</f>
        <v>0</v>
      </c>
      <c r="BD41" s="425">
        <v>0</v>
      </c>
      <c r="BE41" s="556">
        <f>(BC41*BD41)^2</f>
        <v>0</v>
      </c>
      <c r="BF41" s="422">
        <f>AB41+AI41+AP41+AV41+BC41</f>
        <v>16539.043031000001</v>
      </c>
      <c r="BG41" s="67">
        <f>IF(BF41&gt;0,SQRT(AD41+AK41+AR41+AX41+BE41)/BF41,0)</f>
        <v>0.125</v>
      </c>
      <c r="BH41" s="28">
        <f t="shared" si="68"/>
        <v>4274061.630957339</v>
      </c>
      <c r="BI41" s="64"/>
      <c r="BJ41" s="168"/>
      <c r="BK41" s="168"/>
      <c r="BL41" s="168"/>
      <c r="BM41" s="169"/>
      <c r="BN41" s="169"/>
      <c r="BO41" s="169"/>
      <c r="BP41" s="168"/>
      <c r="BQ41" s="168"/>
      <c r="BR41" s="168"/>
      <c r="BS41" s="168"/>
      <c r="BT41" s="168"/>
      <c r="BU41" s="168"/>
      <c r="BV41" s="168"/>
      <c r="BW41" s="168"/>
      <c r="BX41" s="168"/>
      <c r="BY41" s="168"/>
      <c r="BZ41" s="168"/>
      <c r="CA41" s="168"/>
      <c r="CB41" s="170"/>
      <c r="CC41" s="168"/>
      <c r="CD41" s="168"/>
      <c r="CE41" s="170"/>
      <c r="CF41" s="170"/>
      <c r="CG41" s="170"/>
      <c r="CH41" s="170"/>
      <c r="CI41" s="168"/>
      <c r="CJ41" s="168"/>
      <c r="CK41" s="170"/>
      <c r="CL41" s="170"/>
      <c r="CM41" s="170"/>
      <c r="CN41" s="430"/>
      <c r="CO41" s="36"/>
      <c r="CP41" s="36"/>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6"/>
      <c r="DX41" s="36"/>
      <c r="DY41" s="36"/>
      <c r="DZ41" s="36"/>
      <c r="EA41" s="36"/>
      <c r="EB41" s="36"/>
      <c r="EC41" s="36"/>
      <c r="ED41" s="36"/>
    </row>
    <row r="42" spans="1:134" s="1099" customFormat="1" ht="31.5" customHeight="1" thickBot="1" x14ac:dyDescent="0.3">
      <c r="A42" s="1141"/>
      <c r="B42" s="1142"/>
      <c r="C42" s="1140"/>
      <c r="D42" s="1140"/>
      <c r="E42" s="1140"/>
      <c r="F42" s="1140"/>
      <c r="G42" s="1140"/>
      <c r="H42" s="1140"/>
      <c r="I42" s="1140"/>
      <c r="J42" s="1140"/>
      <c r="K42" s="1140"/>
      <c r="L42" s="1140"/>
      <c r="M42" s="1140"/>
      <c r="N42" s="1140"/>
      <c r="O42" s="1140"/>
      <c r="P42" s="1140"/>
      <c r="Q42" s="1140"/>
      <c r="R42" s="1140"/>
      <c r="S42" s="1140"/>
      <c r="T42" s="1140"/>
      <c r="U42" s="1140"/>
      <c r="V42" s="1140"/>
      <c r="W42" s="1140"/>
      <c r="X42" s="1140"/>
      <c r="Y42" s="1140"/>
      <c r="Z42" s="1140"/>
      <c r="AA42" s="1140"/>
      <c r="AB42" s="78">
        <f>AB41</f>
        <v>16539.043031000001</v>
      </c>
      <c r="AC42" s="1140">
        <f>AC41</f>
        <v>0.125</v>
      </c>
      <c r="AD42" s="1140">
        <f>AD41</f>
        <v>4274061.630957339</v>
      </c>
      <c r="AE42" s="78"/>
      <c r="AF42" s="78"/>
      <c r="AG42" s="78"/>
      <c r="AH42" s="78"/>
      <c r="AI42" s="78">
        <f>AI41</f>
        <v>0</v>
      </c>
      <c r="AJ42" s="78">
        <f>AJ41</f>
        <v>0</v>
      </c>
      <c r="AK42" s="78">
        <f>AK41</f>
        <v>0</v>
      </c>
      <c r="AL42" s="78"/>
      <c r="AM42" s="78"/>
      <c r="AN42" s="78"/>
      <c r="AO42" s="78"/>
      <c r="AP42" s="78">
        <f>AP41</f>
        <v>0</v>
      </c>
      <c r="AQ42" s="78">
        <f>AQ41</f>
        <v>0</v>
      </c>
      <c r="AR42" s="78">
        <f>AR41</f>
        <v>0</v>
      </c>
      <c r="AS42" s="78"/>
      <c r="AT42" s="78"/>
      <c r="AU42" s="78"/>
      <c r="AV42" s="78">
        <f>AV41</f>
        <v>0</v>
      </c>
      <c r="AW42" s="78">
        <f>AW41</f>
        <v>0</v>
      </c>
      <c r="AX42" s="78">
        <f>AX41</f>
        <v>0</v>
      </c>
      <c r="AY42" s="78"/>
      <c r="AZ42" s="78"/>
      <c r="BA42" s="78"/>
      <c r="BB42" s="78"/>
      <c r="BC42" s="78">
        <f>BC41</f>
        <v>0</v>
      </c>
      <c r="BD42" s="78">
        <f>BD41</f>
        <v>0</v>
      </c>
      <c r="BE42" s="78">
        <f>BE41</f>
        <v>0</v>
      </c>
      <c r="BF42" s="601">
        <f>SUM(BF41)</f>
        <v>16539.043031000001</v>
      </c>
      <c r="BG42" s="79">
        <f>IF(BF42&gt;0,(SQRT(BH41))/BF42,0)</f>
        <v>0.125</v>
      </c>
      <c r="BH42" s="1143">
        <f t="shared" si="68"/>
        <v>4274061.630957339</v>
      </c>
      <c r="BI42" s="168"/>
      <c r="BJ42" s="168"/>
      <c r="BK42" s="168"/>
      <c r="BL42" s="168"/>
      <c r="BM42" s="169"/>
      <c r="BN42" s="169"/>
      <c r="BO42" s="169"/>
      <c r="BP42" s="168"/>
      <c r="BQ42" s="168"/>
      <c r="BR42" s="168"/>
      <c r="BS42" s="168"/>
      <c r="BT42" s="168"/>
      <c r="BU42" s="168"/>
      <c r="BV42" s="168"/>
      <c r="BW42" s="168"/>
      <c r="BX42" s="168"/>
      <c r="BY42" s="168"/>
      <c r="BZ42" s="168"/>
      <c r="CA42" s="168"/>
      <c r="CB42" s="170"/>
      <c r="CC42" s="168"/>
      <c r="CD42" s="168"/>
      <c r="CE42" s="170"/>
      <c r="CF42" s="170"/>
      <c r="CG42" s="170"/>
      <c r="CH42" s="170"/>
      <c r="CI42" s="168"/>
      <c r="CJ42" s="168"/>
      <c r="CK42" s="170"/>
      <c r="CL42" s="170"/>
      <c r="CM42" s="170"/>
      <c r="CN42" s="430"/>
      <c r="CO42" s="1144"/>
      <c r="CP42" s="1144"/>
      <c r="CQ42" s="658"/>
      <c r="CR42" s="658"/>
      <c r="CS42" s="658"/>
      <c r="CT42" s="658"/>
      <c r="CU42" s="658"/>
      <c r="CV42" s="658"/>
      <c r="CW42" s="658"/>
      <c r="CX42" s="658"/>
      <c r="CY42" s="658"/>
      <c r="CZ42" s="658"/>
      <c r="DA42" s="658"/>
      <c r="DB42" s="658"/>
      <c r="DC42" s="658"/>
      <c r="DD42" s="658"/>
      <c r="DE42" s="658"/>
      <c r="DF42" s="658"/>
      <c r="DG42" s="658"/>
      <c r="DH42" s="658"/>
      <c r="DI42" s="658"/>
      <c r="DJ42" s="658"/>
      <c r="DK42" s="658"/>
      <c r="DL42" s="658"/>
      <c r="DM42" s="658"/>
      <c r="DN42" s="658"/>
      <c r="DO42" s="658"/>
      <c r="DP42" s="658"/>
      <c r="DQ42" s="658"/>
      <c r="DR42" s="658"/>
      <c r="DS42" s="658"/>
      <c r="DT42" s="658"/>
      <c r="DU42" s="658"/>
      <c r="DV42" s="658"/>
      <c r="DW42" s="1144"/>
      <c r="DX42" s="1144"/>
      <c r="DY42" s="1144"/>
      <c r="DZ42" s="1144"/>
      <c r="EA42" s="1144"/>
      <c r="EB42" s="1144"/>
      <c r="EC42" s="1144"/>
      <c r="ED42" s="1144"/>
    </row>
    <row r="43" spans="1:134" s="26" customFormat="1" ht="21" x14ac:dyDescent="0.25">
      <c r="B43" s="594"/>
      <c r="C43" s="595"/>
      <c r="D43" s="595"/>
      <c r="E43" s="596"/>
      <c r="F43" s="596"/>
      <c r="G43" s="596"/>
      <c r="H43" s="596"/>
      <c r="I43" s="596"/>
      <c r="J43" s="596"/>
      <c r="K43" s="596"/>
      <c r="L43" s="596"/>
      <c r="M43" s="596"/>
      <c r="N43" s="596"/>
      <c r="O43" s="596"/>
      <c r="P43" s="596"/>
      <c r="Q43" s="596"/>
      <c r="R43" s="597"/>
      <c r="S43" s="596"/>
      <c r="T43" s="596"/>
      <c r="U43" s="596"/>
      <c r="V43" s="598"/>
      <c r="W43" s="598"/>
      <c r="X43" s="596"/>
      <c r="Y43" s="596"/>
      <c r="Z43" s="596"/>
      <c r="AA43" s="596"/>
      <c r="AB43" s="596"/>
      <c r="AC43" s="596"/>
      <c r="AD43" s="596"/>
      <c r="AE43" s="596"/>
      <c r="AF43" s="596"/>
      <c r="AG43" s="596"/>
      <c r="AH43" s="596"/>
      <c r="AI43" s="596"/>
      <c r="AJ43" s="596"/>
      <c r="AK43" s="596"/>
      <c r="AL43" s="596"/>
      <c r="AM43" s="596"/>
      <c r="AN43" s="596"/>
      <c r="AO43" s="596"/>
      <c r="AP43" s="596"/>
      <c r="AQ43" s="596"/>
      <c r="AR43" s="596"/>
      <c r="AS43" s="596"/>
      <c r="AT43" s="596"/>
      <c r="AU43" s="596"/>
      <c r="AV43" s="596"/>
      <c r="AW43" s="596"/>
      <c r="AX43" s="596"/>
      <c r="AY43" s="596"/>
      <c r="AZ43" s="596"/>
      <c r="BA43" s="596"/>
      <c r="BB43" s="596"/>
      <c r="BC43" s="596"/>
      <c r="BD43" s="596"/>
      <c r="BE43" s="596"/>
      <c r="BF43" s="596"/>
      <c r="BG43" s="599"/>
      <c r="BH43" s="28">
        <f t="shared" si="68"/>
        <v>0</v>
      </c>
      <c r="BI43" s="164"/>
      <c r="BJ43" s="165"/>
      <c r="BK43" s="165"/>
      <c r="BL43" s="165"/>
      <c r="BM43" s="166"/>
      <c r="BN43" s="166"/>
      <c r="BO43" s="166"/>
      <c r="BP43" s="165"/>
      <c r="BQ43" s="165"/>
      <c r="BR43" s="165"/>
      <c r="BS43" s="165"/>
      <c r="BT43" s="165"/>
      <c r="BU43" s="165"/>
      <c r="BV43" s="165"/>
      <c r="BW43" s="165"/>
      <c r="BX43" s="165"/>
      <c r="BY43" s="165"/>
      <c r="BZ43" s="165"/>
      <c r="CA43" s="165"/>
      <c r="CB43" s="167"/>
      <c r="CC43" s="165"/>
      <c r="CD43" s="165"/>
      <c r="CE43" s="167"/>
      <c r="CF43" s="167"/>
      <c r="CG43" s="167"/>
      <c r="CH43" s="167"/>
      <c r="CI43" s="165"/>
      <c r="CJ43" s="165"/>
      <c r="CK43" s="167"/>
      <c r="CL43" s="167"/>
      <c r="CM43" s="167"/>
      <c r="CN43" s="431"/>
      <c r="CO43" s="29"/>
      <c r="CP43" s="29"/>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9"/>
      <c r="DX43" s="29"/>
      <c r="DY43" s="29"/>
      <c r="DZ43" s="29"/>
      <c r="EA43" s="29"/>
      <c r="EB43" s="29"/>
      <c r="EC43" s="29"/>
      <c r="ED43" s="29"/>
    </row>
    <row r="44" spans="1:134" s="37" customFormat="1" ht="30.75" customHeight="1" thickBot="1" x14ac:dyDescent="0.3">
      <c r="A44" s="28"/>
      <c r="B44" s="73" t="s">
        <v>658</v>
      </c>
      <c r="C44" s="600"/>
      <c r="D44" s="600"/>
      <c r="E44" s="1145"/>
      <c r="F44" s="1145"/>
      <c r="G44" s="1145"/>
      <c r="H44" s="1145"/>
      <c r="I44" s="1145"/>
      <c r="J44" s="1145"/>
      <c r="K44" s="1145"/>
      <c r="L44" s="1145"/>
      <c r="M44" s="1145"/>
      <c r="N44" s="1145"/>
      <c r="O44" s="1145"/>
      <c r="P44" s="1145"/>
      <c r="Q44" s="1145"/>
      <c r="R44" s="1145"/>
      <c r="S44" s="1145"/>
      <c r="T44" s="1145"/>
      <c r="U44" s="1145"/>
      <c r="V44" s="1145"/>
      <c r="W44" s="1145"/>
      <c r="X44" s="1145"/>
      <c r="Y44" s="1145"/>
      <c r="Z44" s="1145"/>
      <c r="AA44" s="1145"/>
      <c r="AB44" s="1146">
        <f>+AB38+AB42</f>
        <v>59501.68966801239</v>
      </c>
      <c r="AC44" s="1147" t="e">
        <f>IF(AB44&gt;0,SQRT(AD38+AD42+#REF!)/AB44,0)</f>
        <v>#REF!</v>
      </c>
      <c r="AD44" s="1146" t="e">
        <f>(AB44*AC44)^2</f>
        <v>#REF!</v>
      </c>
      <c r="AE44" s="1145"/>
      <c r="AF44" s="1145"/>
      <c r="AG44" s="1145"/>
      <c r="AH44" s="1145"/>
      <c r="AI44" s="1146">
        <f>+AI38+AI42</f>
        <v>189.86659637864801</v>
      </c>
      <c r="AJ44" s="1147" t="e">
        <f>IF(AI44&gt;0,SQRT(AK38+AK42+#REF!)/AI44,0)</f>
        <v>#REF!</v>
      </c>
      <c r="AK44" s="1146" t="e">
        <f>(AI44*AJ44)^2</f>
        <v>#REF!</v>
      </c>
      <c r="AL44" s="1145"/>
      <c r="AM44" s="1145"/>
      <c r="AN44" s="1145"/>
      <c r="AO44" s="1145"/>
      <c r="AP44" s="1146">
        <f>+AP38+AP42</f>
        <v>235.36043859358131</v>
      </c>
      <c r="AQ44" s="1147" t="e">
        <f>IF(AP44&gt;0,SQRT(AR38+AR42+#REF!)/AP44,0)</f>
        <v>#REF!</v>
      </c>
      <c r="AR44" s="1146" t="e">
        <f>(AP44*AQ44)^2</f>
        <v>#REF!</v>
      </c>
      <c r="AS44" s="1145"/>
      <c r="AT44" s="1145"/>
      <c r="AU44" s="1145"/>
      <c r="AV44" s="1146">
        <f>+AV38+AV42</f>
        <v>772.51607000000001</v>
      </c>
      <c r="AW44" s="1147" t="e">
        <f>IF(AV44&gt;0,SQRT(AX38+AX42+#REF!)/AV44,0)</f>
        <v>#REF!</v>
      </c>
      <c r="AX44" s="1146" t="e">
        <f>(AV44*AW44)^2</f>
        <v>#REF!</v>
      </c>
      <c r="AY44" s="1145"/>
      <c r="AZ44" s="1145"/>
      <c r="BA44" s="1145"/>
      <c r="BB44" s="1148"/>
      <c r="BC44" s="1146">
        <f>+BC38+BC42</f>
        <v>0</v>
      </c>
      <c r="BD44" s="1137">
        <f>IF(BC44&gt;0,SQRT(BE38+BE42+#REF!)/BC44,0)</f>
        <v>0</v>
      </c>
      <c r="BE44" s="76">
        <f>(BC44*BD44)^2</f>
        <v>0</v>
      </c>
      <c r="BF44" s="1138">
        <f>+BF38+BF42</f>
        <v>60699.432772984619</v>
      </c>
      <c r="BG44" s="1139">
        <f>IF(BF44&gt;0,SQRT(BH38+BH42)/BF44,0)</f>
        <v>9.736815399194218E-2</v>
      </c>
      <c r="BH44" s="28">
        <f t="shared" si="68"/>
        <v>34930366.137174256</v>
      </c>
      <c r="BJ44" s="658"/>
      <c r="BK44" s="658"/>
      <c r="BL44" s="658"/>
      <c r="BM44" s="659"/>
      <c r="BN44" s="659"/>
      <c r="BO44" s="659"/>
      <c r="BP44" s="658"/>
      <c r="BQ44" s="658"/>
      <c r="BR44" s="658"/>
      <c r="BS44" s="658"/>
      <c r="BT44" s="658"/>
      <c r="BU44" s="658"/>
      <c r="BV44" s="658"/>
      <c r="BW44" s="658"/>
      <c r="BX44" s="658"/>
      <c r="BY44" s="658"/>
      <c r="BZ44" s="658"/>
      <c r="CA44" s="658"/>
      <c r="CB44" s="113"/>
      <c r="CC44" s="658"/>
      <c r="CD44" s="658"/>
      <c r="CE44" s="113"/>
      <c r="CF44" s="113"/>
      <c r="CG44" s="113"/>
      <c r="CH44" s="113"/>
      <c r="CI44" s="658"/>
      <c r="CJ44" s="658"/>
      <c r="CK44" s="113"/>
      <c r="CL44" s="113"/>
      <c r="CM44" s="113"/>
      <c r="CN44" s="113"/>
    </row>
    <row r="45" spans="1:134" s="27" customFormat="1" x14ac:dyDescent="0.25">
      <c r="A45" s="26"/>
      <c r="E45" s="91"/>
      <c r="F45" s="91"/>
      <c r="G45" s="91"/>
      <c r="H45" s="91"/>
      <c r="I45" s="91"/>
      <c r="J45" s="91"/>
      <c r="K45" s="91"/>
      <c r="L45" s="91"/>
      <c r="M45" s="91"/>
      <c r="N45" s="91"/>
      <c r="O45" s="91"/>
      <c r="P45" s="91"/>
      <c r="Q45" s="91"/>
      <c r="R45" s="92"/>
      <c r="S45" s="91"/>
      <c r="T45" s="91"/>
      <c r="U45" s="91"/>
      <c r="V45" s="93"/>
      <c r="W45" s="93"/>
      <c r="Z45" s="93"/>
      <c r="AA45" s="94"/>
      <c r="AB45" s="94"/>
      <c r="AC45" s="93"/>
      <c r="AD45" s="94"/>
      <c r="AE45" s="95"/>
      <c r="AG45" s="93"/>
      <c r="AH45" s="96"/>
      <c r="AI45" s="96"/>
      <c r="AJ45" s="93"/>
      <c r="AK45" s="94"/>
      <c r="AN45" s="93"/>
      <c r="AO45" s="93"/>
      <c r="AP45" s="93"/>
      <c r="AQ45" s="93"/>
      <c r="AR45" s="94"/>
      <c r="AU45" s="93"/>
      <c r="AV45" s="94"/>
      <c r="AW45" s="93"/>
      <c r="AX45" s="94"/>
      <c r="BA45" s="93"/>
      <c r="BB45" s="94"/>
      <c r="BC45" s="94"/>
      <c r="BD45" s="93"/>
      <c r="BE45" s="94"/>
      <c r="BF45" s="91"/>
      <c r="BG45" s="93"/>
      <c r="BH45" s="28"/>
      <c r="BI45" s="64"/>
      <c r="BJ45" s="168"/>
      <c r="BK45" s="168"/>
      <c r="BL45" s="168"/>
      <c r="BM45" s="169"/>
      <c r="BN45" s="169"/>
      <c r="BO45" s="169"/>
      <c r="BP45" s="168"/>
      <c r="BQ45" s="168"/>
      <c r="BR45" s="168"/>
      <c r="BS45" s="168"/>
      <c r="BT45" s="168"/>
      <c r="BU45" s="168"/>
      <c r="BV45" s="168"/>
      <c r="BW45" s="168"/>
      <c r="BX45" s="168"/>
      <c r="BY45" s="168"/>
      <c r="BZ45" s="168"/>
      <c r="CA45" s="168"/>
      <c r="CB45" s="170"/>
      <c r="CC45" s="168"/>
      <c r="CD45" s="168"/>
      <c r="CE45" s="170"/>
      <c r="CF45" s="170"/>
      <c r="CG45" s="170"/>
      <c r="CH45" s="170"/>
      <c r="CI45" s="168"/>
      <c r="CJ45" s="168"/>
      <c r="CK45" s="170"/>
      <c r="CL45" s="170"/>
      <c r="CM45" s="170"/>
      <c r="CN45" s="430"/>
      <c r="CO45" s="36"/>
      <c r="CP45" s="36"/>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6"/>
      <c r="DX45" s="36"/>
      <c r="DY45" s="36"/>
      <c r="DZ45" s="36"/>
      <c r="EA45" s="36"/>
      <c r="EB45" s="36"/>
      <c r="EC45" s="36"/>
      <c r="ED45" s="36"/>
    </row>
    <row r="46" spans="1:134" s="27" customFormat="1" x14ac:dyDescent="0.25">
      <c r="A46" s="26"/>
      <c r="E46" s="91"/>
      <c r="F46" s="91"/>
      <c r="G46" s="91"/>
      <c r="H46" s="91"/>
      <c r="I46" s="91"/>
      <c r="J46" s="91"/>
      <c r="K46" s="91"/>
      <c r="L46" s="91"/>
      <c r="M46" s="91"/>
      <c r="N46" s="91"/>
      <c r="O46" s="91"/>
      <c r="P46" s="91"/>
      <c r="Q46" s="91"/>
      <c r="R46" s="92"/>
      <c r="S46" s="91"/>
      <c r="T46" s="91"/>
      <c r="U46" s="91"/>
      <c r="V46" s="93"/>
      <c r="W46" s="93"/>
      <c r="Z46" s="93"/>
      <c r="AA46" s="94"/>
      <c r="AB46" s="94"/>
      <c r="AC46" s="93"/>
      <c r="AD46" s="94"/>
      <c r="AE46" s="95"/>
      <c r="AG46" s="93"/>
      <c r="AH46" s="96"/>
      <c r="AI46" s="96"/>
      <c r="AJ46" s="93"/>
      <c r="AK46" s="94"/>
      <c r="AN46" s="93"/>
      <c r="AO46" s="93"/>
      <c r="AP46" s="93"/>
      <c r="AQ46" s="93"/>
      <c r="AR46" s="94"/>
      <c r="AU46" s="93"/>
      <c r="AV46" s="94"/>
      <c r="AW46" s="93"/>
      <c r="AX46" s="94"/>
      <c r="BA46" s="93"/>
      <c r="BB46" s="94"/>
      <c r="BC46" s="94"/>
      <c r="BD46" s="93"/>
      <c r="BE46" s="94"/>
      <c r="BF46" s="91"/>
      <c r="BG46" s="93"/>
      <c r="BH46" s="28"/>
      <c r="BI46" s="64"/>
      <c r="BJ46" s="168"/>
      <c r="BK46" s="168"/>
      <c r="BL46" s="168"/>
      <c r="BM46" s="169"/>
      <c r="BN46" s="169"/>
      <c r="BO46" s="169"/>
      <c r="BP46" s="168"/>
      <c r="BQ46" s="168"/>
      <c r="BR46" s="168"/>
      <c r="BS46" s="168"/>
      <c r="BT46" s="168"/>
      <c r="BU46" s="168"/>
      <c r="BV46" s="168"/>
      <c r="BW46" s="168"/>
      <c r="BX46" s="168"/>
      <c r="BY46" s="168"/>
      <c r="BZ46" s="168"/>
      <c r="CA46" s="168"/>
      <c r="CB46" s="170"/>
      <c r="CC46" s="168"/>
      <c r="CD46" s="168"/>
      <c r="CE46" s="170"/>
      <c r="CF46" s="170"/>
      <c r="CG46" s="170"/>
      <c r="CH46" s="170"/>
      <c r="CI46" s="168"/>
      <c r="CJ46" s="168"/>
      <c r="CK46" s="170"/>
      <c r="CL46" s="170"/>
      <c r="CM46" s="170"/>
      <c r="CN46" s="430"/>
      <c r="CO46" s="36"/>
      <c r="CP46" s="36"/>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6"/>
      <c r="DX46" s="36"/>
      <c r="DY46" s="36"/>
      <c r="DZ46" s="36"/>
      <c r="EA46" s="36"/>
      <c r="EB46" s="36"/>
      <c r="EC46" s="36"/>
      <c r="ED46" s="36"/>
    </row>
    <row r="47" spans="1:134" s="27" customFormat="1" x14ac:dyDescent="0.25">
      <c r="A47" s="26"/>
      <c r="E47" s="91"/>
      <c r="F47" s="91"/>
      <c r="G47" s="91"/>
      <c r="H47" s="91"/>
      <c r="I47" s="91"/>
      <c r="J47" s="91"/>
      <c r="K47" s="91"/>
      <c r="L47" s="91"/>
      <c r="M47" s="91"/>
      <c r="N47" s="91"/>
      <c r="O47" s="91"/>
      <c r="P47" s="91"/>
      <c r="Q47" s="91"/>
      <c r="R47" s="92"/>
      <c r="S47" s="91"/>
      <c r="T47" s="91"/>
      <c r="U47" s="91"/>
      <c r="V47" s="93"/>
      <c r="W47" s="93"/>
      <c r="Z47" s="93"/>
      <c r="AA47" s="94"/>
      <c r="AB47" s="94"/>
      <c r="AC47" s="93"/>
      <c r="AD47" s="94"/>
      <c r="AE47" s="95"/>
      <c r="AG47" s="93"/>
      <c r="AH47" s="96"/>
      <c r="AI47" s="96"/>
      <c r="AJ47" s="93"/>
      <c r="AK47" s="94"/>
      <c r="AN47" s="93"/>
      <c r="AO47" s="93"/>
      <c r="AP47" s="93"/>
      <c r="AQ47" s="93"/>
      <c r="AR47" s="94"/>
      <c r="AU47" s="93"/>
      <c r="AV47" s="94"/>
      <c r="AW47" s="93"/>
      <c r="AX47" s="94"/>
      <c r="BA47" s="93"/>
      <c r="BB47" s="94"/>
      <c r="BC47" s="94"/>
      <c r="BD47" s="93"/>
      <c r="BE47" s="94"/>
      <c r="BF47" s="91"/>
      <c r="BG47" s="93"/>
      <c r="BH47" s="28"/>
      <c r="BI47" s="64"/>
      <c r="BJ47" s="168"/>
      <c r="BK47" s="168"/>
      <c r="BL47" s="168"/>
      <c r="BM47" s="169"/>
      <c r="BN47" s="169"/>
      <c r="BO47" s="169"/>
      <c r="BP47" s="168"/>
      <c r="BQ47" s="168"/>
      <c r="BR47" s="168"/>
      <c r="BS47" s="168"/>
      <c r="BT47" s="168"/>
      <c r="BU47" s="168"/>
      <c r="BV47" s="168"/>
      <c r="BW47" s="168"/>
      <c r="BX47" s="168"/>
      <c r="BY47" s="168"/>
      <c r="BZ47" s="168"/>
      <c r="CA47" s="168"/>
      <c r="CB47" s="170"/>
      <c r="CC47" s="168"/>
      <c r="CD47" s="168"/>
      <c r="CE47" s="170"/>
      <c r="CF47" s="170"/>
      <c r="CG47" s="170"/>
      <c r="CH47" s="170"/>
      <c r="CI47" s="168"/>
      <c r="CJ47" s="168"/>
      <c r="CK47" s="170"/>
      <c r="CL47" s="170"/>
      <c r="CM47" s="170"/>
      <c r="CN47" s="430"/>
      <c r="CO47" s="36"/>
      <c r="CP47" s="36"/>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6"/>
      <c r="DX47" s="36"/>
      <c r="DY47" s="36"/>
      <c r="DZ47" s="36"/>
      <c r="EA47" s="36"/>
      <c r="EB47" s="36"/>
      <c r="EC47" s="36"/>
      <c r="ED47" s="36"/>
    </row>
    <row r="48" spans="1:134" s="27" customFormat="1" x14ac:dyDescent="0.25">
      <c r="A48" s="26"/>
      <c r="E48" s="91"/>
      <c r="F48" s="91"/>
      <c r="G48" s="91"/>
      <c r="H48" s="91"/>
      <c r="I48" s="91"/>
      <c r="J48" s="91"/>
      <c r="K48" s="91"/>
      <c r="L48" s="91"/>
      <c r="M48" s="91"/>
      <c r="N48" s="91"/>
      <c r="O48" s="91"/>
      <c r="P48" s="91"/>
      <c r="Q48" s="91"/>
      <c r="R48" s="92"/>
      <c r="S48" s="91"/>
      <c r="T48" s="91"/>
      <c r="U48" s="91"/>
      <c r="V48" s="93"/>
      <c r="W48" s="93"/>
      <c r="Z48" s="93"/>
      <c r="AA48" s="94"/>
      <c r="AB48" s="94"/>
      <c r="AC48" s="93"/>
      <c r="AD48" s="94"/>
      <c r="AE48" s="95"/>
      <c r="AG48" s="93"/>
      <c r="AH48" s="96"/>
      <c r="AI48" s="96"/>
      <c r="AJ48" s="93"/>
      <c r="AK48" s="94"/>
      <c r="AN48" s="93"/>
      <c r="AO48" s="93"/>
      <c r="AP48" s="93"/>
      <c r="AQ48" s="93"/>
      <c r="AR48" s="94"/>
      <c r="AU48" s="93"/>
      <c r="AV48" s="94"/>
      <c r="AW48" s="93"/>
      <c r="AX48" s="94"/>
      <c r="BA48" s="93"/>
      <c r="BB48" s="94"/>
      <c r="BC48" s="94"/>
      <c r="BD48" s="93"/>
      <c r="BE48" s="94"/>
      <c r="BF48" s="91"/>
      <c r="BG48" s="93"/>
      <c r="BH48" s="28"/>
      <c r="BI48" s="64"/>
      <c r="BJ48" s="168"/>
      <c r="BK48" s="168"/>
      <c r="BL48" s="168"/>
      <c r="BM48" s="169"/>
      <c r="BN48" s="169"/>
      <c r="BO48" s="169"/>
      <c r="BP48" s="168"/>
      <c r="BQ48" s="168"/>
      <c r="BR48" s="168"/>
      <c r="BS48" s="168"/>
      <c r="BT48" s="168"/>
      <c r="BU48" s="168"/>
      <c r="BV48" s="168"/>
      <c r="BW48" s="168"/>
      <c r="BX48" s="168"/>
      <c r="BY48" s="168"/>
      <c r="BZ48" s="168"/>
      <c r="CA48" s="168"/>
      <c r="CB48" s="170"/>
      <c r="CC48" s="168"/>
      <c r="CD48" s="168"/>
      <c r="CE48" s="170"/>
      <c r="CF48" s="170"/>
      <c r="CG48" s="170"/>
      <c r="CH48" s="170"/>
      <c r="CI48" s="168"/>
      <c r="CJ48" s="168"/>
      <c r="CK48" s="170"/>
      <c r="CL48" s="170"/>
      <c r="CM48" s="170"/>
      <c r="CN48" s="430"/>
      <c r="CO48" s="36"/>
      <c r="CP48" s="36"/>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6"/>
      <c r="DX48" s="36"/>
      <c r="DY48" s="36"/>
      <c r="DZ48" s="36"/>
      <c r="EA48" s="36"/>
      <c r="EB48" s="36"/>
      <c r="EC48" s="36"/>
      <c r="ED48" s="36"/>
    </row>
    <row r="49" spans="1:134" s="27" customFormat="1" ht="15.75" thickBot="1" x14ac:dyDescent="0.3">
      <c r="A49" s="26"/>
      <c r="E49" s="91"/>
      <c r="F49" s="91"/>
      <c r="G49" s="91"/>
      <c r="H49" s="91"/>
      <c r="I49" s="91"/>
      <c r="J49" s="91"/>
      <c r="K49" s="91"/>
      <c r="L49" s="91"/>
      <c r="M49" s="91"/>
      <c r="N49" s="91"/>
      <c r="O49" s="91"/>
      <c r="P49" s="91"/>
      <c r="Q49" s="91"/>
      <c r="R49" s="92"/>
      <c r="S49" s="91"/>
      <c r="T49" s="91"/>
      <c r="U49" s="91"/>
      <c r="V49" s="93"/>
      <c r="W49" s="93"/>
      <c r="Z49" s="93"/>
      <c r="AA49" s="94"/>
      <c r="AB49" s="94"/>
      <c r="AC49" s="93"/>
      <c r="AD49" s="94"/>
      <c r="AE49" s="95"/>
      <c r="AG49" s="93"/>
      <c r="AH49" s="96"/>
      <c r="AI49" s="96"/>
      <c r="AJ49" s="93"/>
      <c r="AK49" s="94"/>
      <c r="AN49" s="93"/>
      <c r="AO49" s="93"/>
      <c r="AP49" s="93"/>
      <c r="AQ49" s="93"/>
      <c r="AR49" s="94"/>
      <c r="AU49" s="93"/>
      <c r="AV49" s="94"/>
      <c r="AW49" s="93"/>
      <c r="AX49" s="94"/>
      <c r="BA49" s="93"/>
      <c r="BB49" s="94"/>
      <c r="BC49" s="94"/>
      <c r="BD49" s="93"/>
      <c r="BE49" s="94"/>
      <c r="BF49" s="91"/>
      <c r="BG49" s="93"/>
      <c r="BH49" s="28"/>
      <c r="BI49" s="64"/>
      <c r="BJ49" s="168"/>
      <c r="BK49" s="168"/>
      <c r="BL49" s="168"/>
      <c r="BM49" s="169"/>
      <c r="BN49" s="169"/>
      <c r="BO49" s="169"/>
      <c r="BP49" s="168"/>
      <c r="BQ49" s="168"/>
      <c r="BR49" s="168"/>
      <c r="BS49" s="168"/>
      <c r="BT49" s="168"/>
      <c r="BU49" s="168"/>
      <c r="BV49" s="168"/>
      <c r="BW49" s="168"/>
      <c r="BX49" s="168"/>
      <c r="BY49" s="168"/>
      <c r="BZ49" s="168"/>
      <c r="CA49" s="168"/>
      <c r="CB49" s="170"/>
      <c r="CC49" s="168"/>
      <c r="CD49" s="168"/>
      <c r="CE49" s="170"/>
      <c r="CF49" s="170"/>
      <c r="CG49" s="170"/>
      <c r="CH49" s="170"/>
      <c r="CI49" s="168"/>
      <c r="CJ49" s="168"/>
      <c r="CK49" s="170"/>
      <c r="CL49" s="170"/>
      <c r="CM49" s="170"/>
      <c r="CN49" s="430"/>
      <c r="CO49" s="36"/>
      <c r="CP49" s="36"/>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6"/>
      <c r="DX49" s="36"/>
      <c r="DY49" s="36"/>
      <c r="DZ49" s="36"/>
      <c r="EA49" s="36"/>
      <c r="EB49" s="36"/>
      <c r="EC49" s="36"/>
      <c r="ED49" s="36"/>
    </row>
    <row r="50" spans="1:134" s="64" customFormat="1" ht="32.25" thickBot="1" x14ac:dyDescent="0.3">
      <c r="A50" s="26"/>
      <c r="B50" s="268" t="s">
        <v>306</v>
      </c>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62"/>
      <c r="AF50" s="25"/>
      <c r="AG50" s="168"/>
      <c r="AI50" s="168"/>
      <c r="AJ50" s="168"/>
      <c r="AK50" s="168"/>
      <c r="AL50" s="169"/>
      <c r="AM50" s="169"/>
      <c r="AN50" s="169"/>
      <c r="AO50" s="168"/>
      <c r="AP50" s="168"/>
      <c r="AQ50" s="168"/>
      <c r="AR50" s="168"/>
      <c r="AS50" s="168"/>
      <c r="AT50" s="168"/>
      <c r="AU50" s="168"/>
      <c r="AV50" s="168"/>
      <c r="AW50" s="168"/>
      <c r="AX50" s="168"/>
      <c r="AY50" s="168"/>
      <c r="AZ50" s="168"/>
      <c r="BA50" s="170"/>
      <c r="BB50" s="168"/>
      <c r="BC50" s="168"/>
      <c r="BD50" s="170"/>
      <c r="BE50" s="170"/>
      <c r="BI50" s="168"/>
      <c r="BJ50" s="170"/>
      <c r="BK50" s="170"/>
      <c r="BL50" s="170"/>
      <c r="BM50" s="113"/>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6"/>
      <c r="CO50" s="36"/>
      <c r="CP50" s="36"/>
      <c r="CQ50" s="37"/>
      <c r="CR50" s="37"/>
      <c r="CS50" s="37"/>
      <c r="CT50" s="37"/>
      <c r="CU50" s="37"/>
      <c r="CV50" s="36"/>
      <c r="CW50" s="36"/>
      <c r="CX50" s="36"/>
      <c r="CY50" s="36"/>
      <c r="CZ50" s="36"/>
      <c r="DA50" s="36"/>
      <c r="DB50" s="36"/>
      <c r="DC50" s="36"/>
    </row>
    <row r="51" spans="1:134" s="64" customFormat="1" ht="16.5" customHeight="1" thickBot="1" x14ac:dyDescent="0.3">
      <c r="A51" s="26"/>
      <c r="B51" s="602"/>
      <c r="C51" s="603"/>
      <c r="D51" s="603"/>
      <c r="E51" s="603"/>
      <c r="F51" s="603"/>
      <c r="G51" s="603"/>
      <c r="H51" s="603"/>
      <c r="I51" s="603"/>
      <c r="J51" s="603"/>
      <c r="K51" s="603"/>
      <c r="L51" s="603"/>
      <c r="M51" s="603"/>
      <c r="N51" s="603"/>
      <c r="O51" s="603"/>
      <c r="P51" s="603"/>
      <c r="Q51" s="603"/>
      <c r="R51" s="603"/>
      <c r="S51" s="603"/>
      <c r="T51" s="603"/>
      <c r="U51" s="603"/>
      <c r="V51" s="603"/>
      <c r="W51" s="603"/>
      <c r="X51" s="603"/>
      <c r="Y51" s="603"/>
      <c r="Z51" s="603"/>
      <c r="AA51" s="603"/>
      <c r="AB51" s="603"/>
      <c r="AC51" s="603"/>
      <c r="AD51" s="603"/>
      <c r="AE51" s="604"/>
      <c r="AF51" s="605"/>
      <c r="AG51" s="168"/>
      <c r="AI51" s="168"/>
      <c r="AJ51" s="168"/>
      <c r="AK51" s="168"/>
      <c r="AL51" s="169"/>
      <c r="AM51" s="169"/>
      <c r="AN51" s="169"/>
      <c r="AO51" s="168"/>
      <c r="AP51" s="168"/>
      <c r="AQ51" s="168"/>
      <c r="AR51" s="168"/>
      <c r="AS51" s="168"/>
      <c r="AT51" s="168"/>
      <c r="AU51" s="168"/>
      <c r="AV51" s="168"/>
      <c r="AW51" s="168"/>
      <c r="AX51" s="168"/>
      <c r="AY51" s="168"/>
      <c r="AZ51" s="168"/>
      <c r="BA51" s="170"/>
      <c r="BB51" s="168"/>
      <c r="BC51" s="168"/>
      <c r="BD51" s="170"/>
      <c r="BE51" s="170"/>
      <c r="BI51" s="168"/>
      <c r="BJ51" s="170"/>
      <c r="BK51" s="170"/>
      <c r="BL51" s="170"/>
      <c r="BM51" s="113"/>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6"/>
      <c r="CO51" s="36"/>
      <c r="CP51" s="36"/>
      <c r="CQ51" s="37"/>
      <c r="CR51" s="37"/>
      <c r="CS51" s="37"/>
      <c r="CT51" s="37"/>
      <c r="CU51" s="37"/>
      <c r="CV51" s="36"/>
      <c r="CW51" s="36"/>
      <c r="CX51" s="36"/>
      <c r="CY51" s="36"/>
      <c r="CZ51" s="36"/>
      <c r="DA51" s="36"/>
      <c r="DB51" s="36"/>
      <c r="DC51" s="36"/>
    </row>
    <row r="52" spans="1:134" s="64" customFormat="1" x14ac:dyDescent="0.25">
      <c r="A52" s="26"/>
      <c r="B52" s="256" t="s">
        <v>48</v>
      </c>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8"/>
      <c r="AG52" s="28">
        <f t="shared" ref="AG52:AG65" si="69">(AE52*AF52)^2</f>
        <v>0</v>
      </c>
      <c r="AI52" s="168"/>
      <c r="AJ52" s="168"/>
      <c r="AK52" s="168"/>
      <c r="AL52" s="169"/>
      <c r="AM52" s="169"/>
      <c r="AN52" s="169"/>
      <c r="AO52" s="168"/>
      <c r="AP52" s="168"/>
      <c r="AQ52" s="168"/>
      <c r="AR52" s="168"/>
      <c r="AS52" s="168"/>
      <c r="AT52" s="168"/>
      <c r="AU52" s="168"/>
      <c r="AV52" s="168"/>
      <c r="AW52" s="168"/>
      <c r="AX52" s="168"/>
      <c r="AY52" s="168"/>
      <c r="AZ52" s="168"/>
      <c r="BA52" s="170"/>
      <c r="BB52" s="168"/>
      <c r="BC52" s="168"/>
      <c r="BD52" s="170"/>
      <c r="BE52" s="170"/>
      <c r="BI52" s="168"/>
      <c r="BJ52" s="170"/>
      <c r="BK52" s="170"/>
      <c r="BL52" s="170"/>
      <c r="BM52" s="113"/>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6"/>
      <c r="CO52" s="36"/>
      <c r="CP52" s="36"/>
      <c r="CQ52" s="37"/>
      <c r="CR52" s="37"/>
      <c r="CS52" s="37"/>
      <c r="CT52" s="37"/>
      <c r="CU52" s="37"/>
      <c r="CV52" s="36"/>
      <c r="CW52" s="36"/>
      <c r="CX52" s="36"/>
      <c r="CY52" s="36"/>
      <c r="CZ52" s="36"/>
      <c r="DA52" s="36"/>
      <c r="DB52" s="36"/>
      <c r="DC52" s="36"/>
    </row>
    <row r="53" spans="1:134" s="64" customFormat="1" ht="15" customHeight="1" x14ac:dyDescent="0.25">
      <c r="A53" s="26"/>
      <c r="B53" s="1643" t="s">
        <v>283</v>
      </c>
      <c r="C53" s="1644" t="s">
        <v>287</v>
      </c>
      <c r="D53" s="1622" t="s">
        <v>25</v>
      </c>
      <c r="E53" s="1622"/>
      <c r="F53" s="1622"/>
      <c r="G53" s="1622"/>
      <c r="H53" s="1622"/>
      <c r="I53" s="1622"/>
      <c r="J53" s="1622"/>
      <c r="K53" s="1622"/>
      <c r="L53" s="1622"/>
      <c r="M53" s="1622"/>
      <c r="N53" s="1622"/>
      <c r="O53" s="1622"/>
      <c r="P53" s="1622"/>
      <c r="Q53" s="1622"/>
      <c r="R53" s="1622"/>
      <c r="S53" s="1622" t="s">
        <v>193</v>
      </c>
      <c r="T53" s="1622"/>
      <c r="U53" s="1622"/>
      <c r="V53" s="1622"/>
      <c r="W53" s="1622"/>
      <c r="X53" s="1622" t="s">
        <v>201</v>
      </c>
      <c r="Y53" s="1622"/>
      <c r="Z53" s="1622"/>
      <c r="AA53" s="1622"/>
      <c r="AB53" s="1622"/>
      <c r="AC53" s="1622"/>
      <c r="AD53" s="1622"/>
      <c r="AE53" s="1622" t="s">
        <v>638</v>
      </c>
      <c r="AF53" s="1623" t="s">
        <v>26</v>
      </c>
      <c r="AG53" s="28" t="e">
        <f t="shared" si="69"/>
        <v>#VALUE!</v>
      </c>
      <c r="AI53" s="168"/>
      <c r="AJ53" s="168"/>
      <c r="AK53" s="168"/>
      <c r="AL53" s="169"/>
      <c r="AM53" s="169"/>
      <c r="AN53" s="169"/>
      <c r="AO53" s="168"/>
      <c r="AP53" s="168"/>
      <c r="AQ53" s="168"/>
      <c r="AR53" s="168"/>
      <c r="AS53" s="168"/>
      <c r="AT53" s="168"/>
      <c r="AU53" s="168"/>
      <c r="AV53" s="168"/>
      <c r="AW53" s="168"/>
      <c r="AX53" s="168"/>
      <c r="AY53" s="168"/>
      <c r="AZ53" s="168"/>
      <c r="BA53" s="170"/>
      <c r="BB53" s="168"/>
      <c r="BC53" s="168"/>
      <c r="BD53" s="170"/>
      <c r="BE53" s="170"/>
      <c r="BI53" s="168"/>
      <c r="BJ53" s="170"/>
      <c r="BK53" s="170"/>
      <c r="BL53" s="170"/>
      <c r="BM53" s="113"/>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6"/>
      <c r="CO53" s="36"/>
      <c r="CP53" s="36"/>
      <c r="CQ53" s="37"/>
      <c r="CR53" s="37"/>
      <c r="CS53" s="37"/>
      <c r="CT53" s="37"/>
      <c r="CU53" s="37"/>
      <c r="CV53" s="36"/>
      <c r="CW53" s="36"/>
      <c r="CX53" s="36"/>
      <c r="CY53" s="36"/>
      <c r="CZ53" s="36"/>
      <c r="DA53" s="36"/>
      <c r="DB53" s="36"/>
      <c r="DC53" s="36"/>
    </row>
    <row r="54" spans="1:134" s="64" customFormat="1" ht="36" x14ac:dyDescent="0.25">
      <c r="A54" s="26"/>
      <c r="B54" s="1643"/>
      <c r="C54" s="1644"/>
      <c r="D54" s="255" t="s">
        <v>27</v>
      </c>
      <c r="E54" s="255" t="s">
        <v>659</v>
      </c>
      <c r="F54" s="255" t="s">
        <v>29</v>
      </c>
      <c r="G54" s="255" t="s">
        <v>30</v>
      </c>
      <c r="H54" s="255" t="s">
        <v>31</v>
      </c>
      <c r="I54" s="255" t="s">
        <v>32</v>
      </c>
      <c r="J54" s="255" t="s">
        <v>33</v>
      </c>
      <c r="K54" s="255" t="s">
        <v>34</v>
      </c>
      <c r="L54" s="255" t="s">
        <v>35</v>
      </c>
      <c r="M54" s="255" t="s">
        <v>36</v>
      </c>
      <c r="N54" s="255" t="s">
        <v>37</v>
      </c>
      <c r="O54" s="255" t="s">
        <v>38</v>
      </c>
      <c r="P54" s="255" t="s">
        <v>39</v>
      </c>
      <c r="Q54" s="255" t="s">
        <v>40</v>
      </c>
      <c r="R54" s="255" t="s">
        <v>41</v>
      </c>
      <c r="S54" s="255" t="s">
        <v>42</v>
      </c>
      <c r="T54" s="255" t="s">
        <v>43</v>
      </c>
      <c r="U54" s="255" t="s">
        <v>44</v>
      </c>
      <c r="V54" s="255" t="s">
        <v>210</v>
      </c>
      <c r="W54" s="255" t="s">
        <v>193</v>
      </c>
      <c r="X54" s="255" t="s">
        <v>194</v>
      </c>
      <c r="Y54" s="255"/>
      <c r="Z54" s="255" t="s">
        <v>202</v>
      </c>
      <c r="AA54" s="255" t="s">
        <v>639</v>
      </c>
      <c r="AB54" s="255" t="s">
        <v>640</v>
      </c>
      <c r="AC54" s="255" t="s">
        <v>203</v>
      </c>
      <c r="AD54" s="255" t="s">
        <v>294</v>
      </c>
      <c r="AE54" s="1622"/>
      <c r="AF54" s="1623"/>
      <c r="AG54" s="28">
        <f t="shared" si="69"/>
        <v>0</v>
      </c>
      <c r="AI54" s="168"/>
      <c r="AJ54" s="168"/>
      <c r="AK54" s="168"/>
      <c r="AL54" s="169"/>
      <c r="AM54" s="169"/>
      <c r="AN54" s="169"/>
      <c r="AO54" s="168"/>
      <c r="AP54" s="168"/>
      <c r="AQ54" s="168"/>
      <c r="AR54" s="168"/>
      <c r="AS54" s="168"/>
      <c r="AT54" s="168"/>
      <c r="AU54" s="168"/>
      <c r="AV54" s="168"/>
      <c r="AW54" s="168"/>
      <c r="AX54" s="168"/>
      <c r="AY54" s="168"/>
      <c r="AZ54" s="168"/>
      <c r="BA54" s="170"/>
      <c r="BB54" s="168"/>
      <c r="BC54" s="168"/>
      <c r="BD54" s="170"/>
      <c r="BE54" s="170"/>
      <c r="BI54" s="168"/>
      <c r="BJ54" s="170"/>
      <c r="BK54" s="170"/>
      <c r="BL54" s="170"/>
      <c r="BM54" s="113"/>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6"/>
      <c r="CO54" s="36"/>
      <c r="CP54" s="36"/>
      <c r="CQ54" s="37"/>
      <c r="CR54" s="37"/>
      <c r="CS54" s="37"/>
      <c r="CT54" s="37"/>
      <c r="CU54" s="37"/>
      <c r="CV54" s="36"/>
      <c r="CW54" s="36"/>
      <c r="CX54" s="36"/>
      <c r="CY54" s="36"/>
      <c r="CZ54" s="36"/>
      <c r="DA54" s="36"/>
      <c r="DB54" s="36"/>
      <c r="DC54" s="36"/>
    </row>
    <row r="55" spans="1:134" s="27" customFormat="1" ht="15" customHeight="1" x14ac:dyDescent="0.25">
      <c r="A55" s="26"/>
      <c r="B55" s="1637" t="s">
        <v>291</v>
      </c>
      <c r="C55" s="14" t="s">
        <v>3</v>
      </c>
      <c r="D55" s="15" t="str">
        <f t="shared" ref="D55:D62" si="70">VLOOKUP($C55,$BI$443:$BO$473,2,FALSE)</f>
        <v>t</v>
      </c>
      <c r="E55" s="1392">
        <v>11814.39</v>
      </c>
      <c r="F55" s="12"/>
      <c r="G55" s="12"/>
      <c r="H55" s="12"/>
      <c r="I55" s="12"/>
      <c r="J55" s="12"/>
      <c r="K55" s="12"/>
      <c r="L55" s="12"/>
      <c r="M55" s="12"/>
      <c r="N55" s="12"/>
      <c r="O55" s="12"/>
      <c r="P55" s="12"/>
      <c r="Q55" s="16">
        <f t="shared" ref="Q55:Q62" si="71">SUM(E55:P55)</f>
        <v>11814.39</v>
      </c>
      <c r="R55" s="16">
        <f t="shared" ref="R55:R62" si="72">COUNT(E55:P55)</f>
        <v>1</v>
      </c>
      <c r="S55" s="16">
        <f t="shared" ref="S55:S62" si="73">IF(R55&gt;1,AVERAGE(E55:P55),0)</f>
        <v>0</v>
      </c>
      <c r="T55" s="16">
        <f t="shared" ref="T55:T62" si="74">IF(R55&gt;1,STDEV(E55:P55),0)</f>
        <v>0</v>
      </c>
      <c r="U55" s="16">
        <f t="shared" ref="U55:U62" si="75">IF(R55&gt;1,VLOOKUP($R55,$AH$37:$AI$42,2,FALSE),0)</f>
        <v>0</v>
      </c>
      <c r="V55" s="13"/>
      <c r="W55" s="130">
        <f t="shared" ref="W55:W62" si="76">IF(R55&gt;1,1-((S55-((T55*U55)/(SQRT(R55))))/S55),VLOOKUP($C55,$BI$443:$BQ$473,8,FALSE))</f>
        <v>1</v>
      </c>
      <c r="X55" s="131">
        <f t="shared" ref="X55:X62" si="77">VLOOKUP($C55,$BI$443:$BO$473,3,FALSE)</f>
        <v>1521.3389999999999</v>
      </c>
      <c r="Y55" s="132" t="str">
        <f t="shared" ref="Y55:Y62" si="78">VLOOKUP($C55,$BI$443:$BO$473,4,FALSE)</f>
        <v>kg CO2/t</v>
      </c>
      <c r="Z55" s="130">
        <f t="shared" ref="Z55:Z62" si="79">IF($Q55&gt;0,VLOOKUP($C55,$BI$443:$BO$473,6,FALSE),0)</f>
        <v>4.4099999999999999E-3</v>
      </c>
      <c r="AA55" s="133">
        <f t="shared" ref="AA55:AA62" si="80">($Q55*X55)/1000</f>
        <v>17973.692268209998</v>
      </c>
      <c r="AB55" s="133">
        <f t="shared" ref="AB55:AB62" si="81">AA55*1</f>
        <v>17973.692268209998</v>
      </c>
      <c r="AC55" s="130">
        <f t="shared" ref="AC55:AC62" si="82">IF(AA55&gt;0,SQRT(($W55*$W55)+(Z55*Z55)+($V55*$V55)),0)</f>
        <v>1.0000097240027219</v>
      </c>
      <c r="AD55" s="133">
        <f t="shared" ref="AD55:AD63" si="83">(AB55*AC55)^2</f>
        <v>323059896.5312975</v>
      </c>
      <c r="AE55" s="134">
        <f t="shared" ref="AE55:AF62" si="84">AB55</f>
        <v>17973.692268209998</v>
      </c>
      <c r="AF55" s="135">
        <f t="shared" si="84"/>
        <v>1.0000097240027219</v>
      </c>
      <c r="AG55" s="28">
        <f t="shared" si="69"/>
        <v>323059896.5312975</v>
      </c>
      <c r="AH55" s="64"/>
      <c r="AI55" s="168"/>
      <c r="AJ55" s="168"/>
      <c r="AK55" s="168"/>
      <c r="AL55" s="169"/>
      <c r="AM55" s="169"/>
      <c r="AN55" s="169"/>
      <c r="AO55" s="168"/>
      <c r="AP55" s="168"/>
      <c r="AQ55" s="168"/>
      <c r="AR55" s="168"/>
      <c r="AS55" s="168"/>
      <c r="AT55" s="168"/>
      <c r="AU55" s="168"/>
      <c r="AV55" s="168"/>
      <c r="AW55" s="168"/>
      <c r="AX55" s="168"/>
      <c r="AY55" s="168"/>
      <c r="AZ55" s="168"/>
      <c r="BA55" s="170"/>
      <c r="BB55" s="168"/>
      <c r="BC55" s="168"/>
      <c r="BD55" s="170"/>
      <c r="BE55" s="170"/>
      <c r="BI55" s="168"/>
      <c r="BJ55" s="170"/>
      <c r="BK55" s="170"/>
      <c r="BL55" s="170"/>
      <c r="BM55" s="113"/>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6"/>
      <c r="CO55" s="36"/>
      <c r="CP55" s="36"/>
      <c r="CQ55" s="37"/>
      <c r="CR55" s="37"/>
      <c r="CS55" s="37"/>
      <c r="CT55" s="37"/>
      <c r="CU55" s="37"/>
      <c r="CV55" s="36"/>
      <c r="CW55" s="36"/>
      <c r="CX55" s="36"/>
      <c r="CY55" s="36"/>
      <c r="CZ55" s="36"/>
      <c r="DA55" s="36"/>
      <c r="DB55" s="36"/>
      <c r="DC55" s="36"/>
    </row>
    <row r="56" spans="1:134" s="27" customFormat="1" x14ac:dyDescent="0.25">
      <c r="A56" s="26"/>
      <c r="B56" s="1637"/>
      <c r="C56" s="14"/>
      <c r="D56" s="15">
        <f t="shared" si="70"/>
        <v>0</v>
      </c>
      <c r="E56" s="1392"/>
      <c r="F56" s="12"/>
      <c r="G56" s="12"/>
      <c r="H56" s="12"/>
      <c r="I56" s="12"/>
      <c r="J56" s="12"/>
      <c r="K56" s="12"/>
      <c r="L56" s="12"/>
      <c r="M56" s="12"/>
      <c r="N56" s="12"/>
      <c r="O56" s="12"/>
      <c r="P56" s="12"/>
      <c r="Q56" s="16">
        <f>SUM(E56:P56)</f>
        <v>0</v>
      </c>
      <c r="R56" s="16">
        <f>COUNT(E56:P56)</f>
        <v>0</v>
      </c>
      <c r="S56" s="16">
        <f>IF(R56&gt;1,AVERAGE(E56:P56),0)</f>
        <v>0</v>
      </c>
      <c r="T56" s="16">
        <f>IF(R56&gt;1,STDEV(E56:P56),0)</f>
        <v>0</v>
      </c>
      <c r="U56" s="16">
        <f>IF(R56&gt;1,VLOOKUP($R56,$AH$37:$AI$42,2,FALSE),0)</f>
        <v>0</v>
      </c>
      <c r="V56" s="13"/>
      <c r="W56" s="130">
        <f t="shared" si="76"/>
        <v>0</v>
      </c>
      <c r="X56" s="131">
        <f t="shared" si="77"/>
        <v>0</v>
      </c>
      <c r="Y56" s="132">
        <f t="shared" si="78"/>
        <v>0</v>
      </c>
      <c r="Z56" s="130">
        <f t="shared" si="79"/>
        <v>0</v>
      </c>
      <c r="AA56" s="133">
        <f>($Q56*X56)/1000</f>
        <v>0</v>
      </c>
      <c r="AB56" s="133">
        <f>AA56*1</f>
        <v>0</v>
      </c>
      <c r="AC56" s="130">
        <f>IF(AA56&gt;0,SQRT(($W56*$W56)+(Z56*Z56)+($V56*$V56)),0)</f>
        <v>0</v>
      </c>
      <c r="AD56" s="133">
        <f>(AB56*AC56)^2</f>
        <v>0</v>
      </c>
      <c r="AE56" s="134">
        <f>AB56</f>
        <v>0</v>
      </c>
      <c r="AF56" s="135">
        <f>AC56</f>
        <v>0</v>
      </c>
      <c r="AG56" s="28">
        <f>(AE56*AF56)^2</f>
        <v>0</v>
      </c>
      <c r="AH56" s="64"/>
      <c r="AI56" s="168"/>
      <c r="AJ56" s="168"/>
      <c r="AK56" s="168"/>
      <c r="AL56" s="169"/>
      <c r="AM56" s="169"/>
      <c r="AN56" s="169"/>
      <c r="AO56" s="168"/>
      <c r="AP56" s="168"/>
      <c r="AQ56" s="168"/>
      <c r="AR56" s="168"/>
      <c r="AS56" s="168"/>
      <c r="AT56" s="168"/>
      <c r="AU56" s="168"/>
      <c r="AV56" s="168"/>
      <c r="AW56" s="168"/>
      <c r="AX56" s="168"/>
      <c r="AY56" s="168"/>
      <c r="AZ56" s="168"/>
      <c r="BA56" s="170"/>
      <c r="BB56" s="168"/>
      <c r="BC56" s="168"/>
      <c r="BD56" s="170"/>
      <c r="BE56" s="170"/>
      <c r="BI56" s="168"/>
      <c r="BJ56" s="170"/>
      <c r="BK56" s="170"/>
      <c r="BL56" s="170"/>
      <c r="BM56" s="113"/>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6"/>
      <c r="CO56" s="36"/>
      <c r="CP56" s="36"/>
      <c r="CQ56" s="37"/>
      <c r="CR56" s="37"/>
      <c r="CS56" s="37"/>
      <c r="CT56" s="37"/>
      <c r="CU56" s="37"/>
      <c r="CV56" s="36"/>
      <c r="CW56" s="36"/>
      <c r="CX56" s="36"/>
      <c r="CY56" s="36"/>
      <c r="CZ56" s="36"/>
      <c r="DA56" s="36"/>
      <c r="DB56" s="36"/>
      <c r="DC56" s="36"/>
    </row>
    <row r="57" spans="1:134" s="27" customFormat="1" x14ac:dyDescent="0.25">
      <c r="A57" s="26"/>
      <c r="B57" s="1637"/>
      <c r="C57" s="14"/>
      <c r="D57" s="15">
        <f t="shared" si="70"/>
        <v>0</v>
      </c>
      <c r="E57" s="1392"/>
      <c r="F57" s="12"/>
      <c r="G57" s="12"/>
      <c r="H57" s="12"/>
      <c r="I57" s="12"/>
      <c r="J57" s="12"/>
      <c r="K57" s="12"/>
      <c r="L57" s="12"/>
      <c r="M57" s="12"/>
      <c r="N57" s="12"/>
      <c r="O57" s="12"/>
      <c r="P57" s="12"/>
      <c r="Q57" s="16">
        <f t="shared" si="71"/>
        <v>0</v>
      </c>
      <c r="R57" s="16">
        <f t="shared" si="72"/>
        <v>0</v>
      </c>
      <c r="S57" s="16">
        <f t="shared" si="73"/>
        <v>0</v>
      </c>
      <c r="T57" s="16">
        <f t="shared" si="74"/>
        <v>0</v>
      </c>
      <c r="U57" s="16">
        <f t="shared" si="75"/>
        <v>0</v>
      </c>
      <c r="V57" s="13"/>
      <c r="W57" s="130">
        <f t="shared" si="76"/>
        <v>0</v>
      </c>
      <c r="X57" s="131">
        <f t="shared" si="77"/>
        <v>0</v>
      </c>
      <c r="Y57" s="132">
        <f t="shared" si="78"/>
        <v>0</v>
      </c>
      <c r="Z57" s="130">
        <f t="shared" si="79"/>
        <v>0</v>
      </c>
      <c r="AA57" s="133">
        <f t="shared" si="80"/>
        <v>0</v>
      </c>
      <c r="AB57" s="133">
        <f t="shared" si="81"/>
        <v>0</v>
      </c>
      <c r="AC57" s="130">
        <f t="shared" si="82"/>
        <v>0</v>
      </c>
      <c r="AD57" s="133">
        <f t="shared" si="83"/>
        <v>0</v>
      </c>
      <c r="AE57" s="134">
        <f t="shared" si="84"/>
        <v>0</v>
      </c>
      <c r="AF57" s="135">
        <f t="shared" si="84"/>
        <v>0</v>
      </c>
      <c r="AG57" s="28">
        <f t="shared" si="69"/>
        <v>0</v>
      </c>
      <c r="AH57" s="64"/>
      <c r="AI57" s="168"/>
      <c r="AJ57" s="168"/>
      <c r="AK57" s="168"/>
      <c r="AL57" s="169"/>
      <c r="AM57" s="169"/>
      <c r="AN57" s="169"/>
      <c r="AO57" s="168"/>
      <c r="AP57" s="168"/>
      <c r="AQ57" s="168"/>
      <c r="AR57" s="168"/>
      <c r="AS57" s="168"/>
      <c r="AT57" s="168"/>
      <c r="AU57" s="168"/>
      <c r="AV57" s="168"/>
      <c r="AW57" s="168"/>
      <c r="AX57" s="168"/>
      <c r="AY57" s="168"/>
      <c r="AZ57" s="168"/>
      <c r="BA57" s="170"/>
      <c r="BB57" s="168"/>
      <c r="BC57" s="168"/>
      <c r="BD57" s="170"/>
      <c r="BE57" s="170"/>
      <c r="BI57" s="168"/>
      <c r="BJ57" s="170"/>
      <c r="BK57" s="170"/>
      <c r="BL57" s="170"/>
      <c r="BM57" s="113"/>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6"/>
      <c r="CO57" s="36"/>
      <c r="CP57" s="36"/>
      <c r="CQ57" s="37"/>
      <c r="CR57" s="37"/>
      <c r="CS57" s="37"/>
      <c r="CT57" s="37"/>
      <c r="CU57" s="37"/>
      <c r="CV57" s="36"/>
      <c r="CW57" s="36"/>
      <c r="CX57" s="36"/>
      <c r="CY57" s="36"/>
      <c r="CZ57" s="36"/>
      <c r="DA57" s="36"/>
      <c r="DB57" s="36"/>
      <c r="DC57" s="36"/>
    </row>
    <row r="58" spans="1:134" s="27" customFormat="1" x14ac:dyDescent="0.25">
      <c r="A58" s="26"/>
      <c r="B58" s="1637"/>
      <c r="C58" s="14"/>
      <c r="D58" s="15">
        <f t="shared" si="70"/>
        <v>0</v>
      </c>
      <c r="E58" s="1392"/>
      <c r="F58" s="12"/>
      <c r="G58" s="12"/>
      <c r="H58" s="12"/>
      <c r="I58" s="12"/>
      <c r="J58" s="12"/>
      <c r="K58" s="12"/>
      <c r="L58" s="12"/>
      <c r="M58" s="12"/>
      <c r="N58" s="12"/>
      <c r="O58" s="12"/>
      <c r="P58" s="12"/>
      <c r="Q58" s="16">
        <f t="shared" si="71"/>
        <v>0</v>
      </c>
      <c r="R58" s="16">
        <f t="shared" si="72"/>
        <v>0</v>
      </c>
      <c r="S58" s="16">
        <f t="shared" si="73"/>
        <v>0</v>
      </c>
      <c r="T58" s="16">
        <f t="shared" si="74"/>
        <v>0</v>
      </c>
      <c r="U58" s="16">
        <f t="shared" si="75"/>
        <v>0</v>
      </c>
      <c r="V58" s="13"/>
      <c r="W58" s="130">
        <f t="shared" si="76"/>
        <v>0</v>
      </c>
      <c r="X58" s="131">
        <f t="shared" si="77"/>
        <v>0</v>
      </c>
      <c r="Y58" s="132">
        <f t="shared" si="78"/>
        <v>0</v>
      </c>
      <c r="Z58" s="130">
        <f t="shared" si="79"/>
        <v>0</v>
      </c>
      <c r="AA58" s="133">
        <f t="shared" si="80"/>
        <v>0</v>
      </c>
      <c r="AB58" s="133">
        <f t="shared" si="81"/>
        <v>0</v>
      </c>
      <c r="AC58" s="130">
        <f t="shared" si="82"/>
        <v>0</v>
      </c>
      <c r="AD58" s="133">
        <f t="shared" si="83"/>
        <v>0</v>
      </c>
      <c r="AE58" s="134">
        <f t="shared" si="84"/>
        <v>0</v>
      </c>
      <c r="AF58" s="135">
        <f t="shared" si="84"/>
        <v>0</v>
      </c>
      <c r="AG58" s="28">
        <f t="shared" si="69"/>
        <v>0</v>
      </c>
      <c r="AH58" s="64"/>
      <c r="AI58" s="168"/>
      <c r="AJ58" s="168"/>
      <c r="AK58" s="168"/>
      <c r="AL58" s="169"/>
      <c r="AM58" s="169"/>
      <c r="AN58" s="169"/>
      <c r="AO58" s="168"/>
      <c r="AP58" s="168"/>
      <c r="AQ58" s="168"/>
      <c r="AR58" s="168"/>
      <c r="AS58" s="168"/>
      <c r="AT58" s="168"/>
      <c r="AU58" s="168"/>
      <c r="AV58" s="168"/>
      <c r="AW58" s="168"/>
      <c r="AX58" s="168"/>
      <c r="AY58" s="168"/>
      <c r="AZ58" s="168"/>
      <c r="BA58" s="170"/>
      <c r="BB58" s="168"/>
      <c r="BC58" s="168"/>
      <c r="BD58" s="170"/>
      <c r="BE58" s="170"/>
      <c r="BI58" s="168"/>
      <c r="BJ58" s="170"/>
      <c r="BK58" s="170"/>
      <c r="BL58" s="170"/>
      <c r="BM58" s="113"/>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6"/>
      <c r="CO58" s="36"/>
      <c r="CP58" s="36"/>
      <c r="CQ58" s="37"/>
      <c r="CR58" s="37"/>
      <c r="CS58" s="37"/>
      <c r="CT58" s="37"/>
      <c r="CU58" s="37"/>
      <c r="CV58" s="36"/>
      <c r="CW58" s="36"/>
      <c r="CX58" s="36"/>
      <c r="CY58" s="36"/>
      <c r="CZ58" s="36"/>
      <c r="DA58" s="36"/>
      <c r="DB58" s="36"/>
      <c r="DC58" s="36"/>
    </row>
    <row r="59" spans="1:134" s="27" customFormat="1" ht="15" customHeight="1" x14ac:dyDescent="0.25">
      <c r="A59" s="26"/>
      <c r="B59" s="1637" t="s">
        <v>290</v>
      </c>
      <c r="C59" s="14" t="s">
        <v>237</v>
      </c>
      <c r="D59" s="15" t="str">
        <f t="shared" si="70"/>
        <v>Gal</v>
      </c>
      <c r="E59" s="1392">
        <v>101573.21</v>
      </c>
      <c r="F59" s="12"/>
      <c r="G59" s="12"/>
      <c r="H59" s="12"/>
      <c r="I59" s="12"/>
      <c r="J59" s="12"/>
      <c r="K59" s="12"/>
      <c r="L59" s="12"/>
      <c r="M59" s="12"/>
      <c r="N59" s="12"/>
      <c r="O59" s="12"/>
      <c r="P59" s="12"/>
      <c r="Q59" s="16">
        <f t="shared" si="71"/>
        <v>101573.21</v>
      </c>
      <c r="R59" s="16">
        <f t="shared" si="72"/>
        <v>1</v>
      </c>
      <c r="S59" s="16">
        <f t="shared" si="73"/>
        <v>0</v>
      </c>
      <c r="T59" s="16">
        <f t="shared" si="74"/>
        <v>0</v>
      </c>
      <c r="U59" s="16">
        <f t="shared" si="75"/>
        <v>0</v>
      </c>
      <c r="V59" s="13"/>
      <c r="W59" s="130">
        <f t="shared" si="76"/>
        <v>1</v>
      </c>
      <c r="X59" s="131">
        <f t="shared" si="77"/>
        <v>6.8822999999999999</v>
      </c>
      <c r="Y59" s="132" t="str">
        <f t="shared" si="78"/>
        <v>kg CO2/gal</v>
      </c>
      <c r="Z59" s="130">
        <f t="shared" si="79"/>
        <v>2.98E-3</v>
      </c>
      <c r="AA59" s="133">
        <f t="shared" si="80"/>
        <v>699.05730318300004</v>
      </c>
      <c r="AB59" s="133">
        <f t="shared" si="81"/>
        <v>699.05730318300004</v>
      </c>
      <c r="AC59" s="130">
        <f t="shared" si="82"/>
        <v>1.0000044401901425</v>
      </c>
      <c r="AD59" s="133">
        <f t="shared" si="83"/>
        <v>488685.45281724603</v>
      </c>
      <c r="AE59" s="134">
        <f t="shared" si="84"/>
        <v>699.05730318300004</v>
      </c>
      <c r="AF59" s="135">
        <f t="shared" si="84"/>
        <v>1.0000044401901425</v>
      </c>
      <c r="AG59" s="28">
        <f t="shared" si="69"/>
        <v>488685.45281724603</v>
      </c>
      <c r="AH59" s="64"/>
      <c r="AI59" s="168"/>
      <c r="AJ59" s="168"/>
      <c r="AK59" s="168"/>
      <c r="AL59" s="169"/>
      <c r="AM59" s="169"/>
      <c r="AN59" s="169"/>
      <c r="AO59" s="168"/>
      <c r="AP59" s="168"/>
      <c r="AQ59" s="168"/>
      <c r="AR59" s="168"/>
      <c r="AS59" s="168"/>
      <c r="AT59" s="168"/>
      <c r="AU59" s="168"/>
      <c r="AV59" s="168"/>
      <c r="AW59" s="168"/>
      <c r="AX59" s="168"/>
      <c r="AY59" s="168"/>
      <c r="AZ59" s="168"/>
      <c r="BA59" s="170"/>
      <c r="BB59" s="168"/>
      <c r="BC59" s="168"/>
      <c r="BD59" s="170"/>
      <c r="BE59" s="170"/>
      <c r="BI59" s="168"/>
      <c r="BJ59" s="170"/>
      <c r="BK59" s="170"/>
      <c r="BL59" s="170"/>
      <c r="BM59" s="113"/>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6"/>
      <c r="CO59" s="36"/>
      <c r="CP59" s="36"/>
      <c r="CQ59" s="37"/>
      <c r="CR59" s="37"/>
      <c r="CS59" s="37"/>
      <c r="CT59" s="37"/>
      <c r="CU59" s="37"/>
      <c r="CV59" s="36"/>
      <c r="CW59" s="36"/>
      <c r="CX59" s="36"/>
      <c r="CY59" s="36"/>
      <c r="CZ59" s="36"/>
      <c r="DA59" s="36"/>
      <c r="DB59" s="36"/>
      <c r="DC59" s="36"/>
    </row>
    <row r="60" spans="1:134" s="27" customFormat="1" x14ac:dyDescent="0.25">
      <c r="A60" s="26"/>
      <c r="B60" s="1637"/>
      <c r="C60" s="14"/>
      <c r="D60" s="15">
        <f t="shared" si="70"/>
        <v>0</v>
      </c>
      <c r="E60" s="1392"/>
      <c r="F60" s="12"/>
      <c r="G60" s="12"/>
      <c r="H60" s="12"/>
      <c r="I60" s="12"/>
      <c r="J60" s="12"/>
      <c r="K60" s="12"/>
      <c r="L60" s="12"/>
      <c r="M60" s="12"/>
      <c r="N60" s="12"/>
      <c r="O60" s="12"/>
      <c r="P60" s="12"/>
      <c r="Q60" s="16">
        <f t="shared" si="71"/>
        <v>0</v>
      </c>
      <c r="R60" s="16">
        <f t="shared" si="72"/>
        <v>0</v>
      </c>
      <c r="S60" s="16">
        <f t="shared" si="73"/>
        <v>0</v>
      </c>
      <c r="T60" s="16">
        <f t="shared" si="74"/>
        <v>0</v>
      </c>
      <c r="U60" s="16">
        <f t="shared" si="75"/>
        <v>0</v>
      </c>
      <c r="V60" s="13"/>
      <c r="W60" s="130">
        <f t="shared" si="76"/>
        <v>0</v>
      </c>
      <c r="X60" s="131">
        <f t="shared" si="77"/>
        <v>0</v>
      </c>
      <c r="Y60" s="132">
        <f t="shared" si="78"/>
        <v>0</v>
      </c>
      <c r="Z60" s="130">
        <f t="shared" si="79"/>
        <v>0</v>
      </c>
      <c r="AA60" s="133">
        <f t="shared" si="80"/>
        <v>0</v>
      </c>
      <c r="AB60" s="133">
        <f t="shared" si="81"/>
        <v>0</v>
      </c>
      <c r="AC60" s="130">
        <f t="shared" si="82"/>
        <v>0</v>
      </c>
      <c r="AD60" s="133">
        <f t="shared" si="83"/>
        <v>0</v>
      </c>
      <c r="AE60" s="134">
        <f t="shared" si="84"/>
        <v>0</v>
      </c>
      <c r="AF60" s="135">
        <f t="shared" si="84"/>
        <v>0</v>
      </c>
      <c r="AG60" s="28">
        <f t="shared" si="69"/>
        <v>0</v>
      </c>
      <c r="AH60" s="64"/>
      <c r="AI60" s="168"/>
      <c r="AJ60" s="168"/>
      <c r="AK60" s="168"/>
      <c r="AL60" s="169"/>
      <c r="AM60" s="169"/>
      <c r="AN60" s="169"/>
      <c r="AO60" s="168"/>
      <c r="AP60" s="168"/>
      <c r="AQ60" s="168"/>
      <c r="AR60" s="168"/>
      <c r="AS60" s="168"/>
      <c r="AT60" s="168"/>
      <c r="AU60" s="168"/>
      <c r="AV60" s="168"/>
      <c r="AW60" s="168"/>
      <c r="AX60" s="168"/>
      <c r="AY60" s="168"/>
      <c r="AZ60" s="168"/>
      <c r="BA60" s="170"/>
      <c r="BB60" s="168"/>
      <c r="BC60" s="168"/>
      <c r="BD60" s="170"/>
      <c r="BE60" s="170"/>
      <c r="BI60" s="168"/>
      <c r="BJ60" s="170"/>
      <c r="BK60" s="170"/>
      <c r="BL60" s="170"/>
      <c r="BM60" s="113"/>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6"/>
      <c r="CO60" s="36"/>
      <c r="CP60" s="36"/>
      <c r="CQ60" s="37"/>
      <c r="CR60" s="37"/>
      <c r="CS60" s="37"/>
      <c r="CT60" s="37"/>
      <c r="CU60" s="37"/>
      <c r="CV60" s="36"/>
      <c r="CW60" s="36"/>
      <c r="CX60" s="36"/>
      <c r="CY60" s="36"/>
      <c r="CZ60" s="36"/>
      <c r="DA60" s="36"/>
      <c r="DB60" s="36"/>
      <c r="DC60" s="36"/>
    </row>
    <row r="61" spans="1:134" s="27" customFormat="1" ht="15" customHeight="1" x14ac:dyDescent="0.25">
      <c r="A61" s="26"/>
      <c r="B61" s="1638" t="s">
        <v>289</v>
      </c>
      <c r="C61" s="14"/>
      <c r="D61" s="15">
        <f t="shared" si="70"/>
        <v>0</v>
      </c>
      <c r="E61" s="1392"/>
      <c r="F61" s="12"/>
      <c r="G61" s="12"/>
      <c r="H61" s="12"/>
      <c r="I61" s="12"/>
      <c r="J61" s="12"/>
      <c r="K61" s="12"/>
      <c r="L61" s="12"/>
      <c r="M61" s="12"/>
      <c r="N61" s="12"/>
      <c r="O61" s="12"/>
      <c r="P61" s="12"/>
      <c r="Q61" s="16">
        <f t="shared" si="71"/>
        <v>0</v>
      </c>
      <c r="R61" s="16">
        <f t="shared" si="72"/>
        <v>0</v>
      </c>
      <c r="S61" s="16">
        <f t="shared" si="73"/>
        <v>0</v>
      </c>
      <c r="T61" s="16">
        <f t="shared" si="74"/>
        <v>0</v>
      </c>
      <c r="U61" s="16">
        <f t="shared" si="75"/>
        <v>0</v>
      </c>
      <c r="V61" s="13"/>
      <c r="W61" s="130">
        <f t="shared" si="76"/>
        <v>0</v>
      </c>
      <c r="X61" s="131">
        <f t="shared" si="77"/>
        <v>0</v>
      </c>
      <c r="Y61" s="132">
        <f t="shared" si="78"/>
        <v>0</v>
      </c>
      <c r="Z61" s="130">
        <f t="shared" si="79"/>
        <v>0</v>
      </c>
      <c r="AA61" s="133">
        <f t="shared" si="80"/>
        <v>0</v>
      </c>
      <c r="AB61" s="133">
        <f t="shared" si="81"/>
        <v>0</v>
      </c>
      <c r="AC61" s="130">
        <f t="shared" si="82"/>
        <v>0</v>
      </c>
      <c r="AD61" s="133">
        <f t="shared" si="83"/>
        <v>0</v>
      </c>
      <c r="AE61" s="134">
        <f t="shared" si="84"/>
        <v>0</v>
      </c>
      <c r="AF61" s="135">
        <f t="shared" si="84"/>
        <v>0</v>
      </c>
      <c r="AG61" s="28">
        <f t="shared" si="69"/>
        <v>0</v>
      </c>
      <c r="AH61" s="64"/>
      <c r="AI61" s="168"/>
      <c r="AJ61" s="168"/>
      <c r="AK61" s="168"/>
      <c r="AL61" s="169"/>
      <c r="AM61" s="169"/>
      <c r="AN61" s="169"/>
      <c r="AO61" s="168"/>
      <c r="AP61" s="168"/>
      <c r="AQ61" s="168"/>
      <c r="AR61" s="168"/>
      <c r="AS61" s="168"/>
      <c r="AT61" s="168"/>
      <c r="AU61" s="168"/>
      <c r="AV61" s="168"/>
      <c r="AW61" s="168"/>
      <c r="AX61" s="168"/>
      <c r="AY61" s="168"/>
      <c r="AZ61" s="168"/>
      <c r="BA61" s="170"/>
      <c r="BB61" s="168"/>
      <c r="BC61" s="168"/>
      <c r="BD61" s="170"/>
      <c r="BE61" s="170"/>
      <c r="BI61" s="168"/>
      <c r="BJ61" s="170"/>
      <c r="BK61" s="170"/>
      <c r="BL61" s="170"/>
      <c r="BM61" s="113"/>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6"/>
      <c r="CO61" s="36"/>
      <c r="CP61" s="36"/>
      <c r="CQ61" s="37"/>
      <c r="CR61" s="37"/>
      <c r="CS61" s="37"/>
      <c r="CT61" s="37"/>
      <c r="CU61" s="37"/>
      <c r="CV61" s="36"/>
      <c r="CW61" s="36"/>
      <c r="CX61" s="36"/>
      <c r="CY61" s="36"/>
      <c r="CZ61" s="36"/>
      <c r="DA61" s="36"/>
      <c r="DB61" s="36"/>
      <c r="DC61" s="36"/>
    </row>
    <row r="62" spans="1:134" s="27" customFormat="1" x14ac:dyDescent="0.25">
      <c r="A62" s="26"/>
      <c r="B62" s="1639"/>
      <c r="C62" s="14"/>
      <c r="D62" s="15">
        <f t="shared" si="70"/>
        <v>0</v>
      </c>
      <c r="E62" s="1392"/>
      <c r="F62" s="12"/>
      <c r="G62" s="12"/>
      <c r="H62" s="12"/>
      <c r="I62" s="12"/>
      <c r="J62" s="12"/>
      <c r="K62" s="12"/>
      <c r="L62" s="12"/>
      <c r="M62" s="12"/>
      <c r="N62" s="12"/>
      <c r="O62" s="12"/>
      <c r="P62" s="12"/>
      <c r="Q62" s="16">
        <f t="shared" si="71"/>
        <v>0</v>
      </c>
      <c r="R62" s="16">
        <f t="shared" si="72"/>
        <v>0</v>
      </c>
      <c r="S62" s="16">
        <f t="shared" si="73"/>
        <v>0</v>
      </c>
      <c r="T62" s="16">
        <f t="shared" si="74"/>
        <v>0</v>
      </c>
      <c r="U62" s="16">
        <f t="shared" si="75"/>
        <v>0</v>
      </c>
      <c r="V62" s="13"/>
      <c r="W62" s="130">
        <f t="shared" si="76"/>
        <v>0</v>
      </c>
      <c r="X62" s="131">
        <f t="shared" si="77"/>
        <v>0</v>
      </c>
      <c r="Y62" s="132">
        <f t="shared" si="78"/>
        <v>0</v>
      </c>
      <c r="Z62" s="130">
        <f t="shared" si="79"/>
        <v>0</v>
      </c>
      <c r="AA62" s="133">
        <f t="shared" si="80"/>
        <v>0</v>
      </c>
      <c r="AB62" s="133">
        <f t="shared" si="81"/>
        <v>0</v>
      </c>
      <c r="AC62" s="130">
        <f t="shared" si="82"/>
        <v>0</v>
      </c>
      <c r="AD62" s="133">
        <f t="shared" si="83"/>
        <v>0</v>
      </c>
      <c r="AE62" s="134">
        <f t="shared" si="84"/>
        <v>0</v>
      </c>
      <c r="AF62" s="135">
        <f t="shared" si="84"/>
        <v>0</v>
      </c>
      <c r="AG62" s="28">
        <f t="shared" si="69"/>
        <v>0</v>
      </c>
      <c r="AH62" s="64"/>
      <c r="AI62" s="168"/>
      <c r="AJ62" s="168"/>
      <c r="AK62" s="168"/>
      <c r="AL62" s="169"/>
      <c r="AM62" s="169"/>
      <c r="AN62" s="169"/>
      <c r="AO62" s="168"/>
      <c r="AP62" s="168"/>
      <c r="AQ62" s="168"/>
      <c r="AR62" s="168"/>
      <c r="AS62" s="168"/>
      <c r="AT62" s="168"/>
      <c r="AU62" s="168"/>
      <c r="AV62" s="168"/>
      <c r="AW62" s="168"/>
      <c r="AX62" s="168"/>
      <c r="AY62" s="168"/>
      <c r="AZ62" s="168"/>
      <c r="BA62" s="170"/>
      <c r="BB62" s="168"/>
      <c r="BC62" s="168"/>
      <c r="BD62" s="170"/>
      <c r="BE62" s="170"/>
      <c r="BI62" s="168"/>
      <c r="BJ62" s="170"/>
      <c r="BK62" s="170"/>
      <c r="BL62" s="170"/>
      <c r="BM62" s="113"/>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6"/>
      <c r="CO62" s="36"/>
      <c r="CP62" s="36"/>
      <c r="CQ62" s="37"/>
      <c r="CR62" s="37"/>
      <c r="CS62" s="37"/>
      <c r="CT62" s="37"/>
      <c r="CU62" s="37"/>
      <c r="CV62" s="36"/>
      <c r="CW62" s="36"/>
      <c r="CX62" s="36"/>
      <c r="CY62" s="36"/>
      <c r="CZ62" s="36"/>
      <c r="DA62" s="36"/>
      <c r="DB62" s="36"/>
      <c r="DC62" s="36"/>
    </row>
    <row r="63" spans="1:134" s="27" customFormat="1" x14ac:dyDescent="0.25">
      <c r="A63" s="26"/>
      <c r="B63" s="1640" t="s">
        <v>50</v>
      </c>
      <c r="C63" s="1641"/>
      <c r="D63" s="1641"/>
      <c r="E63" s="1641"/>
      <c r="F63" s="1641"/>
      <c r="G63" s="1641"/>
      <c r="H63" s="1641"/>
      <c r="I63" s="1641"/>
      <c r="J63" s="1641"/>
      <c r="K63" s="1641"/>
      <c r="L63" s="1641"/>
      <c r="M63" s="1641"/>
      <c r="N63" s="1641"/>
      <c r="O63" s="1641"/>
      <c r="P63" s="1641"/>
      <c r="Q63" s="1641"/>
      <c r="R63" s="1641"/>
      <c r="S63" s="1641"/>
      <c r="T63" s="1641"/>
      <c r="U63" s="1641"/>
      <c r="V63" s="1641"/>
      <c r="W63" s="1641"/>
      <c r="X63" s="1641"/>
      <c r="Y63" s="1641"/>
      <c r="Z63" s="1641"/>
      <c r="AA63" s="1642"/>
      <c r="AB63" s="17">
        <f>SUM(AB55:AB62)</f>
        <v>18672.749571392997</v>
      </c>
      <c r="AC63" s="18">
        <f>IF(AB63&gt;0,SQRT(SUM(AD55:AD62))/AB63,0)</f>
        <v>0.96329981672903064</v>
      </c>
      <c r="AD63" s="17">
        <f t="shared" si="83"/>
        <v>323548581.98411471</v>
      </c>
      <c r="AE63" s="17">
        <f>SUM(AE55:AE62)</f>
        <v>18672.749571392997</v>
      </c>
      <c r="AF63" s="19">
        <f>IF(AE63&gt;0,SQRT(SUM(AG55:AG62))/AE63,0)</f>
        <v>0.96329981672903064</v>
      </c>
      <c r="AG63" s="28">
        <f t="shared" si="69"/>
        <v>323548581.98411471</v>
      </c>
      <c r="AH63" s="64"/>
      <c r="AI63" s="168"/>
      <c r="AJ63" s="168"/>
      <c r="AK63" s="168"/>
      <c r="AL63" s="169"/>
      <c r="AM63" s="169"/>
      <c r="AN63" s="169"/>
      <c r="AO63" s="168"/>
      <c r="AP63" s="168"/>
      <c r="AQ63" s="168"/>
      <c r="AR63" s="168"/>
      <c r="AS63" s="168"/>
      <c r="AT63" s="168"/>
      <c r="AU63" s="168"/>
      <c r="AV63" s="168"/>
      <c r="AW63" s="168"/>
      <c r="AX63" s="168"/>
      <c r="AY63" s="168"/>
      <c r="AZ63" s="168"/>
      <c r="BA63" s="170"/>
      <c r="BB63" s="168"/>
      <c r="BC63" s="168"/>
      <c r="BD63" s="170"/>
      <c r="BE63" s="170"/>
      <c r="BI63" s="168"/>
      <c r="BJ63" s="170"/>
      <c r="BK63" s="170"/>
      <c r="BL63" s="170"/>
      <c r="BM63" s="113"/>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6"/>
      <c r="CO63" s="36"/>
      <c r="CP63" s="36"/>
      <c r="CQ63" s="37"/>
      <c r="CR63" s="37"/>
      <c r="CS63" s="37"/>
      <c r="CT63" s="37"/>
      <c r="CU63" s="37"/>
      <c r="CV63" s="36"/>
      <c r="CW63" s="36"/>
      <c r="CX63" s="36"/>
      <c r="CY63" s="36"/>
      <c r="CZ63" s="36"/>
      <c r="DA63" s="36"/>
      <c r="DB63" s="36"/>
      <c r="DC63" s="36"/>
    </row>
    <row r="64" spans="1:134" s="27" customFormat="1" ht="15.75" customHeight="1" thickBot="1" x14ac:dyDescent="0.3">
      <c r="A64" s="26"/>
      <c r="B64" s="259"/>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c r="AE64" s="260"/>
      <c r="AF64" s="261"/>
      <c r="AG64" s="28">
        <f t="shared" si="69"/>
        <v>0</v>
      </c>
      <c r="AH64" s="64"/>
      <c r="AI64" s="168"/>
      <c r="AJ64" s="168"/>
      <c r="AK64" s="168"/>
      <c r="AL64" s="169"/>
      <c r="AM64" s="169"/>
      <c r="AN64" s="169"/>
      <c r="AO64" s="168"/>
      <c r="AP64" s="168"/>
      <c r="AQ64" s="168"/>
      <c r="AR64" s="168"/>
      <c r="AS64" s="168"/>
      <c r="AT64" s="168"/>
      <c r="AU64" s="168"/>
      <c r="AV64" s="168"/>
      <c r="AW64" s="168"/>
      <c r="AX64" s="168"/>
      <c r="AY64" s="168"/>
      <c r="AZ64" s="168"/>
      <c r="BA64" s="170"/>
      <c r="BB64" s="168"/>
      <c r="BC64" s="168"/>
      <c r="BD64" s="170"/>
      <c r="BE64" s="170"/>
      <c r="BI64" s="168"/>
      <c r="BJ64" s="170"/>
      <c r="BK64" s="170"/>
      <c r="BL64" s="170"/>
      <c r="BM64" s="113"/>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6"/>
      <c r="CO64" s="36"/>
      <c r="CP64" s="36"/>
      <c r="CQ64" s="37"/>
      <c r="CR64" s="37"/>
      <c r="CS64" s="37"/>
      <c r="CT64" s="37"/>
      <c r="CU64" s="37"/>
      <c r="CV64" s="36"/>
      <c r="CW64" s="36"/>
      <c r="CX64" s="36"/>
      <c r="CY64" s="36"/>
      <c r="CZ64" s="36"/>
      <c r="DA64" s="36"/>
      <c r="DB64" s="36"/>
      <c r="DC64" s="36"/>
    </row>
    <row r="65" spans="1:134" s="82" customFormat="1" ht="32.25" thickBot="1" x14ac:dyDescent="0.3">
      <c r="A65" s="26"/>
      <c r="B65" s="1634" t="s">
        <v>303</v>
      </c>
      <c r="C65" s="1635"/>
      <c r="D65" s="1635"/>
      <c r="E65" s="1635"/>
      <c r="F65" s="1635"/>
      <c r="G65" s="1635"/>
      <c r="H65" s="1635"/>
      <c r="I65" s="1635"/>
      <c r="J65" s="1635"/>
      <c r="K65" s="1635"/>
      <c r="L65" s="1635"/>
      <c r="M65" s="1635"/>
      <c r="N65" s="1635"/>
      <c r="O65" s="1635"/>
      <c r="P65" s="1635"/>
      <c r="Q65" s="1635"/>
      <c r="R65" s="1635"/>
      <c r="S65" s="1635"/>
      <c r="T65" s="1635"/>
      <c r="U65" s="1635"/>
      <c r="V65" s="1635"/>
      <c r="W65" s="1635"/>
      <c r="X65" s="1635"/>
      <c r="Y65" s="1635"/>
      <c r="Z65" s="1635"/>
      <c r="AA65" s="1636"/>
      <c r="AB65" s="20"/>
      <c r="AC65" s="21">
        <f>IF(AB65&gt;0,(SQRT(#REF!+AD63+#REF!))/AB65,0)</f>
        <v>0</v>
      </c>
      <c r="AD65" s="20">
        <f>(AB65*AC65)^2</f>
        <v>0</v>
      </c>
      <c r="AE65" s="20">
        <f>AE63</f>
        <v>18672.749571392997</v>
      </c>
      <c r="AF65" s="22">
        <f>AF63</f>
        <v>0.96329981672903064</v>
      </c>
      <c r="AG65" s="28">
        <f t="shared" si="69"/>
        <v>323548581.98411471</v>
      </c>
      <c r="AH65" s="174"/>
      <c r="AI65" s="175"/>
      <c r="AJ65" s="175"/>
      <c r="AK65" s="175"/>
      <c r="AL65" s="176"/>
      <c r="AM65" s="176"/>
      <c r="AN65" s="176"/>
      <c r="AO65" s="175"/>
      <c r="AP65" s="175"/>
      <c r="AQ65" s="175"/>
      <c r="AR65" s="175"/>
      <c r="AS65" s="175"/>
      <c r="AT65" s="175"/>
      <c r="AU65" s="175"/>
      <c r="AV65" s="175"/>
      <c r="AW65" s="175"/>
      <c r="AX65" s="175"/>
      <c r="AY65" s="175"/>
      <c r="AZ65" s="175"/>
      <c r="BA65" s="177"/>
      <c r="BB65" s="175"/>
      <c r="BC65" s="175"/>
      <c r="BD65" s="177"/>
      <c r="BE65" s="177"/>
      <c r="BI65" s="175"/>
      <c r="BJ65" s="177"/>
      <c r="BK65" s="177"/>
      <c r="BL65" s="177"/>
      <c r="BM65" s="114"/>
      <c r="BN65" s="81"/>
      <c r="BO65" s="81"/>
      <c r="BP65" s="81"/>
      <c r="BQ65" s="81"/>
      <c r="BR65" s="81"/>
      <c r="BS65" s="81"/>
      <c r="BT65" s="81"/>
      <c r="BU65" s="81"/>
      <c r="BV65" s="81"/>
      <c r="BW65" s="81"/>
      <c r="BX65" s="81"/>
      <c r="BY65" s="81"/>
      <c r="BZ65" s="81"/>
      <c r="CA65" s="81"/>
      <c r="CB65" s="81"/>
      <c r="CC65" s="81"/>
      <c r="CD65" s="81"/>
      <c r="CE65" s="81"/>
      <c r="CF65" s="81"/>
      <c r="CG65" s="81"/>
      <c r="CH65" s="81"/>
      <c r="CI65" s="81"/>
      <c r="CJ65" s="81"/>
      <c r="CK65" s="81"/>
      <c r="CL65" s="81"/>
      <c r="CM65" s="81"/>
      <c r="CN65" s="80"/>
      <c r="CO65" s="80"/>
      <c r="CP65" s="80"/>
      <c r="CQ65" s="81"/>
      <c r="CR65" s="81"/>
      <c r="CS65" s="81"/>
      <c r="CT65" s="81"/>
      <c r="CU65" s="81"/>
      <c r="CV65" s="80"/>
      <c r="CW65" s="80"/>
      <c r="CX65" s="80"/>
      <c r="CY65" s="80"/>
      <c r="CZ65" s="80"/>
      <c r="DA65" s="80"/>
      <c r="DB65" s="80"/>
      <c r="DC65" s="80"/>
    </row>
    <row r="66" spans="1:134" s="26" customFormat="1" ht="21" x14ac:dyDescent="0.25">
      <c r="B66" s="136"/>
      <c r="C66" s="136"/>
      <c r="D66" s="136"/>
      <c r="E66" s="137"/>
      <c r="F66" s="137"/>
      <c r="G66" s="137"/>
      <c r="H66" s="137"/>
      <c r="I66" s="137"/>
      <c r="J66" s="137"/>
      <c r="K66" s="137"/>
      <c r="L66" s="137"/>
      <c r="M66" s="137"/>
      <c r="N66" s="137"/>
      <c r="O66" s="137"/>
      <c r="P66" s="137"/>
      <c r="Q66" s="137"/>
      <c r="R66" s="138"/>
      <c r="S66" s="137"/>
      <c r="T66" s="137"/>
      <c r="U66" s="137"/>
      <c r="V66" s="139"/>
      <c r="W66" s="139"/>
      <c r="X66" s="136"/>
      <c r="Y66" s="136"/>
      <c r="Z66" s="139"/>
      <c r="AA66" s="140"/>
      <c r="AB66" s="140"/>
      <c r="AC66" s="139"/>
      <c r="AD66" s="140"/>
      <c r="AG66" s="28">
        <f>(BF66*BG66)^2</f>
        <v>0</v>
      </c>
      <c r="AH66" s="164"/>
      <c r="AI66" s="165"/>
      <c r="AJ66" s="165"/>
      <c r="AK66" s="165"/>
      <c r="AL66" s="166"/>
      <c r="AM66" s="166"/>
      <c r="AN66" s="166"/>
      <c r="AO66" s="165"/>
      <c r="AP66" s="165"/>
      <c r="AQ66" s="165"/>
      <c r="AR66" s="165"/>
      <c r="AS66" s="165"/>
      <c r="AT66" s="165"/>
      <c r="AU66" s="165"/>
      <c r="AV66" s="165"/>
      <c r="AW66" s="165"/>
      <c r="AX66" s="165"/>
      <c r="AY66" s="165"/>
      <c r="AZ66" s="165"/>
      <c r="BA66" s="167"/>
      <c r="BB66" s="165"/>
      <c r="BC66" s="165"/>
      <c r="BD66" s="167"/>
      <c r="BE66" s="167"/>
      <c r="BF66" s="137"/>
      <c r="BG66" s="139"/>
      <c r="BH66" s="165"/>
      <c r="BI66" s="165"/>
      <c r="BJ66" s="167"/>
      <c r="BK66" s="167"/>
      <c r="BL66" s="167"/>
      <c r="BM66" s="112"/>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9"/>
      <c r="CO66" s="29"/>
      <c r="CP66" s="29"/>
      <c r="CQ66" s="28"/>
      <c r="CR66" s="28"/>
      <c r="CS66" s="28"/>
      <c r="CT66" s="28"/>
      <c r="CU66" s="28"/>
      <c r="CV66" s="29"/>
      <c r="CW66" s="29"/>
      <c r="CX66" s="29"/>
      <c r="CY66" s="29"/>
      <c r="CZ66" s="29"/>
      <c r="DA66" s="29"/>
      <c r="DB66" s="29"/>
      <c r="DC66" s="29"/>
    </row>
    <row r="73" spans="1:134" hidden="1" x14ac:dyDescent="0.25"/>
    <row r="74" spans="1:134" hidden="1" x14ac:dyDescent="0.25">
      <c r="CQ74" s="98"/>
      <c r="CR74" s="98"/>
      <c r="CS74" s="98"/>
      <c r="CT74" s="98"/>
      <c r="CU74" s="98"/>
      <c r="CV74" s="98"/>
      <c r="CW74" s="98"/>
      <c r="CX74" s="98"/>
      <c r="CY74" s="98"/>
      <c r="CZ74" s="98"/>
      <c r="DA74" s="98"/>
      <c r="DB74" s="98"/>
      <c r="DC74" s="98"/>
      <c r="DD74" s="98"/>
      <c r="DE74" s="98"/>
      <c r="DF74" s="98"/>
      <c r="DG74" s="98"/>
      <c r="DH74" s="98"/>
      <c r="DI74" s="98"/>
      <c r="DJ74" s="98"/>
      <c r="DK74" s="98"/>
      <c r="DL74" s="98"/>
      <c r="DM74" s="98"/>
      <c r="DN74" s="98"/>
      <c r="DO74" s="98"/>
      <c r="DP74" s="98"/>
      <c r="DQ74" s="98"/>
      <c r="DR74" s="98"/>
      <c r="DS74" s="98"/>
      <c r="DT74" s="98"/>
      <c r="DU74" s="98"/>
      <c r="DV74" s="98"/>
      <c r="DW74" s="98"/>
      <c r="DX74" s="98"/>
      <c r="DY74" s="98"/>
      <c r="DZ74" s="98"/>
      <c r="EA74" s="98"/>
      <c r="EB74" s="98"/>
      <c r="EC74" s="98"/>
      <c r="ED74" s="98"/>
    </row>
    <row r="75" spans="1:134" hidden="1" x14ac:dyDescent="0.25">
      <c r="CQ75" s="98"/>
      <c r="CR75" s="98"/>
      <c r="CS75" s="98"/>
      <c r="CT75" s="98"/>
      <c r="CU75" s="98"/>
      <c r="CV75" s="98"/>
      <c r="CW75" s="98"/>
      <c r="CX75" s="98"/>
      <c r="CY75" s="98"/>
      <c r="CZ75" s="98"/>
      <c r="DA75" s="98"/>
      <c r="DB75" s="98"/>
      <c r="DC75" s="98"/>
      <c r="DD75" s="98"/>
      <c r="DE75" s="98"/>
      <c r="DF75" s="98"/>
      <c r="DG75" s="98"/>
      <c r="DH75" s="98"/>
      <c r="DI75" s="98"/>
      <c r="DJ75" s="98"/>
      <c r="DK75" s="98"/>
      <c r="DL75" s="98"/>
      <c r="DM75" s="98"/>
      <c r="DN75" s="98"/>
      <c r="DO75" s="98"/>
      <c r="DP75" s="98"/>
      <c r="DQ75" s="98"/>
      <c r="DR75" s="98"/>
      <c r="DS75" s="98"/>
      <c r="DT75" s="98"/>
      <c r="DU75" s="98"/>
      <c r="DV75" s="98"/>
      <c r="DW75" s="98"/>
      <c r="DX75" s="98"/>
      <c r="DY75" s="98"/>
      <c r="DZ75" s="98"/>
      <c r="EA75" s="98"/>
      <c r="EB75" s="98"/>
      <c r="EC75" s="98"/>
      <c r="ED75" s="98"/>
    </row>
    <row r="76" spans="1:134" hidden="1" x14ac:dyDescent="0.25">
      <c r="CQ76" s="98"/>
      <c r="CR76" s="98"/>
      <c r="CS76" s="98"/>
      <c r="CT76" s="98"/>
      <c r="CU76" s="98"/>
      <c r="CV76" s="98"/>
      <c r="CW76" s="98"/>
      <c r="CX76" s="98"/>
      <c r="CY76" s="98"/>
      <c r="CZ76" s="98"/>
      <c r="DA76" s="98"/>
      <c r="DB76" s="98"/>
      <c r="DC76" s="98"/>
      <c r="DD76" s="98"/>
      <c r="DE76" s="98"/>
      <c r="DF76" s="98"/>
      <c r="DG76" s="98"/>
      <c r="DH76" s="98"/>
      <c r="DI76" s="98"/>
      <c r="DJ76" s="98"/>
      <c r="DK76" s="98"/>
      <c r="DL76" s="98"/>
      <c r="DM76" s="98"/>
      <c r="DN76" s="98"/>
      <c r="DO76" s="98"/>
      <c r="DP76" s="98"/>
      <c r="DQ76" s="98"/>
      <c r="DR76" s="98"/>
      <c r="DS76" s="98"/>
      <c r="DT76" s="98"/>
      <c r="DU76" s="98"/>
      <c r="DV76" s="98"/>
      <c r="DW76" s="98"/>
      <c r="DX76" s="98"/>
      <c r="DY76" s="98"/>
      <c r="DZ76" s="98"/>
      <c r="EA76" s="98"/>
      <c r="EB76" s="98"/>
      <c r="EC76" s="98"/>
      <c r="ED76" s="98"/>
    </row>
    <row r="77" spans="1:134" s="101" customFormat="1" hidden="1" x14ac:dyDescent="0.25">
      <c r="A77" s="99"/>
      <c r="V77" s="103"/>
      <c r="AA77" s="104"/>
      <c r="AB77" s="104"/>
      <c r="AD77" s="104"/>
      <c r="AE77" s="105"/>
      <c r="AH77" s="106"/>
      <c r="AI77" s="106"/>
      <c r="AK77" s="104"/>
      <c r="AR77" s="104"/>
      <c r="AV77" s="104"/>
      <c r="AX77" s="104"/>
      <c r="BB77" s="104"/>
      <c r="BC77" s="104"/>
      <c r="BE77" s="104"/>
      <c r="BH77" s="99"/>
      <c r="BI77" s="102"/>
      <c r="BJ77" s="178"/>
      <c r="BK77" s="178"/>
      <c r="BL77" s="178"/>
      <c r="BM77" s="169"/>
      <c r="BN77" s="169"/>
      <c r="BO77" s="169"/>
      <c r="BP77" s="179"/>
      <c r="BQ77" s="179"/>
      <c r="BR77" s="179"/>
      <c r="BS77" s="179"/>
      <c r="BT77" s="179"/>
      <c r="BU77" s="179"/>
      <c r="BV77" s="178"/>
      <c r="BW77" s="179"/>
      <c r="BX77" s="179"/>
      <c r="BY77" s="178"/>
      <c r="BZ77" s="178"/>
      <c r="CA77" s="178"/>
      <c r="CB77" s="180"/>
      <c r="CC77" s="179"/>
      <c r="CD77" s="179"/>
      <c r="CE77" s="180"/>
      <c r="CF77" s="180"/>
      <c r="CG77" s="180"/>
      <c r="CH77" s="180"/>
      <c r="CI77" s="179"/>
      <c r="CJ77" s="179"/>
      <c r="CK77" s="180"/>
      <c r="CL77" s="180"/>
      <c r="CM77" s="180"/>
      <c r="CN77" s="225"/>
      <c r="CO77" s="100"/>
      <c r="CP77" s="100"/>
    </row>
    <row r="78" spans="1:134" s="101" customFormat="1" ht="15.75" hidden="1" thickBot="1" x14ac:dyDescent="0.3">
      <c r="A78" s="99"/>
      <c r="V78" s="103"/>
      <c r="AA78" s="104"/>
      <c r="AB78" s="104"/>
      <c r="AD78" s="104"/>
      <c r="AE78" s="105"/>
      <c r="AH78" s="106"/>
      <c r="AI78" s="106"/>
      <c r="AK78" s="104"/>
      <c r="AR78" s="104"/>
      <c r="AV78" s="104"/>
      <c r="AX78" s="104"/>
      <c r="BB78" s="104"/>
      <c r="BC78" s="104"/>
      <c r="BE78" s="104"/>
      <c r="BH78" s="99"/>
      <c r="BI78" s="102">
        <v>1</v>
      </c>
      <c r="BJ78" s="178">
        <v>2</v>
      </c>
      <c r="BK78" s="178">
        <v>3</v>
      </c>
      <c r="BL78" s="178">
        <v>4</v>
      </c>
      <c r="BM78" s="178">
        <v>5</v>
      </c>
      <c r="BN78" s="178">
        <v>6</v>
      </c>
      <c r="BO78" s="178">
        <v>7</v>
      </c>
      <c r="BP78" s="178">
        <v>8</v>
      </c>
      <c r="BQ78" s="178">
        <v>9</v>
      </c>
      <c r="BR78" s="178">
        <v>10</v>
      </c>
      <c r="BS78" s="178">
        <v>11</v>
      </c>
      <c r="BT78" s="178">
        <v>12</v>
      </c>
      <c r="BU78" s="178">
        <v>13</v>
      </c>
      <c r="BV78" s="178">
        <v>14</v>
      </c>
      <c r="BW78" s="178">
        <v>15</v>
      </c>
      <c r="BX78" s="178">
        <v>16</v>
      </c>
      <c r="BY78" s="178">
        <v>17</v>
      </c>
      <c r="BZ78" s="178">
        <v>18</v>
      </c>
      <c r="CA78" s="178">
        <v>19</v>
      </c>
      <c r="CB78" s="178">
        <v>20</v>
      </c>
      <c r="CC78" s="178">
        <v>21</v>
      </c>
      <c r="CD78" s="178">
        <v>22</v>
      </c>
      <c r="CE78" s="178">
        <v>23</v>
      </c>
      <c r="CF78" s="178">
        <v>24</v>
      </c>
      <c r="CG78" s="178">
        <v>25</v>
      </c>
      <c r="CH78" s="178">
        <v>26</v>
      </c>
      <c r="CI78" s="178">
        <v>27</v>
      </c>
      <c r="CJ78" s="178">
        <v>28</v>
      </c>
      <c r="CK78" s="178">
        <v>29</v>
      </c>
      <c r="CL78" s="178">
        <v>30</v>
      </c>
      <c r="CM78" s="178">
        <v>31</v>
      </c>
      <c r="CN78" s="224">
        <v>32</v>
      </c>
      <c r="CO78" s="224">
        <v>33</v>
      </c>
      <c r="CP78" s="224">
        <v>34</v>
      </c>
      <c r="CQ78" s="224">
        <v>35</v>
      </c>
    </row>
    <row r="79" spans="1:134" s="101" customFormat="1" ht="26.25" hidden="1" customHeight="1" thickBot="1" x14ac:dyDescent="0.3">
      <c r="A79" s="99"/>
      <c r="V79" s="103"/>
      <c r="AA79" s="104"/>
      <c r="AB79" s="104"/>
      <c r="AD79" s="104"/>
      <c r="AE79" s="105"/>
      <c r="AH79" s="106"/>
      <c r="AI79" s="106"/>
      <c r="AK79" s="104"/>
      <c r="AR79" s="104"/>
      <c r="AV79" s="104"/>
      <c r="AX79" s="104"/>
      <c r="BB79" s="104"/>
      <c r="BC79" s="104"/>
      <c r="BE79" s="104"/>
      <c r="BF79" s="107"/>
      <c r="BG79" s="108"/>
      <c r="BH79" s="108"/>
      <c r="BI79" s="182"/>
      <c r="BJ79" s="183"/>
      <c r="BK79" s="1606" t="s">
        <v>607</v>
      </c>
      <c r="BL79" s="183"/>
      <c r="BM79" s="1606" t="s">
        <v>233</v>
      </c>
      <c r="BN79" s="1606" t="s">
        <v>233</v>
      </c>
      <c r="BO79" s="1606" t="s">
        <v>240</v>
      </c>
      <c r="BP79" s="1608" t="s">
        <v>172</v>
      </c>
      <c r="BQ79" s="1609"/>
      <c r="BR79" s="1609"/>
      <c r="BS79" s="1609"/>
      <c r="BT79" s="1609"/>
      <c r="BU79" s="1609"/>
      <c r="BV79" s="1609"/>
      <c r="BW79" s="1609"/>
      <c r="BX79" s="1609"/>
      <c r="BY79" s="1609"/>
      <c r="BZ79" s="1609"/>
      <c r="CA79" s="1610"/>
      <c r="CB79" s="1608" t="s">
        <v>173</v>
      </c>
      <c r="CC79" s="1609"/>
      <c r="CD79" s="1609"/>
      <c r="CE79" s="1609"/>
      <c r="CF79" s="1609"/>
      <c r="CG79" s="1609"/>
      <c r="CH79" s="1609"/>
      <c r="CI79" s="1609"/>
      <c r="CJ79" s="1609"/>
      <c r="CK79" s="1609"/>
      <c r="CL79" s="1609"/>
      <c r="CM79" s="1610"/>
      <c r="CN79" s="225"/>
      <c r="CO79" s="100" t="s">
        <v>295</v>
      </c>
      <c r="CP79" s="100"/>
    </row>
    <row r="80" spans="1:134" s="101" customFormat="1" ht="58.5" hidden="1" customHeight="1" thickBot="1" x14ac:dyDescent="0.3">
      <c r="A80" s="99"/>
      <c r="V80" s="103"/>
      <c r="X80" s="107"/>
      <c r="Y80" s="107"/>
      <c r="Z80" s="107"/>
      <c r="AA80" s="110"/>
      <c r="AB80" s="110"/>
      <c r="AC80" s="107"/>
      <c r="AD80" s="110"/>
      <c r="AE80" s="109"/>
      <c r="AF80" s="107"/>
      <c r="AG80" s="107"/>
      <c r="AH80" s="111"/>
      <c r="AI80" s="111"/>
      <c r="AJ80" s="107"/>
      <c r="AK80" s="110"/>
      <c r="AL80" s="107"/>
      <c r="AM80" s="107"/>
      <c r="AN80" s="107"/>
      <c r="AO80" s="107"/>
      <c r="AP80" s="107"/>
      <c r="AQ80" s="107"/>
      <c r="AR80" s="110"/>
      <c r="AS80" s="107"/>
      <c r="AT80" s="107"/>
      <c r="AU80" s="107"/>
      <c r="AV80" s="110"/>
      <c r="AW80" s="107"/>
      <c r="AX80" s="110"/>
      <c r="AY80" s="107"/>
      <c r="AZ80" s="107"/>
      <c r="BA80" s="107"/>
      <c r="BB80" s="110"/>
      <c r="BC80" s="110"/>
      <c r="BD80" s="107"/>
      <c r="BE80" s="110"/>
      <c r="BF80" s="107"/>
      <c r="BG80" s="107"/>
      <c r="BH80" s="107"/>
      <c r="BI80" s="182" t="s">
        <v>366</v>
      </c>
      <c r="BJ80" s="184" t="s">
        <v>253</v>
      </c>
      <c r="BK80" s="1607"/>
      <c r="BL80" s="184" t="s">
        <v>251</v>
      </c>
      <c r="BM80" s="1607"/>
      <c r="BN80" s="1607"/>
      <c r="BO80" s="1607"/>
      <c r="BP80" s="185" t="s">
        <v>608</v>
      </c>
      <c r="BQ80" s="185" t="s">
        <v>609</v>
      </c>
      <c r="BR80" s="184" t="s">
        <v>251</v>
      </c>
      <c r="BS80" s="185" t="s">
        <v>233</v>
      </c>
      <c r="BT80" s="185" t="s">
        <v>233</v>
      </c>
      <c r="BU80" s="185" t="s">
        <v>240</v>
      </c>
      <c r="BV80" s="185" t="s">
        <v>265</v>
      </c>
      <c r="BW80" s="185" t="s">
        <v>610</v>
      </c>
      <c r="BX80" s="184" t="s">
        <v>251</v>
      </c>
      <c r="BY80" s="185" t="s">
        <v>233</v>
      </c>
      <c r="BZ80" s="185" t="s">
        <v>233</v>
      </c>
      <c r="CA80" s="185" t="s">
        <v>240</v>
      </c>
      <c r="CB80" s="185" t="s">
        <v>266</v>
      </c>
      <c r="CC80" s="185" t="s">
        <v>609</v>
      </c>
      <c r="CD80" s="184" t="s">
        <v>251</v>
      </c>
      <c r="CE80" s="185" t="s">
        <v>233</v>
      </c>
      <c r="CF80" s="185" t="s">
        <v>233</v>
      </c>
      <c r="CG80" s="185" t="s">
        <v>240</v>
      </c>
      <c r="CH80" s="185" t="s">
        <v>265</v>
      </c>
      <c r="CI80" s="185" t="s">
        <v>610</v>
      </c>
      <c r="CJ80" s="184" t="s">
        <v>251</v>
      </c>
      <c r="CK80" s="185" t="s">
        <v>233</v>
      </c>
      <c r="CL80" s="185" t="s">
        <v>233</v>
      </c>
      <c r="CM80" s="185" t="s">
        <v>240</v>
      </c>
      <c r="CN80" s="225"/>
      <c r="CO80" s="100" t="s">
        <v>296</v>
      </c>
      <c r="CP80" s="100" t="s">
        <v>296</v>
      </c>
      <c r="CQ80" s="100" t="s">
        <v>297</v>
      </c>
    </row>
    <row r="81" spans="1:95" s="101" customFormat="1" ht="16.5" hidden="1" customHeight="1" thickBot="1" x14ac:dyDescent="0.3">
      <c r="A81" s="99"/>
      <c r="V81" s="103"/>
      <c r="X81" s="107"/>
      <c r="Y81" s="107"/>
      <c r="Z81" s="107"/>
      <c r="AA81" s="110"/>
      <c r="AB81" s="110"/>
      <c r="AC81" s="107"/>
      <c r="AD81" s="110"/>
      <c r="AE81" s="109"/>
      <c r="AF81" s="107"/>
      <c r="AG81" s="107"/>
      <c r="AH81" s="111"/>
      <c r="AI81" s="111"/>
      <c r="AJ81" s="107"/>
      <c r="AK81" s="110"/>
      <c r="AL81" s="107"/>
      <c r="AM81" s="107"/>
      <c r="AN81" s="107"/>
      <c r="AO81" s="107"/>
      <c r="AP81" s="107"/>
      <c r="AQ81" s="107"/>
      <c r="AR81" s="110"/>
      <c r="AS81" s="107"/>
      <c r="AT81" s="107"/>
      <c r="AU81" s="107"/>
      <c r="AV81" s="110"/>
      <c r="AW81" s="107"/>
      <c r="AX81" s="110"/>
      <c r="AY81" s="107"/>
      <c r="AZ81" s="107"/>
      <c r="BA81" s="107"/>
      <c r="BB81" s="110"/>
      <c r="BC81" s="110"/>
      <c r="BD81" s="107"/>
      <c r="BE81" s="110"/>
      <c r="BF81" s="107"/>
      <c r="BG81" s="107"/>
      <c r="BH81" s="107"/>
      <c r="BI81" s="186" t="s">
        <v>2</v>
      </c>
      <c r="BJ81" s="187" t="s">
        <v>611</v>
      </c>
      <c r="BK81" s="187">
        <v>2534.8130000000001</v>
      </c>
      <c r="BL81" s="187" t="s">
        <v>612</v>
      </c>
      <c r="BM81" s="188">
        <v>2.64E-3</v>
      </c>
      <c r="BN81" s="188">
        <v>2.64E-3</v>
      </c>
      <c r="BO81" s="188" t="s">
        <v>241</v>
      </c>
      <c r="BP81" s="187">
        <v>28.760200000000001</v>
      </c>
      <c r="BQ81" s="187">
        <f>BP81/1000</f>
        <v>2.87602E-2</v>
      </c>
      <c r="BR81" s="187" t="s">
        <v>613</v>
      </c>
      <c r="BS81" s="189">
        <v>3.0000000000000001E-3</v>
      </c>
      <c r="BT81" s="189">
        <v>0.03</v>
      </c>
      <c r="BU81" s="187" t="s">
        <v>242</v>
      </c>
      <c r="BV81" s="187">
        <v>43.1404</v>
      </c>
      <c r="BW81" s="187">
        <f>BV81/1000</f>
        <v>4.3140400000000002E-2</v>
      </c>
      <c r="BX81" s="187" t="s">
        <v>614</v>
      </c>
      <c r="BY81" s="189">
        <v>5.0000000000000001E-3</v>
      </c>
      <c r="BZ81" s="189">
        <v>0.05</v>
      </c>
      <c r="CA81" s="187" t="s">
        <v>242</v>
      </c>
      <c r="CB81" s="187">
        <v>0</v>
      </c>
      <c r="CC81" s="187">
        <f>CB81/1000</f>
        <v>0</v>
      </c>
      <c r="CD81" s="187" t="s">
        <v>613</v>
      </c>
      <c r="CE81" s="189">
        <v>0</v>
      </c>
      <c r="CF81" s="189">
        <v>0</v>
      </c>
      <c r="CG81" s="187" t="s">
        <v>242</v>
      </c>
      <c r="CH81" s="187">
        <v>0</v>
      </c>
      <c r="CI81" s="187">
        <f>CH81/1000</f>
        <v>0</v>
      </c>
      <c r="CJ81" s="187" t="s">
        <v>614</v>
      </c>
      <c r="CK81" s="189">
        <v>0</v>
      </c>
      <c r="CL81" s="189">
        <v>0</v>
      </c>
      <c r="CM81" s="187" t="s">
        <v>242</v>
      </c>
      <c r="CN81" s="225"/>
      <c r="CO81" s="100">
        <v>0.15</v>
      </c>
      <c r="CP81" s="100">
        <f>(CO81+CQ81)/2</f>
        <v>0.17499999999999999</v>
      </c>
      <c r="CQ81" s="100">
        <v>0.2</v>
      </c>
    </row>
    <row r="82" spans="1:95" s="101" customFormat="1" ht="16.5" hidden="1" customHeight="1" thickBot="1" x14ac:dyDescent="0.3">
      <c r="A82" s="99"/>
      <c r="V82" s="103"/>
      <c r="X82" s="107"/>
      <c r="Y82" s="107"/>
      <c r="Z82" s="107"/>
      <c r="AA82" s="110"/>
      <c r="AB82" s="110"/>
      <c r="AC82" s="107"/>
      <c r="AD82" s="110"/>
      <c r="AE82" s="109"/>
      <c r="AF82" s="107"/>
      <c r="AG82" s="107"/>
      <c r="AH82" s="111"/>
      <c r="AI82" s="111"/>
      <c r="AJ82" s="107"/>
      <c r="AK82" s="110"/>
      <c r="AL82" s="107"/>
      <c r="AM82" s="107"/>
      <c r="AN82" s="107"/>
      <c r="AO82" s="107"/>
      <c r="AP82" s="107"/>
      <c r="AQ82" s="107"/>
      <c r="AR82" s="110"/>
      <c r="AS82" s="107"/>
      <c r="AT82" s="107"/>
      <c r="AU82" s="107"/>
      <c r="AV82" s="110"/>
      <c r="AW82" s="107"/>
      <c r="AX82" s="110"/>
      <c r="AY82" s="107"/>
      <c r="AZ82" s="107"/>
      <c r="BA82" s="107"/>
      <c r="BB82" s="110"/>
      <c r="BC82" s="110"/>
      <c r="BD82" s="107"/>
      <c r="BE82" s="110"/>
      <c r="BF82" s="107"/>
      <c r="BG82" s="107"/>
      <c r="BH82" s="107"/>
      <c r="BI82" s="190" t="s">
        <v>211</v>
      </c>
      <c r="BJ82" s="187" t="s">
        <v>615</v>
      </c>
      <c r="BK82" s="181">
        <v>2160.7550000000001</v>
      </c>
      <c r="BL82" s="187" t="s">
        <v>612</v>
      </c>
      <c r="BM82" s="189">
        <v>3.0399999999999997E-3</v>
      </c>
      <c r="BN82" s="189">
        <v>3.0399999999999997E-3</v>
      </c>
      <c r="BO82" s="188" t="s">
        <v>241</v>
      </c>
      <c r="BP82" s="191">
        <v>26.622399999999999</v>
      </c>
      <c r="BQ82" s="187">
        <f t="shared" ref="BQ82:BQ105" si="85">BP82/1000</f>
        <v>2.6622399999999997E-2</v>
      </c>
      <c r="BR82" s="187" t="s">
        <v>616</v>
      </c>
      <c r="BS82" s="189">
        <v>3.0000000000000001E-3</v>
      </c>
      <c r="BT82" s="189">
        <v>0.03</v>
      </c>
      <c r="BU82" s="187" t="s">
        <v>242</v>
      </c>
      <c r="BV82" s="181">
        <v>39.933500000000002</v>
      </c>
      <c r="BW82" s="187">
        <f t="shared" ref="BW82:BW105" si="86">BV82/1000</f>
        <v>3.9933500000000004E-2</v>
      </c>
      <c r="BX82" s="187" t="s">
        <v>614</v>
      </c>
      <c r="BY82" s="189">
        <v>5.0000000000000001E-3</v>
      </c>
      <c r="BZ82" s="189">
        <v>0.05</v>
      </c>
      <c r="CA82" s="187" t="s">
        <v>242</v>
      </c>
      <c r="CB82" s="187">
        <v>0</v>
      </c>
      <c r="CC82" s="187">
        <f t="shared" ref="CC82:CC105" si="87">CB82/1000</f>
        <v>0</v>
      </c>
      <c r="CD82" s="187" t="s">
        <v>613</v>
      </c>
      <c r="CE82" s="189">
        <v>0</v>
      </c>
      <c r="CF82" s="189">
        <v>0</v>
      </c>
      <c r="CG82" s="187" t="s">
        <v>242</v>
      </c>
      <c r="CH82" s="181">
        <v>0</v>
      </c>
      <c r="CI82" s="187">
        <f t="shared" ref="CI82:CI105" si="88">CH82/1000</f>
        <v>0</v>
      </c>
      <c r="CJ82" s="187" t="s">
        <v>614</v>
      </c>
      <c r="CK82" s="189">
        <v>0</v>
      </c>
      <c r="CL82" s="189">
        <v>0</v>
      </c>
      <c r="CM82" s="187" t="s">
        <v>242</v>
      </c>
      <c r="CN82" s="225"/>
      <c r="CO82" s="100">
        <v>0.15</v>
      </c>
      <c r="CP82" s="100">
        <f t="shared" ref="CP82:CP105" si="89">(CO82+CQ82)/2</f>
        <v>0.17499999999999999</v>
      </c>
      <c r="CQ82" s="100">
        <v>0.2</v>
      </c>
    </row>
    <row r="83" spans="1:95" s="101" customFormat="1" ht="16.5" hidden="1" customHeight="1" thickBot="1" x14ac:dyDescent="0.3">
      <c r="A83" s="99"/>
      <c r="V83" s="103"/>
      <c r="X83" s="107"/>
      <c r="Y83" s="107"/>
      <c r="Z83" s="107"/>
      <c r="AA83" s="110"/>
      <c r="AB83" s="110"/>
      <c r="AC83" s="107"/>
      <c r="AD83" s="110"/>
      <c r="AE83" s="109"/>
      <c r="AF83" s="107"/>
      <c r="AG83" s="107"/>
      <c r="AH83" s="111"/>
      <c r="AI83" s="111"/>
      <c r="AJ83" s="107"/>
      <c r="AK83" s="110"/>
      <c r="AL83" s="107"/>
      <c r="AM83" s="107"/>
      <c r="AN83" s="107"/>
      <c r="AO83" s="107"/>
      <c r="AP83" s="107"/>
      <c r="AQ83" s="107"/>
      <c r="AR83" s="110"/>
      <c r="AS83" s="107"/>
      <c r="AT83" s="107"/>
      <c r="AU83" s="107"/>
      <c r="AV83" s="110"/>
      <c r="AW83" s="107"/>
      <c r="AX83" s="110"/>
      <c r="AY83" s="107"/>
      <c r="AZ83" s="107"/>
      <c r="BA83" s="107"/>
      <c r="BB83" s="110"/>
      <c r="BC83" s="110"/>
      <c r="BD83" s="107"/>
      <c r="BE83" s="110"/>
      <c r="BF83" s="107"/>
      <c r="BG83" s="107"/>
      <c r="BH83" s="107"/>
      <c r="BI83" s="190" t="s">
        <v>212</v>
      </c>
      <c r="BJ83" s="187" t="s">
        <v>615</v>
      </c>
      <c r="BK83" s="181">
        <v>2894.0590000000002</v>
      </c>
      <c r="BL83" s="187" t="s">
        <v>612</v>
      </c>
      <c r="BM83" s="189">
        <v>2.3499999999999997E-3</v>
      </c>
      <c r="BN83" s="189">
        <v>2.3499999999999997E-3</v>
      </c>
      <c r="BO83" s="188" t="s">
        <v>241</v>
      </c>
      <c r="BP83" s="191">
        <v>30.416899999999998</v>
      </c>
      <c r="BQ83" s="187">
        <f t="shared" si="85"/>
        <v>3.0416899999999997E-2</v>
      </c>
      <c r="BR83" s="187" t="s">
        <v>613</v>
      </c>
      <c r="BS83" s="189">
        <v>3.0000000000000001E-3</v>
      </c>
      <c r="BT83" s="189">
        <v>0.03</v>
      </c>
      <c r="BU83" s="187" t="s">
        <v>242</v>
      </c>
      <c r="BV83" s="181">
        <v>45.625300000000003</v>
      </c>
      <c r="BW83" s="187">
        <f t="shared" si="86"/>
        <v>4.5625300000000001E-2</v>
      </c>
      <c r="BX83" s="187" t="s">
        <v>614</v>
      </c>
      <c r="BY83" s="189">
        <v>5.0000000000000001E-3</v>
      </c>
      <c r="BZ83" s="189">
        <v>0.05</v>
      </c>
      <c r="CA83" s="187" t="s">
        <v>242</v>
      </c>
      <c r="CB83" s="187">
        <v>0</v>
      </c>
      <c r="CC83" s="187">
        <f t="shared" si="87"/>
        <v>0</v>
      </c>
      <c r="CD83" s="187" t="s">
        <v>613</v>
      </c>
      <c r="CE83" s="189">
        <v>0</v>
      </c>
      <c r="CF83" s="189">
        <v>0</v>
      </c>
      <c r="CG83" s="187" t="s">
        <v>242</v>
      </c>
      <c r="CH83" s="181">
        <v>0</v>
      </c>
      <c r="CI83" s="187">
        <f t="shared" si="88"/>
        <v>0</v>
      </c>
      <c r="CJ83" s="187" t="s">
        <v>614</v>
      </c>
      <c r="CK83" s="189">
        <v>0</v>
      </c>
      <c r="CL83" s="189">
        <v>0</v>
      </c>
      <c r="CM83" s="187" t="s">
        <v>242</v>
      </c>
      <c r="CN83" s="225"/>
      <c r="CO83" s="100">
        <v>0.15</v>
      </c>
      <c r="CP83" s="100">
        <f t="shared" si="89"/>
        <v>0.17499999999999999</v>
      </c>
      <c r="CQ83" s="100">
        <v>0.2</v>
      </c>
    </row>
    <row r="84" spans="1:95" s="101" customFormat="1" ht="16.5" hidden="1" customHeight="1" thickBot="1" x14ac:dyDescent="0.3">
      <c r="A84" s="99"/>
      <c r="V84" s="103"/>
      <c r="X84" s="107"/>
      <c r="Y84" s="107"/>
      <c r="Z84" s="107"/>
      <c r="AA84" s="110"/>
      <c r="AB84" s="110"/>
      <c r="AC84" s="107"/>
      <c r="AD84" s="110"/>
      <c r="AE84" s="109"/>
      <c r="AF84" s="107"/>
      <c r="AG84" s="107"/>
      <c r="AH84" s="111"/>
      <c r="AI84" s="111"/>
      <c r="AJ84" s="107"/>
      <c r="AK84" s="110"/>
      <c r="AL84" s="107"/>
      <c r="AM84" s="107"/>
      <c r="AN84" s="107"/>
      <c r="AO84" s="107"/>
      <c r="AP84" s="107"/>
      <c r="AQ84" s="107"/>
      <c r="AR84" s="110"/>
      <c r="AS84" s="107"/>
      <c r="AT84" s="107"/>
      <c r="AU84" s="107"/>
      <c r="AV84" s="110"/>
      <c r="AW84" s="107"/>
      <c r="AX84" s="110"/>
      <c r="AY84" s="107"/>
      <c r="AZ84" s="107"/>
      <c r="BA84" s="107"/>
      <c r="BB84" s="110"/>
      <c r="BC84" s="110"/>
      <c r="BD84" s="107"/>
      <c r="BE84" s="110"/>
      <c r="BF84" s="107"/>
      <c r="BG84" s="107"/>
      <c r="BH84" s="107"/>
      <c r="BI84" s="190" t="s">
        <v>213</v>
      </c>
      <c r="BJ84" s="187" t="s">
        <v>615</v>
      </c>
      <c r="BK84" s="181">
        <v>2214.4580000000001</v>
      </c>
      <c r="BL84" s="187" t="s">
        <v>612</v>
      </c>
      <c r="BM84" s="189">
        <v>2.9299999999999999E-3</v>
      </c>
      <c r="BN84" s="189">
        <v>2.9299999999999999E-3</v>
      </c>
      <c r="BO84" s="188" t="s">
        <v>241</v>
      </c>
      <c r="BP84" s="191">
        <v>29.170200000000001</v>
      </c>
      <c r="BQ84" s="187">
        <f t="shared" si="85"/>
        <v>2.91702E-2</v>
      </c>
      <c r="BR84" s="187" t="s">
        <v>613</v>
      </c>
      <c r="BS84" s="189">
        <v>3.0000000000000001E-3</v>
      </c>
      <c r="BT84" s="189">
        <v>0.03</v>
      </c>
      <c r="BU84" s="187" t="s">
        <v>242</v>
      </c>
      <c r="BV84" s="181">
        <v>43.755299999999998</v>
      </c>
      <c r="BW84" s="187">
        <f t="shared" si="86"/>
        <v>4.3755299999999997E-2</v>
      </c>
      <c r="BX84" s="187" t="s">
        <v>614</v>
      </c>
      <c r="BY84" s="189">
        <v>5.0000000000000001E-3</v>
      </c>
      <c r="BZ84" s="189">
        <v>0.05</v>
      </c>
      <c r="CA84" s="187" t="s">
        <v>242</v>
      </c>
      <c r="CB84" s="187">
        <v>0</v>
      </c>
      <c r="CC84" s="187">
        <f t="shared" si="87"/>
        <v>0</v>
      </c>
      <c r="CD84" s="187" t="s">
        <v>613</v>
      </c>
      <c r="CE84" s="189">
        <v>0</v>
      </c>
      <c r="CF84" s="189">
        <v>0</v>
      </c>
      <c r="CG84" s="187" t="s">
        <v>242</v>
      </c>
      <c r="CH84" s="181">
        <v>0</v>
      </c>
      <c r="CI84" s="187">
        <f t="shared" si="88"/>
        <v>0</v>
      </c>
      <c r="CJ84" s="187" t="s">
        <v>614</v>
      </c>
      <c r="CK84" s="189">
        <v>0</v>
      </c>
      <c r="CL84" s="189">
        <v>0</v>
      </c>
      <c r="CM84" s="187" t="s">
        <v>242</v>
      </c>
      <c r="CN84" s="225"/>
      <c r="CO84" s="100">
        <v>0.15</v>
      </c>
      <c r="CP84" s="100">
        <f t="shared" si="89"/>
        <v>0.17499999999999999</v>
      </c>
      <c r="CQ84" s="100">
        <v>0.2</v>
      </c>
    </row>
    <row r="85" spans="1:95" s="101" customFormat="1" ht="16.5" hidden="1" customHeight="1" thickBot="1" x14ac:dyDescent="0.3">
      <c r="A85" s="99"/>
      <c r="V85" s="103"/>
      <c r="X85" s="107"/>
      <c r="Y85" s="107"/>
      <c r="Z85" s="107"/>
      <c r="AA85" s="110"/>
      <c r="AB85" s="110"/>
      <c r="AC85" s="107"/>
      <c r="AD85" s="110"/>
      <c r="AE85" s="109"/>
      <c r="AF85" s="107"/>
      <c r="AG85" s="107"/>
      <c r="AH85" s="111"/>
      <c r="AI85" s="111"/>
      <c r="AJ85" s="107"/>
      <c r="AK85" s="110"/>
      <c r="AL85" s="107"/>
      <c r="AM85" s="107"/>
      <c r="AN85" s="107"/>
      <c r="AO85" s="107"/>
      <c r="AP85" s="107"/>
      <c r="AQ85" s="107"/>
      <c r="AR85" s="110"/>
      <c r="AS85" s="107"/>
      <c r="AT85" s="107"/>
      <c r="AU85" s="107"/>
      <c r="AV85" s="110"/>
      <c r="AW85" s="107"/>
      <c r="AX85" s="110"/>
      <c r="AY85" s="107"/>
      <c r="AZ85" s="107"/>
      <c r="BA85" s="107"/>
      <c r="BB85" s="110"/>
      <c r="BC85" s="110"/>
      <c r="BD85" s="107"/>
      <c r="BE85" s="110"/>
      <c r="BF85" s="107"/>
      <c r="BG85" s="107"/>
      <c r="BH85" s="107"/>
      <c r="BI85" s="190" t="s">
        <v>214</v>
      </c>
      <c r="BJ85" s="187" t="s">
        <v>615</v>
      </c>
      <c r="BK85" s="181">
        <v>2507.6329999999998</v>
      </c>
      <c r="BL85" s="187" t="s">
        <v>612</v>
      </c>
      <c r="BM85" s="189">
        <v>2.6099999999999999E-3</v>
      </c>
      <c r="BN85" s="189">
        <v>2.6099999999999999E-3</v>
      </c>
      <c r="BO85" s="188" t="s">
        <v>241</v>
      </c>
      <c r="BP85" s="191">
        <v>31.212299999999999</v>
      </c>
      <c r="BQ85" s="187">
        <f t="shared" si="85"/>
        <v>3.1212299999999998E-2</v>
      </c>
      <c r="BR85" s="187" t="s">
        <v>613</v>
      </c>
      <c r="BS85" s="189">
        <v>3.0000000000000001E-3</v>
      </c>
      <c r="BT85" s="189">
        <v>0.03</v>
      </c>
      <c r="BU85" s="187" t="s">
        <v>242</v>
      </c>
      <c r="BV85" s="181">
        <v>46.818399999999997</v>
      </c>
      <c r="BW85" s="187">
        <f t="shared" si="86"/>
        <v>4.6818399999999996E-2</v>
      </c>
      <c r="BX85" s="187" t="s">
        <v>614</v>
      </c>
      <c r="BY85" s="189">
        <v>5.0000000000000001E-3</v>
      </c>
      <c r="BZ85" s="189">
        <v>0.05</v>
      </c>
      <c r="CA85" s="187" t="s">
        <v>242</v>
      </c>
      <c r="CB85" s="187">
        <v>0</v>
      </c>
      <c r="CC85" s="187">
        <f t="shared" si="87"/>
        <v>0</v>
      </c>
      <c r="CD85" s="187" t="s">
        <v>613</v>
      </c>
      <c r="CE85" s="189">
        <v>0</v>
      </c>
      <c r="CF85" s="189">
        <v>0</v>
      </c>
      <c r="CG85" s="187" t="s">
        <v>242</v>
      </c>
      <c r="CH85" s="181">
        <v>0</v>
      </c>
      <c r="CI85" s="187">
        <f t="shared" si="88"/>
        <v>0</v>
      </c>
      <c r="CJ85" s="187" t="s">
        <v>614</v>
      </c>
      <c r="CK85" s="189">
        <v>0</v>
      </c>
      <c r="CL85" s="189">
        <v>0</v>
      </c>
      <c r="CM85" s="187" t="s">
        <v>242</v>
      </c>
      <c r="CN85" s="225"/>
      <c r="CO85" s="100">
        <v>0.15</v>
      </c>
      <c r="CP85" s="100">
        <f t="shared" si="89"/>
        <v>0.17499999999999999</v>
      </c>
      <c r="CQ85" s="100">
        <v>0.2</v>
      </c>
    </row>
    <row r="86" spans="1:95" s="101" customFormat="1" ht="16.5" hidden="1" customHeight="1" thickBot="1" x14ac:dyDescent="0.3">
      <c r="A86" s="99"/>
      <c r="V86" s="103"/>
      <c r="X86" s="107"/>
      <c r="Y86" s="107"/>
      <c r="Z86" s="107"/>
      <c r="AA86" s="110"/>
      <c r="AB86" s="110"/>
      <c r="AC86" s="107"/>
      <c r="AD86" s="110"/>
      <c r="AE86" s="109"/>
      <c r="AF86" s="107"/>
      <c r="AG86" s="107"/>
      <c r="AH86" s="111"/>
      <c r="AI86" s="111"/>
      <c r="AJ86" s="107"/>
      <c r="AK86" s="110"/>
      <c r="AL86" s="107"/>
      <c r="AM86" s="107"/>
      <c r="AN86" s="107"/>
      <c r="AO86" s="107"/>
      <c r="AP86" s="107"/>
      <c r="AQ86" s="107"/>
      <c r="AR86" s="110"/>
      <c r="AS86" s="107"/>
      <c r="AT86" s="107"/>
      <c r="AU86" s="107"/>
      <c r="AV86" s="110"/>
      <c r="AW86" s="107"/>
      <c r="AX86" s="110"/>
      <c r="AY86" s="107"/>
      <c r="AZ86" s="107"/>
      <c r="BA86" s="107"/>
      <c r="BB86" s="110"/>
      <c r="BC86" s="110"/>
      <c r="BD86" s="107"/>
      <c r="BE86" s="110"/>
      <c r="BF86" s="107"/>
      <c r="BG86" s="107"/>
      <c r="BH86" s="107"/>
      <c r="BI86" s="190" t="s">
        <v>215</v>
      </c>
      <c r="BJ86" s="187" t="s">
        <v>615</v>
      </c>
      <c r="BK86" s="181">
        <v>2812.7539999999999</v>
      </c>
      <c r="BL86" s="187" t="s">
        <v>612</v>
      </c>
      <c r="BM86" s="189">
        <v>2.3899999999999998E-3</v>
      </c>
      <c r="BN86" s="189">
        <v>2.3899999999999998E-3</v>
      </c>
      <c r="BO86" s="188" t="s">
        <v>241</v>
      </c>
      <c r="BP86" s="191">
        <v>31.229299999999999</v>
      </c>
      <c r="BQ86" s="187">
        <f t="shared" si="85"/>
        <v>3.1229299999999998E-2</v>
      </c>
      <c r="BR86" s="187" t="s">
        <v>613</v>
      </c>
      <c r="BS86" s="189">
        <v>3.0000000000000001E-3</v>
      </c>
      <c r="BT86" s="189">
        <v>0.03</v>
      </c>
      <c r="BU86" s="187" t="s">
        <v>242</v>
      </c>
      <c r="BV86" s="181">
        <v>46.843899999999998</v>
      </c>
      <c r="BW86" s="187">
        <f t="shared" si="86"/>
        <v>4.6843900000000001E-2</v>
      </c>
      <c r="BX86" s="187" t="s">
        <v>614</v>
      </c>
      <c r="BY86" s="189">
        <v>5.0000000000000001E-3</v>
      </c>
      <c r="BZ86" s="189">
        <v>0.05</v>
      </c>
      <c r="CA86" s="187" t="s">
        <v>242</v>
      </c>
      <c r="CB86" s="187">
        <v>0</v>
      </c>
      <c r="CC86" s="187">
        <f t="shared" si="87"/>
        <v>0</v>
      </c>
      <c r="CD86" s="187" t="s">
        <v>613</v>
      </c>
      <c r="CE86" s="189">
        <v>0</v>
      </c>
      <c r="CF86" s="189">
        <v>0</v>
      </c>
      <c r="CG86" s="187" t="s">
        <v>242</v>
      </c>
      <c r="CH86" s="181">
        <v>0</v>
      </c>
      <c r="CI86" s="187">
        <f t="shared" si="88"/>
        <v>0</v>
      </c>
      <c r="CJ86" s="187" t="s">
        <v>614</v>
      </c>
      <c r="CK86" s="189">
        <v>0</v>
      </c>
      <c r="CL86" s="189">
        <v>0</v>
      </c>
      <c r="CM86" s="187" t="s">
        <v>242</v>
      </c>
      <c r="CN86" s="225"/>
      <c r="CO86" s="100">
        <v>0.15</v>
      </c>
      <c r="CP86" s="100">
        <f t="shared" si="89"/>
        <v>0.17499999999999999</v>
      </c>
      <c r="CQ86" s="100">
        <v>0.2</v>
      </c>
    </row>
    <row r="87" spans="1:95" s="101" customFormat="1" ht="16.5" hidden="1" customHeight="1" thickBot="1" x14ac:dyDescent="0.3">
      <c r="A87" s="99"/>
      <c r="V87" s="103"/>
      <c r="X87" s="107"/>
      <c r="Y87" s="107"/>
      <c r="Z87" s="107"/>
      <c r="AA87" s="110"/>
      <c r="AB87" s="110"/>
      <c r="AC87" s="107"/>
      <c r="AD87" s="110"/>
      <c r="AE87" s="109"/>
      <c r="AF87" s="107"/>
      <c r="AG87" s="107"/>
      <c r="AH87" s="111"/>
      <c r="AI87" s="111"/>
      <c r="AJ87" s="107"/>
      <c r="AK87" s="110"/>
      <c r="AL87" s="107"/>
      <c r="AM87" s="107"/>
      <c r="AN87" s="107"/>
      <c r="AO87" s="107"/>
      <c r="AP87" s="107"/>
      <c r="AQ87" s="107"/>
      <c r="AR87" s="110"/>
      <c r="AS87" s="107"/>
      <c r="AT87" s="107"/>
      <c r="AU87" s="107"/>
      <c r="AV87" s="110"/>
      <c r="AW87" s="107"/>
      <c r="AX87" s="110"/>
      <c r="AY87" s="107"/>
      <c r="AZ87" s="107"/>
      <c r="BA87" s="107"/>
      <c r="BB87" s="110"/>
      <c r="BC87" s="110"/>
      <c r="BD87" s="107"/>
      <c r="BE87" s="110"/>
      <c r="BF87" s="107"/>
      <c r="BG87" s="107"/>
      <c r="BH87" s="107"/>
      <c r="BI87" s="190" t="s">
        <v>216</v>
      </c>
      <c r="BJ87" s="187" t="s">
        <v>615</v>
      </c>
      <c r="BK87" s="181">
        <v>1903.181</v>
      </c>
      <c r="BL87" s="187" t="s">
        <v>612</v>
      </c>
      <c r="BM87" s="189">
        <v>3.5399999999999997E-3</v>
      </c>
      <c r="BN87" s="189">
        <v>3.5399999999999997E-3</v>
      </c>
      <c r="BO87" s="188" t="s">
        <v>241</v>
      </c>
      <c r="BP87" s="191">
        <v>20.947600000000001</v>
      </c>
      <c r="BQ87" s="187">
        <f t="shared" si="85"/>
        <v>2.09476E-2</v>
      </c>
      <c r="BR87" s="187" t="s">
        <v>613</v>
      </c>
      <c r="BS87" s="189">
        <v>3.0000000000000001E-3</v>
      </c>
      <c r="BT87" s="189">
        <v>0.03</v>
      </c>
      <c r="BU87" s="187" t="s">
        <v>242</v>
      </c>
      <c r="BV87" s="181">
        <v>31.421399999999998</v>
      </c>
      <c r="BW87" s="187">
        <f t="shared" si="86"/>
        <v>3.1421399999999995E-2</v>
      </c>
      <c r="BX87" s="187" t="s">
        <v>614</v>
      </c>
      <c r="BY87" s="189">
        <v>5.0000000000000001E-3</v>
      </c>
      <c r="BZ87" s="189">
        <v>0.05</v>
      </c>
      <c r="CA87" s="187" t="s">
        <v>242</v>
      </c>
      <c r="CB87" s="187">
        <v>0</v>
      </c>
      <c r="CC87" s="187">
        <f t="shared" si="87"/>
        <v>0</v>
      </c>
      <c r="CD87" s="187" t="s">
        <v>613</v>
      </c>
      <c r="CE87" s="189">
        <v>0</v>
      </c>
      <c r="CF87" s="189">
        <v>0</v>
      </c>
      <c r="CG87" s="187" t="s">
        <v>242</v>
      </c>
      <c r="CH87" s="181">
        <v>0</v>
      </c>
      <c r="CI87" s="187">
        <f t="shared" si="88"/>
        <v>0</v>
      </c>
      <c r="CJ87" s="187" t="s">
        <v>614</v>
      </c>
      <c r="CK87" s="189">
        <v>0</v>
      </c>
      <c r="CL87" s="189">
        <v>0</v>
      </c>
      <c r="CM87" s="187" t="s">
        <v>242</v>
      </c>
      <c r="CN87" s="225"/>
      <c r="CO87" s="100">
        <v>0.15</v>
      </c>
      <c r="CP87" s="100">
        <f t="shared" si="89"/>
        <v>0.17499999999999999</v>
      </c>
      <c r="CQ87" s="100">
        <v>0.2</v>
      </c>
    </row>
    <row r="88" spans="1:95" s="101" customFormat="1" ht="16.5" hidden="1" customHeight="1" thickBot="1" x14ac:dyDescent="0.3">
      <c r="A88" s="99"/>
      <c r="V88" s="103"/>
      <c r="X88" s="107"/>
      <c r="Y88" s="107"/>
      <c r="Z88" s="107"/>
      <c r="AA88" s="110"/>
      <c r="AB88" s="110"/>
      <c r="AC88" s="107"/>
      <c r="AD88" s="110"/>
      <c r="AE88" s="109"/>
      <c r="AF88" s="107"/>
      <c r="AG88" s="107"/>
      <c r="AH88" s="111"/>
      <c r="AI88" s="111"/>
      <c r="AJ88" s="107"/>
      <c r="AK88" s="110"/>
      <c r="AL88" s="107"/>
      <c r="AM88" s="107"/>
      <c r="AN88" s="107"/>
      <c r="AO88" s="107"/>
      <c r="AP88" s="107"/>
      <c r="AQ88" s="107"/>
      <c r="AR88" s="110"/>
      <c r="AS88" s="107"/>
      <c r="AT88" s="107"/>
      <c r="AU88" s="107"/>
      <c r="AV88" s="110"/>
      <c r="AW88" s="107"/>
      <c r="AX88" s="110"/>
      <c r="AY88" s="107"/>
      <c r="AZ88" s="107"/>
      <c r="BA88" s="107"/>
      <c r="BB88" s="110"/>
      <c r="BC88" s="110"/>
      <c r="BD88" s="107"/>
      <c r="BE88" s="110"/>
      <c r="BI88" s="190" t="s">
        <v>217</v>
      </c>
      <c r="BJ88" s="187" t="s">
        <v>615</v>
      </c>
      <c r="BK88" s="181">
        <v>2560.306</v>
      </c>
      <c r="BL88" s="187" t="s">
        <v>612</v>
      </c>
      <c r="BM88" s="189">
        <v>2.5400000000000002E-3</v>
      </c>
      <c r="BN88" s="189">
        <v>2.5400000000000002E-3</v>
      </c>
      <c r="BO88" s="188" t="s">
        <v>241</v>
      </c>
      <c r="BP88" s="191">
        <v>33.076700000000002</v>
      </c>
      <c r="BQ88" s="187">
        <f t="shared" si="85"/>
        <v>3.3076700000000001E-2</v>
      </c>
      <c r="BR88" s="187" t="s">
        <v>613</v>
      </c>
      <c r="BS88" s="189">
        <v>3.0000000000000001E-3</v>
      </c>
      <c r="BT88" s="189">
        <v>0.03</v>
      </c>
      <c r="BU88" s="187" t="s">
        <v>242</v>
      </c>
      <c r="BV88" s="181">
        <v>49.615000000000002</v>
      </c>
      <c r="BW88" s="187">
        <f t="shared" si="86"/>
        <v>4.9614999999999999E-2</v>
      </c>
      <c r="BX88" s="187" t="s">
        <v>614</v>
      </c>
      <c r="BY88" s="189">
        <v>5.0000000000000001E-3</v>
      </c>
      <c r="BZ88" s="189">
        <v>0.05</v>
      </c>
      <c r="CA88" s="187" t="s">
        <v>242</v>
      </c>
      <c r="CB88" s="187">
        <v>0</v>
      </c>
      <c r="CC88" s="187">
        <f t="shared" si="87"/>
        <v>0</v>
      </c>
      <c r="CD88" s="187" t="s">
        <v>613</v>
      </c>
      <c r="CE88" s="189">
        <v>0</v>
      </c>
      <c r="CF88" s="189">
        <v>0</v>
      </c>
      <c r="CG88" s="187" t="s">
        <v>242</v>
      </c>
      <c r="CH88" s="181">
        <v>0</v>
      </c>
      <c r="CI88" s="187">
        <f t="shared" si="88"/>
        <v>0</v>
      </c>
      <c r="CJ88" s="187" t="s">
        <v>614</v>
      </c>
      <c r="CK88" s="189">
        <v>0</v>
      </c>
      <c r="CL88" s="189">
        <v>0</v>
      </c>
      <c r="CM88" s="187" t="s">
        <v>242</v>
      </c>
      <c r="CN88" s="225"/>
      <c r="CO88" s="100">
        <v>0.15</v>
      </c>
      <c r="CP88" s="100">
        <f t="shared" si="89"/>
        <v>0.17499999999999999</v>
      </c>
      <c r="CQ88" s="100">
        <v>0.2</v>
      </c>
    </row>
    <row r="89" spans="1:95" s="101" customFormat="1" ht="16.5" hidden="1" customHeight="1" thickBot="1" x14ac:dyDescent="0.3">
      <c r="A89" s="99"/>
      <c r="V89" s="103"/>
      <c r="X89" s="107"/>
      <c r="Y89" s="107"/>
      <c r="Z89" s="107"/>
      <c r="AA89" s="110"/>
      <c r="AB89" s="110"/>
      <c r="AC89" s="107"/>
      <c r="AD89" s="110"/>
      <c r="AE89" s="109"/>
      <c r="AF89" s="107"/>
      <c r="AG89" s="107"/>
      <c r="AH89" s="111"/>
      <c r="AI89" s="111"/>
      <c r="AJ89" s="107"/>
      <c r="AK89" s="110"/>
      <c r="AL89" s="107"/>
      <c r="AM89" s="107"/>
      <c r="AN89" s="107"/>
      <c r="AO89" s="107"/>
      <c r="AP89" s="107"/>
      <c r="AQ89" s="107"/>
      <c r="AR89" s="110"/>
      <c r="AS89" s="107"/>
      <c r="AT89" s="107"/>
      <c r="AU89" s="107"/>
      <c r="AV89" s="110"/>
      <c r="AW89" s="107"/>
      <c r="AX89" s="110"/>
      <c r="AY89" s="107"/>
      <c r="AZ89" s="107"/>
      <c r="BA89" s="107"/>
      <c r="BB89" s="110"/>
      <c r="BC89" s="110"/>
      <c r="BD89" s="107"/>
      <c r="BE89" s="110"/>
      <c r="BF89" s="107"/>
      <c r="BG89" s="107"/>
      <c r="BH89" s="107"/>
      <c r="BI89" s="190" t="s">
        <v>218</v>
      </c>
      <c r="BJ89" s="187" t="s">
        <v>615</v>
      </c>
      <c r="BK89" s="181">
        <v>2690.982</v>
      </c>
      <c r="BL89" s="187" t="s">
        <v>612</v>
      </c>
      <c r="BM89" s="189">
        <v>2.5100000000000001E-3</v>
      </c>
      <c r="BN89" s="189">
        <v>2.5100000000000001E-3</v>
      </c>
      <c r="BO89" s="188" t="s">
        <v>241</v>
      </c>
      <c r="BP89" s="191">
        <v>29.204699999999999</v>
      </c>
      <c r="BQ89" s="187">
        <f t="shared" si="85"/>
        <v>2.92047E-2</v>
      </c>
      <c r="BR89" s="187" t="s">
        <v>613</v>
      </c>
      <c r="BS89" s="189">
        <v>3.0000000000000001E-3</v>
      </c>
      <c r="BT89" s="189">
        <v>0.03</v>
      </c>
      <c r="BU89" s="187" t="s">
        <v>242</v>
      </c>
      <c r="BV89" s="181">
        <v>43.807099999999998</v>
      </c>
      <c r="BW89" s="187">
        <f t="shared" si="86"/>
        <v>4.3807100000000002E-2</v>
      </c>
      <c r="BX89" s="187" t="s">
        <v>614</v>
      </c>
      <c r="BY89" s="189">
        <v>5.0000000000000001E-3</v>
      </c>
      <c r="BZ89" s="189">
        <v>0.05</v>
      </c>
      <c r="CA89" s="187" t="s">
        <v>242</v>
      </c>
      <c r="CB89" s="187">
        <v>0</v>
      </c>
      <c r="CC89" s="187">
        <f t="shared" si="87"/>
        <v>0</v>
      </c>
      <c r="CD89" s="187" t="s">
        <v>613</v>
      </c>
      <c r="CE89" s="189">
        <v>0</v>
      </c>
      <c r="CF89" s="189">
        <v>0</v>
      </c>
      <c r="CG89" s="187" t="s">
        <v>242</v>
      </c>
      <c r="CH89" s="181">
        <v>0</v>
      </c>
      <c r="CI89" s="187">
        <f t="shared" si="88"/>
        <v>0</v>
      </c>
      <c r="CJ89" s="187" t="s">
        <v>614</v>
      </c>
      <c r="CK89" s="189">
        <v>0</v>
      </c>
      <c r="CL89" s="189">
        <v>0</v>
      </c>
      <c r="CM89" s="187" t="s">
        <v>242</v>
      </c>
      <c r="CN89" s="225"/>
      <c r="CO89" s="100">
        <v>0.15</v>
      </c>
      <c r="CP89" s="100">
        <f t="shared" si="89"/>
        <v>0.17499999999999999</v>
      </c>
      <c r="CQ89" s="100">
        <v>0.2</v>
      </c>
    </row>
    <row r="90" spans="1:95" s="101" customFormat="1" ht="16.5" hidden="1" customHeight="1" thickBot="1" x14ac:dyDescent="0.3">
      <c r="A90" s="99"/>
      <c r="V90" s="103"/>
      <c r="AA90" s="104"/>
      <c r="AB90" s="104"/>
      <c r="AD90" s="104"/>
      <c r="AE90" s="105"/>
      <c r="AH90" s="106"/>
      <c r="AI90" s="106"/>
      <c r="AK90" s="104"/>
      <c r="AR90" s="104"/>
      <c r="AV90" s="104"/>
      <c r="AX90" s="104"/>
      <c r="BB90" s="104"/>
      <c r="BC90" s="104"/>
      <c r="BE90" s="104"/>
      <c r="BH90" s="99"/>
      <c r="BI90" s="190" t="s">
        <v>219</v>
      </c>
      <c r="BJ90" s="187" t="s">
        <v>615</v>
      </c>
      <c r="BK90" s="181">
        <v>3052.7950000000001</v>
      </c>
      <c r="BL90" s="187" t="s">
        <v>612</v>
      </c>
      <c r="BM90" s="189">
        <v>2.1800000000000001E-3</v>
      </c>
      <c r="BN90" s="189">
        <v>2.1800000000000001E-3</v>
      </c>
      <c r="BO90" s="188" t="s">
        <v>241</v>
      </c>
      <c r="BP90" s="191">
        <v>35.206200000000003</v>
      </c>
      <c r="BQ90" s="187">
        <f t="shared" si="85"/>
        <v>3.52062E-2</v>
      </c>
      <c r="BR90" s="187" t="s">
        <v>613</v>
      </c>
      <c r="BS90" s="189">
        <v>3.0000000000000001E-3</v>
      </c>
      <c r="BT90" s="189">
        <v>0.03</v>
      </c>
      <c r="BU90" s="187" t="s">
        <v>242</v>
      </c>
      <c r="BV90" s="181">
        <v>52.8093</v>
      </c>
      <c r="BW90" s="187">
        <f t="shared" si="86"/>
        <v>5.2809300000000003E-2</v>
      </c>
      <c r="BX90" s="187" t="s">
        <v>614</v>
      </c>
      <c r="BY90" s="189">
        <v>5.0000000000000001E-3</v>
      </c>
      <c r="BZ90" s="189">
        <v>0.05</v>
      </c>
      <c r="CA90" s="187" t="s">
        <v>242</v>
      </c>
      <c r="CB90" s="187">
        <v>0</v>
      </c>
      <c r="CC90" s="187">
        <f t="shared" si="87"/>
        <v>0</v>
      </c>
      <c r="CD90" s="187" t="s">
        <v>613</v>
      </c>
      <c r="CE90" s="189">
        <v>0</v>
      </c>
      <c r="CF90" s="189">
        <v>0</v>
      </c>
      <c r="CG90" s="187" t="s">
        <v>242</v>
      </c>
      <c r="CH90" s="181">
        <v>0</v>
      </c>
      <c r="CI90" s="187">
        <f t="shared" si="88"/>
        <v>0</v>
      </c>
      <c r="CJ90" s="187" t="s">
        <v>614</v>
      </c>
      <c r="CK90" s="189">
        <v>0</v>
      </c>
      <c r="CL90" s="189">
        <v>0</v>
      </c>
      <c r="CM90" s="187" t="s">
        <v>242</v>
      </c>
      <c r="CN90" s="225"/>
      <c r="CO90" s="100">
        <v>0.15</v>
      </c>
      <c r="CP90" s="100">
        <f t="shared" si="89"/>
        <v>0.17499999999999999</v>
      </c>
      <c r="CQ90" s="100">
        <v>0.2</v>
      </c>
    </row>
    <row r="91" spans="1:95" s="101" customFormat="1" ht="16.5" hidden="1" customHeight="1" thickBot="1" x14ac:dyDescent="0.3">
      <c r="A91" s="99"/>
      <c r="V91" s="103"/>
      <c r="AA91" s="104"/>
      <c r="AB91" s="104"/>
      <c r="AD91" s="104"/>
      <c r="AE91" s="105"/>
      <c r="AH91" s="106"/>
      <c r="AI91" s="106"/>
      <c r="AK91" s="104"/>
      <c r="AR91" s="104"/>
      <c r="AV91" s="104"/>
      <c r="AX91" s="104"/>
      <c r="BB91" s="104"/>
      <c r="BC91" s="104"/>
      <c r="BE91" s="104"/>
      <c r="BH91" s="99"/>
      <c r="BI91" s="190" t="s">
        <v>220</v>
      </c>
      <c r="BJ91" s="187" t="s">
        <v>615</v>
      </c>
      <c r="BK91" s="181">
        <v>2277.4490000000001</v>
      </c>
      <c r="BL91" s="187" t="s">
        <v>612</v>
      </c>
      <c r="BM91" s="189">
        <v>2.98E-3</v>
      </c>
      <c r="BN91" s="189">
        <v>2.98E-3</v>
      </c>
      <c r="BO91" s="188" t="s">
        <v>241</v>
      </c>
      <c r="BP91" s="191">
        <v>24.4054</v>
      </c>
      <c r="BQ91" s="187">
        <f t="shared" si="85"/>
        <v>2.4405400000000001E-2</v>
      </c>
      <c r="BR91" s="187" t="s">
        <v>613</v>
      </c>
      <c r="BS91" s="189">
        <v>3.0000000000000001E-3</v>
      </c>
      <c r="BT91" s="189">
        <v>0.03</v>
      </c>
      <c r="BU91" s="187" t="s">
        <v>242</v>
      </c>
      <c r="BV91" s="181">
        <v>36.6081</v>
      </c>
      <c r="BW91" s="187">
        <f t="shared" si="86"/>
        <v>3.6608099999999998E-2</v>
      </c>
      <c r="BX91" s="187" t="s">
        <v>614</v>
      </c>
      <c r="BY91" s="189">
        <v>5.0000000000000001E-3</v>
      </c>
      <c r="BZ91" s="189">
        <v>0.05</v>
      </c>
      <c r="CA91" s="187" t="s">
        <v>242</v>
      </c>
      <c r="CB91" s="187">
        <v>0</v>
      </c>
      <c r="CC91" s="187">
        <f t="shared" si="87"/>
        <v>0</v>
      </c>
      <c r="CD91" s="187" t="s">
        <v>613</v>
      </c>
      <c r="CE91" s="189">
        <v>0</v>
      </c>
      <c r="CF91" s="189">
        <v>0</v>
      </c>
      <c r="CG91" s="187" t="s">
        <v>242</v>
      </c>
      <c r="CH91" s="181">
        <v>0</v>
      </c>
      <c r="CI91" s="187">
        <f t="shared" si="88"/>
        <v>0</v>
      </c>
      <c r="CJ91" s="187" t="s">
        <v>614</v>
      </c>
      <c r="CK91" s="189">
        <v>0</v>
      </c>
      <c r="CL91" s="189">
        <v>0</v>
      </c>
      <c r="CM91" s="187" t="s">
        <v>242</v>
      </c>
      <c r="CN91" s="225"/>
      <c r="CO91" s="100">
        <v>0.15</v>
      </c>
      <c r="CP91" s="100">
        <f t="shared" si="89"/>
        <v>0.17499999999999999</v>
      </c>
      <c r="CQ91" s="100">
        <v>0.2</v>
      </c>
    </row>
    <row r="92" spans="1:95" s="101" customFormat="1" ht="16.5" hidden="1" customHeight="1" thickBot="1" x14ac:dyDescent="0.3">
      <c r="A92" s="99"/>
      <c r="V92" s="103"/>
      <c r="AA92" s="104"/>
      <c r="AB92" s="104"/>
      <c r="AD92" s="104"/>
      <c r="AE92" s="105"/>
      <c r="AH92" s="106"/>
      <c r="AI92" s="106"/>
      <c r="AK92" s="104"/>
      <c r="AR92" s="104"/>
      <c r="AV92" s="104"/>
      <c r="AX92" s="104"/>
      <c r="BB92" s="104"/>
      <c r="BC92" s="104"/>
      <c r="BE92" s="104"/>
      <c r="BH92" s="99"/>
      <c r="BI92" s="190" t="s">
        <v>1</v>
      </c>
      <c r="BJ92" s="187" t="s">
        <v>615</v>
      </c>
      <c r="BK92" s="213">
        <v>0</v>
      </c>
      <c r="BL92" s="187" t="s">
        <v>612</v>
      </c>
      <c r="BM92" s="189">
        <v>4.3E-3</v>
      </c>
      <c r="BN92" s="189">
        <v>4.3E-3</v>
      </c>
      <c r="BO92" s="188" t="s">
        <v>241</v>
      </c>
      <c r="BP92" s="191">
        <v>442.28840000000002</v>
      </c>
      <c r="BQ92" s="187">
        <f t="shared" si="85"/>
        <v>0.44228840000000003</v>
      </c>
      <c r="BR92" s="187" t="s">
        <v>613</v>
      </c>
      <c r="BS92" s="189">
        <v>0.1</v>
      </c>
      <c r="BT92" s="189">
        <v>1</v>
      </c>
      <c r="BU92" s="187" t="s">
        <v>242</v>
      </c>
      <c r="BV92" s="181">
        <v>58.971800000000002</v>
      </c>
      <c r="BW92" s="187">
        <f t="shared" si="86"/>
        <v>5.8971800000000005E-2</v>
      </c>
      <c r="BX92" s="187" t="s">
        <v>614</v>
      </c>
      <c r="BY92" s="189">
        <v>1.4999999999999999E-2</v>
      </c>
      <c r="BZ92" s="189">
        <v>0.15</v>
      </c>
      <c r="CA92" s="187" t="s">
        <v>242</v>
      </c>
      <c r="CB92" s="187">
        <v>0</v>
      </c>
      <c r="CC92" s="187">
        <f t="shared" si="87"/>
        <v>0</v>
      </c>
      <c r="CD92" s="187" t="s">
        <v>613</v>
      </c>
      <c r="CE92" s="189">
        <v>0</v>
      </c>
      <c r="CF92" s="189">
        <v>0</v>
      </c>
      <c r="CG92" s="187" t="s">
        <v>242</v>
      </c>
      <c r="CH92" s="181">
        <v>0</v>
      </c>
      <c r="CI92" s="187">
        <f t="shared" si="88"/>
        <v>0</v>
      </c>
      <c r="CJ92" s="187" t="s">
        <v>614</v>
      </c>
      <c r="CK92" s="189">
        <v>0</v>
      </c>
      <c r="CL92" s="189">
        <v>0</v>
      </c>
      <c r="CM92" s="187" t="s">
        <v>242</v>
      </c>
      <c r="CN92" s="225"/>
      <c r="CO92" s="100">
        <v>0.6</v>
      </c>
      <c r="CP92" s="100">
        <f t="shared" si="89"/>
        <v>0.8</v>
      </c>
      <c r="CQ92" s="100">
        <v>1</v>
      </c>
    </row>
    <row r="93" spans="1:95" s="101" customFormat="1" ht="16.5" hidden="1" customHeight="1" thickBot="1" x14ac:dyDescent="0.3">
      <c r="A93" s="99"/>
      <c r="V93" s="103"/>
      <c r="AA93" s="104"/>
      <c r="AB93" s="104"/>
      <c r="AD93" s="104"/>
      <c r="AE93" s="105"/>
      <c r="AH93" s="106"/>
      <c r="AI93" s="106"/>
      <c r="AK93" s="104"/>
      <c r="AR93" s="104"/>
      <c r="AV93" s="104"/>
      <c r="AX93" s="104"/>
      <c r="BB93" s="104"/>
      <c r="BC93" s="104"/>
      <c r="BE93" s="104"/>
      <c r="BH93" s="99"/>
      <c r="BI93" s="190" t="s">
        <v>221</v>
      </c>
      <c r="BJ93" s="187" t="s">
        <v>615</v>
      </c>
      <c r="BK93" s="213">
        <v>0</v>
      </c>
      <c r="BL93" s="187" t="s">
        <v>612</v>
      </c>
      <c r="BM93" s="189">
        <v>3.82E-3</v>
      </c>
      <c r="BN93" s="189">
        <v>3.82E-3</v>
      </c>
      <c r="BO93" s="188" t="s">
        <v>241</v>
      </c>
      <c r="BP93" s="191">
        <v>499.19130000000001</v>
      </c>
      <c r="BQ93" s="187">
        <f t="shared" si="85"/>
        <v>0.4991913</v>
      </c>
      <c r="BR93" s="187" t="s">
        <v>613</v>
      </c>
      <c r="BS93" s="189">
        <v>0.1</v>
      </c>
      <c r="BT93" s="189">
        <v>1</v>
      </c>
      <c r="BU93" s="187" t="s">
        <v>242</v>
      </c>
      <c r="BV93" s="181">
        <v>66.558800000000005</v>
      </c>
      <c r="BW93" s="187">
        <f t="shared" si="86"/>
        <v>6.6558800000000001E-2</v>
      </c>
      <c r="BX93" s="187" t="s">
        <v>614</v>
      </c>
      <c r="BY93" s="189">
        <v>1.4999999999999999E-2</v>
      </c>
      <c r="BZ93" s="189">
        <v>0.15</v>
      </c>
      <c r="CA93" s="187" t="s">
        <v>242</v>
      </c>
      <c r="CB93" s="187">
        <v>0</v>
      </c>
      <c r="CC93" s="187">
        <f t="shared" si="87"/>
        <v>0</v>
      </c>
      <c r="CD93" s="187" t="s">
        <v>613</v>
      </c>
      <c r="CE93" s="189">
        <v>0</v>
      </c>
      <c r="CF93" s="189">
        <v>0</v>
      </c>
      <c r="CG93" s="187" t="s">
        <v>242</v>
      </c>
      <c r="CH93" s="181">
        <v>0</v>
      </c>
      <c r="CI93" s="187">
        <f t="shared" si="88"/>
        <v>0</v>
      </c>
      <c r="CJ93" s="187" t="s">
        <v>614</v>
      </c>
      <c r="CK93" s="189">
        <v>0</v>
      </c>
      <c r="CL93" s="189">
        <v>0</v>
      </c>
      <c r="CM93" s="187" t="s">
        <v>242</v>
      </c>
      <c r="CN93" s="433"/>
      <c r="CO93" s="100">
        <v>0.6</v>
      </c>
      <c r="CP93" s="100">
        <f t="shared" si="89"/>
        <v>0.8</v>
      </c>
      <c r="CQ93" s="100">
        <v>1</v>
      </c>
    </row>
    <row r="94" spans="1:95" s="101" customFormat="1" ht="16.5" hidden="1" customHeight="1" thickBot="1" x14ac:dyDescent="0.3">
      <c r="A94" s="99"/>
      <c r="V94" s="103"/>
      <c r="AA94" s="104"/>
      <c r="AB94" s="104"/>
      <c r="AD94" s="104"/>
      <c r="AE94" s="105"/>
      <c r="AH94" s="106"/>
      <c r="AI94" s="106"/>
      <c r="AK94" s="104"/>
      <c r="AR94" s="104"/>
      <c r="AV94" s="104"/>
      <c r="AX94" s="104"/>
      <c r="BB94" s="104"/>
      <c r="BC94" s="104"/>
      <c r="BE94" s="104"/>
      <c r="BH94" s="99"/>
      <c r="BI94" s="190" t="s">
        <v>222</v>
      </c>
      <c r="BJ94" s="187" t="s">
        <v>615</v>
      </c>
      <c r="BK94" s="213">
        <v>0</v>
      </c>
      <c r="BL94" s="187" t="s">
        <v>612</v>
      </c>
      <c r="BM94" s="189">
        <v>3.98E-3</v>
      </c>
      <c r="BN94" s="189">
        <v>3.98E-3</v>
      </c>
      <c r="BO94" s="188" t="s">
        <v>241</v>
      </c>
      <c r="BP94" s="191">
        <v>503.12909999999999</v>
      </c>
      <c r="BQ94" s="187">
        <f t="shared" si="85"/>
        <v>0.5031291</v>
      </c>
      <c r="BR94" s="187" t="s">
        <v>613</v>
      </c>
      <c r="BS94" s="189">
        <v>0.1</v>
      </c>
      <c r="BT94" s="189">
        <v>1</v>
      </c>
      <c r="BU94" s="187" t="s">
        <v>242</v>
      </c>
      <c r="BV94" s="181">
        <v>67.0839</v>
      </c>
      <c r="BW94" s="187">
        <f t="shared" si="86"/>
        <v>6.7083900000000002E-2</v>
      </c>
      <c r="BX94" s="187" t="s">
        <v>614</v>
      </c>
      <c r="BY94" s="189">
        <v>1.4999999999999999E-2</v>
      </c>
      <c r="BZ94" s="189">
        <v>0.15</v>
      </c>
      <c r="CA94" s="187" t="s">
        <v>242</v>
      </c>
      <c r="CB94" s="187">
        <v>0</v>
      </c>
      <c r="CC94" s="187">
        <f t="shared" si="87"/>
        <v>0</v>
      </c>
      <c r="CD94" s="187" t="s">
        <v>613</v>
      </c>
      <c r="CE94" s="189">
        <v>0</v>
      </c>
      <c r="CF94" s="189">
        <v>0</v>
      </c>
      <c r="CG94" s="187" t="s">
        <v>242</v>
      </c>
      <c r="CH94" s="181">
        <v>0</v>
      </c>
      <c r="CI94" s="187">
        <f t="shared" si="88"/>
        <v>0</v>
      </c>
      <c r="CJ94" s="187" t="s">
        <v>614</v>
      </c>
      <c r="CK94" s="189">
        <v>0</v>
      </c>
      <c r="CL94" s="189">
        <v>0</v>
      </c>
      <c r="CM94" s="187" t="s">
        <v>242</v>
      </c>
      <c r="CN94" s="225"/>
      <c r="CO94" s="100">
        <v>0.6</v>
      </c>
      <c r="CP94" s="100">
        <f t="shared" si="89"/>
        <v>0.8</v>
      </c>
      <c r="CQ94" s="100">
        <v>1</v>
      </c>
    </row>
    <row r="95" spans="1:95" s="101" customFormat="1" ht="16.5" hidden="1" customHeight="1" thickBot="1" x14ac:dyDescent="0.3">
      <c r="A95" s="99"/>
      <c r="V95" s="103"/>
      <c r="AA95" s="104"/>
      <c r="AB95" s="104"/>
      <c r="AD95" s="104"/>
      <c r="AE95" s="105"/>
      <c r="AH95" s="106"/>
      <c r="AI95" s="106"/>
      <c r="AK95" s="104"/>
      <c r="AR95" s="104"/>
      <c r="AV95" s="104"/>
      <c r="AX95" s="104"/>
      <c r="BB95" s="104"/>
      <c r="BC95" s="104"/>
      <c r="BE95" s="104"/>
      <c r="BH95" s="99"/>
      <c r="BI95" s="190" t="s">
        <v>223</v>
      </c>
      <c r="BJ95" s="187" t="s">
        <v>615</v>
      </c>
      <c r="BK95" s="213">
        <v>0</v>
      </c>
      <c r="BL95" s="187" t="s">
        <v>612</v>
      </c>
      <c r="BM95" s="189">
        <v>3.5799999999999998E-3</v>
      </c>
      <c r="BN95" s="189">
        <v>3.5799999999999998E-3</v>
      </c>
      <c r="BO95" s="188" t="s">
        <v>241</v>
      </c>
      <c r="BP95" s="191">
        <v>548.92100000000005</v>
      </c>
      <c r="BQ95" s="187">
        <f t="shared" si="85"/>
        <v>0.5489210000000001</v>
      </c>
      <c r="BR95" s="187" t="s">
        <v>613</v>
      </c>
      <c r="BS95" s="189">
        <v>0.1</v>
      </c>
      <c r="BT95" s="189">
        <v>1</v>
      </c>
      <c r="BU95" s="187" t="s">
        <v>242</v>
      </c>
      <c r="BV95" s="181">
        <v>73.189499999999995</v>
      </c>
      <c r="BW95" s="187">
        <f t="shared" si="86"/>
        <v>7.3189499999999991E-2</v>
      </c>
      <c r="BX95" s="187" t="s">
        <v>614</v>
      </c>
      <c r="BY95" s="189">
        <v>1.4999999999999999E-2</v>
      </c>
      <c r="BZ95" s="189">
        <v>0.15</v>
      </c>
      <c r="CA95" s="187" t="s">
        <v>242</v>
      </c>
      <c r="CB95" s="187">
        <v>0</v>
      </c>
      <c r="CC95" s="187">
        <f t="shared" si="87"/>
        <v>0</v>
      </c>
      <c r="CD95" s="187" t="s">
        <v>613</v>
      </c>
      <c r="CE95" s="189">
        <v>0</v>
      </c>
      <c r="CF95" s="189">
        <v>0</v>
      </c>
      <c r="CG95" s="187" t="s">
        <v>242</v>
      </c>
      <c r="CH95" s="181">
        <v>0</v>
      </c>
      <c r="CI95" s="187">
        <f t="shared" si="88"/>
        <v>0</v>
      </c>
      <c r="CJ95" s="187" t="s">
        <v>614</v>
      </c>
      <c r="CK95" s="189">
        <v>0</v>
      </c>
      <c r="CL95" s="189">
        <v>0</v>
      </c>
      <c r="CM95" s="187" t="s">
        <v>242</v>
      </c>
      <c r="CN95" s="225"/>
      <c r="CO95" s="100">
        <v>0.6</v>
      </c>
      <c r="CP95" s="100">
        <f t="shared" si="89"/>
        <v>0.8</v>
      </c>
      <c r="CQ95" s="100">
        <v>1</v>
      </c>
    </row>
    <row r="96" spans="1:95" s="101" customFormat="1" ht="16.5" hidden="1" customHeight="1" thickBot="1" x14ac:dyDescent="0.3">
      <c r="A96" s="99"/>
      <c r="V96" s="103"/>
      <c r="AA96" s="104"/>
      <c r="AB96" s="104"/>
      <c r="AD96" s="104"/>
      <c r="AE96" s="105"/>
      <c r="AH96" s="106"/>
      <c r="AI96" s="106"/>
      <c r="AK96" s="104"/>
      <c r="AR96" s="104"/>
      <c r="AV96" s="104"/>
      <c r="AX96" s="104"/>
      <c r="BB96" s="104"/>
      <c r="BC96" s="104"/>
      <c r="BE96" s="104"/>
      <c r="BH96" s="99"/>
      <c r="BI96" s="190" t="s">
        <v>224</v>
      </c>
      <c r="BJ96" s="187" t="s">
        <v>615</v>
      </c>
      <c r="BK96" s="213">
        <v>0</v>
      </c>
      <c r="BL96" s="187" t="s">
        <v>612</v>
      </c>
      <c r="BM96" s="189">
        <v>4.4900000000000001E-3</v>
      </c>
      <c r="BN96" s="189">
        <v>4.4900000000000001E-3</v>
      </c>
      <c r="BO96" s="188" t="s">
        <v>241</v>
      </c>
      <c r="BP96" s="191">
        <v>448.58819999999997</v>
      </c>
      <c r="BQ96" s="187">
        <f t="shared" si="85"/>
        <v>0.44858819999999999</v>
      </c>
      <c r="BR96" s="187" t="s">
        <v>613</v>
      </c>
      <c r="BS96" s="189">
        <v>0.1</v>
      </c>
      <c r="BT96" s="189">
        <v>1</v>
      </c>
      <c r="BU96" s="187" t="s">
        <v>242</v>
      </c>
      <c r="BV96" s="181">
        <v>59.811799999999998</v>
      </c>
      <c r="BW96" s="187">
        <f t="shared" si="86"/>
        <v>5.9811799999999998E-2</v>
      </c>
      <c r="BX96" s="187" t="s">
        <v>614</v>
      </c>
      <c r="BY96" s="189">
        <v>1.4999999999999999E-2</v>
      </c>
      <c r="BZ96" s="189">
        <v>0.15</v>
      </c>
      <c r="CA96" s="187" t="s">
        <v>242</v>
      </c>
      <c r="CB96" s="187">
        <v>0</v>
      </c>
      <c r="CC96" s="187">
        <f t="shared" si="87"/>
        <v>0</v>
      </c>
      <c r="CD96" s="187" t="s">
        <v>613</v>
      </c>
      <c r="CE96" s="189">
        <v>0</v>
      </c>
      <c r="CF96" s="189">
        <v>0</v>
      </c>
      <c r="CG96" s="187" t="s">
        <v>242</v>
      </c>
      <c r="CH96" s="181">
        <v>0</v>
      </c>
      <c r="CI96" s="187">
        <f t="shared" si="88"/>
        <v>0</v>
      </c>
      <c r="CJ96" s="187" t="s">
        <v>614</v>
      </c>
      <c r="CK96" s="189">
        <v>0</v>
      </c>
      <c r="CL96" s="189">
        <v>0</v>
      </c>
      <c r="CM96" s="187" t="s">
        <v>242</v>
      </c>
      <c r="CN96" s="225"/>
      <c r="CO96" s="100">
        <v>0.6</v>
      </c>
      <c r="CP96" s="100">
        <f t="shared" si="89"/>
        <v>0.8</v>
      </c>
      <c r="CQ96" s="100">
        <v>1</v>
      </c>
    </row>
    <row r="97" spans="1:95" s="101" customFormat="1" ht="16.5" hidden="1" customHeight="1" thickBot="1" x14ac:dyDescent="0.3">
      <c r="A97" s="99"/>
      <c r="V97" s="103"/>
      <c r="AA97" s="104"/>
      <c r="AB97" s="104"/>
      <c r="AD97" s="104"/>
      <c r="AE97" s="105"/>
      <c r="AH97" s="106"/>
      <c r="AI97" s="106"/>
      <c r="AK97" s="104"/>
      <c r="AR97" s="104"/>
      <c r="AV97" s="104"/>
      <c r="AX97" s="104"/>
      <c r="BB97" s="104"/>
      <c r="BC97" s="104"/>
      <c r="BE97" s="104"/>
      <c r="BH97" s="99"/>
      <c r="BI97" s="190" t="s">
        <v>225</v>
      </c>
      <c r="BJ97" s="187" t="s">
        <v>615</v>
      </c>
      <c r="BK97" s="213">
        <v>0</v>
      </c>
      <c r="BL97" s="187" t="s">
        <v>612</v>
      </c>
      <c r="BM97" s="189">
        <v>3.0299999999999997E-3</v>
      </c>
      <c r="BN97" s="189">
        <v>3.0299999999999997E-3</v>
      </c>
      <c r="BO97" s="188" t="s">
        <v>241</v>
      </c>
      <c r="BP97" s="191">
        <v>735.18640000000005</v>
      </c>
      <c r="BQ97" s="187">
        <f t="shared" si="85"/>
        <v>0.73518640000000002</v>
      </c>
      <c r="BR97" s="187" t="s">
        <v>613</v>
      </c>
      <c r="BS97" s="189">
        <v>0.1</v>
      </c>
      <c r="BT97" s="189">
        <v>1</v>
      </c>
      <c r="BU97" s="187" t="s">
        <v>242</v>
      </c>
      <c r="BV97" s="181">
        <v>98.024799999999999</v>
      </c>
      <c r="BW97" s="187">
        <f t="shared" si="86"/>
        <v>9.8024799999999995E-2</v>
      </c>
      <c r="BX97" s="187" t="s">
        <v>614</v>
      </c>
      <c r="BY97" s="189">
        <v>1.4999999999999999E-2</v>
      </c>
      <c r="BZ97" s="189">
        <v>0.15</v>
      </c>
      <c r="CA97" s="187" t="s">
        <v>242</v>
      </c>
      <c r="CB97" s="187">
        <v>0</v>
      </c>
      <c r="CC97" s="187">
        <f t="shared" si="87"/>
        <v>0</v>
      </c>
      <c r="CD97" s="187" t="s">
        <v>613</v>
      </c>
      <c r="CE97" s="189">
        <v>0</v>
      </c>
      <c r="CF97" s="189">
        <v>0</v>
      </c>
      <c r="CG97" s="187" t="s">
        <v>242</v>
      </c>
      <c r="CH97" s="181">
        <v>0</v>
      </c>
      <c r="CI97" s="187">
        <f t="shared" si="88"/>
        <v>0</v>
      </c>
      <c r="CJ97" s="187" t="s">
        <v>614</v>
      </c>
      <c r="CK97" s="189">
        <v>0</v>
      </c>
      <c r="CL97" s="189">
        <v>0</v>
      </c>
      <c r="CM97" s="187" t="s">
        <v>242</v>
      </c>
      <c r="CN97" s="225"/>
      <c r="CO97" s="100">
        <v>0.6</v>
      </c>
      <c r="CP97" s="100">
        <f t="shared" si="89"/>
        <v>0.8</v>
      </c>
      <c r="CQ97" s="100">
        <v>1</v>
      </c>
    </row>
    <row r="98" spans="1:95" s="101" customFormat="1" ht="16.5" hidden="1" customHeight="1" thickBot="1" x14ac:dyDescent="0.3">
      <c r="A98" s="99"/>
      <c r="V98" s="103"/>
      <c r="AA98" s="104"/>
      <c r="AB98" s="104"/>
      <c r="AD98" s="104"/>
      <c r="AE98" s="105"/>
      <c r="AH98" s="106"/>
      <c r="AI98" s="106"/>
      <c r="AK98" s="104"/>
      <c r="AR98" s="104"/>
      <c r="AV98" s="104"/>
      <c r="AX98" s="104"/>
      <c r="BB98" s="104"/>
      <c r="BC98" s="104"/>
      <c r="BE98" s="104"/>
      <c r="BH98" s="99"/>
      <c r="BI98" s="190" t="s">
        <v>226</v>
      </c>
      <c r="BJ98" s="187" t="s">
        <v>615</v>
      </c>
      <c r="BK98" s="213">
        <v>0</v>
      </c>
      <c r="BL98" s="187" t="s">
        <v>612</v>
      </c>
      <c r="BM98" s="189">
        <v>3.7299999999999998E-3</v>
      </c>
      <c r="BN98" s="189">
        <v>3.7299999999999998E-3</v>
      </c>
      <c r="BO98" s="188" t="s">
        <v>241</v>
      </c>
      <c r="BP98" s="191">
        <v>537.77970000000005</v>
      </c>
      <c r="BQ98" s="187">
        <f t="shared" si="85"/>
        <v>0.53777970000000008</v>
      </c>
      <c r="BR98" s="187" t="s">
        <v>613</v>
      </c>
      <c r="BS98" s="189">
        <v>0.1</v>
      </c>
      <c r="BT98" s="189">
        <v>1</v>
      </c>
      <c r="BU98" s="187" t="s">
        <v>242</v>
      </c>
      <c r="BV98" s="181">
        <v>71.703999999999994</v>
      </c>
      <c r="BW98" s="187">
        <f t="shared" si="86"/>
        <v>7.170399999999999E-2</v>
      </c>
      <c r="BX98" s="187" t="s">
        <v>614</v>
      </c>
      <c r="BY98" s="189">
        <v>1.4999999999999999E-2</v>
      </c>
      <c r="BZ98" s="189">
        <v>0.15</v>
      </c>
      <c r="CA98" s="187" t="s">
        <v>242</v>
      </c>
      <c r="CB98" s="187">
        <v>0</v>
      </c>
      <c r="CC98" s="187">
        <f t="shared" si="87"/>
        <v>0</v>
      </c>
      <c r="CD98" s="187" t="s">
        <v>613</v>
      </c>
      <c r="CE98" s="189">
        <v>0</v>
      </c>
      <c r="CF98" s="189">
        <v>0</v>
      </c>
      <c r="CG98" s="187" t="s">
        <v>242</v>
      </c>
      <c r="CH98" s="181">
        <v>0</v>
      </c>
      <c r="CI98" s="187">
        <f t="shared" si="88"/>
        <v>0</v>
      </c>
      <c r="CJ98" s="187" t="s">
        <v>614</v>
      </c>
      <c r="CK98" s="189">
        <v>0</v>
      </c>
      <c r="CL98" s="189">
        <v>0</v>
      </c>
      <c r="CM98" s="187" t="s">
        <v>242</v>
      </c>
      <c r="CN98" s="225"/>
      <c r="CO98" s="100">
        <v>0.6</v>
      </c>
      <c r="CP98" s="100">
        <f t="shared" si="89"/>
        <v>0.8</v>
      </c>
      <c r="CQ98" s="100">
        <v>1</v>
      </c>
    </row>
    <row r="99" spans="1:95" s="101" customFormat="1" ht="16.5" hidden="1" customHeight="1" thickBot="1" x14ac:dyDescent="0.3">
      <c r="A99" s="99"/>
      <c r="V99" s="103"/>
      <c r="AA99" s="104"/>
      <c r="AB99" s="104"/>
      <c r="AD99" s="104"/>
      <c r="AE99" s="105"/>
      <c r="AH99" s="106"/>
      <c r="AI99" s="106"/>
      <c r="AK99" s="104"/>
      <c r="AR99" s="104"/>
      <c r="AV99" s="104"/>
      <c r="AX99" s="104"/>
      <c r="BB99" s="104"/>
      <c r="BC99" s="104"/>
      <c r="BE99" s="104"/>
      <c r="BH99" s="99"/>
      <c r="BI99" s="190" t="s">
        <v>3</v>
      </c>
      <c r="BJ99" s="187" t="s">
        <v>615</v>
      </c>
      <c r="BK99" s="213">
        <v>0</v>
      </c>
      <c r="BL99" s="187" t="s">
        <v>612</v>
      </c>
      <c r="BM99" s="189">
        <v>4.4099999999999999E-3</v>
      </c>
      <c r="BN99" s="189">
        <v>4.4099999999999999E-3</v>
      </c>
      <c r="BO99" s="188" t="s">
        <v>241</v>
      </c>
      <c r="BP99" s="191">
        <v>509.80349999999999</v>
      </c>
      <c r="BQ99" s="187">
        <f t="shared" si="85"/>
        <v>0.50980349999999997</v>
      </c>
      <c r="BR99" s="187" t="s">
        <v>613</v>
      </c>
      <c r="BS99" s="189">
        <v>0.1</v>
      </c>
      <c r="BT99" s="189">
        <v>1</v>
      </c>
      <c r="BU99" s="187" t="s">
        <v>242</v>
      </c>
      <c r="BV99" s="181">
        <v>67.973799999999997</v>
      </c>
      <c r="BW99" s="187">
        <f t="shared" si="86"/>
        <v>6.7973800000000001E-2</v>
      </c>
      <c r="BX99" s="187" t="s">
        <v>614</v>
      </c>
      <c r="BY99" s="189">
        <v>1.4999999999999999E-2</v>
      </c>
      <c r="BZ99" s="189">
        <v>0.15</v>
      </c>
      <c r="CA99" s="187" t="s">
        <v>242</v>
      </c>
      <c r="CB99" s="187">
        <v>0</v>
      </c>
      <c r="CC99" s="187">
        <f t="shared" si="87"/>
        <v>0</v>
      </c>
      <c r="CD99" s="187" t="s">
        <v>613</v>
      </c>
      <c r="CE99" s="189">
        <v>0</v>
      </c>
      <c r="CF99" s="189">
        <v>0</v>
      </c>
      <c r="CG99" s="187" t="s">
        <v>242</v>
      </c>
      <c r="CH99" s="181">
        <v>0</v>
      </c>
      <c r="CI99" s="187">
        <f t="shared" si="88"/>
        <v>0</v>
      </c>
      <c r="CJ99" s="187" t="s">
        <v>614</v>
      </c>
      <c r="CK99" s="189">
        <v>0</v>
      </c>
      <c r="CL99" s="189">
        <v>0</v>
      </c>
      <c r="CM99" s="187" t="s">
        <v>242</v>
      </c>
      <c r="CN99" s="225"/>
      <c r="CO99" s="100">
        <v>0.6</v>
      </c>
      <c r="CP99" s="100">
        <f t="shared" si="89"/>
        <v>0.8</v>
      </c>
      <c r="CQ99" s="100">
        <v>1</v>
      </c>
    </row>
    <row r="100" spans="1:95" s="101" customFormat="1" ht="16.5" hidden="1" customHeight="1" thickBot="1" x14ac:dyDescent="0.3">
      <c r="A100" s="99"/>
      <c r="V100" s="103"/>
      <c r="AA100" s="104"/>
      <c r="AB100" s="104"/>
      <c r="AD100" s="104"/>
      <c r="AE100" s="105"/>
      <c r="AH100" s="106"/>
      <c r="AI100" s="106"/>
      <c r="AK100" s="104"/>
      <c r="AR100" s="104"/>
      <c r="AV100" s="104"/>
      <c r="AX100" s="104"/>
      <c r="BB100" s="104"/>
      <c r="BC100" s="104"/>
      <c r="BE100" s="104"/>
      <c r="BH100" s="99"/>
      <c r="BI100" s="190" t="s">
        <v>227</v>
      </c>
      <c r="BJ100" s="187" t="s">
        <v>615</v>
      </c>
      <c r="BK100" s="213">
        <v>0</v>
      </c>
      <c r="BL100" s="187" t="s">
        <v>612</v>
      </c>
      <c r="BM100" s="189">
        <v>3.6800000000000001E-3</v>
      </c>
      <c r="BN100" s="189">
        <v>3.6800000000000001E-3</v>
      </c>
      <c r="BO100" s="188" t="s">
        <v>241</v>
      </c>
      <c r="BP100" s="191">
        <v>509.37279999999998</v>
      </c>
      <c r="BQ100" s="187">
        <f t="shared" si="85"/>
        <v>0.50937279999999996</v>
      </c>
      <c r="BR100" s="187" t="s">
        <v>613</v>
      </c>
      <c r="BS100" s="189">
        <v>0.1</v>
      </c>
      <c r="BT100" s="189">
        <v>1</v>
      </c>
      <c r="BU100" s="187" t="s">
        <v>242</v>
      </c>
      <c r="BV100" s="181">
        <v>67.916399999999996</v>
      </c>
      <c r="BW100" s="187">
        <f t="shared" si="86"/>
        <v>6.7916400000000002E-2</v>
      </c>
      <c r="BX100" s="187" t="s">
        <v>614</v>
      </c>
      <c r="BY100" s="189">
        <v>1.4999999999999999E-2</v>
      </c>
      <c r="BZ100" s="189">
        <v>0.15</v>
      </c>
      <c r="CA100" s="187" t="s">
        <v>242</v>
      </c>
      <c r="CB100" s="187">
        <v>0</v>
      </c>
      <c r="CC100" s="187">
        <f t="shared" si="87"/>
        <v>0</v>
      </c>
      <c r="CD100" s="187" t="s">
        <v>613</v>
      </c>
      <c r="CE100" s="189">
        <v>0</v>
      </c>
      <c r="CF100" s="189">
        <v>0</v>
      </c>
      <c r="CG100" s="187" t="s">
        <v>242</v>
      </c>
      <c r="CH100" s="181">
        <v>0</v>
      </c>
      <c r="CI100" s="187">
        <f t="shared" si="88"/>
        <v>0</v>
      </c>
      <c r="CJ100" s="187" t="s">
        <v>614</v>
      </c>
      <c r="CK100" s="189">
        <v>0</v>
      </c>
      <c r="CL100" s="189">
        <v>0</v>
      </c>
      <c r="CM100" s="187" t="s">
        <v>242</v>
      </c>
      <c r="CN100" s="225"/>
      <c r="CO100" s="100">
        <v>0.6</v>
      </c>
      <c r="CP100" s="100">
        <f t="shared" si="89"/>
        <v>0.8</v>
      </c>
      <c r="CQ100" s="100">
        <v>1</v>
      </c>
    </row>
    <row r="101" spans="1:95" s="101" customFormat="1" ht="16.5" hidden="1" customHeight="1" thickBot="1" x14ac:dyDescent="0.3">
      <c r="A101" s="99"/>
      <c r="V101" s="103"/>
      <c r="AA101" s="104"/>
      <c r="AB101" s="104"/>
      <c r="AD101" s="104"/>
      <c r="AE101" s="105"/>
      <c r="AH101" s="106"/>
      <c r="AI101" s="106"/>
      <c r="AK101" s="104"/>
      <c r="AR101" s="104"/>
      <c r="AV101" s="104"/>
      <c r="AX101" s="104"/>
      <c r="BB101" s="104"/>
      <c r="BC101" s="104"/>
      <c r="BE101" s="104"/>
      <c r="BH101" s="99"/>
      <c r="BI101" s="190" t="s">
        <v>228</v>
      </c>
      <c r="BJ101" s="187" t="s">
        <v>615</v>
      </c>
      <c r="BK101" s="213">
        <v>0</v>
      </c>
      <c r="BL101" s="187" t="s">
        <v>612</v>
      </c>
      <c r="BM101" s="189">
        <v>3.5899999999999999E-3</v>
      </c>
      <c r="BN101" s="189">
        <v>3.5899999999999999E-3</v>
      </c>
      <c r="BO101" s="188" t="s">
        <v>241</v>
      </c>
      <c r="BP101" s="191">
        <v>554.66999999999996</v>
      </c>
      <c r="BQ101" s="187">
        <f t="shared" si="85"/>
        <v>0.55467</v>
      </c>
      <c r="BR101" s="187" t="s">
        <v>613</v>
      </c>
      <c r="BS101" s="189">
        <v>0.1</v>
      </c>
      <c r="BT101" s="189">
        <v>1</v>
      </c>
      <c r="BU101" s="187" t="s">
        <v>242</v>
      </c>
      <c r="BV101" s="181">
        <v>73.956000000000003</v>
      </c>
      <c r="BW101" s="187">
        <f t="shared" si="86"/>
        <v>7.3956000000000008E-2</v>
      </c>
      <c r="BX101" s="187" t="s">
        <v>614</v>
      </c>
      <c r="BY101" s="189">
        <v>1.4999999999999999E-2</v>
      </c>
      <c r="BZ101" s="189">
        <v>0.15</v>
      </c>
      <c r="CA101" s="187" t="s">
        <v>242</v>
      </c>
      <c r="CB101" s="187">
        <v>0</v>
      </c>
      <c r="CC101" s="187">
        <f t="shared" si="87"/>
        <v>0</v>
      </c>
      <c r="CD101" s="187" t="s">
        <v>613</v>
      </c>
      <c r="CE101" s="189">
        <v>0</v>
      </c>
      <c r="CF101" s="189">
        <v>0</v>
      </c>
      <c r="CG101" s="187" t="s">
        <v>242</v>
      </c>
      <c r="CH101" s="181">
        <v>0</v>
      </c>
      <c r="CI101" s="187">
        <f t="shared" si="88"/>
        <v>0</v>
      </c>
      <c r="CJ101" s="187" t="s">
        <v>614</v>
      </c>
      <c r="CK101" s="189">
        <v>0</v>
      </c>
      <c r="CL101" s="189">
        <v>0</v>
      </c>
      <c r="CM101" s="187" t="s">
        <v>242</v>
      </c>
      <c r="CN101" s="225"/>
      <c r="CO101" s="100">
        <v>0.6</v>
      </c>
      <c r="CP101" s="100">
        <f t="shared" si="89"/>
        <v>0.8</v>
      </c>
      <c r="CQ101" s="100">
        <v>1</v>
      </c>
    </row>
    <row r="102" spans="1:95" s="101" customFormat="1" ht="16.5" hidden="1" customHeight="1" thickBot="1" x14ac:dyDescent="0.3">
      <c r="A102" s="99"/>
      <c r="V102" s="103"/>
      <c r="AA102" s="104"/>
      <c r="AB102" s="104"/>
      <c r="AD102" s="104"/>
      <c r="AE102" s="105"/>
      <c r="AH102" s="106"/>
      <c r="AI102" s="106"/>
      <c r="AK102" s="104"/>
      <c r="AR102" s="104"/>
      <c r="AV102" s="104"/>
      <c r="AX102" s="104"/>
      <c r="BB102" s="104"/>
      <c r="BC102" s="104"/>
      <c r="BE102" s="104"/>
      <c r="BH102" s="99"/>
      <c r="BI102" s="190" t="s">
        <v>229</v>
      </c>
      <c r="BJ102" s="187" t="s">
        <v>615</v>
      </c>
      <c r="BK102" s="213">
        <v>0</v>
      </c>
      <c r="BL102" s="187" t="s">
        <v>612</v>
      </c>
      <c r="BM102" s="189">
        <v>3.4999999999999996E-3</v>
      </c>
      <c r="BN102" s="189">
        <v>3.4999999999999996E-3</v>
      </c>
      <c r="BO102" s="188" t="s">
        <v>241</v>
      </c>
      <c r="BP102" s="191">
        <v>569.07000000000005</v>
      </c>
      <c r="BQ102" s="187">
        <f t="shared" si="85"/>
        <v>0.56907000000000008</v>
      </c>
      <c r="BR102" s="187" t="s">
        <v>613</v>
      </c>
      <c r="BS102" s="189">
        <v>0.1</v>
      </c>
      <c r="BT102" s="189">
        <v>1</v>
      </c>
      <c r="BU102" s="187" t="s">
        <v>242</v>
      </c>
      <c r="BV102" s="181">
        <v>75.876000000000005</v>
      </c>
      <c r="BW102" s="187">
        <f t="shared" si="86"/>
        <v>7.5875999999999999E-2</v>
      </c>
      <c r="BX102" s="187" t="s">
        <v>614</v>
      </c>
      <c r="BY102" s="189">
        <v>1.4999999999999999E-2</v>
      </c>
      <c r="BZ102" s="189">
        <v>0.15</v>
      </c>
      <c r="CA102" s="187" t="s">
        <v>242</v>
      </c>
      <c r="CB102" s="187">
        <v>0</v>
      </c>
      <c r="CC102" s="187">
        <f t="shared" si="87"/>
        <v>0</v>
      </c>
      <c r="CD102" s="187" t="s">
        <v>613</v>
      </c>
      <c r="CE102" s="189">
        <v>0</v>
      </c>
      <c r="CF102" s="189">
        <v>0</v>
      </c>
      <c r="CG102" s="187" t="s">
        <v>242</v>
      </c>
      <c r="CH102" s="181">
        <v>0</v>
      </c>
      <c r="CI102" s="187">
        <f t="shared" si="88"/>
        <v>0</v>
      </c>
      <c r="CJ102" s="187" t="s">
        <v>614</v>
      </c>
      <c r="CK102" s="189">
        <v>0</v>
      </c>
      <c r="CL102" s="189">
        <v>0</v>
      </c>
      <c r="CM102" s="187" t="s">
        <v>242</v>
      </c>
      <c r="CN102" s="225"/>
      <c r="CO102" s="100">
        <v>0.6</v>
      </c>
      <c r="CP102" s="100">
        <f t="shared" si="89"/>
        <v>0.8</v>
      </c>
      <c r="CQ102" s="100">
        <v>1</v>
      </c>
    </row>
    <row r="103" spans="1:95" s="101" customFormat="1" ht="16.5" hidden="1" customHeight="1" thickBot="1" x14ac:dyDescent="0.3">
      <c r="A103" s="99"/>
      <c r="V103" s="103"/>
      <c r="AA103" s="104"/>
      <c r="AB103" s="104"/>
      <c r="AD103" s="104"/>
      <c r="AE103" s="105"/>
      <c r="AH103" s="106"/>
      <c r="AI103" s="106"/>
      <c r="AK103" s="104"/>
      <c r="AR103" s="104"/>
      <c r="AV103" s="104"/>
      <c r="AX103" s="104"/>
      <c r="BB103" s="104"/>
      <c r="BC103" s="104"/>
      <c r="BE103" s="104"/>
      <c r="BH103" s="99"/>
      <c r="BI103" s="190" t="s">
        <v>230</v>
      </c>
      <c r="BJ103" s="187" t="s">
        <v>615</v>
      </c>
      <c r="BK103" s="213">
        <v>0</v>
      </c>
      <c r="BL103" s="187" t="s">
        <v>612</v>
      </c>
      <c r="BM103" s="189">
        <v>3.5899999999999999E-3</v>
      </c>
      <c r="BN103" s="189">
        <v>3.5899999999999999E-3</v>
      </c>
      <c r="BO103" s="188" t="s">
        <v>241</v>
      </c>
      <c r="BP103" s="191">
        <v>560.82000000000005</v>
      </c>
      <c r="BQ103" s="187">
        <f t="shared" si="85"/>
        <v>0.5608200000000001</v>
      </c>
      <c r="BR103" s="187" t="s">
        <v>613</v>
      </c>
      <c r="BS103" s="189">
        <v>0.1</v>
      </c>
      <c r="BT103" s="189">
        <v>1</v>
      </c>
      <c r="BU103" s="187" t="s">
        <v>242</v>
      </c>
      <c r="BV103" s="181">
        <v>74.775999999999996</v>
      </c>
      <c r="BW103" s="187">
        <f t="shared" si="86"/>
        <v>7.4775999999999995E-2</v>
      </c>
      <c r="BX103" s="187" t="s">
        <v>614</v>
      </c>
      <c r="BY103" s="189">
        <v>1.4999999999999999E-2</v>
      </c>
      <c r="BZ103" s="189">
        <v>0.15</v>
      </c>
      <c r="CA103" s="187" t="s">
        <v>242</v>
      </c>
      <c r="CB103" s="187">
        <v>0</v>
      </c>
      <c r="CC103" s="187">
        <f t="shared" si="87"/>
        <v>0</v>
      </c>
      <c r="CD103" s="187" t="s">
        <v>613</v>
      </c>
      <c r="CE103" s="189">
        <v>0</v>
      </c>
      <c r="CF103" s="189">
        <v>0</v>
      </c>
      <c r="CG103" s="187" t="s">
        <v>242</v>
      </c>
      <c r="CH103" s="181">
        <v>0</v>
      </c>
      <c r="CI103" s="187">
        <f t="shared" si="88"/>
        <v>0</v>
      </c>
      <c r="CJ103" s="187" t="s">
        <v>614</v>
      </c>
      <c r="CK103" s="189">
        <v>0</v>
      </c>
      <c r="CL103" s="189">
        <v>0</v>
      </c>
      <c r="CM103" s="187" t="s">
        <v>242</v>
      </c>
      <c r="CN103" s="225"/>
      <c r="CO103" s="100">
        <v>0.6</v>
      </c>
      <c r="CP103" s="100">
        <f t="shared" si="89"/>
        <v>0.8</v>
      </c>
      <c r="CQ103" s="100">
        <v>1</v>
      </c>
    </row>
    <row r="104" spans="1:95" s="101" customFormat="1" ht="16.5" hidden="1" customHeight="1" thickBot="1" x14ac:dyDescent="0.3">
      <c r="A104" s="99"/>
      <c r="V104" s="103"/>
      <c r="AA104" s="104"/>
      <c r="AB104" s="104"/>
      <c r="AD104" s="104"/>
      <c r="AE104" s="105"/>
      <c r="AH104" s="106"/>
      <c r="AI104" s="106"/>
      <c r="AK104" s="104"/>
      <c r="AR104" s="104"/>
      <c r="AV104" s="104"/>
      <c r="AX104" s="104"/>
      <c r="BB104" s="104"/>
      <c r="BC104" s="104"/>
      <c r="BE104" s="104"/>
      <c r="BH104" s="99"/>
      <c r="BI104" s="190" t="s">
        <v>231</v>
      </c>
      <c r="BJ104" s="187" t="s">
        <v>615</v>
      </c>
      <c r="BK104" s="213">
        <v>0</v>
      </c>
      <c r="BL104" s="187" t="s">
        <v>612</v>
      </c>
      <c r="BM104" s="189">
        <v>3.6099999999999999E-3</v>
      </c>
      <c r="BN104" s="189">
        <v>3.6099999999999999E-3</v>
      </c>
      <c r="BO104" s="188" t="s">
        <v>241</v>
      </c>
      <c r="BP104" s="191">
        <v>557.46</v>
      </c>
      <c r="BQ104" s="187">
        <f t="shared" si="85"/>
        <v>0.55746000000000007</v>
      </c>
      <c r="BR104" s="187" t="s">
        <v>613</v>
      </c>
      <c r="BS104" s="189">
        <v>0.1</v>
      </c>
      <c r="BT104" s="189">
        <v>1</v>
      </c>
      <c r="BU104" s="187" t="s">
        <v>242</v>
      </c>
      <c r="BV104" s="181">
        <v>74.328000000000003</v>
      </c>
      <c r="BW104" s="187">
        <f t="shared" si="86"/>
        <v>7.4328000000000005E-2</v>
      </c>
      <c r="BX104" s="187" t="s">
        <v>614</v>
      </c>
      <c r="BY104" s="189">
        <v>1.4999999999999999E-2</v>
      </c>
      <c r="BZ104" s="189">
        <v>0.15</v>
      </c>
      <c r="CA104" s="187" t="s">
        <v>242</v>
      </c>
      <c r="CB104" s="187">
        <v>0</v>
      </c>
      <c r="CC104" s="187">
        <f t="shared" si="87"/>
        <v>0</v>
      </c>
      <c r="CD104" s="187" t="s">
        <v>613</v>
      </c>
      <c r="CE104" s="189">
        <v>0</v>
      </c>
      <c r="CF104" s="189">
        <v>0</v>
      </c>
      <c r="CG104" s="187" t="s">
        <v>242</v>
      </c>
      <c r="CH104" s="181">
        <v>0</v>
      </c>
      <c r="CI104" s="187">
        <f t="shared" si="88"/>
        <v>0</v>
      </c>
      <c r="CJ104" s="187" t="s">
        <v>614</v>
      </c>
      <c r="CK104" s="189">
        <v>0</v>
      </c>
      <c r="CL104" s="189">
        <v>0</v>
      </c>
      <c r="CM104" s="187" t="s">
        <v>242</v>
      </c>
      <c r="CN104" s="225"/>
      <c r="CO104" s="100">
        <v>0.6</v>
      </c>
      <c r="CP104" s="100">
        <f t="shared" si="89"/>
        <v>0.8</v>
      </c>
      <c r="CQ104" s="100">
        <v>1</v>
      </c>
    </row>
    <row r="105" spans="1:95" s="101" customFormat="1" ht="16.5" hidden="1" customHeight="1" thickBot="1" x14ac:dyDescent="0.3">
      <c r="A105" s="99"/>
      <c r="V105" s="103"/>
      <c r="AA105" s="104"/>
      <c r="AB105" s="104"/>
      <c r="AD105" s="104"/>
      <c r="AE105" s="105"/>
      <c r="AH105" s="106"/>
      <c r="AI105" s="106"/>
      <c r="AK105" s="104"/>
      <c r="AR105" s="104"/>
      <c r="AV105" s="104"/>
      <c r="AX105" s="104"/>
      <c r="BB105" s="104"/>
      <c r="BC105" s="104"/>
      <c r="BE105" s="104"/>
      <c r="BH105" s="99"/>
      <c r="BI105" s="190" t="s">
        <v>372</v>
      </c>
      <c r="BJ105" s="187" t="s">
        <v>615</v>
      </c>
      <c r="BK105" s="181">
        <v>2941.7959999999998</v>
      </c>
      <c r="BL105" s="187" t="s">
        <v>612</v>
      </c>
      <c r="BM105" s="189">
        <v>2.2100000000000002E-3</v>
      </c>
      <c r="BN105" s="189">
        <v>2.2100000000000002E-3</v>
      </c>
      <c r="BO105" s="188" t="s">
        <v>241</v>
      </c>
      <c r="BP105" s="191">
        <v>1137.6222</v>
      </c>
      <c r="BQ105" s="187">
        <f t="shared" si="85"/>
        <v>1.1376222</v>
      </c>
      <c r="BR105" s="187" t="s">
        <v>613</v>
      </c>
      <c r="BS105" s="189">
        <v>3.0000000000000001E-3</v>
      </c>
      <c r="BT105" s="189">
        <v>0.03</v>
      </c>
      <c r="BU105" s="187" t="s">
        <v>242</v>
      </c>
      <c r="BV105" s="181">
        <v>3.7921</v>
      </c>
      <c r="BW105" s="187">
        <f t="shared" si="86"/>
        <v>3.7921000000000001E-3</v>
      </c>
      <c r="BX105" s="187" t="s">
        <v>614</v>
      </c>
      <c r="BY105" s="189">
        <v>3.0000000000000001E-3</v>
      </c>
      <c r="BZ105" s="189">
        <v>1.4999999999999999E-2</v>
      </c>
      <c r="CA105" s="187" t="s">
        <v>242</v>
      </c>
      <c r="CB105" s="187">
        <v>0</v>
      </c>
      <c r="CC105" s="187">
        <f t="shared" si="87"/>
        <v>0</v>
      </c>
      <c r="CD105" s="187" t="s">
        <v>613</v>
      </c>
      <c r="CE105" s="189">
        <v>0</v>
      </c>
      <c r="CF105" s="189">
        <v>0</v>
      </c>
      <c r="CG105" s="187" t="s">
        <v>242</v>
      </c>
      <c r="CH105" s="181">
        <v>0</v>
      </c>
      <c r="CI105" s="187">
        <f t="shared" si="88"/>
        <v>0</v>
      </c>
      <c r="CJ105" s="187" t="s">
        <v>614</v>
      </c>
      <c r="CK105" s="189">
        <v>0</v>
      </c>
      <c r="CL105" s="189">
        <v>0</v>
      </c>
      <c r="CM105" s="187" t="s">
        <v>242</v>
      </c>
      <c r="CN105" s="225"/>
      <c r="CO105" s="100">
        <v>0.15</v>
      </c>
      <c r="CP105" s="100">
        <f t="shared" si="89"/>
        <v>0.17499999999999999</v>
      </c>
      <c r="CQ105" s="100">
        <v>0.2</v>
      </c>
    </row>
    <row r="106" spans="1:95" s="101" customFormat="1" ht="16.5" hidden="1" customHeight="1" x14ac:dyDescent="0.25">
      <c r="A106" s="99"/>
      <c r="V106" s="103"/>
      <c r="AA106" s="104"/>
      <c r="AB106" s="104"/>
      <c r="AD106" s="104"/>
      <c r="AE106" s="105"/>
      <c r="AH106" s="106"/>
      <c r="AI106" s="106"/>
      <c r="AK106" s="104"/>
      <c r="AR106" s="104"/>
      <c r="AV106" s="104"/>
      <c r="AX106" s="104"/>
      <c r="BB106" s="104"/>
      <c r="BC106" s="104"/>
      <c r="BE106" s="104"/>
      <c r="BH106" s="99"/>
      <c r="BI106" s="102"/>
      <c r="BJ106" s="178"/>
      <c r="BK106" s="178"/>
      <c r="BL106" s="178"/>
      <c r="BM106" s="169"/>
      <c r="BN106" s="169"/>
      <c r="BO106" s="169"/>
      <c r="BP106" s="192"/>
      <c r="BQ106" s="192"/>
      <c r="BR106" s="192"/>
      <c r="BS106" s="192"/>
      <c r="BT106" s="192"/>
      <c r="BU106" s="192"/>
      <c r="BV106" s="178"/>
      <c r="BW106" s="192"/>
      <c r="BX106" s="192"/>
      <c r="BY106" s="178"/>
      <c r="BZ106" s="178"/>
      <c r="CA106" s="178"/>
      <c r="CB106" s="180"/>
      <c r="CC106" s="192"/>
      <c r="CD106" s="192"/>
      <c r="CE106" s="180"/>
      <c r="CF106" s="180"/>
      <c r="CG106" s="180"/>
      <c r="CH106" s="180"/>
      <c r="CI106" s="192"/>
      <c r="CJ106" s="192"/>
      <c r="CK106" s="180"/>
      <c r="CL106" s="180"/>
      <c r="CM106" s="180"/>
      <c r="CN106" s="225"/>
      <c r="CO106" s="100"/>
      <c r="CP106" s="100"/>
      <c r="CQ106" s="100"/>
    </row>
    <row r="107" spans="1:95" s="101" customFormat="1" ht="16.5" hidden="1" customHeight="1" thickBot="1" x14ac:dyDescent="0.3">
      <c r="A107" s="99"/>
      <c r="V107" s="103"/>
      <c r="AA107" s="104"/>
      <c r="AB107" s="104"/>
      <c r="AD107" s="104"/>
      <c r="AE107" s="105"/>
      <c r="AH107" s="106"/>
      <c r="AI107" s="106"/>
      <c r="AK107" s="104"/>
      <c r="AR107" s="104"/>
      <c r="AV107" s="104"/>
      <c r="AX107" s="104"/>
      <c r="BB107" s="104"/>
      <c r="BC107" s="104"/>
      <c r="BE107" s="104"/>
      <c r="BH107" s="99"/>
      <c r="BI107" s="102"/>
      <c r="BJ107" s="178"/>
      <c r="BK107" s="178"/>
      <c r="BL107" s="178"/>
      <c r="BM107" s="169"/>
      <c r="BN107" s="169"/>
      <c r="BO107" s="169"/>
      <c r="BP107" s="192"/>
      <c r="BQ107" s="192"/>
      <c r="BR107" s="192"/>
      <c r="BS107" s="192"/>
      <c r="BT107" s="192"/>
      <c r="BU107" s="192"/>
      <c r="BV107" s="178"/>
      <c r="BW107" s="192"/>
      <c r="BX107" s="192"/>
      <c r="BY107" s="178"/>
      <c r="BZ107" s="178"/>
      <c r="CA107" s="178"/>
      <c r="CB107" s="180"/>
      <c r="CC107" s="192"/>
      <c r="CD107" s="192"/>
      <c r="CE107" s="180"/>
      <c r="CF107" s="180"/>
      <c r="CG107" s="180"/>
      <c r="CH107" s="180"/>
      <c r="CI107" s="192"/>
      <c r="CJ107" s="192"/>
      <c r="CK107" s="180"/>
      <c r="CL107" s="180"/>
      <c r="CM107" s="180"/>
      <c r="CN107" s="225"/>
      <c r="CO107" s="100"/>
      <c r="CP107" s="100"/>
      <c r="CQ107" s="100"/>
    </row>
    <row r="108" spans="1:95" s="101" customFormat="1" ht="26.25" hidden="1" customHeight="1" thickBot="1" x14ac:dyDescent="0.3">
      <c r="A108" s="99"/>
      <c r="V108" s="103"/>
      <c r="AA108" s="104"/>
      <c r="AB108" s="104"/>
      <c r="AD108" s="104"/>
      <c r="AE108" s="105"/>
      <c r="AH108" s="106"/>
      <c r="AI108" s="106"/>
      <c r="AK108" s="104"/>
      <c r="AR108" s="104"/>
      <c r="AV108" s="104"/>
      <c r="AX108" s="104"/>
      <c r="BB108" s="104"/>
      <c r="BC108" s="104"/>
      <c r="BE108" s="104"/>
      <c r="BH108" s="99"/>
      <c r="BI108" s="1606" t="s">
        <v>232</v>
      </c>
      <c r="BJ108" s="183"/>
      <c r="BK108" s="1606" t="s">
        <v>267</v>
      </c>
      <c r="BL108" s="183"/>
      <c r="BM108" s="1606" t="s">
        <v>233</v>
      </c>
      <c r="BN108" s="1606" t="s">
        <v>233</v>
      </c>
      <c r="BO108" s="1606" t="s">
        <v>240</v>
      </c>
      <c r="BP108" s="1608" t="s">
        <v>172</v>
      </c>
      <c r="BQ108" s="1609"/>
      <c r="BR108" s="1609"/>
      <c r="BS108" s="1609"/>
      <c r="BT108" s="1609"/>
      <c r="BU108" s="1609"/>
      <c r="BV108" s="1609"/>
      <c r="BW108" s="1609"/>
      <c r="BX108" s="1609"/>
      <c r="BY108" s="1609"/>
      <c r="BZ108" s="1609"/>
      <c r="CA108" s="1610"/>
      <c r="CB108" s="1608" t="s">
        <v>173</v>
      </c>
      <c r="CC108" s="1609"/>
      <c r="CD108" s="1609"/>
      <c r="CE108" s="1609"/>
      <c r="CF108" s="1609"/>
      <c r="CG108" s="1609"/>
      <c r="CH108" s="1609"/>
      <c r="CI108" s="1609"/>
      <c r="CJ108" s="1609"/>
      <c r="CK108" s="1609"/>
      <c r="CL108" s="1609"/>
      <c r="CM108" s="1610"/>
      <c r="CN108" s="225"/>
      <c r="CO108" s="100"/>
      <c r="CP108" s="100"/>
      <c r="CQ108" s="100"/>
    </row>
    <row r="109" spans="1:95" s="101" customFormat="1" ht="58.5" hidden="1" customHeight="1" thickBot="1" x14ac:dyDescent="0.3">
      <c r="A109" s="99"/>
      <c r="V109" s="103"/>
      <c r="AA109" s="104"/>
      <c r="AB109" s="104"/>
      <c r="AD109" s="104"/>
      <c r="AE109" s="105"/>
      <c r="AH109" s="106"/>
      <c r="AI109" s="106"/>
      <c r="AK109" s="104"/>
      <c r="AR109" s="104"/>
      <c r="AV109" s="104"/>
      <c r="AX109" s="104"/>
      <c r="BB109" s="104"/>
      <c r="BC109" s="104"/>
      <c r="BE109" s="104"/>
      <c r="BH109" s="99"/>
      <c r="BI109" s="1607"/>
      <c r="BJ109" s="184" t="s">
        <v>253</v>
      </c>
      <c r="BK109" s="1607"/>
      <c r="BL109" s="184" t="s">
        <v>251</v>
      </c>
      <c r="BM109" s="1607"/>
      <c r="BN109" s="1607"/>
      <c r="BO109" s="1607"/>
      <c r="BP109" s="185" t="s">
        <v>268</v>
      </c>
      <c r="BQ109" s="185" t="s">
        <v>269</v>
      </c>
      <c r="BR109" s="184" t="s">
        <v>251</v>
      </c>
      <c r="BS109" s="185" t="s">
        <v>233</v>
      </c>
      <c r="BT109" s="185" t="s">
        <v>233</v>
      </c>
      <c r="BU109" s="185" t="s">
        <v>240</v>
      </c>
      <c r="BV109" s="185" t="s">
        <v>270</v>
      </c>
      <c r="BW109" s="185" t="s">
        <v>271</v>
      </c>
      <c r="BX109" s="184" t="s">
        <v>251</v>
      </c>
      <c r="BY109" s="185" t="s">
        <v>233</v>
      </c>
      <c r="BZ109" s="185" t="s">
        <v>233</v>
      </c>
      <c r="CA109" s="185" t="s">
        <v>240</v>
      </c>
      <c r="CB109" s="185" t="s">
        <v>268</v>
      </c>
      <c r="CC109" s="185" t="s">
        <v>269</v>
      </c>
      <c r="CD109" s="184" t="s">
        <v>251</v>
      </c>
      <c r="CE109" s="185" t="s">
        <v>233</v>
      </c>
      <c r="CF109" s="185" t="s">
        <v>233</v>
      </c>
      <c r="CG109" s="185" t="s">
        <v>240</v>
      </c>
      <c r="CH109" s="185" t="s">
        <v>270</v>
      </c>
      <c r="CI109" s="185" t="s">
        <v>271</v>
      </c>
      <c r="CJ109" s="184" t="s">
        <v>251</v>
      </c>
      <c r="CK109" s="185" t="s">
        <v>233</v>
      </c>
      <c r="CL109" s="185" t="s">
        <v>233</v>
      </c>
      <c r="CM109" s="185" t="s">
        <v>240</v>
      </c>
      <c r="CN109" s="225"/>
      <c r="CO109" s="100"/>
      <c r="CP109" s="100"/>
      <c r="CQ109" s="100"/>
    </row>
    <row r="110" spans="1:95" s="101" customFormat="1" ht="16.5" hidden="1" customHeight="1" thickBot="1" x14ac:dyDescent="0.3">
      <c r="A110" s="99"/>
      <c r="V110" s="103"/>
      <c r="AA110" s="104"/>
      <c r="AB110" s="104"/>
      <c r="AD110" s="148"/>
      <c r="AE110" s="105"/>
      <c r="AH110" s="106"/>
      <c r="AI110" s="106"/>
      <c r="AK110" s="148"/>
      <c r="AR110" s="148"/>
      <c r="AV110" s="104"/>
      <c r="AX110" s="148"/>
      <c r="BB110" s="104"/>
      <c r="BC110" s="104"/>
      <c r="BD110" s="119"/>
      <c r="BE110" s="148"/>
      <c r="BH110" s="99"/>
      <c r="BI110" s="190" t="s">
        <v>563</v>
      </c>
      <c r="BJ110" s="181" t="s">
        <v>252</v>
      </c>
      <c r="BK110" s="181">
        <v>10.148999999999999</v>
      </c>
      <c r="BL110" s="187" t="s">
        <v>405</v>
      </c>
      <c r="BM110" s="189">
        <v>2.0499999999999997E-3</v>
      </c>
      <c r="BN110" s="189">
        <v>2.0499999999999997E-3</v>
      </c>
      <c r="BO110" s="188" t="s">
        <v>241</v>
      </c>
      <c r="BP110" s="181">
        <v>0.01</v>
      </c>
      <c r="BQ110" s="191">
        <f>BP110/1000</f>
        <v>1.0000000000000001E-5</v>
      </c>
      <c r="BR110" s="187" t="s">
        <v>406</v>
      </c>
      <c r="BS110" s="189">
        <v>0.01</v>
      </c>
      <c r="BT110" s="189">
        <v>0.1</v>
      </c>
      <c r="BU110" s="187" t="s">
        <v>242</v>
      </c>
      <c r="BV110" s="181">
        <v>6.0000000000000001E-3</v>
      </c>
      <c r="BW110" s="191">
        <f>BV110/1000</f>
        <v>6.0000000000000002E-6</v>
      </c>
      <c r="BX110" s="187" t="s">
        <v>407</v>
      </c>
      <c r="BY110" s="189">
        <v>2E-3</v>
      </c>
      <c r="BZ110" s="189">
        <v>0.02</v>
      </c>
      <c r="CA110" s="187" t="s">
        <v>242</v>
      </c>
      <c r="CB110" s="181">
        <v>3.6999999999999998E-2</v>
      </c>
      <c r="CC110" s="191">
        <f>CB110/1000</f>
        <v>3.6999999999999998E-5</v>
      </c>
      <c r="CD110" s="187" t="s">
        <v>406</v>
      </c>
      <c r="CE110" s="189">
        <v>1.6E-2</v>
      </c>
      <c r="CF110" s="189">
        <v>9.5000000000000001E-2</v>
      </c>
      <c r="CG110" s="187" t="s">
        <v>242</v>
      </c>
      <c r="CH110" s="181">
        <v>3.6999999999999998E-2</v>
      </c>
      <c r="CI110" s="191">
        <f>CH110/1000</f>
        <v>3.6999999999999998E-5</v>
      </c>
      <c r="CJ110" s="187" t="s">
        <v>407</v>
      </c>
      <c r="CK110" s="189">
        <v>1.2999999999999999E-2</v>
      </c>
      <c r="CL110" s="189">
        <v>0.12</v>
      </c>
      <c r="CM110" s="187" t="s">
        <v>242</v>
      </c>
      <c r="CN110" s="225"/>
      <c r="CO110" s="100">
        <v>0.15</v>
      </c>
      <c r="CP110" s="100">
        <f t="shared" ref="CP110:CP122" si="90">(CO110+CQ110)/2</f>
        <v>0.17499999999999999</v>
      </c>
      <c r="CQ110" s="100">
        <v>0.2</v>
      </c>
    </row>
    <row r="111" spans="1:95" s="101" customFormat="1" ht="16.5" hidden="1" customHeight="1" thickBot="1" x14ac:dyDescent="0.3">
      <c r="A111" s="99"/>
      <c r="V111" s="103"/>
      <c r="AA111" s="104"/>
      <c r="AB111" s="104"/>
      <c r="AD111" s="148"/>
      <c r="AE111" s="105"/>
      <c r="AH111" s="106"/>
      <c r="AI111" s="106"/>
      <c r="AK111" s="148"/>
      <c r="AR111" s="148"/>
      <c r="AV111" s="104"/>
      <c r="AX111" s="148"/>
      <c r="BB111" s="104"/>
      <c r="BC111" s="104"/>
      <c r="BD111" s="119"/>
      <c r="BE111" s="148"/>
      <c r="BH111" s="99"/>
      <c r="BI111" s="190" t="s">
        <v>367</v>
      </c>
      <c r="BJ111" s="181" t="s">
        <v>252</v>
      </c>
      <c r="BK111" s="181">
        <v>8.8085000000000004</v>
      </c>
      <c r="BL111" s="187" t="s">
        <v>405</v>
      </c>
      <c r="BM111" s="189">
        <v>2.0300000000000001E-3</v>
      </c>
      <c r="BN111" s="189">
        <v>2.0300000000000001E-3</v>
      </c>
      <c r="BO111" s="188" t="s">
        <v>241</v>
      </c>
      <c r="BP111" s="181">
        <v>2.6599999999999999E-2</v>
      </c>
      <c r="BQ111" s="191">
        <f>BP111/1000</f>
        <v>2.6599999999999999E-5</v>
      </c>
      <c r="BR111" s="187" t="s">
        <v>406</v>
      </c>
      <c r="BS111" s="189">
        <v>0.01</v>
      </c>
      <c r="BT111" s="189">
        <v>0.1</v>
      </c>
      <c r="BU111" s="187" t="s">
        <v>242</v>
      </c>
      <c r="BV111" s="181">
        <v>5.3E-3</v>
      </c>
      <c r="BW111" s="191">
        <f>BV111/1000</f>
        <v>5.3000000000000001E-6</v>
      </c>
      <c r="BX111" s="187" t="s">
        <v>407</v>
      </c>
      <c r="BY111" s="189">
        <v>2E-3</v>
      </c>
      <c r="BZ111" s="189">
        <v>0.02</v>
      </c>
      <c r="CA111" s="187" t="s">
        <v>242</v>
      </c>
      <c r="CB111" s="181">
        <v>0.29260000000000003</v>
      </c>
      <c r="CC111" s="191">
        <f>CB111/1000</f>
        <v>2.9260000000000001E-4</v>
      </c>
      <c r="CD111" s="187" t="s">
        <v>406</v>
      </c>
      <c r="CE111" s="189">
        <v>9.6000000000000002E-2</v>
      </c>
      <c r="CF111" s="189">
        <v>1.1000000000000001</v>
      </c>
      <c r="CG111" s="187" t="s">
        <v>242</v>
      </c>
      <c r="CH111" s="181">
        <v>2.8400000000000002E-2</v>
      </c>
      <c r="CI111" s="191">
        <f>CH111/1000</f>
        <v>2.8400000000000003E-5</v>
      </c>
      <c r="CJ111" s="187" t="s">
        <v>407</v>
      </c>
      <c r="CK111" s="189">
        <v>9.5999999999999992E-3</v>
      </c>
      <c r="CL111" s="189">
        <v>0.11</v>
      </c>
      <c r="CM111" s="187" t="s">
        <v>242</v>
      </c>
      <c r="CN111" s="225"/>
      <c r="CO111" s="100">
        <v>0.15</v>
      </c>
      <c r="CP111" s="100">
        <f t="shared" si="90"/>
        <v>0.17499999999999999</v>
      </c>
      <c r="CQ111" s="100">
        <v>0.2</v>
      </c>
    </row>
    <row r="112" spans="1:95" s="101" customFormat="1" ht="16.5" hidden="1" customHeight="1" thickBot="1" x14ac:dyDescent="0.3">
      <c r="A112" s="99"/>
      <c r="V112" s="103"/>
      <c r="AA112" s="104"/>
      <c r="AB112" s="104"/>
      <c r="AD112" s="104"/>
      <c r="AE112" s="105"/>
      <c r="AH112" s="106"/>
      <c r="AI112" s="106"/>
      <c r="AK112" s="104"/>
      <c r="AR112" s="104"/>
      <c r="AV112" s="104"/>
      <c r="AX112" s="104"/>
      <c r="BB112" s="104"/>
      <c r="BC112" s="104"/>
      <c r="BE112" s="104"/>
      <c r="BH112" s="99"/>
      <c r="BI112" s="186" t="s">
        <v>234</v>
      </c>
      <c r="BJ112" s="181" t="s">
        <v>252</v>
      </c>
      <c r="BK112" s="181">
        <v>9.6232000000000006</v>
      </c>
      <c r="BL112" s="187" t="s">
        <v>405</v>
      </c>
      <c r="BM112" s="189">
        <v>2.0399999999999997E-3</v>
      </c>
      <c r="BN112" s="189">
        <v>2.0399999999999997E-3</v>
      </c>
      <c r="BO112" s="188" t="s">
        <v>241</v>
      </c>
      <c r="BP112" s="191">
        <v>2.7199999999999998E-2</v>
      </c>
      <c r="BQ112" s="191">
        <f>BP112/1000</f>
        <v>2.7199999999999997E-5</v>
      </c>
      <c r="BR112" s="187" t="s">
        <v>406</v>
      </c>
      <c r="BS112" s="189">
        <v>0.01</v>
      </c>
      <c r="BT112" s="189">
        <v>0.1</v>
      </c>
      <c r="BU112" s="187" t="s">
        <v>242</v>
      </c>
      <c r="BV112" s="181">
        <v>5.4000000000000003E-3</v>
      </c>
      <c r="BW112" s="191">
        <f>BV112/1000</f>
        <v>5.4E-6</v>
      </c>
      <c r="BX112" s="187" t="s">
        <v>407</v>
      </c>
      <c r="BY112" s="189">
        <v>2E-3</v>
      </c>
      <c r="BZ112" s="189">
        <v>0.02</v>
      </c>
      <c r="CA112" s="187" t="s">
        <v>242</v>
      </c>
      <c r="CB112" s="193">
        <v>0</v>
      </c>
      <c r="CC112" s="193">
        <f>CB112/1000</f>
        <v>0</v>
      </c>
      <c r="CD112" s="187" t="s">
        <v>406</v>
      </c>
      <c r="CE112" s="189">
        <v>0</v>
      </c>
      <c r="CF112" s="189">
        <v>0</v>
      </c>
      <c r="CG112" s="187" t="s">
        <v>242</v>
      </c>
      <c r="CH112" s="194">
        <v>0</v>
      </c>
      <c r="CI112" s="193">
        <f>CH112/1000</f>
        <v>0</v>
      </c>
      <c r="CJ112" s="187" t="s">
        <v>407</v>
      </c>
      <c r="CK112" s="189">
        <v>0</v>
      </c>
      <c r="CL112" s="189">
        <v>0</v>
      </c>
      <c r="CM112" s="187" t="s">
        <v>242</v>
      </c>
      <c r="CN112" s="225"/>
      <c r="CO112" s="100">
        <v>0.15</v>
      </c>
      <c r="CP112" s="100">
        <f t="shared" si="90"/>
        <v>0.17499999999999999</v>
      </c>
      <c r="CQ112" s="100">
        <v>0.2</v>
      </c>
    </row>
    <row r="113" spans="1:95" s="101" customFormat="1" ht="16.5" hidden="1" customHeight="1" thickBot="1" x14ac:dyDescent="0.3">
      <c r="A113" s="99"/>
      <c r="V113" s="103"/>
      <c r="AA113" s="104"/>
      <c r="AB113" s="104"/>
      <c r="AD113" s="148"/>
      <c r="AE113" s="105"/>
      <c r="AH113" s="106"/>
      <c r="AI113" s="106"/>
      <c r="AK113" s="148"/>
      <c r="AR113" s="148"/>
      <c r="AV113" s="104"/>
      <c r="AX113" s="148"/>
      <c r="BB113" s="104"/>
      <c r="BC113" s="104"/>
      <c r="BD113" s="119"/>
      <c r="BE113" s="148"/>
      <c r="BH113" s="99"/>
      <c r="BI113" s="190" t="s">
        <v>123</v>
      </c>
      <c r="BJ113" s="181" t="s">
        <v>252</v>
      </c>
      <c r="BK113" s="181">
        <v>11.624599999999999</v>
      </c>
      <c r="BL113" s="187" t="s">
        <v>405</v>
      </c>
      <c r="BM113" s="189">
        <v>2.0699999999999998E-3</v>
      </c>
      <c r="BN113" s="189">
        <v>2.0699999999999998E-3</v>
      </c>
      <c r="BO113" s="188" t="s">
        <v>241</v>
      </c>
      <c r="BP113" s="181">
        <v>3.0200000000000001E-2</v>
      </c>
      <c r="BQ113" s="191">
        <f t="shared" ref="BQ113:BQ122" si="91">BP113/1000</f>
        <v>3.0200000000000002E-5</v>
      </c>
      <c r="BR113" s="187" t="s">
        <v>406</v>
      </c>
      <c r="BS113" s="189">
        <v>0.01</v>
      </c>
      <c r="BT113" s="189">
        <v>0.1</v>
      </c>
      <c r="BU113" s="187" t="s">
        <v>242</v>
      </c>
      <c r="BV113" s="181">
        <v>6.0000000000000001E-3</v>
      </c>
      <c r="BW113" s="191">
        <f t="shared" ref="BW113:BW122" si="92">BV113/1000</f>
        <v>6.0000000000000002E-6</v>
      </c>
      <c r="BX113" s="187" t="s">
        <v>407</v>
      </c>
      <c r="BY113" s="189">
        <v>2E-3</v>
      </c>
      <c r="BZ113" s="189">
        <v>0.02</v>
      </c>
      <c r="CA113" s="187" t="s">
        <v>242</v>
      </c>
      <c r="CB113" s="194">
        <v>0</v>
      </c>
      <c r="CC113" s="193">
        <f t="shared" ref="CC113:CC122" si="93">CB113/1000</f>
        <v>0</v>
      </c>
      <c r="CD113" s="187" t="s">
        <v>406</v>
      </c>
      <c r="CE113" s="189">
        <v>0</v>
      </c>
      <c r="CF113" s="189">
        <v>0</v>
      </c>
      <c r="CG113" s="187" t="s">
        <v>242</v>
      </c>
      <c r="CH113" s="194">
        <v>0</v>
      </c>
      <c r="CI113" s="193">
        <f t="shared" ref="CI113:CI122" si="94">CH113/1000</f>
        <v>0</v>
      </c>
      <c r="CJ113" s="187" t="s">
        <v>407</v>
      </c>
      <c r="CK113" s="189">
        <v>0</v>
      </c>
      <c r="CL113" s="189">
        <v>0</v>
      </c>
      <c r="CM113" s="187" t="s">
        <v>242</v>
      </c>
      <c r="CN113" s="225"/>
      <c r="CO113" s="100">
        <v>0.15</v>
      </c>
      <c r="CP113" s="100">
        <f t="shared" si="90"/>
        <v>0.17499999999999999</v>
      </c>
      <c r="CQ113" s="100">
        <v>0.2</v>
      </c>
    </row>
    <row r="114" spans="1:95" s="101" customFormat="1" ht="16.5" hidden="1" customHeight="1" thickBot="1" x14ac:dyDescent="0.3">
      <c r="A114" s="99"/>
      <c r="V114" s="103"/>
      <c r="AA114" s="104"/>
      <c r="AB114" s="104"/>
      <c r="AD114" s="148"/>
      <c r="AE114" s="105"/>
      <c r="AH114" s="106"/>
      <c r="AI114" s="106"/>
      <c r="AK114" s="148"/>
      <c r="AR114" s="148"/>
      <c r="AV114" s="104"/>
      <c r="AX114" s="148"/>
      <c r="BB114" s="104"/>
      <c r="BC114" s="104"/>
      <c r="BD114" s="119"/>
      <c r="BE114" s="148"/>
      <c r="BH114" s="99"/>
      <c r="BI114" s="190" t="s">
        <v>0</v>
      </c>
      <c r="BJ114" s="181" t="s">
        <v>252</v>
      </c>
      <c r="BK114" s="181">
        <v>11.2818</v>
      </c>
      <c r="BL114" s="187" t="s">
        <v>405</v>
      </c>
      <c r="BM114" s="189">
        <v>2.0599999999999998E-3</v>
      </c>
      <c r="BN114" s="189">
        <v>2.0599999999999998E-3</v>
      </c>
      <c r="BO114" s="188" t="s">
        <v>241</v>
      </c>
      <c r="BP114" s="181">
        <v>3.0300000000000001E-2</v>
      </c>
      <c r="BQ114" s="191">
        <f t="shared" si="91"/>
        <v>3.0300000000000001E-5</v>
      </c>
      <c r="BR114" s="187" t="s">
        <v>406</v>
      </c>
      <c r="BS114" s="189">
        <v>0.01</v>
      </c>
      <c r="BT114" s="189">
        <v>0.1</v>
      </c>
      <c r="BU114" s="187" t="s">
        <v>242</v>
      </c>
      <c r="BV114" s="181">
        <v>6.1000000000000004E-3</v>
      </c>
      <c r="BW114" s="191">
        <f t="shared" si="92"/>
        <v>6.1E-6</v>
      </c>
      <c r="BX114" s="187" t="s">
        <v>407</v>
      </c>
      <c r="BY114" s="189">
        <v>2E-3</v>
      </c>
      <c r="BZ114" s="189">
        <v>0.02</v>
      </c>
      <c r="CA114" s="187" t="s">
        <v>242</v>
      </c>
      <c r="CB114" s="194">
        <v>0</v>
      </c>
      <c r="CC114" s="193">
        <f t="shared" si="93"/>
        <v>0</v>
      </c>
      <c r="CD114" s="187" t="s">
        <v>406</v>
      </c>
      <c r="CE114" s="189">
        <v>0</v>
      </c>
      <c r="CF114" s="189">
        <v>0</v>
      </c>
      <c r="CG114" s="187" t="s">
        <v>242</v>
      </c>
      <c r="CH114" s="194">
        <v>0</v>
      </c>
      <c r="CI114" s="193">
        <f t="shared" si="94"/>
        <v>0</v>
      </c>
      <c r="CJ114" s="187" t="s">
        <v>407</v>
      </c>
      <c r="CK114" s="189">
        <v>0</v>
      </c>
      <c r="CL114" s="189">
        <v>0</v>
      </c>
      <c r="CM114" s="187" t="s">
        <v>242</v>
      </c>
      <c r="CN114" s="225"/>
      <c r="CO114" s="100">
        <v>0.15</v>
      </c>
      <c r="CP114" s="100">
        <f t="shared" si="90"/>
        <v>0.17499999999999999</v>
      </c>
      <c r="CQ114" s="100">
        <v>0.2</v>
      </c>
    </row>
    <row r="115" spans="1:95" s="101" customFormat="1" ht="16.5" hidden="1" customHeight="1" thickBot="1" x14ac:dyDescent="0.3">
      <c r="A115" s="99"/>
      <c r="V115" s="103"/>
      <c r="AA115" s="104"/>
      <c r="AB115" s="104"/>
      <c r="AD115" s="148"/>
      <c r="AE115" s="105"/>
      <c r="AH115" s="106"/>
      <c r="AI115" s="106"/>
      <c r="AK115" s="148"/>
      <c r="AR115" s="148"/>
      <c r="AV115" s="104"/>
      <c r="AX115" s="148"/>
      <c r="BB115" s="104"/>
      <c r="BC115" s="104"/>
      <c r="BD115" s="119"/>
      <c r="BE115" s="148"/>
      <c r="BH115" s="99"/>
      <c r="BI115" s="190" t="s">
        <v>235</v>
      </c>
      <c r="BJ115" s="181" t="s">
        <v>252</v>
      </c>
      <c r="BK115" s="181">
        <v>6.3869999999999996</v>
      </c>
      <c r="BL115" s="187" t="s">
        <v>405</v>
      </c>
      <c r="BM115" s="189">
        <v>2.5600000000000002E-3</v>
      </c>
      <c r="BN115" s="189">
        <v>2.5600000000000002E-3</v>
      </c>
      <c r="BO115" s="188" t="s">
        <v>241</v>
      </c>
      <c r="BP115" s="181">
        <v>2.3699999999999999E-2</v>
      </c>
      <c r="BQ115" s="191">
        <f t="shared" si="91"/>
        <v>2.37E-5</v>
      </c>
      <c r="BR115" s="187" t="s">
        <v>406</v>
      </c>
      <c r="BS115" s="189">
        <v>0.01</v>
      </c>
      <c r="BT115" s="189">
        <v>0.1</v>
      </c>
      <c r="BU115" s="187" t="s">
        <v>242</v>
      </c>
      <c r="BV115" s="181">
        <v>4.7000000000000002E-3</v>
      </c>
      <c r="BW115" s="191">
        <f t="shared" si="92"/>
        <v>4.6999999999999999E-6</v>
      </c>
      <c r="BX115" s="187" t="s">
        <v>407</v>
      </c>
      <c r="BY115" s="189">
        <v>2E-3</v>
      </c>
      <c r="BZ115" s="189">
        <v>0.02</v>
      </c>
      <c r="CA115" s="187" t="s">
        <v>242</v>
      </c>
      <c r="CB115" s="194">
        <v>0</v>
      </c>
      <c r="CC115" s="193">
        <f t="shared" si="93"/>
        <v>0</v>
      </c>
      <c r="CD115" s="187" t="s">
        <v>406</v>
      </c>
      <c r="CE115" s="189">
        <v>0</v>
      </c>
      <c r="CF115" s="189">
        <v>0</v>
      </c>
      <c r="CG115" s="187" t="s">
        <v>242</v>
      </c>
      <c r="CH115" s="194">
        <v>0</v>
      </c>
      <c r="CI115" s="193">
        <f t="shared" si="94"/>
        <v>0</v>
      </c>
      <c r="CJ115" s="187" t="s">
        <v>407</v>
      </c>
      <c r="CK115" s="189">
        <v>0</v>
      </c>
      <c r="CL115" s="189">
        <v>0</v>
      </c>
      <c r="CM115" s="187" t="s">
        <v>242</v>
      </c>
      <c r="CN115" s="225"/>
      <c r="CO115" s="100">
        <v>0.15</v>
      </c>
      <c r="CP115" s="100">
        <f t="shared" si="90"/>
        <v>0.17499999999999999</v>
      </c>
      <c r="CQ115" s="100">
        <v>0.2</v>
      </c>
    </row>
    <row r="116" spans="1:95" s="101" customFormat="1" ht="16.5" hidden="1" customHeight="1" thickBot="1" x14ac:dyDescent="0.3">
      <c r="A116" s="99"/>
      <c r="V116" s="103"/>
      <c r="AA116" s="104"/>
      <c r="AB116" s="104"/>
      <c r="AD116" s="148"/>
      <c r="AE116" s="105"/>
      <c r="AH116" s="106"/>
      <c r="AI116" s="106"/>
      <c r="AK116" s="148"/>
      <c r="AR116" s="148"/>
      <c r="AV116" s="104"/>
      <c r="AX116" s="148"/>
      <c r="BB116" s="104"/>
      <c r="BC116" s="104"/>
      <c r="BD116" s="119"/>
      <c r="BE116" s="148"/>
      <c r="BH116" s="99"/>
      <c r="BI116" s="190" t="s">
        <v>236</v>
      </c>
      <c r="BJ116" s="181" t="s">
        <v>252</v>
      </c>
      <c r="BK116" s="181">
        <v>9.8404000000000007</v>
      </c>
      <c r="BL116" s="187" t="s">
        <v>405</v>
      </c>
      <c r="BM116" s="189">
        <v>2.1299999999999999E-3</v>
      </c>
      <c r="BN116" s="189">
        <v>2.1299999999999999E-3</v>
      </c>
      <c r="BO116" s="188" t="s">
        <v>241</v>
      </c>
      <c r="BP116" s="181">
        <v>2.3300000000000001E-2</v>
      </c>
      <c r="BQ116" s="191">
        <f t="shared" si="91"/>
        <v>2.3300000000000001E-5</v>
      </c>
      <c r="BR116" s="187" t="s">
        <v>406</v>
      </c>
      <c r="BS116" s="189">
        <v>0.01</v>
      </c>
      <c r="BT116" s="189">
        <v>0.1</v>
      </c>
      <c r="BU116" s="187" t="s">
        <v>242</v>
      </c>
      <c r="BV116" s="181">
        <v>4.7000000000000002E-3</v>
      </c>
      <c r="BW116" s="191">
        <f t="shared" si="92"/>
        <v>4.6999999999999999E-6</v>
      </c>
      <c r="BX116" s="187" t="s">
        <v>407</v>
      </c>
      <c r="BY116" s="189">
        <v>2E-3</v>
      </c>
      <c r="BZ116" s="189">
        <v>0.02</v>
      </c>
      <c r="CA116" s="187" t="s">
        <v>242</v>
      </c>
      <c r="CB116" s="194">
        <v>0</v>
      </c>
      <c r="CC116" s="193">
        <f t="shared" si="93"/>
        <v>0</v>
      </c>
      <c r="CD116" s="187" t="s">
        <v>406</v>
      </c>
      <c r="CE116" s="189">
        <v>0</v>
      </c>
      <c r="CF116" s="189">
        <v>0</v>
      </c>
      <c r="CG116" s="187" t="s">
        <v>242</v>
      </c>
      <c r="CH116" s="194">
        <v>0</v>
      </c>
      <c r="CI116" s="193">
        <f t="shared" si="94"/>
        <v>0</v>
      </c>
      <c r="CJ116" s="187" t="s">
        <v>407</v>
      </c>
      <c r="CK116" s="189">
        <v>0</v>
      </c>
      <c r="CL116" s="189">
        <v>0</v>
      </c>
      <c r="CM116" s="187" t="s">
        <v>242</v>
      </c>
      <c r="CN116" s="225"/>
      <c r="CO116" s="100">
        <v>0.15</v>
      </c>
      <c r="CP116" s="100">
        <f t="shared" si="90"/>
        <v>0.17499999999999999</v>
      </c>
      <c r="CQ116" s="100">
        <v>0.2</v>
      </c>
    </row>
    <row r="117" spans="1:95" s="101" customFormat="1" ht="16.5" hidden="1" customHeight="1" thickBot="1" x14ac:dyDescent="0.3">
      <c r="A117" s="99"/>
      <c r="V117" s="103"/>
      <c r="AA117" s="104"/>
      <c r="AB117" s="104"/>
      <c r="AD117" s="148"/>
      <c r="AE117" s="105"/>
      <c r="AH117" s="106"/>
      <c r="AI117" s="106"/>
      <c r="AK117" s="148"/>
      <c r="AR117" s="148"/>
      <c r="AV117" s="104"/>
      <c r="AX117" s="148"/>
      <c r="BB117" s="104"/>
      <c r="BC117" s="104"/>
      <c r="BD117" s="119"/>
      <c r="BE117" s="148"/>
      <c r="BH117" s="99"/>
      <c r="BI117" s="190" t="s">
        <v>237</v>
      </c>
      <c r="BJ117" s="181" t="s">
        <v>252</v>
      </c>
      <c r="BK117" s="213">
        <v>0</v>
      </c>
      <c r="BL117" s="187" t="s">
        <v>405</v>
      </c>
      <c r="BM117" s="189">
        <v>2.98E-3</v>
      </c>
      <c r="BN117" s="189">
        <v>2.98E-3</v>
      </c>
      <c r="BO117" s="188" t="s">
        <v>241</v>
      </c>
      <c r="BP117" s="181">
        <v>2.63E-2</v>
      </c>
      <c r="BQ117" s="191">
        <f t="shared" si="91"/>
        <v>2.6299999999999999E-5</v>
      </c>
      <c r="BR117" s="187" t="s">
        <v>406</v>
      </c>
      <c r="BS117" s="189">
        <v>0.01</v>
      </c>
      <c r="BT117" s="189">
        <v>0.1</v>
      </c>
      <c r="BU117" s="187" t="s">
        <v>242</v>
      </c>
      <c r="BV117" s="181">
        <v>5.3E-3</v>
      </c>
      <c r="BW117" s="191">
        <f t="shared" si="92"/>
        <v>5.3000000000000001E-6</v>
      </c>
      <c r="BX117" s="187" t="s">
        <v>407</v>
      </c>
      <c r="BY117" s="189">
        <v>2E-3</v>
      </c>
      <c r="BZ117" s="189">
        <v>0.02</v>
      </c>
      <c r="CA117" s="187" t="s">
        <v>242</v>
      </c>
      <c r="CB117" s="181">
        <v>3.4200000000000001E-2</v>
      </c>
      <c r="CC117" s="191">
        <f t="shared" si="93"/>
        <v>3.4200000000000005E-5</v>
      </c>
      <c r="CD117" s="187" t="s">
        <v>406</v>
      </c>
      <c r="CE117" s="189">
        <v>1.6E-2</v>
      </c>
      <c r="CF117" s="189">
        <v>9.5000000000000001E-2</v>
      </c>
      <c r="CG117" s="187" t="s">
        <v>242</v>
      </c>
      <c r="CH117" s="181">
        <v>3.4200000000000001E-2</v>
      </c>
      <c r="CI117" s="191">
        <f t="shared" si="94"/>
        <v>3.4200000000000005E-5</v>
      </c>
      <c r="CJ117" s="187" t="s">
        <v>407</v>
      </c>
      <c r="CK117" s="189">
        <v>1.2999999999999999E-2</v>
      </c>
      <c r="CL117" s="189">
        <v>0.12</v>
      </c>
      <c r="CM117" s="187" t="s">
        <v>242</v>
      </c>
      <c r="CN117" s="225"/>
      <c r="CO117" s="100">
        <v>0.6</v>
      </c>
      <c r="CP117" s="100">
        <f t="shared" si="90"/>
        <v>0.8</v>
      </c>
      <c r="CQ117" s="100">
        <v>1</v>
      </c>
    </row>
    <row r="118" spans="1:95" s="101" customFormat="1" ht="16.5" hidden="1" customHeight="1" thickBot="1" x14ac:dyDescent="0.3">
      <c r="A118" s="99"/>
      <c r="V118" s="103"/>
      <c r="AA118" s="104"/>
      <c r="AB118" s="104"/>
      <c r="AD118" s="148"/>
      <c r="AE118" s="105"/>
      <c r="AH118" s="106"/>
      <c r="AI118" s="106"/>
      <c r="AK118" s="148"/>
      <c r="AR118" s="148"/>
      <c r="AV118" s="104"/>
      <c r="AX118" s="148"/>
      <c r="BB118" s="104"/>
      <c r="BC118" s="104"/>
      <c r="BD118" s="119"/>
      <c r="BE118" s="148"/>
      <c r="BH118" s="99"/>
      <c r="BI118" s="190" t="s">
        <v>368</v>
      </c>
      <c r="BJ118" s="181" t="s">
        <v>252</v>
      </c>
      <c r="BK118" s="213">
        <v>0</v>
      </c>
      <c r="BL118" s="187" t="s">
        <v>405</v>
      </c>
      <c r="BM118" s="189">
        <v>3.4799999999999996E-3</v>
      </c>
      <c r="BN118" s="189">
        <v>3.4799999999999996E-3</v>
      </c>
      <c r="BO118" s="188" t="s">
        <v>241</v>
      </c>
      <c r="BP118" s="181">
        <v>1.46E-2</v>
      </c>
      <c r="BQ118" s="191">
        <f t="shared" si="91"/>
        <v>1.4600000000000001E-5</v>
      </c>
      <c r="BR118" s="187" t="s">
        <v>406</v>
      </c>
      <c r="BS118" s="189">
        <v>0.01</v>
      </c>
      <c r="BT118" s="189">
        <v>0.1</v>
      </c>
      <c r="BU118" s="187" t="s">
        <v>242</v>
      </c>
      <c r="BV118" s="181">
        <v>2.8999999999999998E-3</v>
      </c>
      <c r="BW118" s="191">
        <f t="shared" si="92"/>
        <v>2.8999999999999998E-6</v>
      </c>
      <c r="BX118" s="187" t="s">
        <v>407</v>
      </c>
      <c r="BY118" s="189">
        <v>2E-3</v>
      </c>
      <c r="BZ118" s="189">
        <v>0.02</v>
      </c>
      <c r="CA118" s="187" t="s">
        <v>242</v>
      </c>
      <c r="CB118" s="181">
        <v>8.77E-2</v>
      </c>
      <c r="CC118" s="191">
        <f t="shared" si="93"/>
        <v>8.7700000000000004E-5</v>
      </c>
      <c r="CD118" s="187" t="s">
        <v>406</v>
      </c>
      <c r="CE118" s="189">
        <v>0.13</v>
      </c>
      <c r="CF118" s="189">
        <v>0.84</v>
      </c>
      <c r="CG118" s="187" t="s">
        <v>242</v>
      </c>
      <c r="CH118" s="181">
        <v>0.19989999999999999</v>
      </c>
      <c r="CI118" s="191">
        <f t="shared" si="94"/>
        <v>1.9990000000000001E-4</v>
      </c>
      <c r="CJ118" s="187" t="s">
        <v>407</v>
      </c>
      <c r="CK118" s="189">
        <v>0.13</v>
      </c>
      <c r="CL118" s="189">
        <v>1.23</v>
      </c>
      <c r="CM118" s="187" t="s">
        <v>242</v>
      </c>
      <c r="CN118" s="225"/>
      <c r="CO118" s="100">
        <v>0.6</v>
      </c>
      <c r="CP118" s="100">
        <f t="shared" si="90"/>
        <v>0.8</v>
      </c>
      <c r="CQ118" s="100">
        <v>1</v>
      </c>
    </row>
    <row r="119" spans="1:95" s="101" customFormat="1" ht="16.5" hidden="1" customHeight="1" thickBot="1" x14ac:dyDescent="0.3">
      <c r="A119" s="99"/>
      <c r="V119" s="103"/>
      <c r="AA119" s="104"/>
      <c r="AB119" s="104"/>
      <c r="AD119" s="148"/>
      <c r="AE119" s="105"/>
      <c r="AH119" s="106"/>
      <c r="AI119" s="106"/>
      <c r="AK119" s="148"/>
      <c r="AR119" s="148"/>
      <c r="AV119" s="104"/>
      <c r="AX119" s="148"/>
      <c r="BB119" s="104"/>
      <c r="BC119" s="104"/>
      <c r="BD119" s="119"/>
      <c r="BE119" s="148"/>
      <c r="BH119" s="99"/>
      <c r="BI119" s="190" t="s">
        <v>238</v>
      </c>
      <c r="BJ119" s="181" t="s">
        <v>252</v>
      </c>
      <c r="BK119" s="181">
        <v>10.178100000000001</v>
      </c>
      <c r="BL119" s="187" t="s">
        <v>405</v>
      </c>
      <c r="BM119" s="189">
        <v>2.0599999999999998E-3</v>
      </c>
      <c r="BN119" s="189">
        <v>2.0599999999999998E-3</v>
      </c>
      <c r="BO119" s="188" t="s">
        <v>241</v>
      </c>
      <c r="BP119" s="181">
        <v>2.7199999999999998E-2</v>
      </c>
      <c r="BQ119" s="191">
        <f t="shared" si="91"/>
        <v>2.7199999999999997E-5</v>
      </c>
      <c r="BR119" s="187" t="s">
        <v>406</v>
      </c>
      <c r="BS119" s="189">
        <v>0.01</v>
      </c>
      <c r="BT119" s="189">
        <v>0.1</v>
      </c>
      <c r="BU119" s="187" t="s">
        <v>242</v>
      </c>
      <c r="BV119" s="181">
        <v>5.4000000000000003E-3</v>
      </c>
      <c r="BW119" s="191">
        <f t="shared" si="92"/>
        <v>5.4E-6</v>
      </c>
      <c r="BX119" s="187" t="s">
        <v>407</v>
      </c>
      <c r="BY119" s="189">
        <v>2E-3</v>
      </c>
      <c r="BZ119" s="189">
        <v>0.02</v>
      </c>
      <c r="CA119" s="187" t="s">
        <v>242</v>
      </c>
      <c r="CB119" s="181">
        <v>0</v>
      </c>
      <c r="CC119" s="191">
        <f t="shared" si="93"/>
        <v>0</v>
      </c>
      <c r="CD119" s="187" t="s">
        <v>406</v>
      </c>
      <c r="CE119" s="189">
        <v>0</v>
      </c>
      <c r="CF119" s="189">
        <v>0</v>
      </c>
      <c r="CG119" s="187" t="s">
        <v>242</v>
      </c>
      <c r="CH119" s="181">
        <v>0</v>
      </c>
      <c r="CI119" s="191">
        <f t="shared" si="94"/>
        <v>0</v>
      </c>
      <c r="CJ119" s="187" t="s">
        <v>407</v>
      </c>
      <c r="CK119" s="189">
        <v>0</v>
      </c>
      <c r="CL119" s="189">
        <v>0</v>
      </c>
      <c r="CM119" s="187" t="s">
        <v>242</v>
      </c>
      <c r="CN119" s="225"/>
      <c r="CO119" s="100">
        <v>0.15</v>
      </c>
      <c r="CP119" s="100">
        <f t="shared" si="90"/>
        <v>0.17499999999999999</v>
      </c>
      <c r="CQ119" s="100">
        <v>0.2</v>
      </c>
    </row>
    <row r="120" spans="1:95" s="101" customFormat="1" ht="16.5" hidden="1" customHeight="1" thickBot="1" x14ac:dyDescent="0.3">
      <c r="A120" s="99"/>
      <c r="V120" s="103"/>
      <c r="AA120" s="104"/>
      <c r="AB120" s="104"/>
      <c r="AD120" s="148"/>
      <c r="AE120" s="105"/>
      <c r="AH120" s="106"/>
      <c r="AI120" s="106"/>
      <c r="AK120" s="148"/>
      <c r="AR120" s="148"/>
      <c r="AV120" s="104"/>
      <c r="AX120" s="148"/>
      <c r="BB120" s="104"/>
      <c r="BC120" s="104"/>
      <c r="BD120" s="119"/>
      <c r="BE120" s="148"/>
      <c r="BH120" s="99"/>
      <c r="BI120" s="190" t="s">
        <v>273</v>
      </c>
      <c r="BJ120" s="181" t="s">
        <v>252</v>
      </c>
      <c r="BK120" s="181">
        <v>8.8632000000000009</v>
      </c>
      <c r="BL120" s="187" t="s">
        <v>405</v>
      </c>
      <c r="BM120" s="189">
        <v>2.32E-3</v>
      </c>
      <c r="BN120" s="189">
        <v>2.32E-3</v>
      </c>
      <c r="BO120" s="188" t="s">
        <v>241</v>
      </c>
      <c r="BP120" s="181">
        <v>9.4999999999999998E-3</v>
      </c>
      <c r="BQ120" s="191">
        <f t="shared" si="91"/>
        <v>9.5000000000000005E-6</v>
      </c>
      <c r="BR120" s="187" t="s">
        <v>406</v>
      </c>
      <c r="BS120" s="189">
        <v>0.01</v>
      </c>
      <c r="BT120" s="189">
        <v>0.1</v>
      </c>
      <c r="BU120" s="187" t="s">
        <v>242</v>
      </c>
      <c r="BV120" s="181">
        <v>5.7000000000000002E-3</v>
      </c>
      <c r="BW120" s="191">
        <f t="shared" si="92"/>
        <v>5.7000000000000005E-6</v>
      </c>
      <c r="BX120" s="187" t="s">
        <v>407</v>
      </c>
      <c r="BY120" s="189">
        <v>2E-3</v>
      </c>
      <c r="BZ120" s="189">
        <v>0.02</v>
      </c>
      <c r="CA120" s="187" t="s">
        <v>242</v>
      </c>
      <c r="CB120" s="181">
        <v>3.6999999999999998E-2</v>
      </c>
      <c r="CC120" s="191">
        <f t="shared" si="93"/>
        <v>3.6999999999999998E-5</v>
      </c>
      <c r="CD120" s="187" t="s">
        <v>406</v>
      </c>
      <c r="CE120" s="189">
        <v>1.6E-2</v>
      </c>
      <c r="CF120" s="189">
        <v>9.5000000000000001E-2</v>
      </c>
      <c r="CG120" s="187" t="s">
        <v>242</v>
      </c>
      <c r="CH120" s="181">
        <v>3.6999999999999998E-2</v>
      </c>
      <c r="CI120" s="191">
        <f t="shared" si="94"/>
        <v>3.6999999999999998E-5</v>
      </c>
      <c r="CJ120" s="187" t="s">
        <v>407</v>
      </c>
      <c r="CK120" s="189">
        <v>1.2999999999999999E-2</v>
      </c>
      <c r="CL120" s="189">
        <v>0.12</v>
      </c>
      <c r="CM120" s="187" t="s">
        <v>242</v>
      </c>
      <c r="CN120" s="225"/>
      <c r="CO120" s="100">
        <v>0.15</v>
      </c>
      <c r="CP120" s="100">
        <f t="shared" si="90"/>
        <v>0.17499999999999999</v>
      </c>
      <c r="CQ120" s="100">
        <v>0.2</v>
      </c>
    </row>
    <row r="121" spans="1:95" s="101" customFormat="1" ht="16.5" hidden="1" customHeight="1" thickBot="1" x14ac:dyDescent="0.3">
      <c r="A121" s="99"/>
      <c r="V121" s="103"/>
      <c r="AA121" s="104"/>
      <c r="AB121" s="104"/>
      <c r="AD121" s="148"/>
      <c r="AE121" s="105"/>
      <c r="AH121" s="106"/>
      <c r="AI121" s="106"/>
      <c r="AK121" s="148"/>
      <c r="AR121" s="148"/>
      <c r="AV121" s="104"/>
      <c r="AX121" s="148"/>
      <c r="BB121" s="104"/>
      <c r="BC121" s="104"/>
      <c r="BD121" s="119"/>
      <c r="BE121" s="148"/>
      <c r="BH121" s="99"/>
      <c r="BI121" s="190" t="s">
        <v>272</v>
      </c>
      <c r="BJ121" s="181" t="s">
        <v>252</v>
      </c>
      <c r="BK121" s="181">
        <v>10.2765</v>
      </c>
      <c r="BL121" s="187" t="s">
        <v>405</v>
      </c>
      <c r="BM121" s="189">
        <v>2.0499999999999997E-3</v>
      </c>
      <c r="BN121" s="189">
        <v>2.0499999999999997E-3</v>
      </c>
      <c r="BO121" s="188" t="s">
        <v>241</v>
      </c>
      <c r="BP121" s="181">
        <v>9.5999999999999992E-3</v>
      </c>
      <c r="BQ121" s="191">
        <f>BP121/1000</f>
        <v>9.5999999999999996E-6</v>
      </c>
      <c r="BR121" s="187" t="s">
        <v>406</v>
      </c>
      <c r="BS121" s="189">
        <v>0.01</v>
      </c>
      <c r="BT121" s="189">
        <v>0.1</v>
      </c>
      <c r="BU121" s="187" t="s">
        <v>242</v>
      </c>
      <c r="BV121" s="181">
        <v>5.7999999999999996E-3</v>
      </c>
      <c r="BW121" s="191">
        <f>BV121/1000</f>
        <v>5.7999999999999995E-6</v>
      </c>
      <c r="BX121" s="187" t="s">
        <v>407</v>
      </c>
      <c r="BY121" s="189">
        <v>2E-3</v>
      </c>
      <c r="BZ121" s="189">
        <v>0.02</v>
      </c>
      <c r="CA121" s="187" t="s">
        <v>242</v>
      </c>
      <c r="CB121" s="181">
        <v>3.7400000000000003E-2</v>
      </c>
      <c r="CC121" s="191">
        <f>CB121/1000</f>
        <v>3.7400000000000001E-5</v>
      </c>
      <c r="CD121" s="187" t="s">
        <v>406</v>
      </c>
      <c r="CE121" s="189">
        <v>1.6E-2</v>
      </c>
      <c r="CF121" s="189">
        <v>9.5000000000000001E-2</v>
      </c>
      <c r="CG121" s="187" t="s">
        <v>242</v>
      </c>
      <c r="CH121" s="181">
        <v>3.7400000000000003E-2</v>
      </c>
      <c r="CI121" s="191">
        <f>CH121/1000</f>
        <v>3.7400000000000001E-5</v>
      </c>
      <c r="CJ121" s="187" t="s">
        <v>407</v>
      </c>
      <c r="CK121" s="189">
        <v>1.2999999999999999E-2</v>
      </c>
      <c r="CL121" s="189">
        <v>0.12</v>
      </c>
      <c r="CM121" s="187" t="s">
        <v>242</v>
      </c>
      <c r="CN121" s="225"/>
      <c r="CO121" s="100">
        <v>0.15</v>
      </c>
      <c r="CP121" s="100">
        <f t="shared" si="90"/>
        <v>0.17499999999999999</v>
      </c>
      <c r="CQ121" s="100">
        <v>0.2</v>
      </c>
    </row>
    <row r="122" spans="1:95" s="101" customFormat="1" ht="16.5" hidden="1" customHeight="1" thickBot="1" x14ac:dyDescent="0.3">
      <c r="A122" s="99"/>
      <c r="V122" s="103"/>
      <c r="AA122" s="104"/>
      <c r="AB122" s="104"/>
      <c r="AD122" s="148"/>
      <c r="AE122" s="105"/>
      <c r="AH122" s="106"/>
      <c r="AI122" s="106"/>
      <c r="AK122" s="148"/>
      <c r="AR122" s="148"/>
      <c r="AV122" s="104"/>
      <c r="AX122" s="148"/>
      <c r="BB122" s="104"/>
      <c r="BC122" s="104"/>
      <c r="BD122" s="119"/>
      <c r="BE122" s="148"/>
      <c r="BH122" s="99"/>
      <c r="BI122" s="190" t="s">
        <v>239</v>
      </c>
      <c r="BJ122" s="181" t="s">
        <v>252</v>
      </c>
      <c r="BK122" s="181">
        <v>7.6181000000000001</v>
      </c>
      <c r="BL122" s="187" t="s">
        <v>405</v>
      </c>
      <c r="BM122" s="189">
        <v>2.3400000000000001E-3</v>
      </c>
      <c r="BN122" s="189">
        <v>2.3400000000000001E-3</v>
      </c>
      <c r="BO122" s="188" t="s">
        <v>241</v>
      </c>
      <c r="BP122" s="181">
        <v>2.3900000000000001E-2</v>
      </c>
      <c r="BQ122" s="191">
        <f t="shared" si="91"/>
        <v>2.3900000000000002E-5</v>
      </c>
      <c r="BR122" s="187" t="s">
        <v>406</v>
      </c>
      <c r="BS122" s="189">
        <v>0.01</v>
      </c>
      <c r="BT122" s="189">
        <v>0.1</v>
      </c>
      <c r="BU122" s="187" t="s">
        <v>242</v>
      </c>
      <c r="BV122" s="181">
        <v>4.7999999999999996E-3</v>
      </c>
      <c r="BW122" s="191">
        <f t="shared" si="92"/>
        <v>4.7999999999999998E-6</v>
      </c>
      <c r="BX122" s="187" t="s">
        <v>407</v>
      </c>
      <c r="BY122" s="189">
        <v>2E-3</v>
      </c>
      <c r="BZ122" s="189">
        <v>0.02</v>
      </c>
      <c r="CA122" s="187" t="s">
        <v>242</v>
      </c>
      <c r="CB122" s="181">
        <v>0.26269999999999999</v>
      </c>
      <c r="CC122" s="191">
        <f t="shared" si="93"/>
        <v>2.6269999999999999E-4</v>
      </c>
      <c r="CD122" s="187" t="s">
        <v>406</v>
      </c>
      <c r="CE122" s="189">
        <v>9.6000000000000002E-2</v>
      </c>
      <c r="CF122" s="189">
        <v>1.1000000000000001</v>
      </c>
      <c r="CG122" s="187" t="s">
        <v>242</v>
      </c>
      <c r="CH122" s="181">
        <v>2.5499999999999998E-2</v>
      </c>
      <c r="CI122" s="191">
        <f t="shared" si="94"/>
        <v>2.55E-5</v>
      </c>
      <c r="CJ122" s="187" t="s">
        <v>407</v>
      </c>
      <c r="CK122" s="189">
        <v>9.5999999999999992E-3</v>
      </c>
      <c r="CL122" s="189">
        <v>0.11</v>
      </c>
      <c r="CM122" s="187" t="s">
        <v>242</v>
      </c>
      <c r="CN122" s="225"/>
      <c r="CO122" s="100">
        <v>0.15</v>
      </c>
      <c r="CP122" s="100">
        <f t="shared" si="90"/>
        <v>0.17499999999999999</v>
      </c>
      <c r="CQ122" s="100">
        <v>0.2</v>
      </c>
    </row>
    <row r="123" spans="1:95" s="101" customFormat="1" hidden="1" x14ac:dyDescent="0.25">
      <c r="A123" s="99"/>
      <c r="V123" s="103"/>
      <c r="AA123" s="104"/>
      <c r="AB123" s="104"/>
      <c r="AD123" s="104"/>
      <c r="AE123" s="105"/>
      <c r="AH123" s="106"/>
      <c r="AI123" s="106"/>
      <c r="AK123" s="104"/>
      <c r="AR123" s="104"/>
      <c r="AV123" s="104"/>
      <c r="AX123" s="104"/>
      <c r="BB123" s="104"/>
      <c r="BC123" s="104"/>
      <c r="BE123" s="104"/>
      <c r="BH123" s="99"/>
      <c r="BI123" s="102"/>
      <c r="BJ123" s="178"/>
      <c r="BK123" s="178"/>
      <c r="BL123" s="178"/>
      <c r="BM123" s="169"/>
      <c r="BN123" s="169"/>
      <c r="BO123" s="169"/>
      <c r="BP123" s="192"/>
      <c r="BQ123" s="192"/>
      <c r="BR123" s="192"/>
      <c r="BS123" s="192"/>
      <c r="BT123" s="192"/>
      <c r="BU123" s="192"/>
      <c r="BV123" s="178"/>
      <c r="BW123" s="192"/>
      <c r="BX123" s="192"/>
      <c r="BY123" s="178"/>
      <c r="BZ123" s="178"/>
      <c r="CA123" s="178"/>
      <c r="CB123" s="180"/>
      <c r="CC123" s="192"/>
      <c r="CD123" s="192"/>
      <c r="CE123" s="180"/>
      <c r="CF123" s="180"/>
      <c r="CG123" s="180"/>
      <c r="CH123" s="180"/>
      <c r="CI123" s="192"/>
      <c r="CJ123" s="192"/>
      <c r="CK123" s="180"/>
      <c r="CL123" s="180"/>
      <c r="CM123" s="180"/>
      <c r="CN123" s="225"/>
      <c r="CO123" s="100"/>
      <c r="CP123" s="100"/>
      <c r="CQ123" s="100"/>
    </row>
    <row r="124" spans="1:95" s="101" customFormat="1" ht="15.75" hidden="1" thickBot="1" x14ac:dyDescent="0.3">
      <c r="A124" s="99"/>
      <c r="V124" s="103"/>
      <c r="AA124" s="104"/>
      <c r="AB124" s="104"/>
      <c r="AD124" s="104"/>
      <c r="AE124" s="105"/>
      <c r="AH124" s="106"/>
      <c r="AI124" s="106"/>
      <c r="AK124" s="104"/>
      <c r="AR124" s="104"/>
      <c r="AV124" s="104"/>
      <c r="AX124" s="104"/>
      <c r="BB124" s="104"/>
      <c r="BC124" s="104"/>
      <c r="BE124" s="104"/>
      <c r="BH124" s="99"/>
      <c r="BI124" s="102"/>
      <c r="BJ124" s="178"/>
      <c r="BK124" s="178"/>
      <c r="BL124" s="178"/>
      <c r="BM124" s="169"/>
      <c r="BN124" s="169"/>
      <c r="BO124" s="169"/>
      <c r="BP124" s="192"/>
      <c r="BQ124" s="192"/>
      <c r="BR124" s="192"/>
      <c r="BS124" s="192"/>
      <c r="BT124" s="192"/>
      <c r="BU124" s="192"/>
      <c r="BV124" s="178"/>
      <c r="BW124" s="192"/>
      <c r="BX124" s="192"/>
      <c r="BY124" s="178"/>
      <c r="BZ124" s="178"/>
      <c r="CA124" s="178"/>
      <c r="CB124" s="180"/>
      <c r="CC124" s="192"/>
      <c r="CD124" s="192"/>
      <c r="CE124" s="180"/>
      <c r="CF124" s="180"/>
      <c r="CG124" s="180"/>
      <c r="CH124" s="180"/>
      <c r="CI124" s="192"/>
      <c r="CJ124" s="192"/>
      <c r="CK124" s="180"/>
      <c r="CL124" s="180"/>
      <c r="CM124" s="180"/>
      <c r="CN124" s="225"/>
      <c r="CO124" s="100"/>
      <c r="CP124" s="100"/>
      <c r="CQ124" s="100"/>
    </row>
    <row r="125" spans="1:95" s="101" customFormat="1" ht="26.25" hidden="1" customHeight="1" thickBot="1" x14ac:dyDescent="0.3">
      <c r="A125" s="99"/>
      <c r="V125" s="103"/>
      <c r="AA125" s="104"/>
      <c r="AB125" s="104"/>
      <c r="AD125" s="104"/>
      <c r="AE125" s="105"/>
      <c r="AH125" s="106"/>
      <c r="AI125" s="106"/>
      <c r="AK125" s="104"/>
      <c r="AR125" s="104"/>
      <c r="AV125" s="104"/>
      <c r="AX125" s="104"/>
      <c r="BB125" s="104"/>
      <c r="BC125" s="104"/>
      <c r="BE125" s="104"/>
      <c r="BH125" s="99"/>
      <c r="BI125" s="1606" t="s">
        <v>232</v>
      </c>
      <c r="BJ125" s="183"/>
      <c r="BK125" s="1606" t="s">
        <v>267</v>
      </c>
      <c r="BL125" s="183"/>
      <c r="BM125" s="1606" t="s">
        <v>233</v>
      </c>
      <c r="BN125" s="1606" t="s">
        <v>233</v>
      </c>
      <c r="BO125" s="1606" t="s">
        <v>240</v>
      </c>
      <c r="BP125" s="1608" t="s">
        <v>172</v>
      </c>
      <c r="BQ125" s="1609"/>
      <c r="BR125" s="1609"/>
      <c r="BS125" s="1609"/>
      <c r="BT125" s="1609"/>
      <c r="BU125" s="1609"/>
      <c r="BV125" s="1609"/>
      <c r="BW125" s="1609"/>
      <c r="BX125" s="1609"/>
      <c r="BY125" s="1609"/>
      <c r="BZ125" s="1609"/>
      <c r="CA125" s="1610"/>
      <c r="CB125" s="1608" t="s">
        <v>173</v>
      </c>
      <c r="CC125" s="1609"/>
      <c r="CD125" s="1609"/>
      <c r="CE125" s="1609"/>
      <c r="CF125" s="1609"/>
      <c r="CG125" s="1609"/>
      <c r="CH125" s="1609"/>
      <c r="CI125" s="1609"/>
      <c r="CJ125" s="1609"/>
      <c r="CK125" s="1609"/>
      <c r="CL125" s="1609"/>
      <c r="CM125" s="1610"/>
      <c r="CN125" s="225"/>
      <c r="CO125" s="100"/>
      <c r="CP125" s="100"/>
      <c r="CQ125" s="100"/>
    </row>
    <row r="126" spans="1:95" s="101" customFormat="1" ht="59.25" hidden="1" customHeight="1" thickBot="1" x14ac:dyDescent="0.3">
      <c r="A126" s="99"/>
      <c r="V126" s="103"/>
      <c r="AA126" s="104"/>
      <c r="AB126" s="104"/>
      <c r="AD126" s="104"/>
      <c r="AE126" s="105"/>
      <c r="AH126" s="106"/>
      <c r="AI126" s="106"/>
      <c r="AK126" s="104"/>
      <c r="AR126" s="104"/>
      <c r="AV126" s="104"/>
      <c r="AX126" s="104"/>
      <c r="BB126" s="104"/>
      <c r="BC126" s="104"/>
      <c r="BE126" s="104"/>
      <c r="BH126" s="99"/>
      <c r="BI126" s="1607"/>
      <c r="BJ126" s="184" t="s">
        <v>253</v>
      </c>
      <c r="BK126" s="1607"/>
      <c r="BL126" s="184" t="s">
        <v>251</v>
      </c>
      <c r="BM126" s="1607"/>
      <c r="BN126" s="1607"/>
      <c r="BO126" s="1607"/>
      <c r="BP126" s="185" t="s">
        <v>268</v>
      </c>
      <c r="BQ126" s="185" t="s">
        <v>269</v>
      </c>
      <c r="BR126" s="184" t="s">
        <v>251</v>
      </c>
      <c r="BS126" s="185" t="s">
        <v>233</v>
      </c>
      <c r="BT126" s="185" t="s">
        <v>233</v>
      </c>
      <c r="BU126" s="185" t="s">
        <v>240</v>
      </c>
      <c r="BV126" s="185" t="s">
        <v>270</v>
      </c>
      <c r="BW126" s="185" t="s">
        <v>271</v>
      </c>
      <c r="BX126" s="184" t="s">
        <v>251</v>
      </c>
      <c r="BY126" s="185" t="s">
        <v>233</v>
      </c>
      <c r="BZ126" s="185" t="s">
        <v>233</v>
      </c>
      <c r="CA126" s="185" t="s">
        <v>240</v>
      </c>
      <c r="CB126" s="185" t="s">
        <v>268</v>
      </c>
      <c r="CC126" s="185" t="s">
        <v>269</v>
      </c>
      <c r="CD126" s="184" t="s">
        <v>251</v>
      </c>
      <c r="CE126" s="185" t="s">
        <v>233</v>
      </c>
      <c r="CF126" s="185" t="s">
        <v>233</v>
      </c>
      <c r="CG126" s="185" t="s">
        <v>240</v>
      </c>
      <c r="CH126" s="185" t="s">
        <v>270</v>
      </c>
      <c r="CI126" s="185" t="s">
        <v>271</v>
      </c>
      <c r="CJ126" s="184" t="s">
        <v>251</v>
      </c>
      <c r="CK126" s="185" t="s">
        <v>233</v>
      </c>
      <c r="CL126" s="185" t="s">
        <v>233</v>
      </c>
      <c r="CM126" s="185" t="s">
        <v>240</v>
      </c>
      <c r="CN126" s="225"/>
      <c r="CO126" s="100"/>
      <c r="CP126" s="100"/>
      <c r="CQ126" s="100"/>
    </row>
    <row r="127" spans="1:95" s="101" customFormat="1" ht="17.25" hidden="1" thickBot="1" x14ac:dyDescent="0.3">
      <c r="A127" s="99"/>
      <c r="V127" s="103"/>
      <c r="AA127" s="104"/>
      <c r="AB127" s="104"/>
      <c r="AD127" s="104"/>
      <c r="AE127" s="105"/>
      <c r="AH127" s="106"/>
      <c r="AI127" s="106"/>
      <c r="AK127" s="104"/>
      <c r="AR127" s="104"/>
      <c r="AV127" s="104"/>
      <c r="AX127" s="104"/>
      <c r="BB127" s="104"/>
      <c r="BC127" s="104"/>
      <c r="BE127" s="104"/>
      <c r="BF127" s="119"/>
      <c r="BH127" s="99"/>
      <c r="BI127" s="186" t="s">
        <v>274</v>
      </c>
      <c r="BJ127" s="187" t="s">
        <v>408</v>
      </c>
      <c r="BK127" s="214">
        <v>0</v>
      </c>
      <c r="BL127" s="187" t="s">
        <v>409</v>
      </c>
      <c r="BM127" s="189">
        <v>8.8870000000000005E-2</v>
      </c>
      <c r="BN127" s="189">
        <v>8.8870000000000005E-2</v>
      </c>
      <c r="BO127" s="188" t="s">
        <v>241</v>
      </c>
      <c r="BP127" s="195">
        <v>2.1999999999999999E-2</v>
      </c>
      <c r="BQ127" s="195">
        <f>BP127/1000</f>
        <v>2.1999999999999999E-5</v>
      </c>
      <c r="BR127" s="187" t="s">
        <v>410</v>
      </c>
      <c r="BS127" s="189">
        <v>3.0000000000000001E-3</v>
      </c>
      <c r="BT127" s="189">
        <v>0.03</v>
      </c>
      <c r="BU127" s="187" t="s">
        <v>242</v>
      </c>
      <c r="BV127" s="195">
        <v>2.2000000000000001E-3</v>
      </c>
      <c r="BW127" s="195">
        <f>BV127/1000</f>
        <v>2.2000000000000001E-6</v>
      </c>
      <c r="BX127" s="187" t="s">
        <v>515</v>
      </c>
      <c r="BY127" s="189">
        <v>2.9999999999999997E-4</v>
      </c>
      <c r="BZ127" s="189">
        <v>0.03</v>
      </c>
      <c r="CA127" s="187" t="s">
        <v>242</v>
      </c>
      <c r="CB127" s="181">
        <v>0</v>
      </c>
      <c r="CC127" s="195">
        <f>CB127/1000</f>
        <v>0</v>
      </c>
      <c r="CD127" s="187" t="s">
        <v>410</v>
      </c>
      <c r="CE127" s="189">
        <v>0</v>
      </c>
      <c r="CF127" s="189">
        <v>0</v>
      </c>
      <c r="CG127" s="187" t="s">
        <v>242</v>
      </c>
      <c r="CH127" s="181">
        <v>0</v>
      </c>
      <c r="CI127" s="195">
        <f>CH127/1000</f>
        <v>0</v>
      </c>
      <c r="CJ127" s="187" t="s">
        <v>515</v>
      </c>
      <c r="CK127" s="189">
        <v>0</v>
      </c>
      <c r="CL127" s="189">
        <v>0</v>
      </c>
      <c r="CM127" s="187" t="s">
        <v>242</v>
      </c>
      <c r="CN127" s="225"/>
      <c r="CO127" s="100">
        <v>0.6</v>
      </c>
      <c r="CP127" s="100">
        <f t="shared" ref="CP127:CP144" si="95">(CO127+CQ127)/2</f>
        <v>0.8</v>
      </c>
      <c r="CQ127" s="100">
        <v>1</v>
      </c>
    </row>
    <row r="128" spans="1:95" s="101" customFormat="1" ht="17.25" hidden="1" thickBot="1" x14ac:dyDescent="0.3">
      <c r="A128" s="99"/>
      <c r="V128" s="103"/>
      <c r="AA128" s="104"/>
      <c r="AB128" s="104"/>
      <c r="AD128" s="104"/>
      <c r="AE128" s="105"/>
      <c r="AH128" s="106"/>
      <c r="AI128" s="106"/>
      <c r="AK128" s="104"/>
      <c r="AR128" s="104"/>
      <c r="AV128" s="104"/>
      <c r="AX128" s="104"/>
      <c r="BB128" s="104"/>
      <c r="BC128" s="104"/>
      <c r="BE128" s="104"/>
      <c r="BF128" s="119"/>
      <c r="BH128" s="99"/>
      <c r="BI128" s="190" t="s">
        <v>243</v>
      </c>
      <c r="BJ128" s="187" t="s">
        <v>408</v>
      </c>
      <c r="BK128" s="196">
        <v>0.6129</v>
      </c>
      <c r="BL128" s="187" t="s">
        <v>409</v>
      </c>
      <c r="BM128" s="189">
        <v>0.18914999999999998</v>
      </c>
      <c r="BN128" s="189">
        <v>0.18914999999999998</v>
      </c>
      <c r="BO128" s="188" t="s">
        <v>241</v>
      </c>
      <c r="BP128" s="195">
        <v>1.4999999999999999E-2</v>
      </c>
      <c r="BQ128" s="195">
        <f t="shared" ref="BQ128:BQ144" si="96">BP128/1000</f>
        <v>1.4999999999999999E-5</v>
      </c>
      <c r="BR128" s="187" t="s">
        <v>410</v>
      </c>
      <c r="BS128" s="189">
        <v>3.0000000000000001E-3</v>
      </c>
      <c r="BT128" s="189">
        <v>0.03</v>
      </c>
      <c r="BU128" s="187" t="s">
        <v>242</v>
      </c>
      <c r="BV128" s="195">
        <v>1.5E-3</v>
      </c>
      <c r="BW128" s="195">
        <f t="shared" ref="BW128:BW144" si="97">BV128/1000</f>
        <v>1.5E-6</v>
      </c>
      <c r="BX128" s="187" t="s">
        <v>515</v>
      </c>
      <c r="BY128" s="189">
        <v>2.9999999999999997E-4</v>
      </c>
      <c r="BZ128" s="189">
        <v>0.03</v>
      </c>
      <c r="CA128" s="187" t="s">
        <v>242</v>
      </c>
      <c r="CB128" s="181">
        <v>0</v>
      </c>
      <c r="CC128" s="195">
        <f t="shared" ref="CC128:CC144" si="98">CB128/1000</f>
        <v>0</v>
      </c>
      <c r="CD128" s="187" t="s">
        <v>410</v>
      </c>
      <c r="CE128" s="189">
        <v>0</v>
      </c>
      <c r="CF128" s="189">
        <v>0</v>
      </c>
      <c r="CG128" s="187" t="s">
        <v>242</v>
      </c>
      <c r="CH128" s="181">
        <v>0</v>
      </c>
      <c r="CI128" s="195">
        <f t="shared" ref="CI128:CI144" si="99">CH128/1000</f>
        <v>0</v>
      </c>
      <c r="CJ128" s="187" t="s">
        <v>515</v>
      </c>
      <c r="CK128" s="189">
        <v>0</v>
      </c>
      <c r="CL128" s="189">
        <v>0</v>
      </c>
      <c r="CM128" s="187" t="s">
        <v>242</v>
      </c>
      <c r="CN128" s="225"/>
      <c r="CO128" s="100">
        <v>0.15</v>
      </c>
      <c r="CP128" s="100">
        <f t="shared" si="95"/>
        <v>0.17499999999999999</v>
      </c>
      <c r="CQ128" s="100">
        <v>0.2</v>
      </c>
    </row>
    <row r="129" spans="1:95" s="101" customFormat="1" ht="17.25" hidden="1" thickBot="1" x14ac:dyDescent="0.3">
      <c r="A129" s="99"/>
      <c r="V129" s="103"/>
      <c r="AA129" s="104"/>
      <c r="AB129" s="104"/>
      <c r="AD129" s="104"/>
      <c r="AE129" s="105"/>
      <c r="AH129" s="106"/>
      <c r="AI129" s="106"/>
      <c r="AK129" s="104"/>
      <c r="AR129" s="104"/>
      <c r="AV129" s="104"/>
      <c r="AX129" s="104"/>
      <c r="BB129" s="104"/>
      <c r="BC129" s="104"/>
      <c r="BE129" s="104"/>
      <c r="BF129" s="119"/>
      <c r="BH129" s="99"/>
      <c r="BI129" s="190" t="s">
        <v>427</v>
      </c>
      <c r="BJ129" s="187" t="s">
        <v>408</v>
      </c>
      <c r="BK129" s="196">
        <v>1.9805999999999999</v>
      </c>
      <c r="BL129" s="187" t="s">
        <v>409</v>
      </c>
      <c r="BM129" s="189">
        <v>6.5890000000000004E-2</v>
      </c>
      <c r="BN129" s="189">
        <v>6.5890000000000004E-2</v>
      </c>
      <c r="BO129" s="188" t="s">
        <v>241</v>
      </c>
      <c r="BP129" s="195">
        <v>3.5700000000000003E-2</v>
      </c>
      <c r="BQ129" s="195">
        <f>BP129/1000</f>
        <v>3.57E-5</v>
      </c>
      <c r="BR129" s="187" t="s">
        <v>410</v>
      </c>
      <c r="BS129" s="189">
        <v>3.0000000000000001E-3</v>
      </c>
      <c r="BT129" s="189">
        <v>0.03</v>
      </c>
      <c r="BU129" s="187" t="s">
        <v>242</v>
      </c>
      <c r="BV129" s="195">
        <v>3.5999999999999999E-3</v>
      </c>
      <c r="BW129" s="195">
        <f>BV129/1000</f>
        <v>3.5999999999999998E-6</v>
      </c>
      <c r="BX129" s="187" t="s">
        <v>515</v>
      </c>
      <c r="BY129" s="189">
        <v>2.9999999999999997E-4</v>
      </c>
      <c r="BZ129" s="189">
        <v>0.03</v>
      </c>
      <c r="CA129" s="187" t="s">
        <v>242</v>
      </c>
      <c r="CB129" s="181">
        <v>3.28</v>
      </c>
      <c r="CC129" s="195">
        <f>CB129/1000</f>
        <v>3.2799999999999999E-3</v>
      </c>
      <c r="CD129" s="187" t="s">
        <v>410</v>
      </c>
      <c r="CE129" s="189">
        <v>0.5</v>
      </c>
      <c r="CF129" s="189">
        <v>15.4</v>
      </c>
      <c r="CG129" s="187" t="s">
        <v>242</v>
      </c>
      <c r="CH129" s="181">
        <v>0.107</v>
      </c>
      <c r="CI129" s="195">
        <f>CH129/1000</f>
        <v>1.07E-4</v>
      </c>
      <c r="CJ129" s="187" t="s">
        <v>515</v>
      </c>
      <c r="CK129" s="189">
        <v>0.01</v>
      </c>
      <c r="CL129" s="189">
        <v>0.77</v>
      </c>
      <c r="CM129" s="187" t="s">
        <v>242</v>
      </c>
      <c r="CN129" s="225"/>
      <c r="CO129" s="100">
        <v>0.15</v>
      </c>
      <c r="CP129" s="100">
        <f t="shared" si="95"/>
        <v>0.17499999999999999</v>
      </c>
      <c r="CQ129" s="100">
        <v>0.2</v>
      </c>
    </row>
    <row r="130" spans="1:95" s="101" customFormat="1" ht="17.25" hidden="1" thickBot="1" x14ac:dyDescent="0.3">
      <c r="A130" s="99"/>
      <c r="V130" s="103"/>
      <c r="AA130" s="104"/>
      <c r="AB130" s="104"/>
      <c r="AD130" s="104"/>
      <c r="AE130" s="105"/>
      <c r="AH130" s="106"/>
      <c r="AI130" s="106"/>
      <c r="AK130" s="104"/>
      <c r="AR130" s="104"/>
      <c r="AV130" s="104"/>
      <c r="AX130" s="104"/>
      <c r="BB130" s="104"/>
      <c r="BC130" s="104"/>
      <c r="BE130" s="104"/>
      <c r="BF130" s="119"/>
      <c r="BH130" s="99"/>
      <c r="BI130" s="190" t="s">
        <v>4</v>
      </c>
      <c r="BJ130" s="187" t="s">
        <v>408</v>
      </c>
      <c r="BK130" s="196">
        <v>2.1913</v>
      </c>
      <c r="BL130" s="187" t="s">
        <v>409</v>
      </c>
      <c r="BM130" s="189">
        <v>1.15E-3</v>
      </c>
      <c r="BN130" s="189">
        <v>1.15E-3</v>
      </c>
      <c r="BO130" s="188" t="s">
        <v>241</v>
      </c>
      <c r="BP130" s="195">
        <v>3.8699999999999998E-2</v>
      </c>
      <c r="BQ130" s="195">
        <f t="shared" si="96"/>
        <v>3.8699999999999999E-5</v>
      </c>
      <c r="BR130" s="187" t="s">
        <v>410</v>
      </c>
      <c r="BS130" s="189">
        <v>3.0000000000000001E-3</v>
      </c>
      <c r="BT130" s="189">
        <v>0.03</v>
      </c>
      <c r="BU130" s="187" t="s">
        <v>242</v>
      </c>
      <c r="BV130" s="195">
        <v>3.8999999999999998E-3</v>
      </c>
      <c r="BW130" s="195">
        <f t="shared" si="97"/>
        <v>3.8999999999999999E-6</v>
      </c>
      <c r="BX130" s="187" t="s">
        <v>515</v>
      </c>
      <c r="BY130" s="189">
        <v>2.9999999999999997E-4</v>
      </c>
      <c r="BZ130" s="189">
        <v>0.03</v>
      </c>
      <c r="CA130" s="187" t="s">
        <v>242</v>
      </c>
      <c r="CB130" s="181">
        <v>3.5579999999999998</v>
      </c>
      <c r="CC130" s="195">
        <f t="shared" si="98"/>
        <v>3.558E-3</v>
      </c>
      <c r="CD130" s="187" t="s">
        <v>410</v>
      </c>
      <c r="CE130" s="189">
        <v>0.5</v>
      </c>
      <c r="CF130" s="189">
        <v>15.4</v>
      </c>
      <c r="CG130" s="187" t="s">
        <v>242</v>
      </c>
      <c r="CH130" s="181">
        <v>0.11600000000000001</v>
      </c>
      <c r="CI130" s="195">
        <f t="shared" si="99"/>
        <v>1.16E-4</v>
      </c>
      <c r="CJ130" s="187" t="s">
        <v>515</v>
      </c>
      <c r="CK130" s="189">
        <v>0.01</v>
      </c>
      <c r="CL130" s="189">
        <v>0.77</v>
      </c>
      <c r="CM130" s="187" t="s">
        <v>242</v>
      </c>
      <c r="CN130" s="225"/>
      <c r="CO130" s="100">
        <v>0.15</v>
      </c>
      <c r="CP130" s="100">
        <f t="shared" si="95"/>
        <v>0.17499999999999999</v>
      </c>
      <c r="CQ130" s="100">
        <v>0.2</v>
      </c>
    </row>
    <row r="131" spans="1:95" s="101" customFormat="1" ht="17.25" hidden="1" thickBot="1" x14ac:dyDescent="0.3">
      <c r="A131" s="99"/>
      <c r="V131" s="103"/>
      <c r="AA131" s="104"/>
      <c r="AB131" s="104"/>
      <c r="AD131" s="104"/>
      <c r="AE131" s="105"/>
      <c r="AH131" s="106"/>
      <c r="AI131" s="106"/>
      <c r="AK131" s="104"/>
      <c r="AR131" s="104"/>
      <c r="AV131" s="104"/>
      <c r="AX131" s="104"/>
      <c r="BB131" s="104"/>
      <c r="BC131" s="104"/>
      <c r="BE131" s="104"/>
      <c r="BF131" s="119"/>
      <c r="BH131" s="99"/>
      <c r="BI131" s="190" t="s">
        <v>5</v>
      </c>
      <c r="BJ131" s="187" t="s">
        <v>408</v>
      </c>
      <c r="BK131" s="196">
        <v>1.8396999999999999</v>
      </c>
      <c r="BL131" s="187" t="s">
        <v>409</v>
      </c>
      <c r="BM131" s="189">
        <v>1.16E-3</v>
      </c>
      <c r="BN131" s="189">
        <v>1.16E-3</v>
      </c>
      <c r="BO131" s="188" t="s">
        <v>241</v>
      </c>
      <c r="BP131" s="195">
        <v>3.3500000000000002E-2</v>
      </c>
      <c r="BQ131" s="195">
        <f t="shared" si="96"/>
        <v>3.3500000000000001E-5</v>
      </c>
      <c r="BR131" s="187" t="s">
        <v>410</v>
      </c>
      <c r="BS131" s="189">
        <v>3.0000000000000001E-3</v>
      </c>
      <c r="BT131" s="189">
        <v>0.03</v>
      </c>
      <c r="BU131" s="187" t="s">
        <v>242</v>
      </c>
      <c r="BV131" s="195">
        <v>3.3E-3</v>
      </c>
      <c r="BW131" s="195">
        <f t="shared" si="97"/>
        <v>3.3000000000000002E-6</v>
      </c>
      <c r="BX131" s="187" t="s">
        <v>515</v>
      </c>
      <c r="BY131" s="189">
        <v>2.9999999999999997E-4</v>
      </c>
      <c r="BZ131" s="189">
        <v>0.03</v>
      </c>
      <c r="CA131" s="187" t="s">
        <v>242</v>
      </c>
      <c r="CB131" s="181">
        <v>3.0815000000000001</v>
      </c>
      <c r="CC131" s="195">
        <f t="shared" si="98"/>
        <v>3.0815E-3</v>
      </c>
      <c r="CD131" s="187" t="s">
        <v>410</v>
      </c>
      <c r="CE131" s="189">
        <v>0.5</v>
      </c>
      <c r="CF131" s="189">
        <v>15.4</v>
      </c>
      <c r="CG131" s="187" t="s">
        <v>242</v>
      </c>
      <c r="CH131" s="181">
        <v>0.10050000000000001</v>
      </c>
      <c r="CI131" s="195">
        <f t="shared" si="99"/>
        <v>1.005E-4</v>
      </c>
      <c r="CJ131" s="187" t="s">
        <v>515</v>
      </c>
      <c r="CK131" s="189">
        <v>0.01</v>
      </c>
      <c r="CL131" s="189">
        <v>0.77</v>
      </c>
      <c r="CM131" s="187" t="s">
        <v>242</v>
      </c>
      <c r="CN131" s="225"/>
      <c r="CO131" s="100">
        <v>0.15</v>
      </c>
      <c r="CP131" s="100">
        <f t="shared" si="95"/>
        <v>0.17499999999999999</v>
      </c>
      <c r="CQ131" s="100">
        <v>0.2</v>
      </c>
    </row>
    <row r="132" spans="1:95" s="101" customFormat="1" ht="17.25" hidden="1" thickBot="1" x14ac:dyDescent="0.3">
      <c r="A132" s="99"/>
      <c r="V132" s="103"/>
      <c r="AA132" s="104"/>
      <c r="AB132" s="104"/>
      <c r="AD132" s="104"/>
      <c r="AE132" s="105"/>
      <c r="AH132" s="106"/>
      <c r="AI132" s="106"/>
      <c r="AK132" s="104"/>
      <c r="AR132" s="104"/>
      <c r="AV132" s="104"/>
      <c r="AX132" s="104"/>
      <c r="BB132" s="104"/>
      <c r="BC132" s="104"/>
      <c r="BE132" s="104"/>
      <c r="BF132" s="119"/>
      <c r="BH132" s="99"/>
      <c r="BI132" s="190" t="s">
        <v>6</v>
      </c>
      <c r="BJ132" s="187" t="s">
        <v>408</v>
      </c>
      <c r="BK132" s="196">
        <v>1.8259000000000001</v>
      </c>
      <c r="BL132" s="187" t="s">
        <v>409</v>
      </c>
      <c r="BM132" s="189">
        <v>7.107999999999999E-2</v>
      </c>
      <c r="BN132" s="189">
        <v>7.107999999999999E-2</v>
      </c>
      <c r="BO132" s="188" t="s">
        <v>241</v>
      </c>
      <c r="BP132" s="195">
        <v>3.3300000000000003E-2</v>
      </c>
      <c r="BQ132" s="195">
        <f t="shared" si="96"/>
        <v>3.3300000000000003E-5</v>
      </c>
      <c r="BR132" s="187" t="s">
        <v>410</v>
      </c>
      <c r="BS132" s="189">
        <v>3.0000000000000001E-3</v>
      </c>
      <c r="BT132" s="189">
        <v>0.03</v>
      </c>
      <c r="BU132" s="187" t="s">
        <v>242</v>
      </c>
      <c r="BV132" s="195">
        <v>3.3E-3</v>
      </c>
      <c r="BW132" s="195">
        <f t="shared" si="97"/>
        <v>3.3000000000000002E-6</v>
      </c>
      <c r="BX132" s="187" t="s">
        <v>515</v>
      </c>
      <c r="BY132" s="189">
        <v>2.9999999999999997E-4</v>
      </c>
      <c r="BZ132" s="189">
        <v>0.03</v>
      </c>
      <c r="CA132" s="187" t="s">
        <v>242</v>
      </c>
      <c r="CB132" s="181">
        <v>3.0607000000000002</v>
      </c>
      <c r="CC132" s="195">
        <f t="shared" si="98"/>
        <v>3.0607000000000004E-3</v>
      </c>
      <c r="CD132" s="187" t="s">
        <v>410</v>
      </c>
      <c r="CE132" s="189">
        <v>0.5</v>
      </c>
      <c r="CF132" s="189">
        <v>15.4</v>
      </c>
      <c r="CG132" s="187" t="s">
        <v>242</v>
      </c>
      <c r="CH132" s="181">
        <v>9.98E-2</v>
      </c>
      <c r="CI132" s="195">
        <f t="shared" si="99"/>
        <v>9.98E-5</v>
      </c>
      <c r="CJ132" s="187" t="s">
        <v>515</v>
      </c>
      <c r="CK132" s="189">
        <v>0.01</v>
      </c>
      <c r="CL132" s="189">
        <v>0.77</v>
      </c>
      <c r="CM132" s="187" t="s">
        <v>242</v>
      </c>
      <c r="CN132" s="225"/>
      <c r="CO132" s="100">
        <v>0.15</v>
      </c>
      <c r="CP132" s="100">
        <f t="shared" si="95"/>
        <v>0.17499999999999999</v>
      </c>
      <c r="CQ132" s="100">
        <v>0.2</v>
      </c>
    </row>
    <row r="133" spans="1:95" s="101" customFormat="1" ht="17.25" hidden="1" thickBot="1" x14ac:dyDescent="0.3">
      <c r="A133" s="99"/>
      <c r="V133" s="103"/>
      <c r="AA133" s="104"/>
      <c r="AB133" s="104"/>
      <c r="AD133" s="104"/>
      <c r="AE133" s="105"/>
      <c r="AH133" s="106"/>
      <c r="AI133" s="106"/>
      <c r="AK133" s="104"/>
      <c r="AR133" s="104"/>
      <c r="AV133" s="104"/>
      <c r="AX133" s="104"/>
      <c r="BB133" s="104"/>
      <c r="BC133" s="104"/>
      <c r="BE133" s="104"/>
      <c r="BF133" s="119"/>
      <c r="BH133" s="99"/>
      <c r="BI133" s="190" t="s">
        <v>244</v>
      </c>
      <c r="BJ133" s="187" t="s">
        <v>408</v>
      </c>
      <c r="BK133" s="196">
        <v>2.0354999999999999</v>
      </c>
      <c r="BL133" s="187" t="s">
        <v>409</v>
      </c>
      <c r="BM133" s="189">
        <v>6.3630000000000006E-2</v>
      </c>
      <c r="BN133" s="189">
        <v>6.3630000000000006E-2</v>
      </c>
      <c r="BO133" s="188" t="s">
        <v>241</v>
      </c>
      <c r="BP133" s="195">
        <v>3.73E-2</v>
      </c>
      <c r="BQ133" s="195">
        <f t="shared" si="96"/>
        <v>3.7299999999999999E-5</v>
      </c>
      <c r="BR133" s="187" t="s">
        <v>410</v>
      </c>
      <c r="BS133" s="189">
        <v>3.0000000000000001E-3</v>
      </c>
      <c r="BT133" s="189">
        <v>0.03</v>
      </c>
      <c r="BU133" s="187" t="s">
        <v>242</v>
      </c>
      <c r="BV133" s="195">
        <v>3.7000000000000002E-3</v>
      </c>
      <c r="BW133" s="195">
        <f t="shared" si="97"/>
        <v>3.7000000000000002E-6</v>
      </c>
      <c r="BX133" s="187" t="s">
        <v>515</v>
      </c>
      <c r="BY133" s="189">
        <v>2.9999999999999997E-4</v>
      </c>
      <c r="BZ133" s="189">
        <v>0.03</v>
      </c>
      <c r="CA133" s="187" t="s">
        <v>242</v>
      </c>
      <c r="CB133" s="181">
        <v>3.4278</v>
      </c>
      <c r="CC133" s="195">
        <f t="shared" si="98"/>
        <v>3.4277999999999999E-3</v>
      </c>
      <c r="CD133" s="187" t="s">
        <v>410</v>
      </c>
      <c r="CE133" s="189">
        <v>0.5</v>
      </c>
      <c r="CF133" s="189">
        <v>15.4</v>
      </c>
      <c r="CG133" s="187" t="s">
        <v>242</v>
      </c>
      <c r="CH133" s="181">
        <v>0.1118</v>
      </c>
      <c r="CI133" s="195">
        <f t="shared" si="99"/>
        <v>1.1179999999999999E-4</v>
      </c>
      <c r="CJ133" s="187" t="s">
        <v>515</v>
      </c>
      <c r="CK133" s="189">
        <v>0.01</v>
      </c>
      <c r="CL133" s="189">
        <v>0.77</v>
      </c>
      <c r="CM133" s="187" t="s">
        <v>242</v>
      </c>
      <c r="CN133" s="225"/>
      <c r="CO133" s="100">
        <v>0.15</v>
      </c>
      <c r="CP133" s="100">
        <f t="shared" si="95"/>
        <v>0.17499999999999999</v>
      </c>
      <c r="CQ133" s="100">
        <v>0.2</v>
      </c>
    </row>
    <row r="134" spans="1:95" s="101" customFormat="1" ht="17.25" hidden="1" thickBot="1" x14ac:dyDescent="0.3">
      <c r="A134" s="99"/>
      <c r="V134" s="103"/>
      <c r="AA134" s="104"/>
      <c r="AB134" s="104"/>
      <c r="AD134" s="104"/>
      <c r="AE134" s="105"/>
      <c r="AH134" s="106"/>
      <c r="AI134" s="106"/>
      <c r="AK134" s="104"/>
      <c r="AR134" s="104"/>
      <c r="AV134" s="104"/>
      <c r="AX134" s="104"/>
      <c r="BB134" s="104"/>
      <c r="BC134" s="104"/>
      <c r="BE134" s="104"/>
      <c r="BF134" s="119"/>
      <c r="BH134" s="99"/>
      <c r="BI134" s="190" t="s">
        <v>245</v>
      </c>
      <c r="BJ134" s="187" t="s">
        <v>408</v>
      </c>
      <c r="BK134" s="196">
        <v>1.9775</v>
      </c>
      <c r="BL134" s="187" t="s">
        <v>409</v>
      </c>
      <c r="BM134" s="189">
        <v>3.7130000000000003E-2</v>
      </c>
      <c r="BN134" s="189">
        <v>3.7130000000000003E-2</v>
      </c>
      <c r="BO134" s="188" t="s">
        <v>241</v>
      </c>
      <c r="BP134" s="195">
        <v>3.5400000000000001E-2</v>
      </c>
      <c r="BQ134" s="195">
        <f t="shared" si="96"/>
        <v>3.54E-5</v>
      </c>
      <c r="BR134" s="187" t="s">
        <v>410</v>
      </c>
      <c r="BS134" s="189">
        <v>3.0000000000000001E-3</v>
      </c>
      <c r="BT134" s="189">
        <v>0.03</v>
      </c>
      <c r="BU134" s="187" t="s">
        <v>242</v>
      </c>
      <c r="BV134" s="195">
        <v>3.5000000000000001E-3</v>
      </c>
      <c r="BW134" s="195">
        <f t="shared" si="97"/>
        <v>3.4999999999999999E-6</v>
      </c>
      <c r="BX134" s="187" t="s">
        <v>515</v>
      </c>
      <c r="BY134" s="189">
        <v>2.9999999999999997E-4</v>
      </c>
      <c r="BZ134" s="189">
        <v>0.03</v>
      </c>
      <c r="CA134" s="187" t="s">
        <v>242</v>
      </c>
      <c r="CB134" s="181">
        <v>3.2595000000000001</v>
      </c>
      <c r="CC134" s="195">
        <f t="shared" si="98"/>
        <v>3.2595000000000002E-3</v>
      </c>
      <c r="CD134" s="187" t="s">
        <v>410</v>
      </c>
      <c r="CE134" s="189">
        <v>0.5</v>
      </c>
      <c r="CF134" s="189">
        <v>15.4</v>
      </c>
      <c r="CG134" s="187" t="s">
        <v>242</v>
      </c>
      <c r="CH134" s="181">
        <v>0.10630000000000001</v>
      </c>
      <c r="CI134" s="195">
        <f t="shared" si="99"/>
        <v>1.0630000000000001E-4</v>
      </c>
      <c r="CJ134" s="187" t="s">
        <v>515</v>
      </c>
      <c r="CK134" s="189">
        <v>0.01</v>
      </c>
      <c r="CL134" s="189">
        <v>0.77</v>
      </c>
      <c r="CM134" s="187" t="s">
        <v>242</v>
      </c>
      <c r="CN134" s="225"/>
      <c r="CO134" s="100">
        <v>0.15</v>
      </c>
      <c r="CP134" s="100">
        <f t="shared" si="95"/>
        <v>0.17499999999999999</v>
      </c>
      <c r="CQ134" s="100">
        <v>0.2</v>
      </c>
    </row>
    <row r="135" spans="1:95" s="101" customFormat="1" ht="17.25" hidden="1" thickBot="1" x14ac:dyDescent="0.3">
      <c r="A135" s="99"/>
      <c r="V135" s="103"/>
      <c r="AA135" s="104"/>
      <c r="AB135" s="104"/>
      <c r="AD135" s="104"/>
      <c r="AE135" s="105"/>
      <c r="AH135" s="106"/>
      <c r="AI135" s="106"/>
      <c r="AK135" s="104"/>
      <c r="AR135" s="104"/>
      <c r="AV135" s="104"/>
      <c r="AX135" s="104"/>
      <c r="BB135" s="104"/>
      <c r="BC135" s="104"/>
      <c r="BE135" s="104"/>
      <c r="BF135" s="119"/>
      <c r="BH135" s="99"/>
      <c r="BI135" s="190" t="s">
        <v>246</v>
      </c>
      <c r="BJ135" s="187" t="s">
        <v>408</v>
      </c>
      <c r="BK135" s="196">
        <v>2.1621000000000001</v>
      </c>
      <c r="BL135" s="187" t="s">
        <v>409</v>
      </c>
      <c r="BM135" s="189">
        <v>3.0299999999999997E-3</v>
      </c>
      <c r="BN135" s="189">
        <v>3.0299999999999997E-3</v>
      </c>
      <c r="BO135" s="188" t="s">
        <v>241</v>
      </c>
      <c r="BP135" s="195">
        <v>3.7900000000000003E-2</v>
      </c>
      <c r="BQ135" s="195">
        <f t="shared" si="96"/>
        <v>3.7900000000000006E-5</v>
      </c>
      <c r="BR135" s="187" t="s">
        <v>410</v>
      </c>
      <c r="BS135" s="189">
        <v>3.0000000000000001E-3</v>
      </c>
      <c r="BT135" s="189">
        <v>0.03</v>
      </c>
      <c r="BU135" s="187" t="s">
        <v>242</v>
      </c>
      <c r="BV135" s="195">
        <v>3.8E-3</v>
      </c>
      <c r="BW135" s="195">
        <f t="shared" si="97"/>
        <v>3.8E-6</v>
      </c>
      <c r="BX135" s="187" t="s">
        <v>515</v>
      </c>
      <c r="BY135" s="189">
        <v>2.9999999999999997E-4</v>
      </c>
      <c r="BZ135" s="189">
        <v>0.03</v>
      </c>
      <c r="CA135" s="187" t="s">
        <v>242</v>
      </c>
      <c r="CB135" s="181">
        <v>3.49</v>
      </c>
      <c r="CC135" s="195">
        <f t="shared" si="98"/>
        <v>3.49E-3</v>
      </c>
      <c r="CD135" s="187" t="s">
        <v>410</v>
      </c>
      <c r="CE135" s="189">
        <v>0.5</v>
      </c>
      <c r="CF135" s="189">
        <v>15.4</v>
      </c>
      <c r="CG135" s="187" t="s">
        <v>242</v>
      </c>
      <c r="CH135" s="181">
        <v>0.1138</v>
      </c>
      <c r="CI135" s="195">
        <f t="shared" si="99"/>
        <v>1.138E-4</v>
      </c>
      <c r="CJ135" s="187" t="s">
        <v>515</v>
      </c>
      <c r="CK135" s="189">
        <v>0.01</v>
      </c>
      <c r="CL135" s="189">
        <v>0.77</v>
      </c>
      <c r="CM135" s="187" t="s">
        <v>242</v>
      </c>
      <c r="CN135" s="225"/>
      <c r="CO135" s="100">
        <v>0.15</v>
      </c>
      <c r="CP135" s="100">
        <f t="shared" si="95"/>
        <v>0.17499999999999999</v>
      </c>
      <c r="CQ135" s="100">
        <v>0.2</v>
      </c>
    </row>
    <row r="136" spans="1:95" s="101" customFormat="1" ht="17.25" hidden="1" thickBot="1" x14ac:dyDescent="0.3">
      <c r="A136" s="99"/>
      <c r="V136" s="103"/>
      <c r="AA136" s="104"/>
      <c r="AB136" s="104"/>
      <c r="AD136" s="104"/>
      <c r="AE136" s="105"/>
      <c r="AH136" s="106"/>
      <c r="AI136" s="106"/>
      <c r="AK136" s="104"/>
      <c r="AR136" s="104"/>
      <c r="AV136" s="104"/>
      <c r="AX136" s="104"/>
      <c r="BB136" s="104"/>
      <c r="BC136" s="104"/>
      <c r="BE136" s="104"/>
      <c r="BF136" s="119"/>
      <c r="BH136" s="99"/>
      <c r="BI136" s="190" t="s">
        <v>247</v>
      </c>
      <c r="BJ136" s="187" t="s">
        <v>408</v>
      </c>
      <c r="BK136" s="196">
        <v>1.8321000000000001</v>
      </c>
      <c r="BL136" s="187" t="s">
        <v>409</v>
      </c>
      <c r="BM136" s="189">
        <v>7.0720000000000005E-2</v>
      </c>
      <c r="BN136" s="189">
        <v>7.0720000000000005E-2</v>
      </c>
      <c r="BO136" s="188" t="s">
        <v>241</v>
      </c>
      <c r="BP136" s="195">
        <v>3.3500000000000002E-2</v>
      </c>
      <c r="BQ136" s="195">
        <f t="shared" si="96"/>
        <v>3.3500000000000001E-5</v>
      </c>
      <c r="BR136" s="187" t="s">
        <v>410</v>
      </c>
      <c r="BS136" s="189">
        <v>3.0000000000000001E-3</v>
      </c>
      <c r="BT136" s="189">
        <v>0.03</v>
      </c>
      <c r="BU136" s="187" t="s">
        <v>242</v>
      </c>
      <c r="BV136" s="195">
        <v>3.3999999999999998E-3</v>
      </c>
      <c r="BW136" s="195">
        <f t="shared" si="97"/>
        <v>3.3999999999999996E-6</v>
      </c>
      <c r="BX136" s="187" t="s">
        <v>515</v>
      </c>
      <c r="BY136" s="189">
        <v>2.9999999999999997E-4</v>
      </c>
      <c r="BZ136" s="189">
        <v>0.03</v>
      </c>
      <c r="CA136" s="187" t="s">
        <v>242</v>
      </c>
      <c r="CB136" s="181">
        <v>3.0825</v>
      </c>
      <c r="CC136" s="195">
        <f t="shared" si="98"/>
        <v>3.0825000000000002E-3</v>
      </c>
      <c r="CD136" s="187" t="s">
        <v>410</v>
      </c>
      <c r="CE136" s="189">
        <v>0.5</v>
      </c>
      <c r="CF136" s="189">
        <v>15.4</v>
      </c>
      <c r="CG136" s="187" t="s">
        <v>242</v>
      </c>
      <c r="CH136" s="181">
        <v>0.10050000000000001</v>
      </c>
      <c r="CI136" s="195">
        <f t="shared" si="99"/>
        <v>1.005E-4</v>
      </c>
      <c r="CJ136" s="187" t="s">
        <v>515</v>
      </c>
      <c r="CK136" s="189">
        <v>0.01</v>
      </c>
      <c r="CL136" s="189">
        <v>0.77</v>
      </c>
      <c r="CM136" s="187" t="s">
        <v>242</v>
      </c>
      <c r="CN136" s="225"/>
      <c r="CO136" s="100">
        <v>0.15</v>
      </c>
      <c r="CP136" s="100">
        <f t="shared" si="95"/>
        <v>0.17499999999999999</v>
      </c>
      <c r="CQ136" s="100">
        <v>0.2</v>
      </c>
    </row>
    <row r="137" spans="1:95" s="101" customFormat="1" ht="17.25" hidden="1" thickBot="1" x14ac:dyDescent="0.3">
      <c r="A137" s="99"/>
      <c r="V137" s="103"/>
      <c r="AA137" s="104"/>
      <c r="AB137" s="104"/>
      <c r="AD137" s="104"/>
      <c r="AE137" s="105"/>
      <c r="AH137" s="106"/>
      <c r="AI137" s="106"/>
      <c r="AK137" s="104"/>
      <c r="AR137" s="104"/>
      <c r="AV137" s="104"/>
      <c r="AX137" s="104"/>
      <c r="BB137" s="104"/>
      <c r="BC137" s="104"/>
      <c r="BE137" s="104"/>
      <c r="BF137" s="119"/>
      <c r="BH137" s="99"/>
      <c r="BI137" s="190" t="s">
        <v>275</v>
      </c>
      <c r="BJ137" s="187" t="s">
        <v>408</v>
      </c>
      <c r="BK137" s="196">
        <v>4.6929999999999996</v>
      </c>
      <c r="BL137" s="187" t="s">
        <v>409</v>
      </c>
      <c r="BM137" s="189">
        <v>2.6000000000000002E-2</v>
      </c>
      <c r="BN137" s="189">
        <v>2.6000000000000002E-2</v>
      </c>
      <c r="BO137" s="188" t="s">
        <v>241</v>
      </c>
      <c r="BP137" s="195">
        <v>9.9199999999999997E-2</v>
      </c>
      <c r="BQ137" s="195">
        <f t="shared" si="96"/>
        <v>9.9199999999999999E-5</v>
      </c>
      <c r="BR137" s="187" t="s">
        <v>410</v>
      </c>
      <c r="BS137" s="189">
        <v>3.0000000000000001E-3</v>
      </c>
      <c r="BT137" s="189">
        <v>0.03</v>
      </c>
      <c r="BU137" s="187" t="s">
        <v>242</v>
      </c>
      <c r="BV137" s="195">
        <v>9.9000000000000008E-3</v>
      </c>
      <c r="BW137" s="195">
        <f t="shared" si="97"/>
        <v>9.9000000000000001E-6</v>
      </c>
      <c r="BX137" s="187" t="s">
        <v>515</v>
      </c>
      <c r="BY137" s="189">
        <v>2.9999999999999997E-4</v>
      </c>
      <c r="BZ137" s="189">
        <v>0.03</v>
      </c>
      <c r="CA137" s="187" t="s">
        <v>242</v>
      </c>
      <c r="CB137" s="181">
        <v>6.1513</v>
      </c>
      <c r="CC137" s="195">
        <f t="shared" si="98"/>
        <v>6.1513000000000002E-3</v>
      </c>
      <c r="CD137" s="187" t="s">
        <v>410</v>
      </c>
      <c r="CE137" s="189">
        <v>0</v>
      </c>
      <c r="CF137" s="189">
        <v>0</v>
      </c>
      <c r="CG137" s="187" t="s">
        <v>242</v>
      </c>
      <c r="CH137" s="181">
        <v>1.9800000000000002E-2</v>
      </c>
      <c r="CI137" s="195">
        <f t="shared" si="99"/>
        <v>1.98E-5</v>
      </c>
      <c r="CJ137" s="187" t="s">
        <v>515</v>
      </c>
      <c r="CK137" s="189">
        <v>0</v>
      </c>
      <c r="CL137" s="189">
        <v>0</v>
      </c>
      <c r="CM137" s="187" t="s">
        <v>242</v>
      </c>
      <c r="CN137" s="225"/>
      <c r="CO137" s="100">
        <v>0.15</v>
      </c>
      <c r="CP137" s="100">
        <f t="shared" si="95"/>
        <v>0.17499999999999999</v>
      </c>
      <c r="CQ137" s="100">
        <v>0.2</v>
      </c>
    </row>
    <row r="138" spans="1:95" s="101" customFormat="1" ht="17.25" hidden="1" thickBot="1" x14ac:dyDescent="0.3">
      <c r="A138" s="99"/>
      <c r="V138" s="103"/>
      <c r="AA138" s="104"/>
      <c r="AB138" s="104"/>
      <c r="AD138" s="104"/>
      <c r="AE138" s="105"/>
      <c r="AH138" s="106"/>
      <c r="AI138" s="106"/>
      <c r="AK138" s="104"/>
      <c r="AR138" s="104"/>
      <c r="AV138" s="104"/>
      <c r="AX138" s="104"/>
      <c r="BB138" s="104"/>
      <c r="BC138" s="104"/>
      <c r="BE138" s="104"/>
      <c r="BF138" s="119"/>
      <c r="BH138" s="99"/>
      <c r="BI138" s="190" t="s">
        <v>7</v>
      </c>
      <c r="BJ138" s="187" t="s">
        <v>408</v>
      </c>
      <c r="BK138" s="196">
        <v>5.5792000000000002</v>
      </c>
      <c r="BL138" s="187" t="s">
        <v>409</v>
      </c>
      <c r="BM138" s="189">
        <v>2.5219999999999999E-2</v>
      </c>
      <c r="BN138" s="189">
        <v>2.5219999999999999E-2</v>
      </c>
      <c r="BO138" s="188" t="s">
        <v>241</v>
      </c>
      <c r="BP138" s="195">
        <v>8.6300000000000002E-2</v>
      </c>
      <c r="BQ138" s="195">
        <f t="shared" si="96"/>
        <v>8.6299999999999997E-5</v>
      </c>
      <c r="BR138" s="187" t="s">
        <v>410</v>
      </c>
      <c r="BS138" s="189">
        <v>3.0000000000000001E-3</v>
      </c>
      <c r="BT138" s="189">
        <v>0.03</v>
      </c>
      <c r="BU138" s="187" t="s">
        <v>242</v>
      </c>
      <c r="BV138" s="195">
        <v>8.6E-3</v>
      </c>
      <c r="BW138" s="195">
        <f t="shared" si="97"/>
        <v>8.6000000000000007E-6</v>
      </c>
      <c r="BX138" s="187" t="s">
        <v>515</v>
      </c>
      <c r="BY138" s="189">
        <v>2.9999999999999997E-4</v>
      </c>
      <c r="BZ138" s="189">
        <v>0.03</v>
      </c>
      <c r="CA138" s="187" t="s">
        <v>242</v>
      </c>
      <c r="CB138" s="181">
        <v>5.3475999999999999</v>
      </c>
      <c r="CC138" s="195">
        <f t="shared" si="98"/>
        <v>5.3476000000000001E-3</v>
      </c>
      <c r="CD138" s="187" t="s">
        <v>410</v>
      </c>
      <c r="CE138" s="189">
        <v>0</v>
      </c>
      <c r="CF138" s="189">
        <v>0</v>
      </c>
      <c r="CG138" s="187" t="s">
        <v>242</v>
      </c>
      <c r="CH138" s="181">
        <v>1.7299999999999999E-2</v>
      </c>
      <c r="CI138" s="195">
        <f t="shared" si="99"/>
        <v>1.73E-5</v>
      </c>
      <c r="CJ138" s="187" t="s">
        <v>515</v>
      </c>
      <c r="CK138" s="189">
        <v>0</v>
      </c>
      <c r="CL138" s="189">
        <v>0</v>
      </c>
      <c r="CM138" s="187" t="s">
        <v>242</v>
      </c>
      <c r="CN138" s="225"/>
      <c r="CO138" s="100">
        <v>0.15</v>
      </c>
      <c r="CP138" s="100">
        <f t="shared" si="95"/>
        <v>0.17499999999999999</v>
      </c>
      <c r="CQ138" s="100">
        <v>0.2</v>
      </c>
    </row>
    <row r="139" spans="1:95" s="101" customFormat="1" ht="17.25" hidden="1" thickBot="1" x14ac:dyDescent="0.3">
      <c r="A139" s="99"/>
      <c r="V139" s="103"/>
      <c r="AA139" s="104"/>
      <c r="AB139" s="104"/>
      <c r="AD139" s="104"/>
      <c r="AE139" s="105"/>
      <c r="AH139" s="106"/>
      <c r="AI139" s="106"/>
      <c r="AK139" s="104"/>
      <c r="AR139" s="104"/>
      <c r="AV139" s="104"/>
      <c r="AX139" s="104"/>
      <c r="BB139" s="104"/>
      <c r="BC139" s="104"/>
      <c r="BE139" s="104"/>
      <c r="BF139" s="119"/>
      <c r="BH139" s="99"/>
      <c r="BI139" s="190" t="s">
        <v>248</v>
      </c>
      <c r="BJ139" s="187" t="s">
        <v>408</v>
      </c>
      <c r="BK139" s="196">
        <v>2.2818000000000001</v>
      </c>
      <c r="BL139" s="187" t="s">
        <v>409</v>
      </c>
      <c r="BM139" s="189">
        <v>2.8499999999999997E-3</v>
      </c>
      <c r="BN139" s="189">
        <v>2.8499999999999997E-3</v>
      </c>
      <c r="BO139" s="188" t="s">
        <v>241</v>
      </c>
      <c r="BP139" s="195">
        <v>4.0599999999999997E-2</v>
      </c>
      <c r="BQ139" s="195">
        <f t="shared" si="96"/>
        <v>4.0599999999999998E-5</v>
      </c>
      <c r="BR139" s="187" t="s">
        <v>410</v>
      </c>
      <c r="BS139" s="189">
        <v>3.0000000000000001E-3</v>
      </c>
      <c r="BT139" s="189">
        <v>0.03</v>
      </c>
      <c r="BU139" s="187" t="s">
        <v>242</v>
      </c>
      <c r="BV139" s="195">
        <v>4.1000000000000003E-3</v>
      </c>
      <c r="BW139" s="195">
        <f t="shared" si="97"/>
        <v>4.1000000000000006E-6</v>
      </c>
      <c r="BX139" s="187" t="s">
        <v>515</v>
      </c>
      <c r="BY139" s="189">
        <v>2.9999999999999997E-4</v>
      </c>
      <c r="BZ139" s="189">
        <v>0.03</v>
      </c>
      <c r="CA139" s="187" t="s">
        <v>242</v>
      </c>
      <c r="CB139" s="181">
        <v>0</v>
      </c>
      <c r="CC139" s="195">
        <f t="shared" si="98"/>
        <v>0</v>
      </c>
      <c r="CD139" s="187" t="s">
        <v>410</v>
      </c>
      <c r="CE139" s="189">
        <v>0</v>
      </c>
      <c r="CF139" s="189">
        <v>0</v>
      </c>
      <c r="CG139" s="187" t="s">
        <v>242</v>
      </c>
      <c r="CH139" s="181">
        <v>0</v>
      </c>
      <c r="CI139" s="195">
        <f t="shared" si="99"/>
        <v>0</v>
      </c>
      <c r="CJ139" s="187" t="s">
        <v>515</v>
      </c>
      <c r="CK139" s="189">
        <v>0</v>
      </c>
      <c r="CL139" s="189">
        <v>0</v>
      </c>
      <c r="CM139" s="187" t="s">
        <v>242</v>
      </c>
      <c r="CN139" s="225"/>
      <c r="CO139" s="100">
        <v>0.15</v>
      </c>
      <c r="CP139" s="100">
        <f t="shared" si="95"/>
        <v>0.17499999999999999</v>
      </c>
      <c r="CQ139" s="100">
        <v>0.2</v>
      </c>
    </row>
    <row r="140" spans="1:95" s="101" customFormat="1" ht="17.25" hidden="1" thickBot="1" x14ac:dyDescent="0.3">
      <c r="A140" s="99"/>
      <c r="V140" s="103"/>
      <c r="AA140" s="104"/>
      <c r="AB140" s="104"/>
      <c r="AD140" s="104"/>
      <c r="AE140" s="105"/>
      <c r="AH140" s="106"/>
      <c r="AI140" s="106"/>
      <c r="AK140" s="104"/>
      <c r="AR140" s="104"/>
      <c r="AV140" s="104"/>
      <c r="AX140" s="104"/>
      <c r="BB140" s="104"/>
      <c r="BC140" s="104"/>
      <c r="BE140" s="104"/>
      <c r="BF140" s="119"/>
      <c r="BH140" s="99"/>
      <c r="BI140" s="190" t="s">
        <v>369</v>
      </c>
      <c r="BJ140" s="187" t="s">
        <v>408</v>
      </c>
      <c r="BK140" s="196">
        <v>1.9420999999999999</v>
      </c>
      <c r="BL140" s="187" t="s">
        <v>409</v>
      </c>
      <c r="BM140" s="189">
        <v>0.10070999999999999</v>
      </c>
      <c r="BN140" s="189">
        <v>0.10070999999999999</v>
      </c>
      <c r="BO140" s="188" t="s">
        <v>241</v>
      </c>
      <c r="BP140" s="195">
        <v>3.5499999999999997E-2</v>
      </c>
      <c r="BQ140" s="195">
        <f t="shared" si="96"/>
        <v>3.5499999999999996E-5</v>
      </c>
      <c r="BR140" s="187" t="s">
        <v>410</v>
      </c>
      <c r="BS140" s="189">
        <v>3.0000000000000001E-3</v>
      </c>
      <c r="BT140" s="189">
        <v>0.03</v>
      </c>
      <c r="BU140" s="187" t="s">
        <v>242</v>
      </c>
      <c r="BV140" s="195">
        <v>3.5999999999999999E-3</v>
      </c>
      <c r="BW140" s="195">
        <f t="shared" si="97"/>
        <v>3.5999999999999998E-6</v>
      </c>
      <c r="BX140" s="187" t="s">
        <v>515</v>
      </c>
      <c r="BY140" s="189">
        <v>2.9999999999999997E-4</v>
      </c>
      <c r="BZ140" s="189">
        <v>0.03</v>
      </c>
      <c r="CA140" s="187" t="s">
        <v>242</v>
      </c>
      <c r="CB140" s="181">
        <v>3.2690000000000001</v>
      </c>
      <c r="CC140" s="195">
        <f t="shared" si="98"/>
        <v>3.2690000000000002E-3</v>
      </c>
      <c r="CD140" s="187" t="s">
        <v>410</v>
      </c>
      <c r="CE140" s="189">
        <v>0.5</v>
      </c>
      <c r="CF140" s="189">
        <v>15.4</v>
      </c>
      <c r="CG140" s="187" t="s">
        <v>242</v>
      </c>
      <c r="CH140" s="181">
        <v>0.1066</v>
      </c>
      <c r="CI140" s="195">
        <f t="shared" si="99"/>
        <v>1.066E-4</v>
      </c>
      <c r="CJ140" s="187" t="s">
        <v>515</v>
      </c>
      <c r="CK140" s="189">
        <v>0.01</v>
      </c>
      <c r="CL140" s="189">
        <v>0.77</v>
      </c>
      <c r="CM140" s="187" t="s">
        <v>242</v>
      </c>
      <c r="CN140" s="225"/>
      <c r="CO140" s="100">
        <v>0.15</v>
      </c>
      <c r="CP140" s="100">
        <f t="shared" si="95"/>
        <v>0.17499999999999999</v>
      </c>
      <c r="CQ140" s="100">
        <v>0.2</v>
      </c>
    </row>
    <row r="141" spans="1:95" s="101" customFormat="1" ht="17.25" hidden="1" thickBot="1" x14ac:dyDescent="0.3">
      <c r="A141" s="99"/>
      <c r="V141" s="103"/>
      <c r="AA141" s="104"/>
      <c r="AB141" s="104"/>
      <c r="AD141" s="104"/>
      <c r="AE141" s="105"/>
      <c r="AH141" s="106"/>
      <c r="AI141" s="106"/>
      <c r="AK141" s="104"/>
      <c r="AR141" s="104"/>
      <c r="AV141" s="104"/>
      <c r="AX141" s="104"/>
      <c r="BB141" s="104"/>
      <c r="BC141" s="104"/>
      <c r="BE141" s="104"/>
      <c r="BF141" s="119"/>
      <c r="BH141" s="99"/>
      <c r="BI141" s="190" t="s">
        <v>370</v>
      </c>
      <c r="BJ141" s="187" t="s">
        <v>408</v>
      </c>
      <c r="BK141" s="196">
        <v>2.101</v>
      </c>
      <c r="BL141" s="187" t="s">
        <v>409</v>
      </c>
      <c r="BM141" s="189">
        <v>6.6460000000000005E-2</v>
      </c>
      <c r="BN141" s="189">
        <v>6.6460000000000005E-2</v>
      </c>
      <c r="BO141" s="188" t="s">
        <v>241</v>
      </c>
      <c r="BP141" s="195">
        <v>3.73E-2</v>
      </c>
      <c r="BQ141" s="195">
        <f t="shared" si="96"/>
        <v>3.7299999999999999E-5</v>
      </c>
      <c r="BR141" s="187" t="s">
        <v>410</v>
      </c>
      <c r="BS141" s="189">
        <v>3.0000000000000001E-3</v>
      </c>
      <c r="BT141" s="189">
        <v>0.03</v>
      </c>
      <c r="BU141" s="187" t="s">
        <v>242</v>
      </c>
      <c r="BV141" s="195">
        <v>3.7000000000000002E-3</v>
      </c>
      <c r="BW141" s="195">
        <f t="shared" si="97"/>
        <v>3.7000000000000002E-6</v>
      </c>
      <c r="BX141" s="187" t="s">
        <v>515</v>
      </c>
      <c r="BY141" s="189">
        <v>2.9999999999999997E-4</v>
      </c>
      <c r="BZ141" s="189">
        <v>0.03</v>
      </c>
      <c r="CA141" s="187" t="s">
        <v>242</v>
      </c>
      <c r="CB141" s="181">
        <v>3.4272999999999998</v>
      </c>
      <c r="CC141" s="195">
        <f t="shared" si="98"/>
        <v>3.4272999999999999E-3</v>
      </c>
      <c r="CD141" s="187" t="s">
        <v>410</v>
      </c>
      <c r="CE141" s="189">
        <v>0.5</v>
      </c>
      <c r="CF141" s="189">
        <v>15.4</v>
      </c>
      <c r="CG141" s="187" t="s">
        <v>242</v>
      </c>
      <c r="CH141" s="181">
        <v>0.1118</v>
      </c>
      <c r="CI141" s="195">
        <f t="shared" si="99"/>
        <v>1.1179999999999999E-4</v>
      </c>
      <c r="CJ141" s="187" t="s">
        <v>515</v>
      </c>
      <c r="CK141" s="189">
        <v>0.01</v>
      </c>
      <c r="CL141" s="189">
        <v>0.77</v>
      </c>
      <c r="CM141" s="187" t="s">
        <v>242</v>
      </c>
      <c r="CN141" s="225"/>
      <c r="CO141" s="100">
        <v>0.15</v>
      </c>
      <c r="CP141" s="100">
        <f t="shared" si="95"/>
        <v>0.17499999999999999</v>
      </c>
      <c r="CQ141" s="100">
        <v>0.2</v>
      </c>
    </row>
    <row r="142" spans="1:95" s="101" customFormat="1" ht="17.25" hidden="1" thickBot="1" x14ac:dyDescent="0.3">
      <c r="A142" s="99"/>
      <c r="V142" s="103"/>
      <c r="AA142" s="104"/>
      <c r="AB142" s="104"/>
      <c r="AD142" s="104"/>
      <c r="AE142" s="105"/>
      <c r="AH142" s="106"/>
      <c r="AI142" s="106"/>
      <c r="AK142" s="104"/>
      <c r="AR142" s="104"/>
      <c r="AV142" s="104"/>
      <c r="AX142" s="104"/>
      <c r="BB142" s="104"/>
      <c r="BC142" s="104"/>
      <c r="BE142" s="104"/>
      <c r="BF142" s="119"/>
      <c r="BH142" s="99"/>
      <c r="BI142" s="190" t="s">
        <v>371</v>
      </c>
      <c r="BJ142" s="187" t="s">
        <v>408</v>
      </c>
      <c r="BK142" s="196">
        <v>2.1795</v>
      </c>
      <c r="BL142" s="187" t="s">
        <v>409</v>
      </c>
      <c r="BM142" s="189">
        <v>4.79E-3</v>
      </c>
      <c r="BN142" s="189">
        <v>4.79E-3</v>
      </c>
      <c r="BO142" s="188" t="s">
        <v>241</v>
      </c>
      <c r="BP142" s="195">
        <v>3.85E-2</v>
      </c>
      <c r="BQ142" s="195">
        <f>BP142/1000</f>
        <v>3.8500000000000001E-5</v>
      </c>
      <c r="BR142" s="187" t="s">
        <v>410</v>
      </c>
      <c r="BS142" s="189">
        <v>3.0000000000000001E-3</v>
      </c>
      <c r="BT142" s="189">
        <v>0.03</v>
      </c>
      <c r="BU142" s="187" t="s">
        <v>242</v>
      </c>
      <c r="BV142" s="195">
        <v>3.8E-3</v>
      </c>
      <c r="BW142" s="195">
        <f>BV142/1000</f>
        <v>3.8E-6</v>
      </c>
      <c r="BX142" s="187" t="s">
        <v>515</v>
      </c>
      <c r="BY142" s="189">
        <v>2.9999999999999997E-4</v>
      </c>
      <c r="BZ142" s="189">
        <v>0.03</v>
      </c>
      <c r="CA142" s="187" t="s">
        <v>242</v>
      </c>
      <c r="CB142" s="181">
        <v>3.5390999999999999</v>
      </c>
      <c r="CC142" s="195">
        <f>CB142/1000</f>
        <v>3.5390999999999999E-3</v>
      </c>
      <c r="CD142" s="187" t="s">
        <v>410</v>
      </c>
      <c r="CE142" s="189">
        <v>0.5</v>
      </c>
      <c r="CF142" s="189">
        <v>15.4</v>
      </c>
      <c r="CG142" s="187" t="s">
        <v>242</v>
      </c>
      <c r="CH142" s="181">
        <v>0.1154</v>
      </c>
      <c r="CI142" s="195">
        <f>CH142/1000</f>
        <v>1.154E-4</v>
      </c>
      <c r="CJ142" s="187" t="s">
        <v>515</v>
      </c>
      <c r="CK142" s="189">
        <v>0.01</v>
      </c>
      <c r="CL142" s="189">
        <v>0.77</v>
      </c>
      <c r="CM142" s="187" t="s">
        <v>242</v>
      </c>
      <c r="CN142" s="225"/>
      <c r="CO142" s="100">
        <v>0.15</v>
      </c>
      <c r="CP142" s="100">
        <f t="shared" si="95"/>
        <v>0.17499999999999999</v>
      </c>
      <c r="CQ142" s="100">
        <v>0.2</v>
      </c>
    </row>
    <row r="143" spans="1:95" s="101" customFormat="1" ht="16.5" hidden="1" customHeight="1" thickBot="1" x14ac:dyDescent="0.3">
      <c r="A143" s="99"/>
      <c r="V143" s="103"/>
      <c r="AA143" s="104"/>
      <c r="AB143" s="104"/>
      <c r="AD143" s="104"/>
      <c r="AE143" s="105"/>
      <c r="AH143" s="106"/>
      <c r="AI143" s="106"/>
      <c r="AK143" s="104"/>
      <c r="AR143" s="104"/>
      <c r="AV143" s="104"/>
      <c r="AX143" s="104"/>
      <c r="BB143" s="104"/>
      <c r="BC143" s="104"/>
      <c r="BE143" s="104"/>
      <c r="BF143" s="119"/>
      <c r="BH143" s="99"/>
      <c r="BI143" s="190" t="s">
        <v>356</v>
      </c>
      <c r="BJ143" s="181" t="s">
        <v>49</v>
      </c>
      <c r="BK143" s="196">
        <f>(3.13757879682717*99.5%)</f>
        <v>3.1218909028430342</v>
      </c>
      <c r="BL143" s="196" t="s">
        <v>423</v>
      </c>
      <c r="BM143" s="189">
        <v>0.02</v>
      </c>
      <c r="BN143" s="189">
        <v>0.5</v>
      </c>
      <c r="BO143" s="188" t="s">
        <v>382</v>
      </c>
      <c r="BP143" s="195">
        <v>0</v>
      </c>
      <c r="BQ143" s="195">
        <f>BP143/1000</f>
        <v>0</v>
      </c>
      <c r="BR143" s="187" t="s">
        <v>410</v>
      </c>
      <c r="BS143" s="189">
        <v>0</v>
      </c>
      <c r="BT143" s="189">
        <v>0</v>
      </c>
      <c r="BU143" s="187"/>
      <c r="BV143" s="195">
        <v>0</v>
      </c>
      <c r="BW143" s="195">
        <f>BV143/1000</f>
        <v>0</v>
      </c>
      <c r="BX143" s="187" t="s">
        <v>515</v>
      </c>
      <c r="BY143" s="189">
        <v>0</v>
      </c>
      <c r="BZ143" s="189">
        <v>0</v>
      </c>
      <c r="CA143" s="187"/>
      <c r="CB143" s="181">
        <v>0</v>
      </c>
      <c r="CC143" s="195">
        <f>CB143/1000</f>
        <v>0</v>
      </c>
      <c r="CD143" s="187" t="s">
        <v>410</v>
      </c>
      <c r="CE143" s="189">
        <v>0</v>
      </c>
      <c r="CF143" s="189">
        <v>0</v>
      </c>
      <c r="CG143" s="187"/>
      <c r="CH143" s="181">
        <v>0</v>
      </c>
      <c r="CI143" s="195">
        <f>CH143/1000</f>
        <v>0</v>
      </c>
      <c r="CJ143" s="187" t="s">
        <v>515</v>
      </c>
      <c r="CK143" s="189">
        <v>0</v>
      </c>
      <c r="CL143" s="189">
        <v>0</v>
      </c>
      <c r="CM143" s="187"/>
      <c r="CN143" s="225"/>
      <c r="CO143" s="100">
        <v>0.15</v>
      </c>
      <c r="CP143" s="100">
        <f t="shared" si="95"/>
        <v>0.17499999999999999</v>
      </c>
      <c r="CQ143" s="100">
        <v>0.2</v>
      </c>
    </row>
    <row r="144" spans="1:95" s="101" customFormat="1" ht="17.25" hidden="1" thickBot="1" x14ac:dyDescent="0.3">
      <c r="A144" s="99"/>
      <c r="V144" s="103"/>
      <c r="AA144" s="104"/>
      <c r="AB144" s="104"/>
      <c r="AD144" s="104"/>
      <c r="AE144" s="105"/>
      <c r="AH144" s="106"/>
      <c r="AI144" s="106"/>
      <c r="AK144" s="104"/>
      <c r="AR144" s="104"/>
      <c r="AV144" s="104"/>
      <c r="AX144" s="104"/>
      <c r="BB144" s="104"/>
      <c r="BC144" s="104"/>
      <c r="BE144" s="104"/>
      <c r="BF144" s="119"/>
      <c r="BH144" s="99"/>
      <c r="BI144" s="190" t="s">
        <v>349</v>
      </c>
      <c r="BJ144" s="187" t="s">
        <v>49</v>
      </c>
      <c r="BK144" s="196">
        <v>3.38</v>
      </c>
      <c r="BL144" s="187" t="s">
        <v>404</v>
      </c>
      <c r="BM144" s="189">
        <v>0.1</v>
      </c>
      <c r="BN144" s="189">
        <v>0.2</v>
      </c>
      <c r="BO144" s="188" t="s">
        <v>494</v>
      </c>
      <c r="BP144" s="195">
        <v>0</v>
      </c>
      <c r="BQ144" s="195">
        <f t="shared" si="96"/>
        <v>0</v>
      </c>
      <c r="BR144" s="187" t="s">
        <v>410</v>
      </c>
      <c r="BS144" s="189">
        <v>0</v>
      </c>
      <c r="BT144" s="189">
        <v>0</v>
      </c>
      <c r="BU144" s="187"/>
      <c r="BV144" s="195">
        <v>0</v>
      </c>
      <c r="BW144" s="195">
        <f t="shared" si="97"/>
        <v>0</v>
      </c>
      <c r="BX144" s="187" t="s">
        <v>515</v>
      </c>
      <c r="BY144" s="189">
        <v>0</v>
      </c>
      <c r="BZ144" s="189">
        <v>0</v>
      </c>
      <c r="CA144" s="187"/>
      <c r="CB144" s="181">
        <v>0</v>
      </c>
      <c r="CC144" s="195">
        <f t="shared" si="98"/>
        <v>0</v>
      </c>
      <c r="CD144" s="187" t="s">
        <v>410</v>
      </c>
      <c r="CE144" s="189">
        <v>0</v>
      </c>
      <c r="CF144" s="189">
        <v>0</v>
      </c>
      <c r="CG144" s="187"/>
      <c r="CH144" s="181">
        <v>0</v>
      </c>
      <c r="CI144" s="195">
        <f t="shared" si="99"/>
        <v>0</v>
      </c>
      <c r="CJ144" s="187" t="s">
        <v>515</v>
      </c>
      <c r="CK144" s="189">
        <v>0</v>
      </c>
      <c r="CL144" s="189">
        <v>0</v>
      </c>
      <c r="CM144" s="187"/>
      <c r="CN144" s="225"/>
      <c r="CO144" s="100">
        <v>0.15</v>
      </c>
      <c r="CP144" s="100">
        <f t="shared" si="95"/>
        <v>0.17499999999999999</v>
      </c>
      <c r="CQ144" s="100">
        <v>0.2</v>
      </c>
    </row>
    <row r="145" spans="1:95" s="101" customFormat="1" ht="15.75" hidden="1" thickBot="1" x14ac:dyDescent="0.3">
      <c r="A145" s="99"/>
      <c r="V145" s="103"/>
      <c r="AA145" s="104"/>
      <c r="AB145" s="104"/>
      <c r="AD145" s="104"/>
      <c r="AE145" s="105"/>
      <c r="AH145" s="106"/>
      <c r="AI145" s="106"/>
      <c r="AK145" s="104"/>
      <c r="AR145" s="104"/>
      <c r="AV145" s="104"/>
      <c r="AX145" s="104"/>
      <c r="BB145" s="104"/>
      <c r="BC145" s="104"/>
      <c r="BE145" s="104"/>
      <c r="BH145" s="99"/>
      <c r="BI145" s="102"/>
      <c r="BJ145" s="178"/>
      <c r="BK145" s="178"/>
      <c r="BL145" s="178"/>
      <c r="BM145" s="169"/>
      <c r="BN145" s="169"/>
      <c r="BO145" s="169"/>
      <c r="BP145" s="192"/>
      <c r="BQ145" s="192"/>
      <c r="BR145" s="192"/>
      <c r="BS145" s="192"/>
      <c r="BT145" s="192"/>
      <c r="BU145" s="192"/>
      <c r="BV145" s="178"/>
      <c r="BW145" s="192"/>
      <c r="BX145" s="192"/>
      <c r="BY145" s="178"/>
      <c r="BZ145" s="178"/>
      <c r="CA145" s="178"/>
      <c r="CB145" s="180"/>
      <c r="CC145" s="192"/>
      <c r="CD145" s="192"/>
      <c r="CE145" s="180"/>
      <c r="CF145" s="180"/>
      <c r="CG145" s="180"/>
      <c r="CH145" s="180"/>
      <c r="CI145" s="192"/>
      <c r="CJ145" s="192"/>
      <c r="CK145" s="180"/>
      <c r="CL145" s="180"/>
      <c r="CM145" s="180"/>
      <c r="CN145" s="225"/>
      <c r="CO145" s="100"/>
      <c r="CP145" s="100"/>
      <c r="CQ145" s="100"/>
    </row>
    <row r="146" spans="1:95" s="101" customFormat="1" ht="27" hidden="1" customHeight="1" x14ac:dyDescent="0.25">
      <c r="A146" s="99"/>
      <c r="V146" s="103"/>
      <c r="AA146" s="104"/>
      <c r="AB146" s="104"/>
      <c r="AD146" s="104"/>
      <c r="AE146" s="105"/>
      <c r="AH146" s="106"/>
      <c r="AI146" s="106"/>
      <c r="AK146" s="104"/>
      <c r="AR146" s="104"/>
      <c r="AV146" s="104"/>
      <c r="AX146" s="104"/>
      <c r="BB146" s="104"/>
      <c r="BC146" s="104"/>
      <c r="BE146" s="104"/>
      <c r="BH146" s="99"/>
      <c r="BI146" s="1606" t="s">
        <v>255</v>
      </c>
      <c r="BJ146" s="183"/>
      <c r="BK146" s="1606" t="s">
        <v>276</v>
      </c>
      <c r="BL146" s="183"/>
      <c r="BM146" s="1606" t="s">
        <v>233</v>
      </c>
      <c r="BN146" s="1606" t="s">
        <v>233</v>
      </c>
      <c r="BO146" s="1606" t="s">
        <v>240</v>
      </c>
      <c r="BP146" s="183"/>
      <c r="BQ146" s="1606" t="s">
        <v>276</v>
      </c>
      <c r="BR146" s="183"/>
      <c r="BS146" s="1606" t="s">
        <v>233</v>
      </c>
      <c r="BT146" s="1606" t="s">
        <v>233</v>
      </c>
      <c r="BU146" s="1606" t="s">
        <v>240</v>
      </c>
      <c r="BV146" s="178"/>
      <c r="BW146" s="192"/>
      <c r="BX146" s="192"/>
      <c r="BY146" s="178"/>
      <c r="BZ146" s="178"/>
      <c r="CA146" s="178"/>
      <c r="CB146" s="180"/>
      <c r="CC146" s="192"/>
      <c r="CD146" s="192"/>
      <c r="CE146" s="180"/>
      <c r="CF146" s="180"/>
      <c r="CG146" s="180"/>
      <c r="CH146" s="180"/>
      <c r="CI146" s="192"/>
      <c r="CJ146" s="192"/>
      <c r="CK146" s="180"/>
      <c r="CL146" s="180"/>
      <c r="CM146" s="180"/>
      <c r="CN146" s="225"/>
      <c r="CO146" s="100"/>
      <c r="CP146" s="100"/>
      <c r="CQ146" s="100"/>
    </row>
    <row r="147" spans="1:95" s="101" customFormat="1" ht="53.25" hidden="1" customHeight="1" thickBot="1" x14ac:dyDescent="0.3">
      <c r="A147" s="99"/>
      <c r="V147" s="103"/>
      <c r="AA147" s="104"/>
      <c r="AB147" s="104"/>
      <c r="AD147" s="104"/>
      <c r="AE147" s="105"/>
      <c r="AH147" s="106"/>
      <c r="AI147" s="106"/>
      <c r="AK147" s="104"/>
      <c r="AR147" s="104"/>
      <c r="AV147" s="104"/>
      <c r="AX147" s="104"/>
      <c r="BB147" s="104"/>
      <c r="BC147" s="104"/>
      <c r="BE147" s="104"/>
      <c r="BH147" s="99"/>
      <c r="BI147" s="1607"/>
      <c r="BJ147" s="184" t="s">
        <v>253</v>
      </c>
      <c r="BK147" s="1607"/>
      <c r="BL147" s="184" t="s">
        <v>251</v>
      </c>
      <c r="BM147" s="1607"/>
      <c r="BN147" s="1607"/>
      <c r="BO147" s="1607"/>
      <c r="BP147" s="184" t="s">
        <v>253</v>
      </c>
      <c r="BQ147" s="1607"/>
      <c r="BR147" s="184" t="s">
        <v>251</v>
      </c>
      <c r="BS147" s="1607"/>
      <c r="BT147" s="1607"/>
      <c r="BU147" s="1607"/>
      <c r="BV147" s="178"/>
      <c r="BW147" s="192"/>
      <c r="BX147" s="192"/>
      <c r="BY147" s="178"/>
      <c r="BZ147" s="178"/>
      <c r="CA147" s="178"/>
      <c r="CB147" s="180"/>
      <c r="CC147" s="192"/>
      <c r="CD147" s="192"/>
      <c r="CE147" s="180"/>
      <c r="CF147" s="180"/>
      <c r="CG147" s="180"/>
      <c r="CH147" s="180"/>
      <c r="CI147" s="192"/>
      <c r="CJ147" s="192"/>
      <c r="CK147" s="180"/>
      <c r="CL147" s="180"/>
      <c r="CM147" s="180"/>
      <c r="CN147" s="225"/>
      <c r="CO147" s="100"/>
      <c r="CP147" s="100"/>
      <c r="CQ147" s="100"/>
    </row>
    <row r="148" spans="1:95" s="101" customFormat="1" ht="18.75" hidden="1" thickBot="1" x14ac:dyDescent="0.3">
      <c r="A148" s="99"/>
      <c r="V148" s="103"/>
      <c r="AA148" s="104"/>
      <c r="AB148" s="104"/>
      <c r="AD148" s="104"/>
      <c r="AE148" s="105"/>
      <c r="AH148" s="106"/>
      <c r="AI148" s="106"/>
      <c r="AK148" s="104"/>
      <c r="AR148" s="104"/>
      <c r="AV148" s="104"/>
      <c r="AX148" s="104"/>
      <c r="BB148" s="104"/>
      <c r="BC148" s="104"/>
      <c r="BE148" s="104"/>
      <c r="BH148" s="99"/>
      <c r="BI148" s="190" t="s">
        <v>176</v>
      </c>
      <c r="BJ148" s="187" t="s">
        <v>49</v>
      </c>
      <c r="BK148" s="196">
        <v>4660</v>
      </c>
      <c r="BL148" s="187" t="s">
        <v>411</v>
      </c>
      <c r="BM148" s="189">
        <v>0.01</v>
      </c>
      <c r="BN148" s="189">
        <v>0.5</v>
      </c>
      <c r="BO148" s="188" t="s">
        <v>311</v>
      </c>
      <c r="BP148" s="187" t="s">
        <v>49</v>
      </c>
      <c r="BQ148" s="196">
        <v>4750</v>
      </c>
      <c r="BR148" s="187" t="s">
        <v>411</v>
      </c>
      <c r="BS148" s="189">
        <v>0.01</v>
      </c>
      <c r="BT148" s="189">
        <v>0.5</v>
      </c>
      <c r="BU148" s="188" t="s">
        <v>254</v>
      </c>
      <c r="BV148" s="102"/>
      <c r="BW148" s="102"/>
      <c r="BX148" s="102"/>
      <c r="BY148" s="102"/>
      <c r="BZ148" s="102"/>
      <c r="CA148" s="102"/>
      <c r="CB148" s="102"/>
      <c r="CC148" s="102"/>
      <c r="CD148" s="102"/>
      <c r="CE148" s="180"/>
      <c r="CF148" s="180"/>
      <c r="CG148" s="180"/>
      <c r="CH148" s="180"/>
      <c r="CI148" s="178"/>
      <c r="CJ148" s="178"/>
      <c r="CK148" s="180"/>
      <c r="CL148" s="180"/>
      <c r="CM148" s="180"/>
      <c r="CN148" s="225"/>
      <c r="CO148" s="100">
        <v>0.01</v>
      </c>
      <c r="CP148" s="100">
        <f t="shared" ref="CP148:CP169" si="100">(CO148+CQ148)/2</f>
        <v>0.255</v>
      </c>
      <c r="CQ148" s="100">
        <v>0.5</v>
      </c>
    </row>
    <row r="149" spans="1:95" s="101" customFormat="1" ht="18.75" hidden="1" thickBot="1" x14ac:dyDescent="0.3">
      <c r="A149" s="99"/>
      <c r="V149" s="103"/>
      <c r="AA149" s="104"/>
      <c r="AB149" s="104"/>
      <c r="AD149" s="104"/>
      <c r="AE149" s="105"/>
      <c r="AH149" s="106"/>
      <c r="AI149" s="106"/>
      <c r="AK149" s="104"/>
      <c r="AR149" s="104"/>
      <c r="AV149" s="104"/>
      <c r="AX149" s="104"/>
      <c r="BB149" s="104"/>
      <c r="BC149" s="104"/>
      <c r="BE149" s="104"/>
      <c r="BH149" s="99"/>
      <c r="BI149" s="190" t="s">
        <v>177</v>
      </c>
      <c r="BJ149" s="187" t="s">
        <v>49</v>
      </c>
      <c r="BK149" s="196">
        <v>10200</v>
      </c>
      <c r="BL149" s="187" t="s">
        <v>411</v>
      </c>
      <c r="BM149" s="189">
        <v>0.01</v>
      </c>
      <c r="BN149" s="189">
        <v>0.5</v>
      </c>
      <c r="BO149" s="188" t="s">
        <v>311</v>
      </c>
      <c r="BP149" s="187" t="s">
        <v>49</v>
      </c>
      <c r="BQ149" s="196">
        <v>10900</v>
      </c>
      <c r="BR149" s="187" t="s">
        <v>411</v>
      </c>
      <c r="BS149" s="189">
        <v>0.01</v>
      </c>
      <c r="BT149" s="189">
        <v>0.5</v>
      </c>
      <c r="BU149" s="188" t="s">
        <v>254</v>
      </c>
      <c r="BV149" s="102"/>
      <c r="BW149" s="102"/>
      <c r="BX149" s="102"/>
      <c r="BY149" s="102"/>
      <c r="BZ149" s="102"/>
      <c r="CA149" s="102"/>
      <c r="CB149" s="102"/>
      <c r="CC149" s="102"/>
      <c r="CD149" s="102"/>
      <c r="CE149" s="192"/>
      <c r="CF149" s="192"/>
      <c r="CG149" s="192"/>
      <c r="CH149" s="197"/>
      <c r="CI149" s="192"/>
      <c r="CJ149" s="192"/>
      <c r="CK149" s="197"/>
      <c r="CL149" s="197"/>
      <c r="CM149" s="192"/>
      <c r="CN149" s="225"/>
      <c r="CO149" s="100">
        <v>0.01</v>
      </c>
      <c r="CP149" s="100">
        <f t="shared" si="100"/>
        <v>0.255</v>
      </c>
      <c r="CQ149" s="100">
        <v>0.5</v>
      </c>
    </row>
    <row r="150" spans="1:95" s="101" customFormat="1" ht="18.75" hidden="1" thickBot="1" x14ac:dyDescent="0.3">
      <c r="A150" s="99"/>
      <c r="V150" s="103"/>
      <c r="AA150" s="104"/>
      <c r="AB150" s="104"/>
      <c r="AD150" s="104"/>
      <c r="AE150" s="105"/>
      <c r="AH150" s="106"/>
      <c r="AI150" s="106"/>
      <c r="AK150" s="104"/>
      <c r="AR150" s="104"/>
      <c r="AV150" s="104"/>
      <c r="AX150" s="104"/>
      <c r="BB150" s="104"/>
      <c r="BC150" s="104"/>
      <c r="BE150" s="104"/>
      <c r="BH150" s="99"/>
      <c r="BI150" s="190" t="s">
        <v>178</v>
      </c>
      <c r="BJ150" s="187" t="s">
        <v>49</v>
      </c>
      <c r="BK150" s="196">
        <v>1760</v>
      </c>
      <c r="BL150" s="187" t="s">
        <v>411</v>
      </c>
      <c r="BM150" s="189">
        <v>0.01</v>
      </c>
      <c r="BN150" s="189">
        <v>0.5</v>
      </c>
      <c r="BO150" s="188" t="s">
        <v>311</v>
      </c>
      <c r="BP150" s="187" t="s">
        <v>49</v>
      </c>
      <c r="BQ150" s="196">
        <v>1810</v>
      </c>
      <c r="BR150" s="187" t="s">
        <v>411</v>
      </c>
      <c r="BS150" s="189">
        <v>0.01</v>
      </c>
      <c r="BT150" s="189">
        <v>0.5</v>
      </c>
      <c r="BU150" s="188" t="s">
        <v>254</v>
      </c>
      <c r="BV150" s="102"/>
      <c r="BW150" s="102"/>
      <c r="BX150" s="102"/>
      <c r="BY150" s="102"/>
      <c r="BZ150" s="102"/>
      <c r="CA150" s="102"/>
      <c r="CB150" s="102"/>
      <c r="CC150" s="102"/>
      <c r="CD150" s="102"/>
      <c r="CE150" s="192"/>
      <c r="CF150" s="192"/>
      <c r="CG150" s="192"/>
      <c r="CH150" s="197"/>
      <c r="CI150" s="192"/>
      <c r="CJ150" s="192"/>
      <c r="CK150" s="197"/>
      <c r="CL150" s="197"/>
      <c r="CM150" s="192"/>
      <c r="CN150" s="225"/>
      <c r="CO150" s="100">
        <v>0.01</v>
      </c>
      <c r="CP150" s="100">
        <f t="shared" si="100"/>
        <v>0.255</v>
      </c>
      <c r="CQ150" s="100">
        <v>0.5</v>
      </c>
    </row>
    <row r="151" spans="1:95" s="101" customFormat="1" ht="18.75" hidden="1" thickBot="1" x14ac:dyDescent="0.3">
      <c r="A151" s="99"/>
      <c r="V151" s="103"/>
      <c r="AA151" s="104"/>
      <c r="AB151" s="104"/>
      <c r="AD151" s="104"/>
      <c r="AE151" s="105"/>
      <c r="AH151" s="106"/>
      <c r="AI151" s="106"/>
      <c r="AK151" s="104"/>
      <c r="AR151" s="104"/>
      <c r="AV151" s="104"/>
      <c r="AX151" s="104"/>
      <c r="BB151" s="104"/>
      <c r="BC151" s="104"/>
      <c r="BE151" s="104"/>
      <c r="BH151" s="99"/>
      <c r="BI151" s="190" t="s">
        <v>357</v>
      </c>
      <c r="BJ151" s="187" t="s">
        <v>49</v>
      </c>
      <c r="BK151" s="196">
        <v>782</v>
      </c>
      <c r="BL151" s="187" t="s">
        <v>411</v>
      </c>
      <c r="BM151" s="189">
        <v>0.01</v>
      </c>
      <c r="BN151" s="189">
        <v>0.5</v>
      </c>
      <c r="BO151" s="188" t="s">
        <v>311</v>
      </c>
      <c r="BP151" s="187"/>
      <c r="BQ151" s="196"/>
      <c r="BR151" s="187"/>
      <c r="BS151" s="189"/>
      <c r="BT151" s="189"/>
      <c r="BU151" s="188"/>
      <c r="BV151" s="102"/>
      <c r="BW151" s="102"/>
      <c r="BX151" s="102"/>
      <c r="BY151" s="102"/>
      <c r="BZ151" s="102"/>
      <c r="CA151" s="102"/>
      <c r="CB151" s="102"/>
      <c r="CC151" s="102"/>
      <c r="CD151" s="102"/>
      <c r="CE151" s="192"/>
      <c r="CF151" s="192"/>
      <c r="CG151" s="192"/>
      <c r="CH151" s="197"/>
      <c r="CI151" s="192"/>
      <c r="CJ151" s="192"/>
      <c r="CK151" s="197"/>
      <c r="CL151" s="197"/>
      <c r="CM151" s="192"/>
      <c r="CN151" s="225"/>
      <c r="CO151" s="100">
        <v>0.01</v>
      </c>
      <c r="CP151" s="100">
        <f t="shared" si="100"/>
        <v>0.255</v>
      </c>
      <c r="CQ151" s="100">
        <v>0.5</v>
      </c>
    </row>
    <row r="152" spans="1:95" s="101" customFormat="1" ht="18.75" hidden="1" thickBot="1" x14ac:dyDescent="0.3">
      <c r="A152" s="99"/>
      <c r="V152" s="103"/>
      <c r="AA152" s="104"/>
      <c r="AB152" s="104"/>
      <c r="AD152" s="104"/>
      <c r="AE152" s="105"/>
      <c r="AH152" s="106"/>
      <c r="AI152" s="106"/>
      <c r="AK152" s="104"/>
      <c r="AR152" s="104"/>
      <c r="AV152" s="104"/>
      <c r="AX152" s="104"/>
      <c r="BB152" s="104"/>
      <c r="BC152" s="104"/>
      <c r="BE152" s="104"/>
      <c r="BH152" s="99"/>
      <c r="BI152" s="190" t="s">
        <v>179</v>
      </c>
      <c r="BJ152" s="187" t="s">
        <v>49</v>
      </c>
      <c r="BK152" s="196">
        <v>12400</v>
      </c>
      <c r="BL152" s="187" t="s">
        <v>411</v>
      </c>
      <c r="BM152" s="189">
        <v>0.01</v>
      </c>
      <c r="BN152" s="189">
        <v>0.5</v>
      </c>
      <c r="BO152" s="188" t="s">
        <v>311</v>
      </c>
      <c r="BP152" s="187" t="s">
        <v>49</v>
      </c>
      <c r="BQ152" s="196">
        <v>14800</v>
      </c>
      <c r="BR152" s="187" t="s">
        <v>411</v>
      </c>
      <c r="BS152" s="189">
        <v>0.01</v>
      </c>
      <c r="BT152" s="189">
        <v>0.5</v>
      </c>
      <c r="BU152" s="188" t="s">
        <v>254</v>
      </c>
      <c r="BV152" s="102"/>
      <c r="BW152" s="102"/>
      <c r="BX152" s="102"/>
      <c r="BY152" s="102"/>
      <c r="BZ152" s="102"/>
      <c r="CA152" s="102"/>
      <c r="CB152" s="102"/>
      <c r="CC152" s="102"/>
      <c r="CD152" s="102"/>
      <c r="CE152" s="192"/>
      <c r="CF152" s="192"/>
      <c r="CG152" s="192"/>
      <c r="CH152" s="197"/>
      <c r="CI152" s="192"/>
      <c r="CJ152" s="192"/>
      <c r="CK152" s="197"/>
      <c r="CL152" s="197"/>
      <c r="CM152" s="192"/>
      <c r="CN152" s="225"/>
      <c r="CO152" s="100">
        <v>0.01</v>
      </c>
      <c r="CP152" s="100">
        <f t="shared" si="100"/>
        <v>0.255</v>
      </c>
      <c r="CQ152" s="100">
        <v>0.5</v>
      </c>
    </row>
    <row r="153" spans="1:95" s="101" customFormat="1" ht="18.75" hidden="1" thickBot="1" x14ac:dyDescent="0.3">
      <c r="A153" s="99"/>
      <c r="V153" s="103"/>
      <c r="AA153" s="104"/>
      <c r="AB153" s="104"/>
      <c r="AD153" s="104"/>
      <c r="AE153" s="105"/>
      <c r="AH153" s="106"/>
      <c r="AI153" s="106"/>
      <c r="AK153" s="104"/>
      <c r="AR153" s="104"/>
      <c r="AV153" s="104"/>
      <c r="AX153" s="104"/>
      <c r="BB153" s="104"/>
      <c r="BC153" s="104"/>
      <c r="BE153" s="104"/>
      <c r="BH153" s="99"/>
      <c r="BI153" s="190" t="s">
        <v>180</v>
      </c>
      <c r="BJ153" s="187" t="s">
        <v>49</v>
      </c>
      <c r="BK153" s="196">
        <v>677</v>
      </c>
      <c r="BL153" s="187" t="s">
        <v>411</v>
      </c>
      <c r="BM153" s="189">
        <v>0.01</v>
      </c>
      <c r="BN153" s="189">
        <v>0.5</v>
      </c>
      <c r="BO153" s="188" t="s">
        <v>311</v>
      </c>
      <c r="BP153" s="187" t="s">
        <v>49</v>
      </c>
      <c r="BQ153" s="196">
        <v>675</v>
      </c>
      <c r="BR153" s="187" t="s">
        <v>411</v>
      </c>
      <c r="BS153" s="189">
        <v>0.01</v>
      </c>
      <c r="BT153" s="189">
        <v>0.5</v>
      </c>
      <c r="BU153" s="188" t="s">
        <v>254</v>
      </c>
      <c r="BV153" s="102"/>
      <c r="BW153" s="102"/>
      <c r="BX153" s="102"/>
      <c r="BY153" s="102"/>
      <c r="BZ153" s="102"/>
      <c r="CA153" s="102"/>
      <c r="CB153" s="102"/>
      <c r="CC153" s="102"/>
      <c r="CD153" s="102"/>
      <c r="CE153" s="192"/>
      <c r="CF153" s="192"/>
      <c r="CG153" s="192"/>
      <c r="CH153" s="197"/>
      <c r="CI153" s="192"/>
      <c r="CJ153" s="192"/>
      <c r="CK153" s="197"/>
      <c r="CL153" s="197"/>
      <c r="CM153" s="192"/>
      <c r="CN153" s="225"/>
      <c r="CO153" s="100">
        <v>0.01</v>
      </c>
      <c r="CP153" s="100">
        <f t="shared" si="100"/>
        <v>0.255</v>
      </c>
      <c r="CQ153" s="100">
        <v>0.5</v>
      </c>
    </row>
    <row r="154" spans="1:95" s="101" customFormat="1" ht="18.75" hidden="1" thickBot="1" x14ac:dyDescent="0.3">
      <c r="A154" s="99"/>
      <c r="V154" s="103"/>
      <c r="AA154" s="104"/>
      <c r="AB154" s="104"/>
      <c r="AD154" s="104"/>
      <c r="AE154" s="105"/>
      <c r="AH154" s="106"/>
      <c r="AI154" s="106"/>
      <c r="AK154" s="104"/>
      <c r="AR154" s="104"/>
      <c r="AV154" s="104"/>
      <c r="AX154" s="104"/>
      <c r="BB154" s="104"/>
      <c r="BC154" s="104"/>
      <c r="BE154" s="104"/>
      <c r="BH154" s="99"/>
      <c r="BI154" s="190" t="s">
        <v>360</v>
      </c>
      <c r="BJ154" s="187" t="s">
        <v>49</v>
      </c>
      <c r="BK154" s="196">
        <v>3170</v>
      </c>
      <c r="BL154" s="187" t="s">
        <v>411</v>
      </c>
      <c r="BM154" s="189">
        <v>0.01</v>
      </c>
      <c r="BN154" s="189">
        <v>0.5</v>
      </c>
      <c r="BO154" s="188" t="s">
        <v>311</v>
      </c>
      <c r="BP154" s="187"/>
      <c r="BQ154" s="196"/>
      <c r="BR154" s="187"/>
      <c r="BS154" s="189"/>
      <c r="BT154" s="189"/>
      <c r="BU154" s="188"/>
      <c r="BV154" s="102"/>
      <c r="BW154" s="102"/>
      <c r="BX154" s="102"/>
      <c r="BY154" s="102"/>
      <c r="BZ154" s="102"/>
      <c r="CA154" s="102"/>
      <c r="CB154" s="102"/>
      <c r="CC154" s="102"/>
      <c r="CD154" s="102"/>
      <c r="CE154" s="192"/>
      <c r="CF154" s="192"/>
      <c r="CG154" s="192"/>
      <c r="CH154" s="197"/>
      <c r="CI154" s="192"/>
      <c r="CJ154" s="192"/>
      <c r="CK154" s="197"/>
      <c r="CL154" s="197"/>
      <c r="CM154" s="192"/>
      <c r="CN154" s="225"/>
      <c r="CO154" s="100">
        <v>0.01</v>
      </c>
      <c r="CP154" s="100">
        <f t="shared" si="100"/>
        <v>0.255</v>
      </c>
      <c r="CQ154" s="100">
        <v>0.5</v>
      </c>
    </row>
    <row r="155" spans="1:95" s="101" customFormat="1" ht="18.75" hidden="1" thickBot="1" x14ac:dyDescent="0.3">
      <c r="A155" s="99"/>
      <c r="V155" s="103"/>
      <c r="AA155" s="104"/>
      <c r="AB155" s="104"/>
      <c r="AD155" s="104"/>
      <c r="AE155" s="105"/>
      <c r="AH155" s="106"/>
      <c r="AI155" s="106"/>
      <c r="AK155" s="104"/>
      <c r="AR155" s="104"/>
      <c r="AV155" s="104"/>
      <c r="AX155" s="104"/>
      <c r="BB155" s="104"/>
      <c r="BC155" s="104"/>
      <c r="BE155" s="104"/>
      <c r="BH155" s="99"/>
      <c r="BI155" s="190" t="s">
        <v>181</v>
      </c>
      <c r="BJ155" s="187" t="s">
        <v>49</v>
      </c>
      <c r="BK155" s="196">
        <v>1120</v>
      </c>
      <c r="BL155" s="187" t="s">
        <v>411</v>
      </c>
      <c r="BM155" s="189">
        <v>0.01</v>
      </c>
      <c r="BN155" s="189">
        <v>0.5</v>
      </c>
      <c r="BO155" s="188" t="s">
        <v>311</v>
      </c>
      <c r="BP155" s="187" t="s">
        <v>49</v>
      </c>
      <c r="BQ155" s="196">
        <v>1100</v>
      </c>
      <c r="BR155" s="187" t="s">
        <v>411</v>
      </c>
      <c r="BS155" s="189">
        <v>0.01</v>
      </c>
      <c r="BT155" s="189">
        <v>0.5</v>
      </c>
      <c r="BU155" s="188" t="s">
        <v>254</v>
      </c>
      <c r="BV155" s="102"/>
      <c r="BW155" s="102"/>
      <c r="BX155" s="102"/>
      <c r="BY155" s="102"/>
      <c r="BZ155" s="102"/>
      <c r="CA155" s="102"/>
      <c r="CB155" s="102"/>
      <c r="CC155" s="102"/>
      <c r="CD155" s="102"/>
      <c r="CE155" s="192"/>
      <c r="CF155" s="192"/>
      <c r="CG155" s="192"/>
      <c r="CH155" s="197"/>
      <c r="CI155" s="192"/>
      <c r="CJ155" s="192"/>
      <c r="CK155" s="197"/>
      <c r="CL155" s="197"/>
      <c r="CM155" s="192"/>
      <c r="CN155" s="225"/>
      <c r="CO155" s="100">
        <v>0.01</v>
      </c>
      <c r="CP155" s="100">
        <f t="shared" si="100"/>
        <v>0.255</v>
      </c>
      <c r="CQ155" s="100">
        <v>0.5</v>
      </c>
    </row>
    <row r="156" spans="1:95" s="101" customFormat="1" ht="18.75" hidden="1" thickBot="1" x14ac:dyDescent="0.3">
      <c r="A156" s="99"/>
      <c r="V156" s="103"/>
      <c r="AA156" s="104"/>
      <c r="AB156" s="104"/>
      <c r="AD156" s="104"/>
      <c r="AE156" s="105"/>
      <c r="AH156" s="106"/>
      <c r="AI156" s="106"/>
      <c r="AK156" s="104"/>
      <c r="AR156" s="104"/>
      <c r="AV156" s="104"/>
      <c r="AX156" s="104"/>
      <c r="BB156" s="104"/>
      <c r="BC156" s="104"/>
      <c r="BE156" s="104"/>
      <c r="BH156" s="99"/>
      <c r="BI156" s="190" t="s">
        <v>182</v>
      </c>
      <c r="BJ156" s="187" t="s">
        <v>49</v>
      </c>
      <c r="BK156" s="196">
        <v>1300</v>
      </c>
      <c r="BL156" s="187" t="s">
        <v>411</v>
      </c>
      <c r="BM156" s="189">
        <v>0.01</v>
      </c>
      <c r="BN156" s="189">
        <v>0.5</v>
      </c>
      <c r="BO156" s="188" t="s">
        <v>311</v>
      </c>
      <c r="BP156" s="187" t="s">
        <v>49</v>
      </c>
      <c r="BQ156" s="196">
        <v>1430</v>
      </c>
      <c r="BR156" s="187" t="s">
        <v>411</v>
      </c>
      <c r="BS156" s="189">
        <v>0.01</v>
      </c>
      <c r="BT156" s="189">
        <v>0.5</v>
      </c>
      <c r="BU156" s="188" t="s">
        <v>254</v>
      </c>
      <c r="BV156" s="102"/>
      <c r="BW156" s="102"/>
      <c r="BX156" s="102"/>
      <c r="BY156" s="102"/>
      <c r="BZ156" s="102"/>
      <c r="CA156" s="102"/>
      <c r="CB156" s="102"/>
      <c r="CC156" s="102"/>
      <c r="CD156" s="102"/>
      <c r="CE156" s="192"/>
      <c r="CF156" s="192"/>
      <c r="CG156" s="192"/>
      <c r="CH156" s="197"/>
      <c r="CI156" s="192"/>
      <c r="CJ156" s="192"/>
      <c r="CK156" s="197"/>
      <c r="CL156" s="197"/>
      <c r="CM156" s="192"/>
      <c r="CN156" s="225"/>
      <c r="CO156" s="100">
        <v>0.01</v>
      </c>
      <c r="CP156" s="100">
        <f t="shared" si="100"/>
        <v>0.255</v>
      </c>
      <c r="CQ156" s="100">
        <v>0.5</v>
      </c>
    </row>
    <row r="157" spans="1:95" s="101" customFormat="1" ht="18.75" hidden="1" thickBot="1" x14ac:dyDescent="0.3">
      <c r="A157" s="99"/>
      <c r="V157" s="103"/>
      <c r="AA157" s="104"/>
      <c r="AB157" s="104"/>
      <c r="AD157" s="104"/>
      <c r="AE157" s="105"/>
      <c r="AH157" s="106"/>
      <c r="AI157" s="106"/>
      <c r="AK157" s="104"/>
      <c r="AR157" s="104"/>
      <c r="AV157" s="104"/>
      <c r="AX157" s="104"/>
      <c r="BB157" s="104"/>
      <c r="BC157" s="104"/>
      <c r="BE157" s="104"/>
      <c r="BH157" s="99"/>
      <c r="BI157" s="190" t="s">
        <v>186</v>
      </c>
      <c r="BJ157" s="187" t="s">
        <v>49</v>
      </c>
      <c r="BK157" s="196">
        <v>328</v>
      </c>
      <c r="BL157" s="187" t="s">
        <v>411</v>
      </c>
      <c r="BM157" s="189">
        <v>0.01</v>
      </c>
      <c r="BN157" s="189">
        <v>0.5</v>
      </c>
      <c r="BO157" s="188" t="s">
        <v>311</v>
      </c>
      <c r="BP157" s="187" t="s">
        <v>49</v>
      </c>
      <c r="BQ157" s="196">
        <v>353</v>
      </c>
      <c r="BR157" s="187" t="s">
        <v>411</v>
      </c>
      <c r="BS157" s="189">
        <v>0.01</v>
      </c>
      <c r="BT157" s="189">
        <v>0.5</v>
      </c>
      <c r="BU157" s="188" t="s">
        <v>254</v>
      </c>
      <c r="BV157" s="102"/>
      <c r="BW157" s="102"/>
      <c r="BX157" s="102"/>
      <c r="BY157" s="102"/>
      <c r="BZ157" s="102"/>
      <c r="CA157" s="102"/>
      <c r="CB157" s="102"/>
      <c r="CC157" s="102"/>
      <c r="CD157" s="102"/>
      <c r="CE157" s="192"/>
      <c r="CF157" s="192"/>
      <c r="CG157" s="192"/>
      <c r="CH157" s="197"/>
      <c r="CI157" s="192"/>
      <c r="CJ157" s="192"/>
      <c r="CK157" s="197"/>
      <c r="CL157" s="197"/>
      <c r="CM157" s="192"/>
      <c r="CN157" s="225"/>
      <c r="CO157" s="100">
        <v>0.01</v>
      </c>
      <c r="CP157" s="100">
        <f t="shared" si="100"/>
        <v>0.255</v>
      </c>
      <c r="CQ157" s="100">
        <v>0.5</v>
      </c>
    </row>
    <row r="158" spans="1:95" s="101" customFormat="1" ht="18.75" hidden="1" thickBot="1" x14ac:dyDescent="0.3">
      <c r="A158" s="99"/>
      <c r="V158" s="103"/>
      <c r="AA158" s="104"/>
      <c r="AB158" s="104"/>
      <c r="AD158" s="104"/>
      <c r="AE158" s="105"/>
      <c r="AH158" s="106"/>
      <c r="AI158" s="106"/>
      <c r="AK158" s="104"/>
      <c r="AR158" s="104"/>
      <c r="AV158" s="104"/>
      <c r="AX158" s="104"/>
      <c r="BB158" s="104"/>
      <c r="BC158" s="104"/>
      <c r="BE158" s="104"/>
      <c r="BH158" s="99"/>
      <c r="BI158" s="190" t="s">
        <v>187</v>
      </c>
      <c r="BJ158" s="187" t="s">
        <v>49</v>
      </c>
      <c r="BK158" s="196">
        <v>4800</v>
      </c>
      <c r="BL158" s="187" t="s">
        <v>411</v>
      </c>
      <c r="BM158" s="189">
        <v>0.01</v>
      </c>
      <c r="BN158" s="189">
        <v>0.5</v>
      </c>
      <c r="BO158" s="188" t="s">
        <v>311</v>
      </c>
      <c r="BP158" s="187" t="s">
        <v>49</v>
      </c>
      <c r="BQ158" s="196">
        <v>4470</v>
      </c>
      <c r="BR158" s="187" t="s">
        <v>411</v>
      </c>
      <c r="BS158" s="189">
        <v>0.01</v>
      </c>
      <c r="BT158" s="189">
        <v>0.5</v>
      </c>
      <c r="BU158" s="188" t="s">
        <v>254</v>
      </c>
      <c r="BV158" s="102"/>
      <c r="BW158" s="102"/>
      <c r="BX158" s="102"/>
      <c r="BY158" s="102"/>
      <c r="BZ158" s="102"/>
      <c r="CA158" s="102"/>
      <c r="CB158" s="102"/>
      <c r="CC158" s="102"/>
      <c r="CD158" s="102"/>
      <c r="CE158" s="192"/>
      <c r="CF158" s="192"/>
      <c r="CG158" s="192"/>
      <c r="CH158" s="197"/>
      <c r="CI158" s="192"/>
      <c r="CJ158" s="192"/>
      <c r="CK158" s="197"/>
      <c r="CL158" s="197"/>
      <c r="CM158" s="192"/>
      <c r="CN158" s="225"/>
      <c r="CO158" s="100">
        <v>0.01</v>
      </c>
      <c r="CP158" s="100">
        <f t="shared" si="100"/>
        <v>0.255</v>
      </c>
      <c r="CQ158" s="100">
        <v>0.5</v>
      </c>
    </row>
    <row r="159" spans="1:95" s="101" customFormat="1" ht="18.75" hidden="1" thickBot="1" x14ac:dyDescent="0.3">
      <c r="A159" s="99"/>
      <c r="V159" s="103"/>
      <c r="AA159" s="104"/>
      <c r="AB159" s="104"/>
      <c r="AD159" s="104"/>
      <c r="AE159" s="105"/>
      <c r="AH159" s="106"/>
      <c r="AI159" s="106"/>
      <c r="AK159" s="104"/>
      <c r="AR159" s="104"/>
      <c r="AV159" s="104"/>
      <c r="AX159" s="104"/>
      <c r="BB159" s="104"/>
      <c r="BC159" s="104"/>
      <c r="BE159" s="104"/>
      <c r="BH159" s="99"/>
      <c r="BI159" s="190" t="s">
        <v>395</v>
      </c>
      <c r="BJ159" s="187" t="s">
        <v>49</v>
      </c>
      <c r="BK159" s="196">
        <v>3350</v>
      </c>
      <c r="BL159" s="187" t="s">
        <v>411</v>
      </c>
      <c r="BM159" s="189">
        <v>0.01</v>
      </c>
      <c r="BN159" s="189">
        <v>0.5</v>
      </c>
      <c r="BO159" s="188" t="s">
        <v>311</v>
      </c>
      <c r="BP159" s="187"/>
      <c r="BQ159" s="196"/>
      <c r="BR159" s="187"/>
      <c r="BS159" s="189"/>
      <c r="BT159" s="189"/>
      <c r="BU159" s="188"/>
      <c r="BV159" s="102"/>
      <c r="BW159" s="102"/>
      <c r="BX159" s="102"/>
      <c r="BY159" s="102"/>
      <c r="BZ159" s="102"/>
      <c r="CA159" s="102"/>
      <c r="CB159" s="102"/>
      <c r="CC159" s="102"/>
      <c r="CD159" s="102"/>
      <c r="CE159" s="192"/>
      <c r="CF159" s="192"/>
      <c r="CG159" s="192"/>
      <c r="CH159" s="197"/>
      <c r="CI159" s="192"/>
      <c r="CJ159" s="192"/>
      <c r="CK159" s="197"/>
      <c r="CL159" s="197"/>
      <c r="CM159" s="192"/>
      <c r="CN159" s="225"/>
      <c r="CO159" s="100">
        <v>0.01</v>
      </c>
      <c r="CP159" s="100">
        <f t="shared" si="100"/>
        <v>0.255</v>
      </c>
      <c r="CQ159" s="100">
        <v>0.5</v>
      </c>
    </row>
    <row r="160" spans="1:95" s="101" customFormat="1" ht="90.75" hidden="1" thickBot="1" x14ac:dyDescent="0.3">
      <c r="A160" s="99"/>
      <c r="V160" s="103"/>
      <c r="AA160" s="104"/>
      <c r="AB160" s="104"/>
      <c r="AD160" s="104"/>
      <c r="AE160" s="105"/>
      <c r="AH160" s="106"/>
      <c r="AI160" s="106"/>
      <c r="AK160" s="104"/>
      <c r="AR160" s="104"/>
      <c r="AV160" s="104"/>
      <c r="AX160" s="104"/>
      <c r="BB160" s="104"/>
      <c r="BC160" s="104"/>
      <c r="BE160" s="104"/>
      <c r="BH160" s="99"/>
      <c r="BI160" s="190" t="s">
        <v>359</v>
      </c>
      <c r="BJ160" s="187" t="s">
        <v>49</v>
      </c>
      <c r="BK160" s="196">
        <f>(BK156*4%)+(BK154*44%)+(BK158*52%)</f>
        <v>3942.8</v>
      </c>
      <c r="BL160" s="187" t="s">
        <v>411</v>
      </c>
      <c r="BM160" s="189">
        <v>0.01</v>
      </c>
      <c r="BN160" s="189">
        <v>0.5</v>
      </c>
      <c r="BO160" s="188" t="s">
        <v>383</v>
      </c>
      <c r="BP160" s="187" t="s">
        <v>49</v>
      </c>
      <c r="BQ160" s="196">
        <v>3922</v>
      </c>
      <c r="BR160" s="187" t="s">
        <v>411</v>
      </c>
      <c r="BS160" s="189">
        <v>0.01</v>
      </c>
      <c r="BT160" s="189">
        <v>0.5</v>
      </c>
      <c r="BU160" s="198" t="s">
        <v>358</v>
      </c>
      <c r="BV160" s="102"/>
      <c r="BW160" s="102"/>
      <c r="BX160" s="102"/>
      <c r="BY160" s="102"/>
      <c r="BZ160" s="102"/>
      <c r="CA160" s="102"/>
      <c r="CB160" s="102"/>
      <c r="CC160" s="102"/>
      <c r="CD160" s="102"/>
      <c r="CE160" s="192"/>
      <c r="CF160" s="192"/>
      <c r="CG160" s="192"/>
      <c r="CH160" s="197"/>
      <c r="CI160" s="192"/>
      <c r="CJ160" s="192"/>
      <c r="CK160" s="197"/>
      <c r="CL160" s="197"/>
      <c r="CM160" s="192"/>
      <c r="CN160" s="225"/>
      <c r="CO160" s="100">
        <v>0.01</v>
      </c>
      <c r="CP160" s="100">
        <f t="shared" si="100"/>
        <v>0.255</v>
      </c>
      <c r="CQ160" s="100">
        <v>0.5</v>
      </c>
    </row>
    <row r="161" spans="1:95" s="101" customFormat="1" ht="128.25" hidden="1" thickBot="1" x14ac:dyDescent="0.3">
      <c r="A161" s="99"/>
      <c r="V161" s="103"/>
      <c r="AA161" s="104"/>
      <c r="AB161" s="104"/>
      <c r="AD161" s="104"/>
      <c r="AE161" s="105"/>
      <c r="AH161" s="106"/>
      <c r="AI161" s="106"/>
      <c r="AK161" s="104"/>
      <c r="AR161" s="104"/>
      <c r="AV161" s="104"/>
      <c r="AX161" s="104"/>
      <c r="BB161" s="104"/>
      <c r="BC161" s="104"/>
      <c r="BE161" s="104"/>
      <c r="BH161" s="99"/>
      <c r="BI161" s="190" t="s">
        <v>185</v>
      </c>
      <c r="BJ161" s="187" t="s">
        <v>49</v>
      </c>
      <c r="BK161" s="196">
        <f>(BK156*52%)+(BK154*25%)+(BK153*23%)</f>
        <v>1624.21</v>
      </c>
      <c r="BL161" s="187" t="s">
        <v>411</v>
      </c>
      <c r="BM161" s="189">
        <v>0.01</v>
      </c>
      <c r="BN161" s="189">
        <v>0.5</v>
      </c>
      <c r="BO161" s="188" t="s">
        <v>384</v>
      </c>
      <c r="BP161" s="187" t="s">
        <v>49</v>
      </c>
      <c r="BQ161" s="196">
        <v>1774</v>
      </c>
      <c r="BR161" s="187" t="s">
        <v>411</v>
      </c>
      <c r="BS161" s="189">
        <v>0.01</v>
      </c>
      <c r="BT161" s="189">
        <v>0.5</v>
      </c>
      <c r="BU161" s="188" t="s">
        <v>254</v>
      </c>
      <c r="BV161" s="102"/>
      <c r="BW161" s="102"/>
      <c r="BX161" s="102"/>
      <c r="BY161" s="102"/>
      <c r="BZ161" s="102"/>
      <c r="CA161" s="102"/>
      <c r="CB161" s="102"/>
      <c r="CC161" s="102"/>
      <c r="CD161" s="102"/>
      <c r="CE161" s="192"/>
      <c r="CF161" s="192"/>
      <c r="CG161" s="192"/>
      <c r="CH161" s="197"/>
      <c r="CI161" s="192"/>
      <c r="CJ161" s="192"/>
      <c r="CK161" s="197"/>
      <c r="CL161" s="197"/>
      <c r="CM161" s="192"/>
      <c r="CN161" s="225"/>
      <c r="CO161" s="100">
        <v>0.01</v>
      </c>
      <c r="CP161" s="100">
        <f t="shared" si="100"/>
        <v>0.255</v>
      </c>
      <c r="CQ161" s="100">
        <v>0.5</v>
      </c>
    </row>
    <row r="162" spans="1:95" s="101" customFormat="1" ht="128.25" hidden="1" thickBot="1" x14ac:dyDescent="0.3">
      <c r="A162" s="99"/>
      <c r="V162" s="103"/>
      <c r="AA162" s="104"/>
      <c r="AB162" s="104"/>
      <c r="AD162" s="104"/>
      <c r="AE162" s="105"/>
      <c r="AH162" s="106"/>
      <c r="AI162" s="106"/>
      <c r="AK162" s="104"/>
      <c r="AR162" s="104"/>
      <c r="AV162" s="104"/>
      <c r="AX162" s="104"/>
      <c r="BB162" s="104"/>
      <c r="BC162" s="104"/>
      <c r="BE162" s="104"/>
      <c r="BH162" s="99"/>
      <c r="BI162" s="190" t="s">
        <v>184</v>
      </c>
      <c r="BJ162" s="187" t="s">
        <v>49</v>
      </c>
      <c r="BK162" s="196">
        <f>(BK154*50%)+(BK153*50%)</f>
        <v>1923.5</v>
      </c>
      <c r="BL162" s="187" t="s">
        <v>411</v>
      </c>
      <c r="BM162" s="189">
        <v>0.01</v>
      </c>
      <c r="BN162" s="189">
        <v>0.5</v>
      </c>
      <c r="BO162" s="188" t="s">
        <v>385</v>
      </c>
      <c r="BP162" s="187" t="s">
        <v>49</v>
      </c>
      <c r="BQ162" s="196">
        <v>2088</v>
      </c>
      <c r="BR162" s="187" t="s">
        <v>411</v>
      </c>
      <c r="BS162" s="189">
        <v>0.01</v>
      </c>
      <c r="BT162" s="189">
        <v>0.5</v>
      </c>
      <c r="BU162" s="188" t="s">
        <v>254</v>
      </c>
      <c r="BV162" s="102"/>
      <c r="BW162" s="102"/>
      <c r="BX162" s="102"/>
      <c r="BY162" s="102"/>
      <c r="BZ162" s="102"/>
      <c r="CA162" s="102"/>
      <c r="CB162" s="102"/>
      <c r="CC162" s="102"/>
      <c r="CD162" s="102"/>
      <c r="CE162" s="192"/>
      <c r="CF162" s="192"/>
      <c r="CG162" s="192"/>
      <c r="CH162" s="197"/>
      <c r="CI162" s="192"/>
      <c r="CJ162" s="192"/>
      <c r="CK162" s="197"/>
      <c r="CL162" s="197"/>
      <c r="CM162" s="192"/>
      <c r="CN162" s="225"/>
      <c r="CO162" s="100">
        <v>0.01</v>
      </c>
      <c r="CP162" s="100">
        <f t="shared" si="100"/>
        <v>0.255</v>
      </c>
      <c r="CQ162" s="100">
        <v>0.5</v>
      </c>
    </row>
    <row r="163" spans="1:95" s="101" customFormat="1" ht="128.25" hidden="1" thickBot="1" x14ac:dyDescent="0.3">
      <c r="A163" s="99"/>
      <c r="V163" s="103"/>
      <c r="AA163" s="104"/>
      <c r="AB163" s="104"/>
      <c r="AD163" s="104"/>
      <c r="AE163" s="105"/>
      <c r="AH163" s="106"/>
      <c r="AI163" s="106"/>
      <c r="AK163" s="104"/>
      <c r="AR163" s="104"/>
      <c r="AV163" s="104"/>
      <c r="AX163" s="104"/>
      <c r="BB163" s="104"/>
      <c r="BC163" s="104"/>
      <c r="BE163" s="104"/>
      <c r="BH163" s="99"/>
      <c r="BI163" s="190" t="s">
        <v>188</v>
      </c>
      <c r="BJ163" s="187" t="s">
        <v>49</v>
      </c>
      <c r="BK163" s="196">
        <f>(BK154*65.1%)+(BK156*31.5%)+(BK167*3.4%)</f>
        <v>2473.2039999999997</v>
      </c>
      <c r="BL163" s="187" t="s">
        <v>411</v>
      </c>
      <c r="BM163" s="189">
        <v>0.01</v>
      </c>
      <c r="BN163" s="189">
        <v>0.5</v>
      </c>
      <c r="BO163" s="188" t="s">
        <v>386</v>
      </c>
      <c r="BP163" s="187" t="s">
        <v>49</v>
      </c>
      <c r="BQ163" s="196">
        <v>2729</v>
      </c>
      <c r="BR163" s="187" t="s">
        <v>411</v>
      </c>
      <c r="BS163" s="189">
        <v>0.01</v>
      </c>
      <c r="BT163" s="189">
        <v>0.5</v>
      </c>
      <c r="BU163" s="188" t="s">
        <v>254</v>
      </c>
      <c r="BV163" s="102"/>
      <c r="BW163" s="102"/>
      <c r="BX163" s="102"/>
      <c r="BY163" s="102"/>
      <c r="BZ163" s="102"/>
      <c r="CA163" s="102"/>
      <c r="CB163" s="102"/>
      <c r="CC163" s="102"/>
      <c r="CD163" s="102"/>
      <c r="CE163" s="192"/>
      <c r="CF163" s="192"/>
      <c r="CG163" s="192"/>
      <c r="CH163" s="197"/>
      <c r="CI163" s="192"/>
      <c r="CJ163" s="192"/>
      <c r="CK163" s="197"/>
      <c r="CL163" s="197"/>
      <c r="CM163" s="192"/>
      <c r="CN163" s="225"/>
      <c r="CO163" s="100">
        <v>0.01</v>
      </c>
      <c r="CP163" s="100">
        <f t="shared" si="100"/>
        <v>0.255</v>
      </c>
      <c r="CQ163" s="100">
        <v>0.5</v>
      </c>
    </row>
    <row r="164" spans="1:95" s="101" customFormat="1" ht="18.75" hidden="1" thickBot="1" x14ac:dyDescent="0.3">
      <c r="A164" s="99"/>
      <c r="V164" s="103"/>
      <c r="AA164" s="104"/>
      <c r="AB164" s="104"/>
      <c r="AD164" s="104"/>
      <c r="AE164" s="105"/>
      <c r="AH164" s="106"/>
      <c r="AI164" s="106"/>
      <c r="AK164" s="104"/>
      <c r="AR164" s="104"/>
      <c r="AV164" s="104"/>
      <c r="AX164" s="104"/>
      <c r="BB164" s="104"/>
      <c r="BC164" s="104"/>
      <c r="BE164" s="104"/>
      <c r="BH164" s="99"/>
      <c r="BI164" s="190" t="s">
        <v>183</v>
      </c>
      <c r="BJ164" s="187" t="s">
        <v>49</v>
      </c>
      <c r="BK164" s="196">
        <v>6630</v>
      </c>
      <c r="BL164" s="187" t="s">
        <v>411</v>
      </c>
      <c r="BM164" s="189">
        <v>0.01</v>
      </c>
      <c r="BN164" s="189">
        <v>0.5</v>
      </c>
      <c r="BO164" s="188" t="s">
        <v>311</v>
      </c>
      <c r="BP164" s="187" t="s">
        <v>49</v>
      </c>
      <c r="BQ164" s="196">
        <v>7390</v>
      </c>
      <c r="BR164" s="187" t="s">
        <v>411</v>
      </c>
      <c r="BS164" s="189">
        <v>0.01</v>
      </c>
      <c r="BT164" s="189">
        <v>0.5</v>
      </c>
      <c r="BU164" s="188" t="s">
        <v>254</v>
      </c>
      <c r="BV164" s="102"/>
      <c r="BW164" s="102"/>
      <c r="BX164" s="102"/>
      <c r="BY164" s="102"/>
      <c r="BZ164" s="102"/>
      <c r="CA164" s="102"/>
      <c r="CB164" s="102"/>
      <c r="CC164" s="102"/>
      <c r="CD164" s="102"/>
      <c r="CE164" s="192"/>
      <c r="CF164" s="192"/>
      <c r="CG164" s="192"/>
      <c r="CH164" s="180"/>
      <c r="CI164" s="192"/>
      <c r="CJ164" s="192"/>
      <c r="CK164" s="180"/>
      <c r="CL164" s="180"/>
      <c r="CM164" s="192"/>
      <c r="CN164" s="225"/>
      <c r="CO164" s="100">
        <v>0.01</v>
      </c>
      <c r="CP164" s="100">
        <f t="shared" si="100"/>
        <v>0.255</v>
      </c>
      <c r="CQ164" s="100">
        <v>0.5</v>
      </c>
    </row>
    <row r="165" spans="1:95" s="101" customFormat="1" ht="18.75" hidden="1" thickBot="1" x14ac:dyDescent="0.3">
      <c r="A165" s="99"/>
      <c r="V165" s="103"/>
      <c r="AA165" s="104"/>
      <c r="AB165" s="104"/>
      <c r="AD165" s="104"/>
      <c r="AE165" s="105"/>
      <c r="AH165" s="106"/>
      <c r="AI165" s="106"/>
      <c r="AK165" s="104"/>
      <c r="AR165" s="104"/>
      <c r="AV165" s="104"/>
      <c r="AX165" s="104"/>
      <c r="BB165" s="104"/>
      <c r="BC165" s="104"/>
      <c r="BE165" s="104"/>
      <c r="BH165" s="99"/>
      <c r="BI165" s="190" t="s">
        <v>394</v>
      </c>
      <c r="BJ165" s="187" t="s">
        <v>49</v>
      </c>
      <c r="BK165" s="196">
        <v>182</v>
      </c>
      <c r="BL165" s="187" t="s">
        <v>411</v>
      </c>
      <c r="BM165" s="189">
        <v>0.01</v>
      </c>
      <c r="BN165" s="189">
        <v>0.5</v>
      </c>
      <c r="BO165" s="188" t="s">
        <v>311</v>
      </c>
      <c r="BP165" s="187"/>
      <c r="BQ165" s="196"/>
      <c r="BR165" s="187"/>
      <c r="BS165" s="189"/>
      <c r="BT165" s="189"/>
      <c r="BU165" s="188"/>
      <c r="BV165" s="102"/>
      <c r="BW165" s="102"/>
      <c r="BX165" s="102"/>
      <c r="BY165" s="102"/>
      <c r="BZ165" s="102"/>
      <c r="CA165" s="102"/>
      <c r="CB165" s="102"/>
      <c r="CC165" s="102"/>
      <c r="CD165" s="102"/>
      <c r="CE165" s="192"/>
      <c r="CF165" s="192"/>
      <c r="CG165" s="192"/>
      <c r="CH165" s="180"/>
      <c r="CI165" s="192"/>
      <c r="CJ165" s="192"/>
      <c r="CK165" s="180"/>
      <c r="CL165" s="180"/>
      <c r="CM165" s="192"/>
      <c r="CN165" s="225"/>
      <c r="CO165" s="100">
        <v>0.01</v>
      </c>
      <c r="CP165" s="100">
        <f t="shared" si="100"/>
        <v>0.255</v>
      </c>
      <c r="CQ165" s="100">
        <v>0.5</v>
      </c>
    </row>
    <row r="166" spans="1:95" s="101" customFormat="1" ht="105.75" hidden="1" thickBot="1" x14ac:dyDescent="0.3">
      <c r="A166" s="99"/>
      <c r="V166" s="103"/>
      <c r="AA166" s="104"/>
      <c r="AB166" s="104"/>
      <c r="AD166" s="104"/>
      <c r="AE166" s="105"/>
      <c r="AH166" s="106"/>
      <c r="AI166" s="106"/>
      <c r="AK166" s="104"/>
      <c r="AR166" s="104"/>
      <c r="AV166" s="104"/>
      <c r="AX166" s="104"/>
      <c r="BB166" s="104"/>
      <c r="BC166" s="104"/>
      <c r="BE166" s="104"/>
      <c r="BH166" s="99"/>
      <c r="BI166" s="190" t="s">
        <v>361</v>
      </c>
      <c r="BJ166" s="187" t="s">
        <v>49</v>
      </c>
      <c r="BK166" s="196">
        <v>3</v>
      </c>
      <c r="BL166" s="187" t="s">
        <v>411</v>
      </c>
      <c r="BM166" s="189">
        <v>0.01</v>
      </c>
      <c r="BN166" s="189">
        <v>0.5</v>
      </c>
      <c r="BO166" s="198" t="s">
        <v>312</v>
      </c>
      <c r="BP166" s="187" t="s">
        <v>49</v>
      </c>
      <c r="BQ166" s="196">
        <v>3</v>
      </c>
      <c r="BR166" s="187" t="s">
        <v>411</v>
      </c>
      <c r="BS166" s="189">
        <v>0.01</v>
      </c>
      <c r="BT166" s="189">
        <v>0.5</v>
      </c>
      <c r="BU166" s="188" t="s">
        <v>254</v>
      </c>
      <c r="BV166" s="102"/>
      <c r="BW166" s="102"/>
      <c r="BX166" s="102"/>
      <c r="BY166" s="102"/>
      <c r="BZ166" s="102"/>
      <c r="CA166" s="102"/>
      <c r="CB166" s="102"/>
      <c r="CC166" s="102"/>
      <c r="CD166" s="102"/>
      <c r="CE166" s="192"/>
      <c r="CF166" s="192"/>
      <c r="CG166" s="192"/>
      <c r="CH166" s="197"/>
      <c r="CI166" s="192"/>
      <c r="CJ166" s="192"/>
      <c r="CK166" s="197"/>
      <c r="CL166" s="197"/>
      <c r="CM166" s="192"/>
      <c r="CN166" s="225"/>
      <c r="CO166" s="100">
        <v>0.01</v>
      </c>
      <c r="CP166" s="100">
        <f t="shared" si="100"/>
        <v>0.255</v>
      </c>
      <c r="CQ166" s="100">
        <v>0.5</v>
      </c>
    </row>
    <row r="167" spans="1:95" s="101" customFormat="1" ht="64.5" hidden="1" thickBot="1" x14ac:dyDescent="0.3">
      <c r="A167" s="99"/>
      <c r="V167" s="103"/>
      <c r="AA167" s="104"/>
      <c r="AB167" s="104"/>
      <c r="AD167" s="104"/>
      <c r="AE167" s="105"/>
      <c r="AH167" s="106"/>
      <c r="AI167" s="106"/>
      <c r="AK167" s="104"/>
      <c r="AR167" s="104"/>
      <c r="AV167" s="104"/>
      <c r="AX167" s="104"/>
      <c r="BB167" s="104"/>
      <c r="BC167" s="104"/>
      <c r="BE167" s="104"/>
      <c r="BH167" s="99"/>
      <c r="BI167" s="190" t="s">
        <v>362</v>
      </c>
      <c r="BJ167" s="187" t="s">
        <v>49</v>
      </c>
      <c r="BK167" s="196">
        <v>1</v>
      </c>
      <c r="BL167" s="187" t="s">
        <v>411</v>
      </c>
      <c r="BM167" s="189">
        <v>0.01</v>
      </c>
      <c r="BN167" s="189">
        <v>0.5</v>
      </c>
      <c r="BO167" s="188" t="s">
        <v>312</v>
      </c>
      <c r="BP167" s="187" t="s">
        <v>49</v>
      </c>
      <c r="BQ167" s="196">
        <v>3</v>
      </c>
      <c r="BR167" s="187" t="s">
        <v>411</v>
      </c>
      <c r="BS167" s="189">
        <v>0.01</v>
      </c>
      <c r="BT167" s="189">
        <v>0.5</v>
      </c>
      <c r="BU167" s="188" t="s">
        <v>254</v>
      </c>
      <c r="BV167" s="102"/>
      <c r="BW167" s="102"/>
      <c r="BX167" s="102"/>
      <c r="BY167" s="102"/>
      <c r="BZ167" s="102"/>
      <c r="CA167" s="102"/>
      <c r="CB167" s="102"/>
      <c r="CC167" s="102"/>
      <c r="CD167" s="102"/>
      <c r="CE167" s="192"/>
      <c r="CF167" s="192"/>
      <c r="CG167" s="192"/>
      <c r="CH167" s="197"/>
      <c r="CI167" s="192"/>
      <c r="CJ167" s="192"/>
      <c r="CK167" s="197"/>
      <c r="CL167" s="197"/>
      <c r="CM167" s="192"/>
      <c r="CN167" s="225"/>
      <c r="CO167" s="100">
        <v>0.01</v>
      </c>
      <c r="CP167" s="100">
        <f t="shared" si="100"/>
        <v>0.255</v>
      </c>
      <c r="CQ167" s="100">
        <v>0.5</v>
      </c>
    </row>
    <row r="168" spans="1:95" s="101" customFormat="1" ht="18.75" hidden="1" thickBot="1" x14ac:dyDescent="0.3">
      <c r="A168" s="99"/>
      <c r="V168" s="103"/>
      <c r="AA168" s="104"/>
      <c r="AB168" s="104"/>
      <c r="AD168" s="104"/>
      <c r="AE168" s="105"/>
      <c r="AH168" s="106"/>
      <c r="AI168" s="106"/>
      <c r="AK168" s="104"/>
      <c r="AR168" s="104"/>
      <c r="AV168" s="104"/>
      <c r="AX168" s="104"/>
      <c r="BB168" s="104"/>
      <c r="BC168" s="104"/>
      <c r="BE168" s="104"/>
      <c r="BH168" s="99"/>
      <c r="BI168" s="190" t="s">
        <v>192</v>
      </c>
      <c r="BJ168" s="187" t="s">
        <v>49</v>
      </c>
      <c r="BK168" s="196">
        <v>6290</v>
      </c>
      <c r="BL168" s="187" t="s">
        <v>411</v>
      </c>
      <c r="BM168" s="189">
        <v>0.01</v>
      </c>
      <c r="BN168" s="189">
        <v>0.5</v>
      </c>
      <c r="BO168" s="188" t="s">
        <v>311</v>
      </c>
      <c r="BP168" s="187" t="s">
        <v>49</v>
      </c>
      <c r="BQ168" s="196">
        <v>7140</v>
      </c>
      <c r="BR168" s="187" t="s">
        <v>411</v>
      </c>
      <c r="BS168" s="189">
        <v>0.01</v>
      </c>
      <c r="BT168" s="189">
        <v>0.5</v>
      </c>
      <c r="BU168" s="188" t="s">
        <v>254</v>
      </c>
      <c r="BV168" s="102"/>
      <c r="BW168" s="102"/>
      <c r="BX168" s="102"/>
      <c r="BY168" s="102"/>
      <c r="BZ168" s="102"/>
      <c r="CA168" s="102"/>
      <c r="CB168" s="102"/>
      <c r="CC168" s="102"/>
      <c r="CD168" s="102"/>
      <c r="CE168" s="192"/>
      <c r="CF168" s="192"/>
      <c r="CG168" s="192"/>
      <c r="CH168" s="197"/>
      <c r="CI168" s="192"/>
      <c r="CJ168" s="192"/>
      <c r="CK168" s="197"/>
      <c r="CL168" s="197"/>
      <c r="CM168" s="192"/>
      <c r="CN168" s="225"/>
      <c r="CO168" s="100">
        <v>0.01</v>
      </c>
      <c r="CP168" s="100">
        <f t="shared" si="100"/>
        <v>0.255</v>
      </c>
      <c r="CQ168" s="100">
        <v>0.5</v>
      </c>
    </row>
    <row r="169" spans="1:95" s="101" customFormat="1" ht="15.75" hidden="1" thickBot="1" x14ac:dyDescent="0.3">
      <c r="A169" s="99"/>
      <c r="V169" s="103"/>
      <c r="AA169" s="104"/>
      <c r="AB169" s="104"/>
      <c r="AD169" s="104"/>
      <c r="AE169" s="105"/>
      <c r="AH169" s="106"/>
      <c r="AI169" s="106"/>
      <c r="AK169" s="104"/>
      <c r="AR169" s="104"/>
      <c r="AV169" s="104"/>
      <c r="AX169" s="104"/>
      <c r="BB169" s="104"/>
      <c r="BC169" s="104"/>
      <c r="BE169" s="104"/>
      <c r="BH169" s="99"/>
      <c r="BI169" s="190"/>
      <c r="BJ169" s="187"/>
      <c r="BK169" s="196"/>
      <c r="BL169" s="187"/>
      <c r="BM169" s="189"/>
      <c r="BN169" s="189"/>
      <c r="BO169" s="188"/>
      <c r="BP169" s="187"/>
      <c r="BQ169" s="196"/>
      <c r="BR169" s="187"/>
      <c r="BS169" s="189"/>
      <c r="BT169" s="189"/>
      <c r="BU169" s="188"/>
      <c r="BV169" s="102"/>
      <c r="BW169" s="102"/>
      <c r="BX169" s="102"/>
      <c r="BY169" s="102"/>
      <c r="BZ169" s="102"/>
      <c r="CA169" s="102"/>
      <c r="CB169" s="102"/>
      <c r="CC169" s="102"/>
      <c r="CD169" s="102"/>
      <c r="CE169" s="192"/>
      <c r="CF169" s="192"/>
      <c r="CG169" s="192"/>
      <c r="CH169" s="180"/>
      <c r="CI169" s="192"/>
      <c r="CJ169" s="192"/>
      <c r="CK169" s="180"/>
      <c r="CL169" s="180"/>
      <c r="CM169" s="192"/>
      <c r="CN169" s="225"/>
      <c r="CO169" s="100">
        <v>0.01</v>
      </c>
      <c r="CP169" s="100">
        <f t="shared" si="100"/>
        <v>0.255</v>
      </c>
      <c r="CQ169" s="100">
        <v>0.5</v>
      </c>
    </row>
    <row r="170" spans="1:95" s="101" customFormat="1" hidden="1" x14ac:dyDescent="0.25">
      <c r="A170" s="99"/>
      <c r="V170" s="103"/>
      <c r="AA170" s="104"/>
      <c r="AB170" s="104"/>
      <c r="AD170" s="104"/>
      <c r="AE170" s="105"/>
      <c r="AH170" s="106"/>
      <c r="AI170" s="106"/>
      <c r="AK170" s="104"/>
      <c r="AR170" s="104"/>
      <c r="AV170" s="104"/>
      <c r="AX170" s="104"/>
      <c r="BB170" s="104"/>
      <c r="BC170" s="104"/>
      <c r="BE170" s="104"/>
      <c r="BH170" s="99"/>
      <c r="BI170" s="102"/>
      <c r="BJ170" s="178"/>
      <c r="BK170" s="178"/>
      <c r="BL170" s="178"/>
      <c r="BM170" s="169"/>
      <c r="BN170" s="169"/>
      <c r="BO170" s="169"/>
      <c r="BP170" s="192"/>
      <c r="BQ170" s="192"/>
      <c r="BR170" s="192"/>
      <c r="BS170" s="192"/>
      <c r="BT170" s="192"/>
      <c r="BU170" s="192"/>
      <c r="BV170" s="178"/>
      <c r="BW170" s="192"/>
      <c r="BX170" s="192"/>
      <c r="BY170" s="178"/>
      <c r="BZ170" s="178"/>
      <c r="CA170" s="178"/>
      <c r="CB170" s="192"/>
      <c r="CC170" s="192"/>
      <c r="CD170" s="192"/>
      <c r="CE170" s="192"/>
      <c r="CF170" s="192"/>
      <c r="CG170" s="192"/>
      <c r="CH170" s="180"/>
      <c r="CI170" s="192"/>
      <c r="CJ170" s="192"/>
      <c r="CK170" s="180"/>
      <c r="CL170" s="180"/>
      <c r="CM170" s="192"/>
      <c r="CN170" s="225"/>
      <c r="CO170" s="100"/>
      <c r="CP170" s="100"/>
      <c r="CQ170" s="100"/>
    </row>
    <row r="171" spans="1:95" s="101" customFormat="1" ht="15.75" hidden="1" thickBot="1" x14ac:dyDescent="0.3">
      <c r="A171" s="99"/>
      <c r="V171" s="103"/>
      <c r="AA171" s="104"/>
      <c r="AB171" s="104"/>
      <c r="AD171" s="104"/>
      <c r="AE171" s="105"/>
      <c r="AH171" s="106"/>
      <c r="AI171" s="106"/>
      <c r="AK171" s="104"/>
      <c r="AR171" s="104"/>
      <c r="AV171" s="104"/>
      <c r="AX171" s="104"/>
      <c r="BB171" s="104"/>
      <c r="BC171" s="104"/>
      <c r="BE171" s="104"/>
      <c r="BH171" s="99"/>
      <c r="BI171" s="102"/>
      <c r="BJ171" s="178"/>
      <c r="BK171" s="178"/>
      <c r="BL171" s="178"/>
      <c r="BM171" s="169"/>
      <c r="BN171" s="169"/>
      <c r="BO171" s="169"/>
      <c r="BP171" s="178"/>
      <c r="BQ171" s="178"/>
      <c r="BR171" s="178"/>
      <c r="BS171" s="178"/>
      <c r="BT171" s="178"/>
      <c r="BU171" s="178"/>
      <c r="BV171" s="178"/>
      <c r="BW171" s="178"/>
      <c r="BX171" s="178"/>
      <c r="BY171" s="178"/>
      <c r="BZ171" s="178"/>
      <c r="CA171" s="178"/>
      <c r="CB171" s="180"/>
      <c r="CC171" s="178"/>
      <c r="CD171" s="178"/>
      <c r="CE171" s="180"/>
      <c r="CF171" s="180"/>
      <c r="CG171" s="180"/>
      <c r="CH171" s="180"/>
      <c r="CI171" s="178"/>
      <c r="CJ171" s="178"/>
      <c r="CK171" s="180"/>
      <c r="CL171" s="180"/>
      <c r="CM171" s="180"/>
      <c r="CN171" s="225"/>
      <c r="CO171" s="100"/>
      <c r="CP171" s="100"/>
      <c r="CQ171" s="100"/>
    </row>
    <row r="172" spans="1:95" s="101" customFormat="1" ht="33.75" hidden="1" customHeight="1" x14ac:dyDescent="0.25">
      <c r="A172" s="99"/>
      <c r="V172" s="103"/>
      <c r="AA172" s="104"/>
      <c r="AB172" s="104"/>
      <c r="AD172" s="104"/>
      <c r="AE172" s="105"/>
      <c r="AH172" s="106"/>
      <c r="AI172" s="106"/>
      <c r="AK172" s="104"/>
      <c r="AR172" s="104"/>
      <c r="AV172" s="104"/>
      <c r="AX172" s="104"/>
      <c r="BB172" s="104"/>
      <c r="BC172" s="104"/>
      <c r="BE172" s="104"/>
      <c r="BH172" s="99"/>
      <c r="BI172" s="1606" t="s">
        <v>250</v>
      </c>
      <c r="BJ172" s="183"/>
      <c r="BK172" s="1606" t="s">
        <v>276</v>
      </c>
      <c r="BL172" s="183"/>
      <c r="BM172" s="1606" t="s">
        <v>233</v>
      </c>
      <c r="BN172" s="1606" t="s">
        <v>233</v>
      </c>
      <c r="BO172" s="1606" t="s">
        <v>240</v>
      </c>
      <c r="BP172" s="183"/>
      <c r="BQ172" s="1606" t="s">
        <v>276</v>
      </c>
      <c r="BR172" s="183"/>
      <c r="BS172" s="1606" t="s">
        <v>233</v>
      </c>
      <c r="BT172" s="1606" t="s">
        <v>233</v>
      </c>
      <c r="BU172" s="1606" t="s">
        <v>240</v>
      </c>
      <c r="BV172" s="178"/>
      <c r="BW172" s="178"/>
      <c r="BX172" s="178"/>
      <c r="BY172" s="178"/>
      <c r="BZ172" s="178"/>
      <c r="CA172" s="178"/>
      <c r="CB172" s="180"/>
      <c r="CC172" s="178"/>
      <c r="CD172" s="178"/>
      <c r="CE172" s="180"/>
      <c r="CF172" s="180"/>
      <c r="CG172" s="180"/>
      <c r="CH172" s="180"/>
      <c r="CI172" s="178"/>
      <c r="CJ172" s="178"/>
      <c r="CK172" s="180"/>
      <c r="CL172" s="180"/>
      <c r="CM172" s="180"/>
      <c r="CN172" s="225"/>
      <c r="CO172" s="100"/>
      <c r="CP172" s="100"/>
      <c r="CQ172" s="100"/>
    </row>
    <row r="173" spans="1:95" s="101" customFormat="1" ht="37.5" hidden="1" customHeight="1" thickBot="1" x14ac:dyDescent="0.3">
      <c r="A173" s="99"/>
      <c r="V173" s="103"/>
      <c r="AA173" s="104"/>
      <c r="AB173" s="104"/>
      <c r="AD173" s="104"/>
      <c r="AE173" s="105"/>
      <c r="AH173" s="106"/>
      <c r="AI173" s="106"/>
      <c r="AK173" s="104"/>
      <c r="AR173" s="104"/>
      <c r="AV173" s="104"/>
      <c r="AX173" s="104"/>
      <c r="BB173" s="104"/>
      <c r="BC173" s="104"/>
      <c r="BE173" s="104"/>
      <c r="BH173" s="99"/>
      <c r="BI173" s="1607"/>
      <c r="BJ173" s="184" t="s">
        <v>253</v>
      </c>
      <c r="BK173" s="1607"/>
      <c r="BL173" s="184" t="s">
        <v>251</v>
      </c>
      <c r="BM173" s="1607"/>
      <c r="BN173" s="1607"/>
      <c r="BO173" s="1607"/>
      <c r="BP173" s="184" t="s">
        <v>253</v>
      </c>
      <c r="BQ173" s="1607"/>
      <c r="BR173" s="184" t="s">
        <v>251</v>
      </c>
      <c r="BS173" s="1607"/>
      <c r="BT173" s="1607"/>
      <c r="BU173" s="1607"/>
      <c r="BV173" s="178"/>
      <c r="BW173" s="178"/>
      <c r="BX173" s="178"/>
      <c r="BY173" s="178"/>
      <c r="BZ173" s="178"/>
      <c r="CA173" s="178"/>
      <c r="CB173" s="180"/>
      <c r="CC173" s="178"/>
      <c r="CD173" s="178"/>
      <c r="CE173" s="180"/>
      <c r="CF173" s="180"/>
      <c r="CG173" s="180"/>
      <c r="CH173" s="180"/>
      <c r="CI173" s="178"/>
      <c r="CJ173" s="178"/>
      <c r="CK173" s="180"/>
      <c r="CL173" s="180"/>
      <c r="CM173" s="180"/>
      <c r="CN173" s="225"/>
      <c r="CO173" s="100"/>
      <c r="CP173" s="100"/>
      <c r="CQ173" s="100"/>
    </row>
    <row r="174" spans="1:95" s="101" customFormat="1" ht="18.75" hidden="1" thickBot="1" x14ac:dyDescent="0.3">
      <c r="A174" s="99"/>
      <c r="V174" s="103"/>
      <c r="AA174" s="104"/>
      <c r="AB174" s="104"/>
      <c r="AD174" s="104"/>
      <c r="AE174" s="105"/>
      <c r="AH174" s="106"/>
      <c r="AI174" s="106"/>
      <c r="AK174" s="104"/>
      <c r="AR174" s="104"/>
      <c r="AV174" s="104"/>
      <c r="AX174" s="104"/>
      <c r="BB174" s="104"/>
      <c r="BC174" s="104"/>
      <c r="BE174" s="104"/>
      <c r="BH174" s="99"/>
      <c r="BI174" s="190" t="s">
        <v>373</v>
      </c>
      <c r="BJ174" s="187" t="s">
        <v>49</v>
      </c>
      <c r="BK174" s="196">
        <v>1</v>
      </c>
      <c r="BL174" s="187" t="s">
        <v>411</v>
      </c>
      <c r="BM174" s="189">
        <v>0.01</v>
      </c>
      <c r="BN174" s="189">
        <v>0.5</v>
      </c>
      <c r="BO174" s="188" t="s">
        <v>311</v>
      </c>
      <c r="BP174" s="187" t="s">
        <v>49</v>
      </c>
      <c r="BQ174" s="196">
        <v>1</v>
      </c>
      <c r="BR174" s="187" t="s">
        <v>411</v>
      </c>
      <c r="BS174" s="189">
        <v>0.01</v>
      </c>
      <c r="BT174" s="189">
        <v>0.5</v>
      </c>
      <c r="BU174" s="188" t="s">
        <v>254</v>
      </c>
      <c r="BV174" s="178"/>
      <c r="BW174" s="178"/>
      <c r="BX174" s="178"/>
      <c r="BY174" s="178"/>
      <c r="BZ174" s="178"/>
      <c r="CA174" s="178"/>
      <c r="CB174" s="180"/>
      <c r="CC174" s="178"/>
      <c r="CD174" s="178"/>
      <c r="CE174" s="180"/>
      <c r="CF174" s="180"/>
      <c r="CG174" s="180"/>
      <c r="CH174" s="180"/>
      <c r="CI174" s="178"/>
      <c r="CJ174" s="178"/>
      <c r="CK174" s="180"/>
      <c r="CL174" s="180"/>
      <c r="CM174" s="180"/>
      <c r="CN174" s="225"/>
      <c r="CO174" s="100">
        <v>0.01</v>
      </c>
      <c r="CP174" s="100">
        <f>(CO174+CQ174)/2</f>
        <v>0.255</v>
      </c>
      <c r="CQ174" s="100">
        <v>0.5</v>
      </c>
    </row>
    <row r="175" spans="1:95" s="101" customFormat="1" ht="18.75" hidden="1" thickBot="1" x14ac:dyDescent="0.3">
      <c r="A175" s="99"/>
      <c r="V175" s="103"/>
      <c r="AA175" s="104"/>
      <c r="AB175" s="104"/>
      <c r="AD175" s="104"/>
      <c r="AE175" s="105"/>
      <c r="AH175" s="106"/>
      <c r="AI175" s="106"/>
      <c r="AK175" s="104"/>
      <c r="AR175" s="104"/>
      <c r="AV175" s="104"/>
      <c r="AX175" s="104"/>
      <c r="BB175" s="104"/>
      <c r="BC175" s="104"/>
      <c r="BE175" s="104"/>
      <c r="BH175" s="99"/>
      <c r="BI175" s="190" t="s">
        <v>374</v>
      </c>
      <c r="BJ175" s="187" t="s">
        <v>49</v>
      </c>
      <c r="BK175" s="196">
        <v>79</v>
      </c>
      <c r="BL175" s="187" t="s">
        <v>411</v>
      </c>
      <c r="BM175" s="189">
        <v>0.01</v>
      </c>
      <c r="BN175" s="189">
        <v>0.5</v>
      </c>
      <c r="BO175" s="188" t="s">
        <v>311</v>
      </c>
      <c r="BP175" s="187" t="s">
        <v>49</v>
      </c>
      <c r="BQ175" s="196">
        <v>77</v>
      </c>
      <c r="BR175" s="187" t="s">
        <v>411</v>
      </c>
      <c r="BS175" s="189">
        <v>0.01</v>
      </c>
      <c r="BT175" s="189">
        <v>0.5</v>
      </c>
      <c r="BU175" s="188" t="s">
        <v>254</v>
      </c>
      <c r="BV175" s="178"/>
      <c r="BW175" s="178"/>
      <c r="BX175" s="178"/>
      <c r="BY175" s="178"/>
      <c r="BZ175" s="178"/>
      <c r="CA175" s="178"/>
      <c r="CB175" s="178"/>
      <c r="CC175" s="178"/>
      <c r="CD175" s="178"/>
      <c r="CE175" s="178"/>
      <c r="CF175" s="178"/>
      <c r="CG175" s="178"/>
      <c r="CH175" s="178"/>
      <c r="CI175" s="178"/>
      <c r="CJ175" s="178"/>
      <c r="CK175" s="178"/>
      <c r="CL175" s="178"/>
      <c r="CM175" s="178"/>
      <c r="CN175" s="225"/>
      <c r="CO175" s="100">
        <v>0.01</v>
      </c>
      <c r="CP175" s="100">
        <f>(CO175+CQ175)/2</f>
        <v>0.255</v>
      </c>
      <c r="CQ175" s="100">
        <v>0.5</v>
      </c>
    </row>
    <row r="176" spans="1:95" s="101" customFormat="1" hidden="1" x14ac:dyDescent="0.25">
      <c r="A176" s="99"/>
      <c r="V176" s="103"/>
      <c r="AA176" s="104"/>
      <c r="AB176" s="104"/>
      <c r="AD176" s="104"/>
      <c r="AE176" s="105"/>
      <c r="AH176" s="106"/>
      <c r="AI176" s="106"/>
      <c r="AK176" s="104"/>
      <c r="AR176" s="104"/>
      <c r="AV176" s="104"/>
      <c r="AX176" s="104"/>
      <c r="BB176" s="104"/>
      <c r="BC176" s="104"/>
      <c r="BE176" s="104"/>
      <c r="BH176" s="99"/>
      <c r="BI176" s="102"/>
      <c r="BJ176" s="178"/>
      <c r="BK176" s="178"/>
      <c r="BL176" s="178"/>
      <c r="BM176" s="169"/>
      <c r="BN176" s="169"/>
      <c r="BO176" s="169"/>
      <c r="BP176" s="178"/>
      <c r="BQ176" s="178"/>
      <c r="BR176" s="178"/>
      <c r="BS176" s="178"/>
      <c r="BT176" s="178"/>
      <c r="BU176" s="178"/>
      <c r="BV176" s="180"/>
      <c r="BW176" s="178"/>
      <c r="BX176" s="178"/>
      <c r="BY176" s="180"/>
      <c r="BZ176" s="180"/>
      <c r="CA176" s="180"/>
      <c r="CB176" s="178"/>
      <c r="CC176" s="178"/>
      <c r="CD176" s="178"/>
      <c r="CE176" s="178"/>
      <c r="CF176" s="178"/>
      <c r="CG176" s="178"/>
      <c r="CH176" s="178"/>
      <c r="CI176" s="178"/>
      <c r="CJ176" s="178"/>
      <c r="CK176" s="178"/>
      <c r="CL176" s="178"/>
      <c r="CM176" s="178"/>
      <c r="CN176" s="434"/>
      <c r="CO176" s="100"/>
      <c r="CP176" s="100"/>
      <c r="CQ176" s="100"/>
    </row>
    <row r="177" spans="1:95" s="101" customFormat="1" ht="15.75" hidden="1" thickBot="1" x14ac:dyDescent="0.3">
      <c r="A177" s="99"/>
      <c r="V177" s="103"/>
      <c r="AA177" s="104"/>
      <c r="AB177" s="104"/>
      <c r="AD177" s="104"/>
      <c r="AE177" s="105"/>
      <c r="AH177" s="106"/>
      <c r="AI177" s="106"/>
      <c r="AK177" s="104"/>
      <c r="AR177" s="104"/>
      <c r="AV177" s="104"/>
      <c r="AX177" s="104"/>
      <c r="BB177" s="104"/>
      <c r="BC177" s="104"/>
      <c r="BE177" s="104"/>
      <c r="BH177" s="99"/>
      <c r="BI177" s="102"/>
      <c r="BJ177" s="178"/>
      <c r="BK177" s="178"/>
      <c r="BL177" s="178"/>
      <c r="BM177" s="169"/>
      <c r="BN177" s="169"/>
      <c r="BO177" s="169"/>
      <c r="BP177" s="178"/>
      <c r="BQ177" s="178"/>
      <c r="BR177" s="178"/>
      <c r="BS177" s="178"/>
      <c r="BT177" s="178"/>
      <c r="BU177" s="178"/>
      <c r="BV177" s="180"/>
      <c r="BW177" s="178"/>
      <c r="BX177" s="178"/>
      <c r="BY177" s="180"/>
      <c r="BZ177" s="180"/>
      <c r="CA177" s="180"/>
      <c r="CB177" s="178"/>
      <c r="CC177" s="178"/>
      <c r="CD177" s="178"/>
      <c r="CE177" s="178"/>
      <c r="CF177" s="178"/>
      <c r="CG177" s="178"/>
      <c r="CH177" s="178"/>
      <c r="CI177" s="178"/>
      <c r="CJ177" s="178"/>
      <c r="CK177" s="178"/>
      <c r="CL177" s="178"/>
      <c r="CM177" s="178"/>
      <c r="CN177" s="434"/>
      <c r="CO177" s="100"/>
      <c r="CP177" s="100"/>
      <c r="CQ177" s="100"/>
    </row>
    <row r="178" spans="1:95" s="101" customFormat="1" hidden="1" x14ac:dyDescent="0.25">
      <c r="A178" s="99"/>
      <c r="V178" s="103"/>
      <c r="AA178" s="104"/>
      <c r="AB178" s="104"/>
      <c r="AD178" s="104"/>
      <c r="AE178" s="105"/>
      <c r="AH178" s="106"/>
      <c r="AI178" s="106"/>
      <c r="AK178" s="104"/>
      <c r="AR178" s="104"/>
      <c r="AV178" s="104"/>
      <c r="AX178" s="104"/>
      <c r="BB178" s="104"/>
      <c r="BC178" s="104"/>
      <c r="BE178" s="104"/>
      <c r="BH178" s="99"/>
      <c r="BI178" s="1606" t="s">
        <v>249</v>
      </c>
      <c r="BJ178" s="183"/>
      <c r="BK178" s="1606" t="s">
        <v>277</v>
      </c>
      <c r="BL178" s="183"/>
      <c r="BM178" s="1606" t="s">
        <v>233</v>
      </c>
      <c r="BN178" s="1606" t="s">
        <v>233</v>
      </c>
      <c r="BO178" s="1606" t="s">
        <v>240</v>
      </c>
      <c r="BP178" s="178"/>
      <c r="BQ178" s="178"/>
      <c r="BR178" s="178"/>
      <c r="BS178" s="178"/>
      <c r="BT178" s="178"/>
      <c r="BU178" s="178"/>
      <c r="BV178" s="180"/>
      <c r="BW178" s="178"/>
      <c r="BX178" s="178"/>
      <c r="BY178" s="180"/>
      <c r="BZ178" s="180"/>
      <c r="CA178" s="180"/>
      <c r="CB178" s="199"/>
      <c r="CC178" s="178"/>
      <c r="CD178" s="178"/>
      <c r="CE178" s="199"/>
      <c r="CF178" s="199"/>
      <c r="CG178" s="199"/>
      <c r="CH178" s="199"/>
      <c r="CI178" s="178"/>
      <c r="CJ178" s="178"/>
      <c r="CK178" s="199"/>
      <c r="CL178" s="199"/>
      <c r="CM178" s="199"/>
      <c r="CN178" s="434"/>
      <c r="CO178" s="100"/>
      <c r="CP178" s="100"/>
      <c r="CQ178" s="100"/>
    </row>
    <row r="179" spans="1:95" s="101" customFormat="1" ht="49.5" hidden="1" customHeight="1" thickBot="1" x14ac:dyDescent="0.3">
      <c r="A179" s="99"/>
      <c r="V179" s="103"/>
      <c r="AA179" s="104"/>
      <c r="AB179" s="104"/>
      <c r="AD179" s="104"/>
      <c r="AE179" s="105"/>
      <c r="AH179" s="106"/>
      <c r="AI179" s="106"/>
      <c r="AK179" s="104"/>
      <c r="AR179" s="104"/>
      <c r="AV179" s="104"/>
      <c r="AX179" s="104"/>
      <c r="BB179" s="104"/>
      <c r="BC179" s="104"/>
      <c r="BE179" s="104"/>
      <c r="BH179" s="99"/>
      <c r="BI179" s="1607"/>
      <c r="BJ179" s="184" t="s">
        <v>253</v>
      </c>
      <c r="BK179" s="1607"/>
      <c r="BL179" s="184" t="s">
        <v>251</v>
      </c>
      <c r="BM179" s="1607"/>
      <c r="BN179" s="1607"/>
      <c r="BO179" s="1607"/>
      <c r="BP179" s="178"/>
      <c r="BQ179" s="178"/>
      <c r="BR179" s="178"/>
      <c r="BS179" s="178"/>
      <c r="BT179" s="178"/>
      <c r="BU179" s="178"/>
      <c r="BV179" s="180"/>
      <c r="BW179" s="178"/>
      <c r="BX179" s="178"/>
      <c r="BY179" s="180"/>
      <c r="BZ179" s="180"/>
      <c r="CA179" s="180"/>
      <c r="CB179" s="199"/>
      <c r="CC179" s="178"/>
      <c r="CD179" s="178"/>
      <c r="CE179" s="199"/>
      <c r="CF179" s="199"/>
      <c r="CG179" s="199"/>
      <c r="CH179" s="199"/>
      <c r="CI179" s="178"/>
      <c r="CJ179" s="178"/>
      <c r="CK179" s="199"/>
      <c r="CL179" s="199"/>
      <c r="CM179" s="199"/>
      <c r="CN179" s="434"/>
      <c r="CO179" s="100"/>
      <c r="CP179" s="100"/>
      <c r="CQ179" s="100"/>
    </row>
    <row r="180" spans="1:95" s="101" customFormat="1" ht="15.75" hidden="1" thickBot="1" x14ac:dyDescent="0.3">
      <c r="A180" s="99"/>
      <c r="V180" s="103"/>
      <c r="AA180" s="104"/>
      <c r="AB180" s="104"/>
      <c r="AD180" s="104"/>
      <c r="AE180" s="105"/>
      <c r="AH180" s="106"/>
      <c r="AI180" s="106"/>
      <c r="AK180" s="104"/>
      <c r="AR180" s="104"/>
      <c r="AV180" s="104"/>
      <c r="AX180" s="104"/>
      <c r="BB180" s="104"/>
      <c r="BC180" s="104"/>
      <c r="BE180" s="104"/>
      <c r="BH180" s="99"/>
      <c r="BI180" s="190" t="s">
        <v>256</v>
      </c>
      <c r="BJ180" s="187" t="s">
        <v>75</v>
      </c>
      <c r="BK180" s="196">
        <v>1.7829504000000003E-3</v>
      </c>
      <c r="BL180" s="187" t="s">
        <v>278</v>
      </c>
      <c r="BM180" s="189">
        <v>0.01</v>
      </c>
      <c r="BN180" s="189">
        <v>0.5</v>
      </c>
      <c r="BO180" s="188" t="s">
        <v>258</v>
      </c>
      <c r="BP180" s="178"/>
      <c r="BQ180" s="178"/>
      <c r="BR180" s="178"/>
      <c r="BS180" s="178"/>
      <c r="BT180" s="178"/>
      <c r="BU180" s="178"/>
      <c r="BV180" s="180"/>
      <c r="BW180" s="178"/>
      <c r="BX180" s="178"/>
      <c r="BY180" s="180"/>
      <c r="BZ180" s="180"/>
      <c r="CA180" s="180"/>
      <c r="CB180" s="180"/>
      <c r="CC180" s="178"/>
      <c r="CD180" s="178"/>
      <c r="CE180" s="180"/>
      <c r="CF180" s="180"/>
      <c r="CG180" s="180"/>
      <c r="CH180" s="180"/>
      <c r="CI180" s="178"/>
      <c r="CJ180" s="178"/>
      <c r="CK180" s="180"/>
      <c r="CL180" s="180"/>
      <c r="CM180" s="180"/>
      <c r="CN180" s="225"/>
      <c r="CO180" s="100">
        <v>0.15</v>
      </c>
      <c r="CP180" s="100">
        <f>(CO180+CQ180)/2</f>
        <v>0.17499999999999999</v>
      </c>
      <c r="CQ180" s="100">
        <v>0.2</v>
      </c>
    </row>
    <row r="181" spans="1:95" s="101" customFormat="1" ht="15.75" hidden="1" thickBot="1" x14ac:dyDescent="0.3">
      <c r="A181" s="99"/>
      <c r="V181" s="103"/>
      <c r="AA181" s="104"/>
      <c r="AB181" s="104"/>
      <c r="AD181" s="104"/>
      <c r="AE181" s="105"/>
      <c r="AH181" s="106"/>
      <c r="AI181" s="106"/>
      <c r="AK181" s="104"/>
      <c r="AR181" s="104"/>
      <c r="AV181" s="104"/>
      <c r="AX181" s="104"/>
      <c r="BB181" s="104"/>
      <c r="BC181" s="104"/>
      <c r="BE181" s="104"/>
      <c r="BH181" s="99"/>
      <c r="BI181" s="190" t="s">
        <v>257</v>
      </c>
      <c r="BJ181" s="187" t="s">
        <v>49</v>
      </c>
      <c r="BK181" s="196">
        <v>5.8960000000000013E-4</v>
      </c>
      <c r="BL181" s="187" t="s">
        <v>259</v>
      </c>
      <c r="BM181" s="189">
        <v>0.01</v>
      </c>
      <c r="BN181" s="189">
        <v>0.5</v>
      </c>
      <c r="BO181" s="188" t="s">
        <v>258</v>
      </c>
      <c r="BP181" s="178"/>
      <c r="BQ181" s="178"/>
      <c r="BR181" s="178"/>
      <c r="BS181" s="178"/>
      <c r="BT181" s="178"/>
      <c r="BU181" s="178"/>
      <c r="BV181" s="180"/>
      <c r="BW181" s="178"/>
      <c r="BX181" s="178"/>
      <c r="BY181" s="180"/>
      <c r="BZ181" s="180"/>
      <c r="CA181" s="180"/>
      <c r="CB181" s="180"/>
      <c r="CC181" s="178"/>
      <c r="CD181" s="178"/>
      <c r="CE181" s="180"/>
      <c r="CF181" s="180"/>
      <c r="CG181" s="180"/>
      <c r="CH181" s="180"/>
      <c r="CI181" s="178"/>
      <c r="CJ181" s="178"/>
      <c r="CK181" s="180"/>
      <c r="CL181" s="180"/>
      <c r="CM181" s="180"/>
      <c r="CN181" s="225"/>
      <c r="CO181" s="100">
        <v>0.15</v>
      </c>
      <c r="CP181" s="100">
        <f>(CO181+CQ181)/2</f>
        <v>0.17499999999999999</v>
      </c>
      <c r="CQ181" s="100">
        <v>0.2</v>
      </c>
    </row>
    <row r="182" spans="1:95" s="101" customFormat="1" hidden="1" x14ac:dyDescent="0.25">
      <c r="A182" s="99"/>
      <c r="V182" s="103"/>
      <c r="AA182" s="104"/>
      <c r="AB182" s="104"/>
      <c r="AD182" s="104"/>
      <c r="AE182" s="105"/>
      <c r="AH182" s="106"/>
      <c r="AI182" s="106"/>
      <c r="AK182" s="104"/>
      <c r="AR182" s="104"/>
      <c r="AV182" s="104"/>
      <c r="AX182" s="104"/>
      <c r="BB182" s="104"/>
      <c r="BC182" s="104"/>
      <c r="BE182" s="104"/>
      <c r="BH182" s="99"/>
      <c r="BI182" s="102"/>
      <c r="BJ182" s="178"/>
      <c r="BK182" s="178"/>
      <c r="BL182" s="178"/>
      <c r="BM182" s="169"/>
      <c r="BN182" s="169"/>
      <c r="BO182" s="169"/>
      <c r="BP182" s="178"/>
      <c r="BQ182" s="178"/>
      <c r="BR182" s="178"/>
      <c r="BS182" s="178"/>
      <c r="BT182" s="178"/>
      <c r="BU182" s="178"/>
      <c r="BV182" s="180"/>
      <c r="BW182" s="178"/>
      <c r="BX182" s="178"/>
      <c r="BY182" s="180"/>
      <c r="BZ182" s="180"/>
      <c r="CA182" s="180"/>
      <c r="CB182" s="180"/>
      <c r="CC182" s="178"/>
      <c r="CD182" s="178"/>
      <c r="CE182" s="180"/>
      <c r="CF182" s="180"/>
      <c r="CG182" s="180"/>
      <c r="CH182" s="180"/>
      <c r="CI182" s="178"/>
      <c r="CJ182" s="178"/>
      <c r="CK182" s="180"/>
      <c r="CL182" s="180"/>
      <c r="CM182" s="180"/>
      <c r="CN182" s="225"/>
      <c r="CO182" s="100"/>
      <c r="CP182" s="100"/>
      <c r="CQ182" s="100"/>
    </row>
    <row r="183" spans="1:95" s="101" customFormat="1" ht="15.75" hidden="1" thickBot="1" x14ac:dyDescent="0.3">
      <c r="A183" s="99"/>
      <c r="V183" s="103"/>
      <c r="AA183" s="104"/>
      <c r="AB183" s="104"/>
      <c r="AD183" s="104"/>
      <c r="AE183" s="105"/>
      <c r="AH183" s="106"/>
      <c r="AI183" s="106"/>
      <c r="AK183" s="104"/>
      <c r="AR183" s="104"/>
      <c r="AV183" s="104"/>
      <c r="AX183" s="104"/>
      <c r="BB183" s="104"/>
      <c r="BC183" s="104"/>
      <c r="BE183" s="104"/>
      <c r="BH183" s="99"/>
      <c r="BI183" s="102"/>
      <c r="BJ183" s="178"/>
      <c r="BK183" s="178"/>
      <c r="BL183" s="178"/>
      <c r="BM183" s="169"/>
      <c r="BN183" s="169"/>
      <c r="BO183" s="169"/>
      <c r="BP183" s="178"/>
      <c r="BQ183" s="178"/>
      <c r="BR183" s="178"/>
      <c r="BS183" s="178"/>
      <c r="BT183" s="178"/>
      <c r="BU183" s="178"/>
      <c r="BV183" s="180"/>
      <c r="BW183" s="178"/>
      <c r="BX183" s="178"/>
      <c r="BY183" s="180"/>
      <c r="BZ183" s="180"/>
      <c r="CA183" s="180"/>
      <c r="CB183" s="180"/>
      <c r="CC183" s="178"/>
      <c r="CD183" s="178"/>
      <c r="CE183" s="180"/>
      <c r="CF183" s="180"/>
      <c r="CG183" s="180"/>
      <c r="CH183" s="180"/>
      <c r="CI183" s="178"/>
      <c r="CJ183" s="178"/>
      <c r="CK183" s="180"/>
      <c r="CL183" s="180"/>
      <c r="CM183" s="180"/>
      <c r="CN183" s="225"/>
      <c r="CO183" s="100"/>
      <c r="CP183" s="100"/>
      <c r="CQ183" s="100"/>
    </row>
    <row r="184" spans="1:95" s="101" customFormat="1" hidden="1" x14ac:dyDescent="0.25">
      <c r="A184" s="99"/>
      <c r="V184" s="103"/>
      <c r="AA184" s="104"/>
      <c r="AB184" s="104"/>
      <c r="AD184" s="104"/>
      <c r="AE184" s="105"/>
      <c r="AH184" s="106"/>
      <c r="AI184" s="106"/>
      <c r="AK184" s="104"/>
      <c r="AR184" s="104"/>
      <c r="AV184" s="104"/>
      <c r="AX184" s="104"/>
      <c r="BB184" s="104"/>
      <c r="BC184" s="104"/>
      <c r="BE184" s="104"/>
      <c r="BH184" s="99"/>
      <c r="BI184" s="1606" t="s">
        <v>171</v>
      </c>
      <c r="BJ184" s="183"/>
      <c r="BK184" s="1606" t="s">
        <v>276</v>
      </c>
      <c r="BL184" s="183"/>
      <c r="BM184" s="1606" t="s">
        <v>233</v>
      </c>
      <c r="BN184" s="1606" t="s">
        <v>233</v>
      </c>
      <c r="BO184" s="1606" t="s">
        <v>240</v>
      </c>
      <c r="BP184" s="178"/>
      <c r="BQ184" s="178"/>
      <c r="BR184" s="178"/>
      <c r="BS184" s="178"/>
      <c r="BT184" s="178"/>
      <c r="BU184" s="178"/>
      <c r="BV184" s="180"/>
      <c r="BW184" s="178"/>
      <c r="BX184" s="178"/>
      <c r="BY184" s="180"/>
      <c r="BZ184" s="180"/>
      <c r="CA184" s="180"/>
      <c r="CB184" s="180"/>
      <c r="CC184" s="178"/>
      <c r="CD184" s="178"/>
      <c r="CE184" s="180"/>
      <c r="CF184" s="180"/>
      <c r="CG184" s="180"/>
      <c r="CH184" s="180"/>
      <c r="CI184" s="178"/>
      <c r="CJ184" s="178"/>
      <c r="CK184" s="180"/>
      <c r="CL184" s="180"/>
      <c r="CM184" s="180"/>
      <c r="CN184" s="225"/>
      <c r="CO184" s="100"/>
      <c r="CP184" s="100"/>
      <c r="CQ184" s="100"/>
    </row>
    <row r="185" spans="1:95" s="101" customFormat="1" ht="41.25" hidden="1" customHeight="1" thickBot="1" x14ac:dyDescent="0.3">
      <c r="A185" s="99"/>
      <c r="V185" s="103"/>
      <c r="AA185" s="104"/>
      <c r="AB185" s="104"/>
      <c r="AD185" s="104"/>
      <c r="AE185" s="105"/>
      <c r="AH185" s="106"/>
      <c r="AI185" s="106"/>
      <c r="AK185" s="104"/>
      <c r="AR185" s="104"/>
      <c r="AV185" s="104"/>
      <c r="AX185" s="104"/>
      <c r="BB185" s="104"/>
      <c r="BC185" s="104"/>
      <c r="BE185" s="104"/>
      <c r="BH185" s="99"/>
      <c r="BI185" s="1607"/>
      <c r="BJ185" s="184" t="s">
        <v>253</v>
      </c>
      <c r="BK185" s="1607"/>
      <c r="BL185" s="184" t="s">
        <v>251</v>
      </c>
      <c r="BM185" s="1607"/>
      <c r="BN185" s="1607"/>
      <c r="BO185" s="1607"/>
      <c r="BP185" s="178"/>
      <c r="BQ185" s="178"/>
      <c r="BR185" s="178"/>
      <c r="BS185" s="178"/>
      <c r="BT185" s="178"/>
      <c r="BU185" s="178"/>
      <c r="BV185" s="180"/>
      <c r="BW185" s="178"/>
      <c r="BX185" s="178"/>
      <c r="BY185" s="180"/>
      <c r="BZ185" s="180"/>
      <c r="CA185" s="180"/>
      <c r="CB185" s="180"/>
      <c r="CC185" s="178"/>
      <c r="CD185" s="178"/>
      <c r="CE185" s="180"/>
      <c r="CF185" s="180"/>
      <c r="CG185" s="180"/>
      <c r="CH185" s="180"/>
      <c r="CI185" s="178"/>
      <c r="CJ185" s="178"/>
      <c r="CK185" s="180"/>
      <c r="CL185" s="180"/>
      <c r="CM185" s="180"/>
      <c r="CN185" s="225"/>
      <c r="CO185" s="100"/>
      <c r="CP185" s="100"/>
      <c r="CQ185" s="100"/>
    </row>
    <row r="186" spans="1:95" s="101" customFormat="1" ht="18.75" hidden="1" thickBot="1" x14ac:dyDescent="0.3">
      <c r="A186" s="99"/>
      <c r="V186" s="103"/>
      <c r="AA186" s="104"/>
      <c r="AB186" s="104"/>
      <c r="AD186" s="104"/>
      <c r="AE186" s="105"/>
      <c r="AH186" s="106"/>
      <c r="AI186" s="106"/>
      <c r="AK186" s="104"/>
      <c r="AR186" s="104"/>
      <c r="AV186" s="104"/>
      <c r="AX186" s="104"/>
      <c r="BB186" s="104"/>
      <c r="BC186" s="104"/>
      <c r="BE186" s="104"/>
      <c r="BH186" s="99"/>
      <c r="BI186" s="190" t="s">
        <v>170</v>
      </c>
      <c r="BJ186" s="187" t="s">
        <v>49</v>
      </c>
      <c r="BK186" s="196">
        <v>1</v>
      </c>
      <c r="BL186" s="187" t="s">
        <v>411</v>
      </c>
      <c r="BM186" s="189">
        <v>0.01</v>
      </c>
      <c r="BN186" s="189">
        <v>0.5</v>
      </c>
      <c r="BO186" s="188" t="s">
        <v>311</v>
      </c>
      <c r="BP186" s="178"/>
      <c r="BQ186" s="178"/>
      <c r="BR186" s="178"/>
      <c r="BS186" s="178"/>
      <c r="BT186" s="178"/>
      <c r="BU186" s="178"/>
      <c r="BV186" s="180"/>
      <c r="BW186" s="178"/>
      <c r="BX186" s="178"/>
      <c r="BY186" s="180"/>
      <c r="BZ186" s="180"/>
      <c r="CA186" s="180"/>
      <c r="CB186" s="180"/>
      <c r="CC186" s="178"/>
      <c r="CD186" s="178"/>
      <c r="CE186" s="180"/>
      <c r="CF186" s="180"/>
      <c r="CG186" s="180"/>
      <c r="CH186" s="180"/>
      <c r="CI186" s="178"/>
      <c r="CJ186" s="178"/>
      <c r="CK186" s="180"/>
      <c r="CL186" s="180"/>
      <c r="CM186" s="180"/>
      <c r="CN186" s="225"/>
      <c r="CO186" s="100">
        <v>0.01</v>
      </c>
      <c r="CP186" s="100">
        <f>(CO186+CQ186)/2</f>
        <v>0.255</v>
      </c>
      <c r="CQ186" s="100">
        <v>0.5</v>
      </c>
    </row>
    <row r="187" spans="1:95" s="101" customFormat="1" hidden="1" x14ac:dyDescent="0.25">
      <c r="A187" s="99"/>
      <c r="V187" s="103"/>
      <c r="AA187" s="104"/>
      <c r="AB187" s="104"/>
      <c r="AD187" s="104"/>
      <c r="AE187" s="105"/>
      <c r="AH187" s="106"/>
      <c r="AI187" s="106"/>
      <c r="AK187" s="104"/>
      <c r="AR187" s="104"/>
      <c r="AV187" s="104"/>
      <c r="AX187" s="104"/>
      <c r="BB187" s="104"/>
      <c r="BC187" s="104"/>
      <c r="BE187" s="104"/>
      <c r="BH187" s="99"/>
      <c r="BI187" s="200"/>
      <c r="BJ187" s="201"/>
      <c r="BK187" s="201"/>
      <c r="BL187" s="201"/>
      <c r="BM187" s="202"/>
      <c r="BN187" s="202"/>
      <c r="BO187" s="202"/>
      <c r="BP187" s="178"/>
      <c r="BQ187" s="178"/>
      <c r="BR187" s="178"/>
      <c r="BS187" s="178"/>
      <c r="BT187" s="178"/>
      <c r="BU187" s="178"/>
      <c r="BV187" s="180"/>
      <c r="BW187" s="178"/>
      <c r="BX187" s="178"/>
      <c r="BY187" s="180"/>
      <c r="BZ187" s="180"/>
      <c r="CA187" s="180"/>
      <c r="CB187" s="180"/>
      <c r="CC187" s="178"/>
      <c r="CD187" s="178"/>
      <c r="CE187" s="180"/>
      <c r="CF187" s="180"/>
      <c r="CG187" s="180"/>
      <c r="CH187" s="180"/>
      <c r="CI187" s="178"/>
      <c r="CJ187" s="178"/>
      <c r="CK187" s="180"/>
      <c r="CL187" s="180"/>
      <c r="CM187" s="180"/>
      <c r="CN187" s="225"/>
      <c r="CO187" s="100"/>
      <c r="CP187" s="100"/>
      <c r="CQ187" s="100"/>
    </row>
    <row r="188" spans="1:95" s="101" customFormat="1" ht="15.75" hidden="1" thickBot="1" x14ac:dyDescent="0.3">
      <c r="A188" s="99"/>
      <c r="V188" s="103"/>
      <c r="AA188" s="104"/>
      <c r="AB188" s="104"/>
      <c r="AD188" s="104"/>
      <c r="AE188" s="105"/>
      <c r="AH188" s="106"/>
      <c r="AI188" s="106"/>
      <c r="AK188" s="104"/>
      <c r="AR188" s="104"/>
      <c r="AV188" s="104"/>
      <c r="AX188" s="104"/>
      <c r="BB188" s="104"/>
      <c r="BC188" s="104"/>
      <c r="BE188" s="104"/>
      <c r="BH188" s="99"/>
      <c r="BI188" s="200"/>
      <c r="BJ188" s="201"/>
      <c r="BK188" s="201"/>
      <c r="BL188" s="201"/>
      <c r="BM188" s="202"/>
      <c r="BN188" s="202"/>
      <c r="BO188" s="202"/>
      <c r="BP188" s="178"/>
      <c r="BQ188" s="178"/>
      <c r="BR188" s="178"/>
      <c r="BS188" s="178"/>
      <c r="BT188" s="178"/>
      <c r="BU188" s="178"/>
      <c r="BV188" s="180"/>
      <c r="BW188" s="178"/>
      <c r="BX188" s="178"/>
      <c r="BY188" s="180"/>
      <c r="BZ188" s="180"/>
      <c r="CA188" s="180"/>
      <c r="CB188" s="180"/>
      <c r="CC188" s="178"/>
      <c r="CD188" s="178"/>
      <c r="CE188" s="180"/>
      <c r="CF188" s="180"/>
      <c r="CG188" s="180"/>
      <c r="CH188" s="180"/>
      <c r="CI188" s="178"/>
      <c r="CJ188" s="178"/>
      <c r="CK188" s="180"/>
      <c r="CL188" s="180"/>
      <c r="CM188" s="180"/>
      <c r="CN188" s="225"/>
      <c r="CO188" s="100"/>
      <c r="CP188" s="100"/>
      <c r="CQ188" s="100"/>
    </row>
    <row r="189" spans="1:95" s="101" customFormat="1" hidden="1" x14ac:dyDescent="0.25">
      <c r="A189" s="99"/>
      <c r="V189" s="103"/>
      <c r="AA189" s="104"/>
      <c r="AB189" s="104"/>
      <c r="AD189" s="104"/>
      <c r="AE189" s="105"/>
      <c r="AH189" s="106"/>
      <c r="AI189" s="106"/>
      <c r="AK189" s="104"/>
      <c r="AR189" s="104"/>
      <c r="AV189" s="104"/>
      <c r="AX189" s="104"/>
      <c r="BB189" s="104"/>
      <c r="BC189" s="104"/>
      <c r="BE189" s="104"/>
      <c r="BH189" s="99"/>
      <c r="BI189" s="1606" t="s">
        <v>264</v>
      </c>
      <c r="BJ189" s="183"/>
      <c r="BK189" s="1606" t="s">
        <v>276</v>
      </c>
      <c r="BL189" s="183"/>
      <c r="BM189" s="1606" t="s">
        <v>233</v>
      </c>
      <c r="BN189" s="1606" t="s">
        <v>233</v>
      </c>
      <c r="BO189" s="1606" t="s">
        <v>240</v>
      </c>
      <c r="BP189" s="183"/>
      <c r="BQ189" s="1606" t="s">
        <v>276</v>
      </c>
      <c r="BR189" s="183"/>
      <c r="BS189" s="1606" t="s">
        <v>233</v>
      </c>
      <c r="BT189" s="1606" t="s">
        <v>233</v>
      </c>
      <c r="BU189" s="1606" t="s">
        <v>240</v>
      </c>
      <c r="BV189" s="180"/>
      <c r="BW189" s="178"/>
      <c r="BX189" s="178"/>
      <c r="BY189" s="180"/>
      <c r="BZ189" s="180"/>
      <c r="CA189" s="180"/>
      <c r="CB189" s="180"/>
      <c r="CC189" s="178"/>
      <c r="CD189" s="178"/>
      <c r="CE189" s="180"/>
      <c r="CF189" s="180"/>
      <c r="CG189" s="180"/>
      <c r="CH189" s="180"/>
      <c r="CI189" s="178"/>
      <c r="CJ189" s="178"/>
      <c r="CK189" s="180"/>
      <c r="CL189" s="180"/>
      <c r="CM189" s="180"/>
      <c r="CN189" s="225"/>
      <c r="CO189" s="100"/>
      <c r="CP189" s="100"/>
      <c r="CQ189" s="100"/>
    </row>
    <row r="190" spans="1:95" s="101" customFormat="1" ht="15.75" hidden="1" thickBot="1" x14ac:dyDescent="0.3">
      <c r="A190" s="99"/>
      <c r="V190" s="103"/>
      <c r="AA190" s="104"/>
      <c r="AB190" s="104"/>
      <c r="AD190" s="104"/>
      <c r="AE190" s="105"/>
      <c r="AH190" s="106"/>
      <c r="AI190" s="106"/>
      <c r="AK190" s="104"/>
      <c r="AR190" s="104"/>
      <c r="AV190" s="104"/>
      <c r="AX190" s="104"/>
      <c r="BB190" s="104"/>
      <c r="BC190" s="104"/>
      <c r="BE190" s="104"/>
      <c r="BH190" s="99"/>
      <c r="BI190" s="1607"/>
      <c r="BJ190" s="184" t="s">
        <v>253</v>
      </c>
      <c r="BK190" s="1607"/>
      <c r="BL190" s="184" t="s">
        <v>251</v>
      </c>
      <c r="BM190" s="1607"/>
      <c r="BN190" s="1607"/>
      <c r="BO190" s="1607"/>
      <c r="BP190" s="184" t="s">
        <v>253</v>
      </c>
      <c r="BQ190" s="1607"/>
      <c r="BR190" s="184" t="s">
        <v>251</v>
      </c>
      <c r="BS190" s="1607"/>
      <c r="BT190" s="1607"/>
      <c r="BU190" s="1607"/>
      <c r="BV190" s="180"/>
      <c r="BW190" s="178"/>
      <c r="BX190" s="178"/>
      <c r="BY190" s="180"/>
      <c r="BZ190" s="180"/>
      <c r="CA190" s="180"/>
      <c r="CB190" s="180"/>
      <c r="CC190" s="178"/>
      <c r="CD190" s="178"/>
      <c r="CE190" s="180"/>
      <c r="CF190" s="180"/>
      <c r="CG190" s="180"/>
      <c r="CH190" s="180"/>
      <c r="CI190" s="178"/>
      <c r="CJ190" s="178"/>
      <c r="CK190" s="180"/>
      <c r="CL190" s="180"/>
      <c r="CM190" s="180"/>
      <c r="CN190" s="225"/>
      <c r="CO190" s="100"/>
      <c r="CP190" s="100"/>
      <c r="CQ190" s="100"/>
    </row>
    <row r="191" spans="1:95" s="101" customFormat="1" ht="18.75" hidden="1" thickBot="1" x14ac:dyDescent="0.3">
      <c r="A191" s="99"/>
      <c r="V191" s="103"/>
      <c r="AA191" s="104"/>
      <c r="AB191" s="104"/>
      <c r="AD191" s="104"/>
      <c r="AE191" s="105"/>
      <c r="AH191" s="106"/>
      <c r="AI191" s="106"/>
      <c r="AK191" s="104"/>
      <c r="AR191" s="104"/>
      <c r="AV191" s="104"/>
      <c r="AX191" s="104"/>
      <c r="BB191" s="104"/>
      <c r="BC191" s="104"/>
      <c r="BE191" s="104"/>
      <c r="BH191" s="99"/>
      <c r="BI191" s="190" t="s">
        <v>8</v>
      </c>
      <c r="BJ191" s="187" t="s">
        <v>49</v>
      </c>
      <c r="BK191" s="196">
        <f>BJ434</f>
        <v>23500</v>
      </c>
      <c r="BL191" s="187" t="s">
        <v>411</v>
      </c>
      <c r="BM191" s="189">
        <v>0.01</v>
      </c>
      <c r="BN191" s="189">
        <v>0.5</v>
      </c>
      <c r="BO191" s="188" t="s">
        <v>311</v>
      </c>
      <c r="BP191" s="187" t="s">
        <v>49</v>
      </c>
      <c r="BQ191" s="196">
        <v>22800</v>
      </c>
      <c r="BR191" s="187" t="s">
        <v>411</v>
      </c>
      <c r="BS191" s="189">
        <v>0.01</v>
      </c>
      <c r="BT191" s="189">
        <v>0.5</v>
      </c>
      <c r="BU191" s="188" t="s">
        <v>254</v>
      </c>
      <c r="BV191" s="180"/>
      <c r="BW191" s="178"/>
      <c r="BX191" s="178"/>
      <c r="BY191" s="180"/>
      <c r="BZ191" s="180"/>
      <c r="CA191" s="180"/>
      <c r="CB191" s="180"/>
      <c r="CC191" s="178"/>
      <c r="CD191" s="178"/>
      <c r="CE191" s="180"/>
      <c r="CF191" s="180"/>
      <c r="CG191" s="180"/>
      <c r="CH191" s="180"/>
      <c r="CI191" s="178"/>
      <c r="CJ191" s="178"/>
      <c r="CK191" s="180"/>
      <c r="CL191" s="180"/>
      <c r="CM191" s="180"/>
      <c r="CN191" s="225"/>
      <c r="CO191" s="100">
        <v>0.01</v>
      </c>
      <c r="CP191" s="100">
        <f>(CO191+CQ191)/2</f>
        <v>0.255</v>
      </c>
      <c r="CQ191" s="100">
        <v>0.5</v>
      </c>
    </row>
    <row r="192" spans="1:95" s="101" customFormat="1" hidden="1" x14ac:dyDescent="0.25">
      <c r="A192" s="99"/>
      <c r="V192" s="103"/>
      <c r="AA192" s="104"/>
      <c r="AB192" s="104"/>
      <c r="AD192" s="104"/>
      <c r="AE192" s="105"/>
      <c r="AH192" s="106"/>
      <c r="AI192" s="106"/>
      <c r="AK192" s="104"/>
      <c r="AR192" s="104"/>
      <c r="AV192" s="104"/>
      <c r="AX192" s="104"/>
      <c r="BB192" s="104"/>
      <c r="BC192" s="104"/>
      <c r="BE192" s="104"/>
      <c r="BH192" s="99"/>
      <c r="BI192" s="200"/>
      <c r="BJ192" s="201"/>
      <c r="BK192" s="201"/>
      <c r="BL192" s="201"/>
      <c r="BM192" s="202"/>
      <c r="BN192" s="202"/>
      <c r="BO192" s="202"/>
      <c r="BP192" s="178"/>
      <c r="BQ192" s="178"/>
      <c r="BR192" s="178"/>
      <c r="BS192" s="178"/>
      <c r="BT192" s="178"/>
      <c r="BU192" s="178"/>
      <c r="BV192" s="180"/>
      <c r="BW192" s="178"/>
      <c r="BX192" s="178"/>
      <c r="BY192" s="180"/>
      <c r="BZ192" s="180"/>
      <c r="CA192" s="180"/>
      <c r="CB192" s="180"/>
      <c r="CC192" s="178"/>
      <c r="CD192" s="178"/>
      <c r="CE192" s="180"/>
      <c r="CF192" s="180"/>
      <c r="CG192" s="180"/>
      <c r="CH192" s="180"/>
      <c r="CI192" s="178"/>
      <c r="CJ192" s="178"/>
      <c r="CK192" s="180"/>
      <c r="CL192" s="180"/>
      <c r="CM192" s="180"/>
      <c r="CN192" s="225"/>
      <c r="CO192" s="100"/>
      <c r="CP192" s="100"/>
      <c r="CQ192" s="100"/>
    </row>
    <row r="193" spans="1:95" s="101" customFormat="1" hidden="1" x14ac:dyDescent="0.25">
      <c r="A193" s="99"/>
      <c r="V193" s="103"/>
      <c r="AA193" s="104"/>
      <c r="AB193" s="104"/>
      <c r="AD193" s="104"/>
      <c r="AE193" s="105"/>
      <c r="AH193" s="106"/>
      <c r="AI193" s="106"/>
      <c r="AK193" s="104"/>
      <c r="AR193" s="104"/>
      <c r="AV193" s="104"/>
      <c r="AX193" s="104"/>
      <c r="BB193" s="104"/>
      <c r="BC193" s="104"/>
      <c r="BE193" s="104"/>
      <c r="BH193" s="99"/>
      <c r="BI193" s="200"/>
      <c r="BJ193" s="201"/>
      <c r="BK193" s="201"/>
      <c r="BL193" s="201"/>
      <c r="BM193" s="202"/>
      <c r="BN193" s="202"/>
      <c r="BO193" s="202"/>
      <c r="BP193" s="178"/>
      <c r="BQ193" s="178"/>
      <c r="BR193" s="178"/>
      <c r="BS193" s="178"/>
      <c r="BT193" s="178"/>
      <c r="BU193" s="178"/>
      <c r="BV193" s="180"/>
      <c r="BW193" s="178"/>
      <c r="BX193" s="178"/>
      <c r="BY193" s="180"/>
      <c r="BZ193" s="180"/>
      <c r="CA193" s="180"/>
      <c r="CB193" s="180"/>
      <c r="CC193" s="178"/>
      <c r="CD193" s="178"/>
      <c r="CE193" s="180"/>
      <c r="CF193" s="180"/>
      <c r="CG193" s="180"/>
      <c r="CH193" s="180"/>
      <c r="CI193" s="178"/>
      <c r="CJ193" s="178"/>
      <c r="CK193" s="180"/>
      <c r="CL193" s="180"/>
      <c r="CM193" s="180"/>
      <c r="CN193" s="225"/>
      <c r="CO193" s="100"/>
      <c r="CP193" s="100"/>
      <c r="CQ193" s="100"/>
    </row>
    <row r="194" spans="1:95" s="101" customFormat="1" hidden="1" x14ac:dyDescent="0.25">
      <c r="A194" s="99"/>
      <c r="V194" s="103"/>
      <c r="AA194" s="104"/>
      <c r="AB194" s="104"/>
      <c r="AD194" s="104"/>
      <c r="AE194" s="105"/>
      <c r="AH194" s="106"/>
      <c r="AI194" s="106"/>
      <c r="AK194" s="104"/>
      <c r="AR194" s="104"/>
      <c r="AV194" s="104"/>
      <c r="AX194" s="104"/>
      <c r="BB194" s="104"/>
      <c r="BC194" s="104"/>
      <c r="BE194" s="104"/>
      <c r="BH194" s="99"/>
      <c r="BI194" s="200"/>
      <c r="BJ194" s="201"/>
      <c r="BK194" s="201"/>
      <c r="BL194" s="201"/>
      <c r="BM194" s="202"/>
      <c r="BN194" s="202"/>
      <c r="BO194" s="202"/>
      <c r="BP194" s="178"/>
      <c r="BQ194" s="178"/>
      <c r="BR194" s="178"/>
      <c r="BS194" s="178"/>
      <c r="BT194" s="178"/>
      <c r="BU194" s="178"/>
      <c r="BV194" s="180"/>
      <c r="BW194" s="178"/>
      <c r="BX194" s="178"/>
      <c r="BY194" s="180"/>
      <c r="BZ194" s="180"/>
      <c r="CA194" s="180"/>
      <c r="CB194" s="180"/>
      <c r="CC194" s="178"/>
      <c r="CD194" s="178"/>
      <c r="CE194" s="180"/>
      <c r="CF194" s="180"/>
      <c r="CG194" s="180"/>
      <c r="CH194" s="180"/>
      <c r="CI194" s="178"/>
      <c r="CJ194" s="178"/>
      <c r="CK194" s="180"/>
      <c r="CL194" s="180"/>
      <c r="CM194" s="180"/>
      <c r="CN194" s="225"/>
      <c r="CO194" s="100"/>
      <c r="CP194" s="100"/>
      <c r="CQ194" s="100"/>
    </row>
    <row r="195" spans="1:95" s="101" customFormat="1" ht="15.75" hidden="1" thickBot="1" x14ac:dyDescent="0.3">
      <c r="A195" s="99"/>
      <c r="V195" s="103"/>
      <c r="AA195" s="104"/>
      <c r="AB195" s="104"/>
      <c r="AD195" s="104"/>
      <c r="AE195" s="105"/>
      <c r="AH195" s="106"/>
      <c r="AI195" s="106"/>
      <c r="AK195" s="104"/>
      <c r="AR195" s="104"/>
      <c r="AV195" s="104"/>
      <c r="AX195" s="104"/>
      <c r="BB195" s="104"/>
      <c r="BC195" s="104"/>
      <c r="BE195" s="104"/>
      <c r="BH195" s="99"/>
      <c r="BI195" s="102"/>
      <c r="BJ195" s="178"/>
      <c r="BK195" s="178"/>
      <c r="BL195" s="178"/>
      <c r="BM195" s="169"/>
      <c r="BN195" s="169"/>
      <c r="BO195" s="169"/>
      <c r="BP195" s="178"/>
      <c r="BQ195" s="178"/>
      <c r="BR195" s="178"/>
      <c r="BS195" s="178"/>
      <c r="BT195" s="178"/>
      <c r="BU195" s="178"/>
      <c r="BV195" s="180"/>
      <c r="BW195" s="178"/>
      <c r="BX195" s="178"/>
      <c r="BY195" s="180"/>
      <c r="BZ195" s="180"/>
      <c r="CA195" s="180"/>
      <c r="CB195" s="180"/>
      <c r="CC195" s="178"/>
      <c r="CD195" s="178"/>
      <c r="CE195" s="180"/>
      <c r="CF195" s="180"/>
      <c r="CG195" s="180"/>
      <c r="CH195" s="180"/>
      <c r="CI195" s="178"/>
      <c r="CJ195" s="178"/>
      <c r="CK195" s="180"/>
      <c r="CL195" s="180"/>
      <c r="CM195" s="180"/>
      <c r="CN195" s="225"/>
      <c r="CO195" s="100"/>
      <c r="CP195" s="100"/>
      <c r="CQ195" s="100"/>
    </row>
    <row r="196" spans="1:95" s="101" customFormat="1" ht="27" hidden="1" customHeight="1" x14ac:dyDescent="0.25">
      <c r="A196" s="99"/>
      <c r="V196" s="103"/>
      <c r="AA196" s="104"/>
      <c r="AB196" s="104"/>
      <c r="AD196" s="104"/>
      <c r="AE196" s="105"/>
      <c r="AH196" s="106"/>
      <c r="AI196" s="106"/>
      <c r="AK196" s="104"/>
      <c r="AR196" s="104"/>
      <c r="AV196" s="104"/>
      <c r="AX196" s="104"/>
      <c r="BB196" s="104"/>
      <c r="BC196" s="104"/>
      <c r="BE196" s="104"/>
      <c r="BH196" s="99"/>
      <c r="BI196" s="1606" t="s">
        <v>260</v>
      </c>
      <c r="BJ196" s="183"/>
      <c r="BK196" s="1606" t="s">
        <v>276</v>
      </c>
      <c r="BL196" s="183"/>
      <c r="BM196" s="1606" t="s">
        <v>233</v>
      </c>
      <c r="BN196" s="1606" t="s">
        <v>233</v>
      </c>
      <c r="BO196" s="1606" t="s">
        <v>240</v>
      </c>
      <c r="BP196" s="178"/>
      <c r="BQ196" s="178"/>
      <c r="BR196" s="178"/>
      <c r="BS196" s="178"/>
      <c r="BT196" s="178"/>
      <c r="BU196" s="178"/>
      <c r="BV196" s="180"/>
      <c r="BW196" s="178"/>
      <c r="BX196" s="178"/>
      <c r="BY196" s="180"/>
      <c r="BZ196" s="180"/>
      <c r="CA196" s="180"/>
      <c r="CB196" s="180"/>
      <c r="CC196" s="178"/>
      <c r="CD196" s="178"/>
      <c r="CE196" s="180"/>
      <c r="CF196" s="180"/>
      <c r="CG196" s="180"/>
      <c r="CH196" s="180"/>
      <c r="CI196" s="178"/>
      <c r="CJ196" s="178"/>
      <c r="CK196" s="180"/>
      <c r="CL196" s="180"/>
      <c r="CM196" s="180"/>
      <c r="CN196" s="225"/>
      <c r="CO196" s="100"/>
      <c r="CP196" s="100"/>
      <c r="CQ196" s="100"/>
    </row>
    <row r="197" spans="1:95" s="101" customFormat="1" ht="34.5" hidden="1" customHeight="1" thickBot="1" x14ac:dyDescent="0.3">
      <c r="A197" s="99"/>
      <c r="V197" s="103"/>
      <c r="AA197" s="104"/>
      <c r="AB197" s="104"/>
      <c r="AD197" s="104"/>
      <c r="AE197" s="105"/>
      <c r="AH197" s="106"/>
      <c r="AI197" s="106"/>
      <c r="AK197" s="104"/>
      <c r="AR197" s="104"/>
      <c r="AV197" s="104"/>
      <c r="AX197" s="104"/>
      <c r="BB197" s="104"/>
      <c r="BC197" s="104"/>
      <c r="BE197" s="104"/>
      <c r="BH197" s="99"/>
      <c r="BI197" s="1607"/>
      <c r="BJ197" s="184" t="s">
        <v>253</v>
      </c>
      <c r="BK197" s="1607"/>
      <c r="BL197" s="184" t="s">
        <v>251</v>
      </c>
      <c r="BM197" s="1607"/>
      <c r="BN197" s="1607"/>
      <c r="BO197" s="1607"/>
      <c r="BP197" s="178"/>
      <c r="BQ197" s="178"/>
      <c r="BR197" s="178"/>
      <c r="BS197" s="178"/>
      <c r="BT197" s="178"/>
      <c r="BU197" s="178"/>
      <c r="BV197" s="180"/>
      <c r="BW197" s="178"/>
      <c r="BX197" s="178"/>
      <c r="BY197" s="180"/>
      <c r="BZ197" s="180"/>
      <c r="CA197" s="180"/>
      <c r="CB197" s="180"/>
      <c r="CC197" s="178"/>
      <c r="CD197" s="178"/>
      <c r="CE197" s="180"/>
      <c r="CF197" s="180"/>
      <c r="CG197" s="180"/>
      <c r="CH197" s="180"/>
      <c r="CI197" s="178"/>
      <c r="CJ197" s="178"/>
      <c r="CK197" s="180"/>
      <c r="CL197" s="180"/>
      <c r="CM197" s="180"/>
      <c r="CN197" s="225"/>
      <c r="CO197" s="100"/>
      <c r="CP197" s="100"/>
      <c r="CQ197" s="100"/>
    </row>
    <row r="198" spans="1:95" s="101" customFormat="1" ht="102.75" hidden="1" thickBot="1" x14ac:dyDescent="0.3">
      <c r="A198" s="99"/>
      <c r="V198" s="103"/>
      <c r="AA198" s="104"/>
      <c r="AB198" s="104"/>
      <c r="AD198" s="104"/>
      <c r="AE198" s="105"/>
      <c r="AH198" s="106"/>
      <c r="AI198" s="106"/>
      <c r="AK198" s="104"/>
      <c r="AR198" s="104"/>
      <c r="AV198" s="104"/>
      <c r="AX198" s="104"/>
      <c r="BB198" s="104"/>
      <c r="BC198" s="104"/>
      <c r="BD198" s="100">
        <f>(10+0.9)*(0.67)</f>
        <v>7.3030000000000008</v>
      </c>
      <c r="BE198" s="100">
        <f>25*(0.67)</f>
        <v>16.75</v>
      </c>
      <c r="BF198" s="100">
        <f>(18+2.5)*(0.67)</f>
        <v>13.735000000000001</v>
      </c>
      <c r="BG198" s="100">
        <f>(25+4)*(0.67)</f>
        <v>19.43</v>
      </c>
      <c r="BH198" s="120" t="s">
        <v>52</v>
      </c>
      <c r="BI198" s="203" t="s">
        <v>10</v>
      </c>
      <c r="BJ198" s="190" t="s">
        <v>615</v>
      </c>
      <c r="BK198" s="196">
        <f>BG198</f>
        <v>19.43</v>
      </c>
      <c r="BL198" s="190" t="s">
        <v>634</v>
      </c>
      <c r="BM198" s="189">
        <v>0.5</v>
      </c>
      <c r="BN198" s="189">
        <v>3</v>
      </c>
      <c r="BO198" s="188" t="s">
        <v>429</v>
      </c>
      <c r="BP198" s="178"/>
      <c r="BQ198" s="102"/>
      <c r="BR198" s="102"/>
      <c r="BS198" s="178"/>
      <c r="BT198" s="178"/>
      <c r="BU198" s="178"/>
      <c r="BV198" s="180"/>
      <c r="BW198" s="178"/>
      <c r="BX198" s="196">
        <v>312.39</v>
      </c>
      <c r="BY198" s="190" t="s">
        <v>635</v>
      </c>
      <c r="BZ198" s="180"/>
      <c r="CA198" s="180"/>
      <c r="CB198" s="180"/>
      <c r="CC198" s="178"/>
      <c r="CD198" s="178"/>
      <c r="CE198" s="180"/>
      <c r="CF198" s="180"/>
      <c r="CG198" s="180"/>
      <c r="CH198" s="180"/>
      <c r="CI198" s="178"/>
      <c r="CJ198" s="178"/>
      <c r="CK198" s="180"/>
      <c r="CL198" s="180"/>
      <c r="CM198" s="180"/>
      <c r="CN198" s="225"/>
      <c r="CO198" s="218">
        <f>BM198</f>
        <v>0.5</v>
      </c>
      <c r="CP198" s="100">
        <f>(CO198+CQ198)/2</f>
        <v>1.75</v>
      </c>
      <c r="CQ198" s="218">
        <f>BN198</f>
        <v>3</v>
      </c>
    </row>
    <row r="199" spans="1:95" s="101" customFormat="1" ht="102.75" hidden="1" thickBot="1" x14ac:dyDescent="0.3">
      <c r="A199" s="99"/>
      <c r="V199" s="103"/>
      <c r="AA199" s="104"/>
      <c r="AB199" s="104"/>
      <c r="AD199" s="104"/>
      <c r="AE199" s="105"/>
      <c r="AH199" s="106"/>
      <c r="AI199" s="106"/>
      <c r="AK199" s="104"/>
      <c r="AR199" s="104"/>
      <c r="AV199" s="104"/>
      <c r="AX199" s="104"/>
      <c r="BB199" s="104"/>
      <c r="BC199" s="104"/>
      <c r="BD199" s="100">
        <f>(0.31+0)*(0.67)</f>
        <v>0.20770000000000002</v>
      </c>
      <c r="BE199" s="100">
        <f>25*(0.67)</f>
        <v>16.75</v>
      </c>
      <c r="BF199" s="100">
        <f>(1.2+0.1)*(0.67)</f>
        <v>0.87100000000000011</v>
      </c>
      <c r="BG199" s="100">
        <f>(2+0.2)*(0.67)</f>
        <v>1.4740000000000002</v>
      </c>
      <c r="BH199" s="120" t="s">
        <v>52</v>
      </c>
      <c r="BI199" s="203" t="s">
        <v>11</v>
      </c>
      <c r="BJ199" s="190" t="s">
        <v>615</v>
      </c>
      <c r="BK199" s="196">
        <f>BG199</f>
        <v>1.4740000000000002</v>
      </c>
      <c r="BL199" s="190" t="s">
        <v>634</v>
      </c>
      <c r="BM199" s="189">
        <v>0.5</v>
      </c>
      <c r="BN199" s="189">
        <v>3</v>
      </c>
      <c r="BO199" s="188" t="s">
        <v>430</v>
      </c>
      <c r="BP199" s="178"/>
      <c r="BQ199" s="102"/>
      <c r="BR199" s="102"/>
      <c r="BS199" s="178"/>
      <c r="BT199" s="178"/>
      <c r="BU199" s="178"/>
      <c r="BV199" s="180"/>
      <c r="BW199" s="178"/>
      <c r="BX199" s="196">
        <v>20.94</v>
      </c>
      <c r="BY199" s="190" t="s">
        <v>635</v>
      </c>
      <c r="BZ199" s="180"/>
      <c r="CA199" s="180"/>
      <c r="CB199" s="180"/>
      <c r="CC199" s="178"/>
      <c r="CD199" s="178"/>
      <c r="CE199" s="180"/>
      <c r="CF199" s="180"/>
      <c r="CG199" s="180"/>
      <c r="CH199" s="180"/>
      <c r="CI199" s="178"/>
      <c r="CJ199" s="178"/>
      <c r="CK199" s="180"/>
      <c r="CL199" s="180"/>
      <c r="CM199" s="180"/>
      <c r="CN199" s="225"/>
      <c r="CO199" s="218">
        <f t="shared" ref="CO199:CO262" si="101">BM199</f>
        <v>0.5</v>
      </c>
      <c r="CP199" s="100">
        <f t="shared" ref="CP199:CP262" si="102">(CO199+CQ199)/2</f>
        <v>1.75</v>
      </c>
      <c r="CQ199" s="218">
        <f t="shared" ref="CQ199:CQ262" si="103">BN199</f>
        <v>3</v>
      </c>
    </row>
    <row r="200" spans="1:95" s="101" customFormat="1" ht="141" hidden="1" thickBot="1" x14ac:dyDescent="0.3">
      <c r="A200" s="99"/>
      <c r="V200" s="103"/>
      <c r="AA200" s="104"/>
      <c r="AB200" s="104"/>
      <c r="AD200" s="104"/>
      <c r="AE200" s="105"/>
      <c r="AH200" s="106"/>
      <c r="AI200" s="106"/>
      <c r="AK200" s="104"/>
      <c r="AR200" s="104"/>
      <c r="AV200" s="104"/>
      <c r="AX200" s="104"/>
      <c r="BB200" s="104"/>
      <c r="BC200" s="104"/>
      <c r="BE200" s="104"/>
      <c r="BH200" s="120" t="s">
        <v>347</v>
      </c>
      <c r="BI200" s="203" t="s">
        <v>345</v>
      </c>
      <c r="BJ200" s="203" t="s">
        <v>346</v>
      </c>
      <c r="BK200" s="196">
        <v>36.5</v>
      </c>
      <c r="BL200" s="190" t="s">
        <v>424</v>
      </c>
      <c r="BM200" s="189">
        <v>0.9</v>
      </c>
      <c r="BN200" s="189">
        <v>1.06</v>
      </c>
      <c r="BO200" s="188" t="s">
        <v>348</v>
      </c>
      <c r="BP200" s="178"/>
      <c r="BQ200" s="102"/>
      <c r="BR200" s="102"/>
      <c r="BS200" s="178"/>
      <c r="BT200" s="178"/>
      <c r="BU200" s="178"/>
      <c r="BV200" s="180"/>
      <c r="BW200" s="178"/>
      <c r="BX200" s="196">
        <v>20.94</v>
      </c>
      <c r="BY200" s="190" t="s">
        <v>635</v>
      </c>
      <c r="BZ200" s="180"/>
      <c r="CA200" s="180"/>
      <c r="CB200" s="180"/>
      <c r="CC200" s="178"/>
      <c r="CD200" s="178"/>
      <c r="CE200" s="180"/>
      <c r="CF200" s="180"/>
      <c r="CG200" s="180"/>
      <c r="CH200" s="180"/>
      <c r="CI200" s="178"/>
      <c r="CJ200" s="178"/>
      <c r="CK200" s="180"/>
      <c r="CL200" s="180"/>
      <c r="CM200" s="180"/>
      <c r="CN200" s="225"/>
      <c r="CO200" s="218">
        <f t="shared" si="101"/>
        <v>0.9</v>
      </c>
      <c r="CP200" s="100">
        <f t="shared" si="102"/>
        <v>0.98</v>
      </c>
      <c r="CQ200" s="218">
        <f t="shared" si="103"/>
        <v>1.06</v>
      </c>
    </row>
    <row r="201" spans="1:95" s="101" customFormat="1" ht="18.75" hidden="1" thickBot="1" x14ac:dyDescent="0.3">
      <c r="A201" s="99"/>
      <c r="V201" s="103"/>
      <c r="AA201" s="104"/>
      <c r="AB201" s="104"/>
      <c r="AD201" s="104"/>
      <c r="AE201" s="105"/>
      <c r="AH201" s="106"/>
      <c r="AI201" s="106"/>
      <c r="AK201" s="104"/>
      <c r="AR201" s="104"/>
      <c r="AV201" s="104"/>
      <c r="AX201" s="104"/>
      <c r="BB201" s="104"/>
      <c r="BC201" s="104"/>
      <c r="BE201" s="104"/>
      <c r="BG201" s="100"/>
      <c r="BH201" s="120" t="s">
        <v>53</v>
      </c>
      <c r="BI201" s="203" t="s">
        <v>12</v>
      </c>
      <c r="BJ201" s="203" t="s">
        <v>615</v>
      </c>
      <c r="BK201" s="196">
        <v>1E-4</v>
      </c>
      <c r="BL201" s="190" t="s">
        <v>627</v>
      </c>
      <c r="BM201" s="189">
        <v>0.1</v>
      </c>
      <c r="BN201" s="189">
        <v>0.25</v>
      </c>
      <c r="BO201" s="188" t="s">
        <v>258</v>
      </c>
      <c r="BP201" s="215" t="s">
        <v>615</v>
      </c>
      <c r="BQ201" s="216">
        <v>560</v>
      </c>
      <c r="BR201" s="215" t="s">
        <v>637</v>
      </c>
      <c r="BS201" s="217">
        <v>0.1</v>
      </c>
      <c r="BT201" s="217">
        <v>0.25</v>
      </c>
      <c r="BU201" s="188" t="s">
        <v>258</v>
      </c>
      <c r="BV201" s="180"/>
      <c r="BW201" s="178"/>
      <c r="BX201" s="196">
        <v>12.5</v>
      </c>
      <c r="BY201" s="190" t="s">
        <v>635</v>
      </c>
      <c r="BZ201" s="180"/>
      <c r="CA201" s="180"/>
      <c r="CB201" s="180"/>
      <c r="CC201" s="178"/>
      <c r="CD201" s="178"/>
      <c r="CE201" s="180"/>
      <c r="CF201" s="180"/>
      <c r="CG201" s="180"/>
      <c r="CH201" s="180"/>
      <c r="CI201" s="178"/>
      <c r="CJ201" s="178"/>
      <c r="CK201" s="180"/>
      <c r="CL201" s="180"/>
      <c r="CM201" s="180"/>
      <c r="CN201" s="225"/>
      <c r="CO201" s="218">
        <f t="shared" si="101"/>
        <v>0.1</v>
      </c>
      <c r="CP201" s="100">
        <f t="shared" si="102"/>
        <v>0.17499999999999999</v>
      </c>
      <c r="CQ201" s="218">
        <f t="shared" si="103"/>
        <v>0.25</v>
      </c>
    </row>
    <row r="202" spans="1:95" s="101" customFormat="1" ht="26.25" hidden="1" thickBot="1" x14ac:dyDescent="0.3">
      <c r="A202" s="99"/>
      <c r="V202" s="103"/>
      <c r="AA202" s="104"/>
      <c r="AB202" s="104"/>
      <c r="AD202" s="104"/>
      <c r="AE202" s="105"/>
      <c r="AH202" s="106"/>
      <c r="AI202" s="106"/>
      <c r="AK202" s="104"/>
      <c r="AR202" s="104"/>
      <c r="AV202" s="104"/>
      <c r="AX202" s="104"/>
      <c r="BB202" s="104"/>
      <c r="BC202" s="104"/>
      <c r="BE202" s="104"/>
      <c r="BH202" s="120" t="s">
        <v>53</v>
      </c>
      <c r="BI202" s="203" t="s">
        <v>343</v>
      </c>
      <c r="BJ202" s="203" t="s">
        <v>615</v>
      </c>
      <c r="BK202" s="196">
        <v>1000</v>
      </c>
      <c r="BL202" s="190" t="s">
        <v>627</v>
      </c>
      <c r="BM202" s="189">
        <v>0.02</v>
      </c>
      <c r="BN202" s="189">
        <v>0.5</v>
      </c>
      <c r="BO202" s="188" t="s">
        <v>387</v>
      </c>
      <c r="BP202" s="178"/>
      <c r="BQ202" s="102"/>
      <c r="BR202" s="102"/>
      <c r="BS202" s="178"/>
      <c r="BT202" s="178"/>
      <c r="BU202" s="178"/>
      <c r="BV202" s="180"/>
      <c r="BW202" s="178"/>
      <c r="BX202" s="196"/>
      <c r="BY202" s="190"/>
      <c r="BZ202" s="180"/>
      <c r="CA202" s="180"/>
      <c r="CB202" s="180"/>
      <c r="CC202" s="178"/>
      <c r="CD202" s="178"/>
      <c r="CE202" s="180"/>
      <c r="CF202" s="180"/>
      <c r="CG202" s="180"/>
      <c r="CH202" s="180"/>
      <c r="CI202" s="178"/>
      <c r="CJ202" s="178"/>
      <c r="CK202" s="180"/>
      <c r="CL202" s="180"/>
      <c r="CM202" s="180"/>
      <c r="CN202" s="225"/>
      <c r="CO202" s="218">
        <f t="shared" si="101"/>
        <v>0.02</v>
      </c>
      <c r="CP202" s="100">
        <f t="shared" si="102"/>
        <v>0.26</v>
      </c>
      <c r="CQ202" s="218">
        <f t="shared" si="103"/>
        <v>0.5</v>
      </c>
    </row>
    <row r="203" spans="1:95" s="101" customFormat="1" ht="16.5" hidden="1" thickBot="1" x14ac:dyDescent="0.3">
      <c r="A203" s="99"/>
      <c r="V203" s="103"/>
      <c r="AA203" s="104"/>
      <c r="AB203" s="104"/>
      <c r="AD203" s="104"/>
      <c r="AE203" s="105"/>
      <c r="AH203" s="106"/>
      <c r="AI203" s="106"/>
      <c r="AK203" s="104"/>
      <c r="AR203" s="104"/>
      <c r="AV203" s="104"/>
      <c r="AX203" s="104"/>
      <c r="BB203" s="104"/>
      <c r="BC203" s="104"/>
      <c r="BE203" s="104"/>
      <c r="BH203" s="120"/>
      <c r="BI203" s="203" t="s">
        <v>438</v>
      </c>
      <c r="BJ203" s="190" t="s">
        <v>626</v>
      </c>
      <c r="BK203" s="196">
        <v>520</v>
      </c>
      <c r="BL203" s="190" t="s">
        <v>628</v>
      </c>
      <c r="BM203" s="189">
        <v>0.01</v>
      </c>
      <c r="BN203" s="189">
        <v>0.35</v>
      </c>
      <c r="BO203" s="188" t="s">
        <v>258</v>
      </c>
      <c r="BP203" s="178"/>
      <c r="BQ203" s="102"/>
      <c r="BR203" s="102"/>
      <c r="BS203" s="178"/>
      <c r="BT203" s="178"/>
      <c r="BU203" s="178"/>
      <c r="BV203" s="180"/>
      <c r="BW203" s="178"/>
      <c r="BX203" s="196"/>
      <c r="BY203" s="190"/>
      <c r="BZ203" s="180"/>
      <c r="CA203" s="180"/>
      <c r="CB203" s="180"/>
      <c r="CC203" s="178"/>
      <c r="CD203" s="178"/>
      <c r="CE203" s="180"/>
      <c r="CF203" s="180"/>
      <c r="CG203" s="180"/>
      <c r="CH203" s="180"/>
      <c r="CI203" s="178"/>
      <c r="CJ203" s="178"/>
      <c r="CK203" s="180"/>
      <c r="CL203" s="180"/>
      <c r="CM203" s="180"/>
      <c r="CN203" s="225"/>
      <c r="CO203" s="218">
        <f t="shared" si="101"/>
        <v>0.01</v>
      </c>
      <c r="CP203" s="100">
        <f t="shared" si="102"/>
        <v>0.18</v>
      </c>
      <c r="CQ203" s="218">
        <f t="shared" si="103"/>
        <v>0.35</v>
      </c>
    </row>
    <row r="204" spans="1:95" s="101" customFormat="1" ht="16.5" hidden="1" thickBot="1" x14ac:dyDescent="0.3">
      <c r="A204" s="99"/>
      <c r="V204" s="103"/>
      <c r="AA204" s="104"/>
      <c r="AB204" s="104"/>
      <c r="AD204" s="104"/>
      <c r="AE204" s="105"/>
      <c r="AH204" s="106"/>
      <c r="AI204" s="106"/>
      <c r="AK204" s="104"/>
      <c r="AR204" s="104"/>
      <c r="AV204" s="104"/>
      <c r="AX204" s="104"/>
      <c r="BB204" s="104"/>
      <c r="BC204" s="104"/>
      <c r="BE204" s="104"/>
      <c r="BH204" s="120" t="s">
        <v>53</v>
      </c>
      <c r="BI204" s="203" t="s">
        <v>13</v>
      </c>
      <c r="BJ204" s="190" t="s">
        <v>615</v>
      </c>
      <c r="BK204" s="196">
        <v>750</v>
      </c>
      <c r="BL204" s="190" t="s">
        <v>629</v>
      </c>
      <c r="BM204" s="189">
        <v>0.02</v>
      </c>
      <c r="BN204" s="189">
        <v>0.15</v>
      </c>
      <c r="BO204" s="188" t="s">
        <v>258</v>
      </c>
      <c r="BP204" s="178"/>
      <c r="BQ204" s="102"/>
      <c r="BR204" s="102"/>
      <c r="BS204" s="178"/>
      <c r="BT204" s="178"/>
      <c r="BU204" s="178"/>
      <c r="BV204" s="180"/>
      <c r="BW204" s="178"/>
      <c r="BX204" s="196">
        <v>790</v>
      </c>
      <c r="BY204" s="190" t="s">
        <v>635</v>
      </c>
      <c r="BZ204" s="180"/>
      <c r="CA204" s="180"/>
      <c r="CB204" s="180"/>
      <c r="CC204" s="178"/>
      <c r="CD204" s="178"/>
      <c r="CE204" s="180"/>
      <c r="CF204" s="180"/>
      <c r="CG204" s="180"/>
      <c r="CH204" s="180"/>
      <c r="CI204" s="178"/>
      <c r="CJ204" s="178"/>
      <c r="CK204" s="180"/>
      <c r="CL204" s="180"/>
      <c r="CM204" s="180"/>
      <c r="CN204" s="225"/>
      <c r="CO204" s="218">
        <f t="shared" si="101"/>
        <v>0.02</v>
      </c>
      <c r="CP204" s="100">
        <f t="shared" si="102"/>
        <v>8.4999999999999992E-2</v>
      </c>
      <c r="CQ204" s="218">
        <f t="shared" si="103"/>
        <v>0.15</v>
      </c>
    </row>
    <row r="205" spans="1:95" s="101" customFormat="1" ht="16.5" hidden="1" thickBot="1" x14ac:dyDescent="0.3">
      <c r="A205" s="99"/>
      <c r="V205" s="103"/>
      <c r="AA205" s="104"/>
      <c r="AB205" s="104"/>
      <c r="AD205" s="104"/>
      <c r="AE205" s="105"/>
      <c r="AH205" s="106"/>
      <c r="AI205" s="106"/>
      <c r="AK205" s="104"/>
      <c r="AR205" s="104"/>
      <c r="AV205" s="104"/>
      <c r="AX205" s="104"/>
      <c r="BB205" s="104"/>
      <c r="BC205" s="104"/>
      <c r="BE205" s="104"/>
      <c r="BH205" s="120" t="s">
        <v>53</v>
      </c>
      <c r="BI205" s="203" t="s">
        <v>14</v>
      </c>
      <c r="BJ205" s="190" t="s">
        <v>615</v>
      </c>
      <c r="BK205" s="196">
        <v>860</v>
      </c>
      <c r="BL205" s="190" t="s">
        <v>629</v>
      </c>
      <c r="BM205" s="189">
        <v>0.02</v>
      </c>
      <c r="BN205" s="189">
        <v>0.15</v>
      </c>
      <c r="BO205" s="188" t="s">
        <v>258</v>
      </c>
      <c r="BP205" s="178"/>
      <c r="BQ205" s="102"/>
      <c r="BR205" s="102"/>
      <c r="BS205" s="178"/>
      <c r="BT205" s="178"/>
      <c r="BU205" s="178"/>
      <c r="BV205" s="180"/>
      <c r="BW205" s="178"/>
      <c r="BX205" s="196">
        <v>910</v>
      </c>
      <c r="BY205" s="190" t="s">
        <v>635</v>
      </c>
      <c r="BZ205" s="180"/>
      <c r="CA205" s="180"/>
      <c r="CB205" s="180"/>
      <c r="CC205" s="178"/>
      <c r="CD205" s="178"/>
      <c r="CE205" s="180"/>
      <c r="CF205" s="180"/>
      <c r="CG205" s="180"/>
      <c r="CH205" s="180"/>
      <c r="CI205" s="178"/>
      <c r="CJ205" s="178"/>
      <c r="CK205" s="180"/>
      <c r="CL205" s="180"/>
      <c r="CM205" s="180"/>
      <c r="CN205" s="225"/>
      <c r="CO205" s="218">
        <f t="shared" si="101"/>
        <v>0.02</v>
      </c>
      <c r="CP205" s="100">
        <f t="shared" si="102"/>
        <v>8.4999999999999992E-2</v>
      </c>
      <c r="CQ205" s="218">
        <f t="shared" si="103"/>
        <v>0.15</v>
      </c>
    </row>
    <row r="206" spans="1:95" s="101" customFormat="1" ht="16.5" hidden="1" thickBot="1" x14ac:dyDescent="0.3">
      <c r="A206" s="99"/>
      <c r="V206" s="103"/>
      <c r="AA206" s="104"/>
      <c r="AB206" s="104"/>
      <c r="AD206" s="104"/>
      <c r="AE206" s="105"/>
      <c r="AH206" s="106"/>
      <c r="AI206" s="106"/>
      <c r="AK206" s="104"/>
      <c r="AR206" s="104"/>
      <c r="AV206" s="104"/>
      <c r="AX206" s="104"/>
      <c r="BB206" s="104"/>
      <c r="BC206" s="104"/>
      <c r="BE206" s="104"/>
      <c r="BH206" s="120"/>
      <c r="BI206" s="203" t="s">
        <v>431</v>
      </c>
      <c r="BJ206" s="190" t="s">
        <v>615</v>
      </c>
      <c r="BK206" s="196">
        <v>439.71</v>
      </c>
      <c r="BL206" s="190" t="s">
        <v>629</v>
      </c>
      <c r="BM206" s="189">
        <v>0.02</v>
      </c>
      <c r="BN206" s="189">
        <v>0.15</v>
      </c>
      <c r="BO206" s="188" t="s">
        <v>258</v>
      </c>
      <c r="BP206" s="178"/>
      <c r="BQ206" s="102"/>
      <c r="BR206" s="102"/>
      <c r="BS206" s="178"/>
      <c r="BT206" s="178"/>
      <c r="BU206" s="178"/>
      <c r="BV206" s="180"/>
      <c r="BW206" s="178"/>
      <c r="BX206" s="196"/>
      <c r="BY206" s="190"/>
      <c r="BZ206" s="180"/>
      <c r="CA206" s="180"/>
      <c r="CB206" s="180"/>
      <c r="CC206" s="178"/>
      <c r="CD206" s="178"/>
      <c r="CE206" s="180"/>
      <c r="CF206" s="180"/>
      <c r="CG206" s="180"/>
      <c r="CH206" s="180"/>
      <c r="CI206" s="178"/>
      <c r="CJ206" s="178"/>
      <c r="CK206" s="180"/>
      <c r="CL206" s="180"/>
      <c r="CM206" s="180"/>
      <c r="CN206" s="225"/>
      <c r="CO206" s="218">
        <f t="shared" si="101"/>
        <v>0.02</v>
      </c>
      <c r="CP206" s="100">
        <f t="shared" si="102"/>
        <v>8.4999999999999992E-2</v>
      </c>
      <c r="CQ206" s="218">
        <f t="shared" si="103"/>
        <v>0.15</v>
      </c>
    </row>
    <row r="207" spans="1:95" s="101" customFormat="1" ht="16.5" hidden="1" thickBot="1" x14ac:dyDescent="0.3">
      <c r="A207" s="99"/>
      <c r="V207" s="103"/>
      <c r="AA207" s="104"/>
      <c r="AB207" s="104"/>
      <c r="AD207" s="104"/>
      <c r="AE207" s="105"/>
      <c r="AH207" s="106"/>
      <c r="AI207" s="106"/>
      <c r="AK207" s="104"/>
      <c r="AR207" s="104"/>
      <c r="AV207" s="104"/>
      <c r="AX207" s="104"/>
      <c r="BB207" s="104"/>
      <c r="BC207" s="104"/>
      <c r="BE207" s="104"/>
      <c r="BH207" s="120"/>
      <c r="BI207" s="203" t="s">
        <v>432</v>
      </c>
      <c r="BJ207" s="190" t="s">
        <v>615</v>
      </c>
      <c r="BK207" s="196">
        <v>521.97</v>
      </c>
      <c r="BL207" s="190" t="s">
        <v>629</v>
      </c>
      <c r="BM207" s="189">
        <v>0.02</v>
      </c>
      <c r="BN207" s="189">
        <v>0.15</v>
      </c>
      <c r="BO207" s="188" t="s">
        <v>258</v>
      </c>
      <c r="BP207" s="178"/>
      <c r="BQ207" s="102"/>
      <c r="BR207" s="102"/>
      <c r="BS207" s="178"/>
      <c r="BT207" s="178"/>
      <c r="BU207" s="178"/>
      <c r="BV207" s="180"/>
      <c r="BW207" s="178"/>
      <c r="BX207" s="196"/>
      <c r="BY207" s="190"/>
      <c r="BZ207" s="180"/>
      <c r="CA207" s="180"/>
      <c r="CB207" s="180"/>
      <c r="CC207" s="178"/>
      <c r="CD207" s="178"/>
      <c r="CE207" s="180"/>
      <c r="CF207" s="180"/>
      <c r="CG207" s="180"/>
      <c r="CH207" s="180"/>
      <c r="CI207" s="178"/>
      <c r="CJ207" s="178"/>
      <c r="CK207" s="180"/>
      <c r="CL207" s="180"/>
      <c r="CM207" s="180"/>
      <c r="CN207" s="225"/>
      <c r="CO207" s="218">
        <f t="shared" si="101"/>
        <v>0.02</v>
      </c>
      <c r="CP207" s="100">
        <f t="shared" si="102"/>
        <v>8.4999999999999992E-2</v>
      </c>
      <c r="CQ207" s="218">
        <f t="shared" si="103"/>
        <v>0.15</v>
      </c>
    </row>
    <row r="208" spans="1:95" s="101" customFormat="1" ht="16.5" hidden="1" thickBot="1" x14ac:dyDescent="0.3">
      <c r="A208" s="99"/>
      <c r="V208" s="103"/>
      <c r="AA208" s="104"/>
      <c r="AB208" s="104"/>
      <c r="AD208" s="104"/>
      <c r="AE208" s="105"/>
      <c r="AH208" s="106"/>
      <c r="AI208" s="106"/>
      <c r="AK208" s="104"/>
      <c r="AR208" s="104"/>
      <c r="AV208" s="104"/>
      <c r="AX208" s="104"/>
      <c r="BB208" s="104"/>
      <c r="BC208" s="104"/>
      <c r="BE208" s="104"/>
      <c r="BH208" s="120"/>
      <c r="BI208" s="203" t="s">
        <v>433</v>
      </c>
      <c r="BJ208" s="190" t="s">
        <v>615</v>
      </c>
      <c r="BK208" s="196">
        <v>477.32</v>
      </c>
      <c r="BL208" s="190" t="s">
        <v>629</v>
      </c>
      <c r="BM208" s="189">
        <v>0.02</v>
      </c>
      <c r="BN208" s="189">
        <v>0.15</v>
      </c>
      <c r="BO208" s="188" t="s">
        <v>258</v>
      </c>
      <c r="BP208" s="178"/>
      <c r="BQ208" s="102"/>
      <c r="BR208" s="102"/>
      <c r="BS208" s="178"/>
      <c r="BT208" s="178"/>
      <c r="BU208" s="178"/>
      <c r="BV208" s="180"/>
      <c r="BW208" s="178"/>
      <c r="BX208" s="196"/>
      <c r="BY208" s="190"/>
      <c r="BZ208" s="180"/>
      <c r="CA208" s="180"/>
      <c r="CB208" s="180"/>
      <c r="CC208" s="178"/>
      <c r="CD208" s="178"/>
      <c r="CE208" s="180"/>
      <c r="CF208" s="180"/>
      <c r="CG208" s="180"/>
      <c r="CH208" s="180"/>
      <c r="CI208" s="178"/>
      <c r="CJ208" s="178"/>
      <c r="CK208" s="180"/>
      <c r="CL208" s="180"/>
      <c r="CM208" s="180"/>
      <c r="CN208" s="225"/>
      <c r="CO208" s="218">
        <f t="shared" si="101"/>
        <v>0.02</v>
      </c>
      <c r="CP208" s="100">
        <f t="shared" si="102"/>
        <v>8.4999999999999992E-2</v>
      </c>
      <c r="CQ208" s="218">
        <f t="shared" si="103"/>
        <v>0.15</v>
      </c>
    </row>
    <row r="209" spans="1:95" s="101" customFormat="1" ht="16.5" hidden="1" thickBot="1" x14ac:dyDescent="0.3">
      <c r="A209" s="99"/>
      <c r="V209" s="103"/>
      <c r="AA209" s="104"/>
      <c r="AB209" s="104"/>
      <c r="AD209" s="104"/>
      <c r="AE209" s="105"/>
      <c r="AH209" s="106"/>
      <c r="AI209" s="106"/>
      <c r="AK209" s="104"/>
      <c r="AR209" s="104"/>
      <c r="AV209" s="104"/>
      <c r="AX209" s="104"/>
      <c r="BB209" s="104"/>
      <c r="BC209" s="104"/>
      <c r="BE209" s="104"/>
      <c r="BH209" s="120"/>
      <c r="BI209" s="203" t="s">
        <v>434</v>
      </c>
      <c r="BJ209" s="190" t="s">
        <v>615</v>
      </c>
      <c r="BK209" s="196">
        <v>379.87</v>
      </c>
      <c r="BL209" s="190" t="s">
        <v>629</v>
      </c>
      <c r="BM209" s="189">
        <v>0.02</v>
      </c>
      <c r="BN209" s="189">
        <v>0.15</v>
      </c>
      <c r="BO209" s="188" t="s">
        <v>258</v>
      </c>
      <c r="BP209" s="178"/>
      <c r="BQ209" s="102"/>
      <c r="BR209" s="102"/>
      <c r="BS209" s="178"/>
      <c r="BT209" s="178"/>
      <c r="BU209" s="178"/>
      <c r="BV209" s="180"/>
      <c r="BW209" s="178"/>
      <c r="BX209" s="196"/>
      <c r="BY209" s="190"/>
      <c r="BZ209" s="180"/>
      <c r="CA209" s="180"/>
      <c r="CB209" s="180"/>
      <c r="CC209" s="178"/>
      <c r="CD209" s="178"/>
      <c r="CE209" s="180"/>
      <c r="CF209" s="180"/>
      <c r="CG209" s="180"/>
      <c r="CH209" s="180"/>
      <c r="CI209" s="178"/>
      <c r="CJ209" s="178"/>
      <c r="CK209" s="180"/>
      <c r="CL209" s="180"/>
      <c r="CM209" s="180"/>
      <c r="CN209" s="225"/>
      <c r="CO209" s="218">
        <f t="shared" si="101"/>
        <v>0.02</v>
      </c>
      <c r="CP209" s="100">
        <f t="shared" si="102"/>
        <v>8.4999999999999992E-2</v>
      </c>
      <c r="CQ209" s="218">
        <f t="shared" si="103"/>
        <v>0.15</v>
      </c>
    </row>
    <row r="210" spans="1:95" s="101" customFormat="1" ht="16.5" hidden="1" thickBot="1" x14ac:dyDescent="0.3">
      <c r="A210" s="99"/>
      <c r="V210" s="103"/>
      <c r="AA210" s="104"/>
      <c r="AB210" s="104"/>
      <c r="AD210" s="104"/>
      <c r="AE210" s="105"/>
      <c r="AH210" s="106"/>
      <c r="AI210" s="106"/>
      <c r="AK210" s="104"/>
      <c r="AR210" s="104"/>
      <c r="AV210" s="104"/>
      <c r="AX210" s="104"/>
      <c r="BB210" s="104"/>
      <c r="BC210" s="104"/>
      <c r="BE210" s="104"/>
      <c r="BH210" s="120"/>
      <c r="BI210" s="203" t="s">
        <v>436</v>
      </c>
      <c r="BJ210" s="190" t="s">
        <v>615</v>
      </c>
      <c r="BK210" s="196">
        <v>382.86</v>
      </c>
      <c r="BL210" s="190" t="s">
        <v>629</v>
      </c>
      <c r="BM210" s="189">
        <v>0.02</v>
      </c>
      <c r="BN210" s="189">
        <v>0.15</v>
      </c>
      <c r="BO210" s="188" t="s">
        <v>258</v>
      </c>
      <c r="BP210" s="178"/>
      <c r="BQ210" s="102"/>
      <c r="BR210" s="102"/>
      <c r="BS210" s="178"/>
      <c r="BT210" s="178"/>
      <c r="BU210" s="178"/>
      <c r="BV210" s="180"/>
      <c r="BW210" s="178"/>
      <c r="BX210" s="196"/>
      <c r="BY210" s="190"/>
      <c r="BZ210" s="180"/>
      <c r="CA210" s="180"/>
      <c r="CB210" s="180"/>
      <c r="CC210" s="178"/>
      <c r="CD210" s="178"/>
      <c r="CE210" s="180"/>
      <c r="CF210" s="180"/>
      <c r="CG210" s="180"/>
      <c r="CH210" s="180"/>
      <c r="CI210" s="178"/>
      <c r="CJ210" s="178"/>
      <c r="CK210" s="180"/>
      <c r="CL210" s="180"/>
      <c r="CM210" s="180"/>
      <c r="CN210" s="225"/>
      <c r="CO210" s="218">
        <f t="shared" si="101"/>
        <v>0.02</v>
      </c>
      <c r="CP210" s="100">
        <f t="shared" si="102"/>
        <v>8.4999999999999992E-2</v>
      </c>
      <c r="CQ210" s="218">
        <f t="shared" si="103"/>
        <v>0.15</v>
      </c>
    </row>
    <row r="211" spans="1:95" s="101" customFormat="1" ht="16.5" hidden="1" thickBot="1" x14ac:dyDescent="0.3">
      <c r="A211" s="99"/>
      <c r="V211" s="103"/>
      <c r="AA211" s="104"/>
      <c r="AB211" s="104"/>
      <c r="AD211" s="104"/>
      <c r="AE211" s="105"/>
      <c r="AH211" s="106"/>
      <c r="AI211" s="106"/>
      <c r="AK211" s="104"/>
      <c r="AR211" s="104"/>
      <c r="AV211" s="104"/>
      <c r="AX211" s="104"/>
      <c r="BB211" s="104"/>
      <c r="BC211" s="104"/>
      <c r="BE211" s="104"/>
      <c r="BH211" s="120"/>
      <c r="BI211" s="203" t="s">
        <v>437</v>
      </c>
      <c r="BJ211" s="190" t="s">
        <v>615</v>
      </c>
      <c r="BK211" s="196">
        <v>414.92</v>
      </c>
      <c r="BL211" s="190" t="s">
        <v>629</v>
      </c>
      <c r="BM211" s="189">
        <v>0.02</v>
      </c>
      <c r="BN211" s="189">
        <v>0.15</v>
      </c>
      <c r="BO211" s="188" t="s">
        <v>258</v>
      </c>
      <c r="BP211" s="178"/>
      <c r="BQ211" s="102"/>
      <c r="BR211" s="102"/>
      <c r="BS211" s="178"/>
      <c r="BT211" s="178"/>
      <c r="BU211" s="178"/>
      <c r="BV211" s="180"/>
      <c r="BW211" s="178"/>
      <c r="BX211" s="196"/>
      <c r="BY211" s="190"/>
      <c r="BZ211" s="180"/>
      <c r="CA211" s="180"/>
      <c r="CB211" s="180"/>
      <c r="CC211" s="178"/>
      <c r="CD211" s="178"/>
      <c r="CE211" s="180"/>
      <c r="CF211" s="180"/>
      <c r="CG211" s="180"/>
      <c r="CH211" s="180"/>
      <c r="CI211" s="178"/>
      <c r="CJ211" s="178"/>
      <c r="CK211" s="180"/>
      <c r="CL211" s="180"/>
      <c r="CM211" s="180"/>
      <c r="CN211" s="225"/>
      <c r="CO211" s="218">
        <f t="shared" si="101"/>
        <v>0.02</v>
      </c>
      <c r="CP211" s="100">
        <f t="shared" si="102"/>
        <v>8.4999999999999992E-2</v>
      </c>
      <c r="CQ211" s="218">
        <f t="shared" si="103"/>
        <v>0.15</v>
      </c>
    </row>
    <row r="212" spans="1:95" s="101" customFormat="1" ht="16.5" hidden="1" thickBot="1" x14ac:dyDescent="0.3">
      <c r="A212" s="99"/>
      <c r="V212" s="103"/>
      <c r="AA212" s="104"/>
      <c r="AB212" s="104"/>
      <c r="AD212" s="104"/>
      <c r="AE212" s="105"/>
      <c r="AH212" s="106"/>
      <c r="AI212" s="106"/>
      <c r="AK212" s="104"/>
      <c r="AR212" s="104"/>
      <c r="AV212" s="104"/>
      <c r="AX212" s="104"/>
      <c r="BB212" s="104"/>
      <c r="BC212" s="104"/>
      <c r="BE212" s="104"/>
      <c r="BH212" s="120"/>
      <c r="BI212" s="203" t="s">
        <v>435</v>
      </c>
      <c r="BJ212" s="190" t="s">
        <v>615</v>
      </c>
      <c r="BK212" s="196">
        <v>475.72</v>
      </c>
      <c r="BL212" s="190" t="s">
        <v>629</v>
      </c>
      <c r="BM212" s="189">
        <v>0.02</v>
      </c>
      <c r="BN212" s="189">
        <v>0.15</v>
      </c>
      <c r="BO212" s="188" t="s">
        <v>258</v>
      </c>
      <c r="BP212" s="178"/>
      <c r="BQ212" s="102"/>
      <c r="BR212" s="102"/>
      <c r="BS212" s="178"/>
      <c r="BT212" s="178"/>
      <c r="BU212" s="178"/>
      <c r="BV212" s="180"/>
      <c r="BW212" s="178"/>
      <c r="BX212" s="196"/>
      <c r="BY212" s="190"/>
      <c r="BZ212" s="180"/>
      <c r="CA212" s="180"/>
      <c r="CB212" s="180"/>
      <c r="CC212" s="178"/>
      <c r="CD212" s="178"/>
      <c r="CE212" s="180"/>
      <c r="CF212" s="180"/>
      <c r="CG212" s="180"/>
      <c r="CH212" s="180"/>
      <c r="CI212" s="178"/>
      <c r="CJ212" s="178"/>
      <c r="CK212" s="180"/>
      <c r="CL212" s="180"/>
      <c r="CM212" s="180"/>
      <c r="CN212" s="225"/>
      <c r="CO212" s="218">
        <f t="shared" si="101"/>
        <v>0.02</v>
      </c>
      <c r="CP212" s="100">
        <f t="shared" si="102"/>
        <v>8.4999999999999992E-2</v>
      </c>
      <c r="CQ212" s="218">
        <f t="shared" si="103"/>
        <v>0.15</v>
      </c>
    </row>
    <row r="213" spans="1:95" s="101" customFormat="1" ht="16.5" hidden="1" thickBot="1" x14ac:dyDescent="0.3">
      <c r="A213" s="99"/>
      <c r="V213" s="103"/>
      <c r="AA213" s="104"/>
      <c r="AB213" s="104"/>
      <c r="AD213" s="104"/>
      <c r="AE213" s="105"/>
      <c r="AH213" s="106"/>
      <c r="AI213" s="106"/>
      <c r="AK213" s="104"/>
      <c r="AR213" s="104"/>
      <c r="AV213" s="104"/>
      <c r="AX213" s="104"/>
      <c r="BB213" s="104"/>
      <c r="BC213" s="104"/>
      <c r="BE213" s="104"/>
      <c r="BH213" s="120"/>
      <c r="BI213" s="203" t="s">
        <v>439</v>
      </c>
      <c r="BJ213" s="203" t="s">
        <v>49</v>
      </c>
      <c r="BK213" s="196">
        <v>0.21</v>
      </c>
      <c r="BL213" s="190" t="s">
        <v>629</v>
      </c>
      <c r="BM213" s="189">
        <v>0.1</v>
      </c>
      <c r="BN213" s="189">
        <v>0.6</v>
      </c>
      <c r="BO213" s="188" t="s">
        <v>258</v>
      </c>
      <c r="BP213" s="178"/>
      <c r="BQ213" s="102"/>
      <c r="BR213" s="102"/>
      <c r="BS213" s="178"/>
      <c r="BT213" s="178"/>
      <c r="BU213" s="178"/>
      <c r="BV213" s="180"/>
      <c r="BW213" s="178"/>
      <c r="BX213" s="196"/>
      <c r="BY213" s="190"/>
      <c r="BZ213" s="180"/>
      <c r="CA213" s="180"/>
      <c r="CB213" s="180"/>
      <c r="CC213" s="178"/>
      <c r="CD213" s="178"/>
      <c r="CE213" s="180"/>
      <c r="CF213" s="180"/>
      <c r="CG213" s="180"/>
      <c r="CH213" s="180"/>
      <c r="CI213" s="178"/>
      <c r="CJ213" s="178"/>
      <c r="CK213" s="180"/>
      <c r="CL213" s="180"/>
      <c r="CM213" s="180"/>
      <c r="CN213" s="225"/>
      <c r="CO213" s="218">
        <f t="shared" si="101"/>
        <v>0.1</v>
      </c>
      <c r="CP213" s="100">
        <f t="shared" si="102"/>
        <v>0.35</v>
      </c>
      <c r="CQ213" s="218">
        <f t="shared" si="103"/>
        <v>0.6</v>
      </c>
    </row>
    <row r="214" spans="1:95" s="101" customFormat="1" ht="16.5" hidden="1" thickBot="1" x14ac:dyDescent="0.3">
      <c r="A214" s="99"/>
      <c r="V214" s="103"/>
      <c r="AA214" s="104"/>
      <c r="AB214" s="104"/>
      <c r="AD214" s="104"/>
      <c r="AE214" s="105"/>
      <c r="AH214" s="106"/>
      <c r="AI214" s="106"/>
      <c r="AK214" s="104"/>
      <c r="AR214" s="104"/>
      <c r="AV214" s="104"/>
      <c r="AX214" s="104"/>
      <c r="BB214" s="104"/>
      <c r="BC214" s="104"/>
      <c r="BE214" s="104"/>
      <c r="BH214" s="120"/>
      <c r="BI214" s="203" t="s">
        <v>577</v>
      </c>
      <c r="BJ214" s="203" t="s">
        <v>49</v>
      </c>
      <c r="BK214" s="196">
        <v>0.25</v>
      </c>
      <c r="BL214" s="190" t="s">
        <v>629</v>
      </c>
      <c r="BM214" s="189">
        <v>0.1</v>
      </c>
      <c r="BN214" s="189">
        <v>0.6</v>
      </c>
      <c r="BO214" s="188" t="s">
        <v>258</v>
      </c>
      <c r="BP214" s="178"/>
      <c r="BQ214" s="102"/>
      <c r="BR214" s="102"/>
      <c r="BS214" s="178"/>
      <c r="BT214" s="178"/>
      <c r="BU214" s="178"/>
      <c r="BV214" s="180"/>
      <c r="BW214" s="178"/>
      <c r="BX214" s="196"/>
      <c r="BY214" s="190"/>
      <c r="BZ214" s="180"/>
      <c r="CA214" s="180"/>
      <c r="CB214" s="180"/>
      <c r="CC214" s="178"/>
      <c r="CD214" s="178"/>
      <c r="CE214" s="180"/>
      <c r="CF214" s="180"/>
      <c r="CG214" s="180"/>
      <c r="CH214" s="180"/>
      <c r="CI214" s="178"/>
      <c r="CJ214" s="178"/>
      <c r="CK214" s="180"/>
      <c r="CL214" s="180"/>
      <c r="CM214" s="180"/>
      <c r="CN214" s="225"/>
      <c r="CO214" s="218">
        <f t="shared" si="101"/>
        <v>0.1</v>
      </c>
      <c r="CP214" s="100">
        <f t="shared" si="102"/>
        <v>0.35</v>
      </c>
      <c r="CQ214" s="218">
        <f t="shared" si="103"/>
        <v>0.6</v>
      </c>
    </row>
    <row r="215" spans="1:95" s="101" customFormat="1" ht="16.5" hidden="1" thickBot="1" x14ac:dyDescent="0.3">
      <c r="A215" s="99"/>
      <c r="V215" s="103"/>
      <c r="AA215" s="104"/>
      <c r="AB215" s="104"/>
      <c r="AD215" s="104"/>
      <c r="AE215" s="105"/>
      <c r="AH215" s="106"/>
      <c r="AI215" s="106"/>
      <c r="AK215" s="104"/>
      <c r="AR215" s="104"/>
      <c r="AV215" s="104"/>
      <c r="AX215" s="104"/>
      <c r="BB215" s="104"/>
      <c r="BC215" s="104"/>
      <c r="BE215" s="104"/>
      <c r="BH215" s="120"/>
      <c r="BI215" s="203" t="s">
        <v>441</v>
      </c>
      <c r="BJ215" s="203" t="s">
        <v>49</v>
      </c>
      <c r="BK215" s="196">
        <v>0.1</v>
      </c>
      <c r="BL215" s="190" t="s">
        <v>629</v>
      </c>
      <c r="BM215" s="189">
        <v>0.1</v>
      </c>
      <c r="BN215" s="189">
        <v>0.6</v>
      </c>
      <c r="BO215" s="188" t="s">
        <v>258</v>
      </c>
      <c r="BP215" s="178"/>
      <c r="BQ215" s="102"/>
      <c r="BR215" s="102"/>
      <c r="BS215" s="178"/>
      <c r="BT215" s="178"/>
      <c r="BU215" s="178"/>
      <c r="BV215" s="180"/>
      <c r="BW215" s="178"/>
      <c r="BX215" s="196"/>
      <c r="BY215" s="190"/>
      <c r="BZ215" s="180"/>
      <c r="CA215" s="180"/>
      <c r="CB215" s="180"/>
      <c r="CC215" s="178"/>
      <c r="CD215" s="178"/>
      <c r="CE215" s="180"/>
      <c r="CF215" s="180"/>
      <c r="CG215" s="180"/>
      <c r="CH215" s="180"/>
      <c r="CI215" s="178"/>
      <c r="CJ215" s="178"/>
      <c r="CK215" s="180"/>
      <c r="CL215" s="180"/>
      <c r="CM215" s="180"/>
      <c r="CN215" s="225"/>
      <c r="CO215" s="218">
        <f t="shared" si="101"/>
        <v>0.1</v>
      </c>
      <c r="CP215" s="100">
        <f t="shared" si="102"/>
        <v>0.35</v>
      </c>
      <c r="CQ215" s="218">
        <f t="shared" si="103"/>
        <v>0.6</v>
      </c>
    </row>
    <row r="216" spans="1:95" s="101" customFormat="1" ht="16.5" hidden="1" thickBot="1" x14ac:dyDescent="0.3">
      <c r="A216" s="99"/>
      <c r="V216" s="103"/>
      <c r="AA216" s="104"/>
      <c r="AB216" s="104"/>
      <c r="AD216" s="104"/>
      <c r="AE216" s="105"/>
      <c r="AH216" s="106"/>
      <c r="AI216" s="106"/>
      <c r="AK216" s="104"/>
      <c r="AR216" s="104"/>
      <c r="AV216" s="104"/>
      <c r="AX216" s="104"/>
      <c r="BB216" s="104"/>
      <c r="BC216" s="104"/>
      <c r="BE216" s="104"/>
      <c r="BH216" s="120"/>
      <c r="BI216" s="203" t="s">
        <v>442</v>
      </c>
      <c r="BJ216" s="203" t="s">
        <v>49</v>
      </c>
      <c r="BK216" s="196">
        <v>0.2</v>
      </c>
      <c r="BL216" s="190" t="s">
        <v>629</v>
      </c>
      <c r="BM216" s="189">
        <v>0.1</v>
      </c>
      <c r="BN216" s="189">
        <v>0.6</v>
      </c>
      <c r="BO216" s="188" t="s">
        <v>258</v>
      </c>
      <c r="BP216" s="178"/>
      <c r="BQ216" s="102"/>
      <c r="BR216" s="102"/>
      <c r="BS216" s="178"/>
      <c r="BT216" s="178"/>
      <c r="BU216" s="178"/>
      <c r="BV216" s="180"/>
      <c r="BW216" s="178"/>
      <c r="BX216" s="196"/>
      <c r="BY216" s="190"/>
      <c r="BZ216" s="180"/>
      <c r="CA216" s="180"/>
      <c r="CB216" s="180"/>
      <c r="CC216" s="178"/>
      <c r="CD216" s="178"/>
      <c r="CE216" s="180"/>
      <c r="CF216" s="180"/>
      <c r="CG216" s="180"/>
      <c r="CH216" s="180"/>
      <c r="CI216" s="178"/>
      <c r="CJ216" s="178"/>
      <c r="CK216" s="180"/>
      <c r="CL216" s="180"/>
      <c r="CM216" s="180"/>
      <c r="CN216" s="225"/>
      <c r="CO216" s="218">
        <f t="shared" si="101"/>
        <v>0.1</v>
      </c>
      <c r="CP216" s="100">
        <f t="shared" si="102"/>
        <v>0.35</v>
      </c>
      <c r="CQ216" s="218">
        <f t="shared" si="103"/>
        <v>0.6</v>
      </c>
    </row>
    <row r="217" spans="1:95" s="101" customFormat="1" ht="16.5" hidden="1" thickBot="1" x14ac:dyDescent="0.3">
      <c r="A217" s="99"/>
      <c r="V217" s="103"/>
      <c r="AA217" s="104"/>
      <c r="AB217" s="104"/>
      <c r="AD217" s="104"/>
      <c r="AE217" s="105"/>
      <c r="AH217" s="106"/>
      <c r="AI217" s="106"/>
      <c r="AK217" s="104"/>
      <c r="AR217" s="104"/>
      <c r="AV217" s="104"/>
      <c r="AX217" s="104"/>
      <c r="BB217" s="104"/>
      <c r="BC217" s="104"/>
      <c r="BE217" s="104"/>
      <c r="BH217" s="120"/>
      <c r="BI217" s="203" t="s">
        <v>440</v>
      </c>
      <c r="BJ217" s="203" t="s">
        <v>49</v>
      </c>
      <c r="BK217" s="196">
        <v>0.03</v>
      </c>
      <c r="BL217" s="190" t="s">
        <v>629</v>
      </c>
      <c r="BM217" s="189">
        <v>0.1</v>
      </c>
      <c r="BN217" s="189">
        <v>0.6</v>
      </c>
      <c r="BO217" s="188" t="s">
        <v>258</v>
      </c>
      <c r="BP217" s="178"/>
      <c r="BQ217" s="102"/>
      <c r="BR217" s="102"/>
      <c r="BS217" s="178"/>
      <c r="BT217" s="178"/>
      <c r="BU217" s="178"/>
      <c r="BV217" s="180"/>
      <c r="BW217" s="178"/>
      <c r="BX217" s="196"/>
      <c r="BY217" s="190"/>
      <c r="BZ217" s="180"/>
      <c r="CA217" s="180"/>
      <c r="CB217" s="180"/>
      <c r="CC217" s="178"/>
      <c r="CD217" s="178"/>
      <c r="CE217" s="180"/>
      <c r="CF217" s="180"/>
      <c r="CG217" s="180"/>
      <c r="CH217" s="180"/>
      <c r="CI217" s="178"/>
      <c r="CJ217" s="178"/>
      <c r="CK217" s="180"/>
      <c r="CL217" s="180"/>
      <c r="CM217" s="180"/>
      <c r="CN217" s="225"/>
      <c r="CO217" s="218">
        <f t="shared" si="101"/>
        <v>0.1</v>
      </c>
      <c r="CP217" s="100">
        <f t="shared" si="102"/>
        <v>0.35</v>
      </c>
      <c r="CQ217" s="218">
        <f t="shared" si="103"/>
        <v>0.6</v>
      </c>
    </row>
    <row r="218" spans="1:95" s="101" customFormat="1" ht="15.75" hidden="1" thickBot="1" x14ac:dyDescent="0.3">
      <c r="A218" s="99"/>
      <c r="V218" s="103"/>
      <c r="AA218" s="104"/>
      <c r="AB218" s="104"/>
      <c r="AD218" s="104"/>
      <c r="AE218" s="105"/>
      <c r="AH218" s="106"/>
      <c r="AI218" s="106"/>
      <c r="AK218" s="104"/>
      <c r="AR218" s="104"/>
      <c r="AV218" s="104"/>
      <c r="AX218" s="104"/>
      <c r="BB218" s="104"/>
      <c r="BC218" s="104"/>
      <c r="BE218" s="104"/>
      <c r="BH218" s="120"/>
      <c r="BI218" s="203" t="s">
        <v>15</v>
      </c>
      <c r="BJ218" s="190" t="s">
        <v>636</v>
      </c>
      <c r="BK218" s="196">
        <v>3273</v>
      </c>
      <c r="BL218" s="190" t="s">
        <v>630</v>
      </c>
      <c r="BM218" s="189">
        <v>0.02</v>
      </c>
      <c r="BN218" s="189">
        <v>0.05</v>
      </c>
      <c r="BO218" s="188" t="s">
        <v>258</v>
      </c>
      <c r="BP218" s="178"/>
      <c r="BQ218" s="102"/>
      <c r="BR218" s="102"/>
      <c r="BS218" s="178"/>
      <c r="BT218" s="178"/>
      <c r="BU218" s="178"/>
      <c r="BV218" s="180"/>
      <c r="BW218" s="178"/>
      <c r="BX218" s="196"/>
      <c r="BY218" s="190"/>
      <c r="BZ218" s="180"/>
      <c r="CA218" s="180"/>
      <c r="CB218" s="180"/>
      <c r="CC218" s="178"/>
      <c r="CD218" s="178"/>
      <c r="CE218" s="180"/>
      <c r="CF218" s="180"/>
      <c r="CG218" s="180"/>
      <c r="CH218" s="180"/>
      <c r="CI218" s="178"/>
      <c r="CJ218" s="178"/>
      <c r="CK218" s="180"/>
      <c r="CL218" s="180"/>
      <c r="CM218" s="180"/>
      <c r="CN218" s="225"/>
      <c r="CO218" s="218">
        <f t="shared" si="101"/>
        <v>0.02</v>
      </c>
      <c r="CP218" s="100">
        <f t="shared" si="102"/>
        <v>3.5000000000000003E-2</v>
      </c>
      <c r="CQ218" s="218">
        <f t="shared" si="103"/>
        <v>0.05</v>
      </c>
    </row>
    <row r="219" spans="1:95" s="101" customFormat="1" ht="26.25" hidden="1" thickBot="1" x14ac:dyDescent="0.3">
      <c r="A219" s="99"/>
      <c r="V219" s="103"/>
      <c r="AA219" s="104"/>
      <c r="AB219" s="104"/>
      <c r="AD219" s="104"/>
      <c r="AE219" s="105"/>
      <c r="AH219" s="106"/>
      <c r="AI219" s="106"/>
      <c r="AK219" s="104"/>
      <c r="AR219" s="104"/>
      <c r="AV219" s="104"/>
      <c r="AX219" s="104"/>
      <c r="BB219" s="104"/>
      <c r="BC219" s="104"/>
      <c r="BE219" s="104"/>
      <c r="BH219" s="120" t="s">
        <v>53</v>
      </c>
      <c r="BI219" s="203" t="s">
        <v>344</v>
      </c>
      <c r="BJ219" s="203" t="s">
        <v>615</v>
      </c>
      <c r="BK219" s="196">
        <f>(3.13757879682717*1000)</f>
        <v>3137.5787968271702</v>
      </c>
      <c r="BL219" s="190" t="s">
        <v>629</v>
      </c>
      <c r="BM219" s="189">
        <v>0.02</v>
      </c>
      <c r="BN219" s="189">
        <v>0.5</v>
      </c>
      <c r="BO219" s="188" t="s">
        <v>382</v>
      </c>
      <c r="BP219" s="178"/>
      <c r="BQ219" s="102"/>
      <c r="BR219" s="102"/>
      <c r="BS219" s="178"/>
      <c r="BT219" s="178"/>
      <c r="BU219" s="178"/>
      <c r="BV219" s="180"/>
      <c r="BW219" s="178"/>
      <c r="BX219" s="196"/>
      <c r="BY219" s="190"/>
      <c r="BZ219" s="180"/>
      <c r="CA219" s="180"/>
      <c r="CB219" s="180"/>
      <c r="CC219" s="178"/>
      <c r="CD219" s="178"/>
      <c r="CE219" s="180"/>
      <c r="CF219" s="180"/>
      <c r="CG219" s="180"/>
      <c r="CH219" s="180"/>
      <c r="CI219" s="178"/>
      <c r="CJ219" s="178"/>
      <c r="CK219" s="180"/>
      <c r="CL219" s="180"/>
      <c r="CM219" s="180"/>
      <c r="CN219" s="225"/>
      <c r="CO219" s="218">
        <f t="shared" si="101"/>
        <v>0.02</v>
      </c>
      <c r="CP219" s="100">
        <f t="shared" si="102"/>
        <v>0.26</v>
      </c>
      <c r="CQ219" s="218">
        <f t="shared" si="103"/>
        <v>0.5</v>
      </c>
    </row>
    <row r="220" spans="1:95" s="101" customFormat="1" ht="16.5" hidden="1" thickBot="1" x14ac:dyDescent="0.3">
      <c r="A220" s="99"/>
      <c r="V220" s="103"/>
      <c r="AA220" s="104"/>
      <c r="AB220" s="104"/>
      <c r="AD220" s="104"/>
      <c r="AE220" s="105"/>
      <c r="AH220" s="106"/>
      <c r="AI220" s="106"/>
      <c r="AK220" s="104"/>
      <c r="AR220" s="104"/>
      <c r="AV220" s="104"/>
      <c r="AX220" s="104"/>
      <c r="BB220" s="104"/>
      <c r="BC220" s="104"/>
      <c r="BE220" s="104"/>
      <c r="BH220" s="120" t="s">
        <v>53</v>
      </c>
      <c r="BI220" s="203" t="s">
        <v>495</v>
      </c>
      <c r="BJ220" s="203" t="s">
        <v>615</v>
      </c>
      <c r="BK220" s="196">
        <v>9</v>
      </c>
      <c r="BL220" s="190" t="s">
        <v>631</v>
      </c>
      <c r="BM220" s="189">
        <v>0.1</v>
      </c>
      <c r="BN220" s="189">
        <v>0.4</v>
      </c>
      <c r="BO220" s="188" t="s">
        <v>258</v>
      </c>
      <c r="BP220" s="178"/>
      <c r="BQ220" s="102"/>
      <c r="BR220" s="102"/>
      <c r="BS220" s="178"/>
      <c r="BT220" s="178"/>
      <c r="BU220" s="178"/>
      <c r="BV220" s="180"/>
      <c r="BW220" s="178"/>
      <c r="BX220" s="196">
        <v>1500</v>
      </c>
      <c r="BY220" s="190" t="s">
        <v>635</v>
      </c>
      <c r="BZ220" s="180"/>
      <c r="CA220" s="180"/>
      <c r="CB220" s="180"/>
      <c r="CC220" s="178"/>
      <c r="CD220" s="178"/>
      <c r="CE220" s="180"/>
      <c r="CF220" s="180"/>
      <c r="CG220" s="180"/>
      <c r="CH220" s="180"/>
      <c r="CI220" s="178"/>
      <c r="CJ220" s="178"/>
      <c r="CK220" s="180"/>
      <c r="CL220" s="180"/>
      <c r="CM220" s="180"/>
      <c r="CN220" s="225"/>
      <c r="CO220" s="218">
        <f t="shared" si="101"/>
        <v>0.1</v>
      </c>
      <c r="CP220" s="100">
        <f t="shared" si="102"/>
        <v>0.25</v>
      </c>
      <c r="CQ220" s="218">
        <f t="shared" si="103"/>
        <v>0.4</v>
      </c>
    </row>
    <row r="221" spans="1:95" s="101" customFormat="1" ht="16.5" hidden="1" thickBot="1" x14ac:dyDescent="0.3">
      <c r="A221" s="99"/>
      <c r="V221" s="103"/>
      <c r="AA221" s="104"/>
      <c r="AB221" s="104"/>
      <c r="AD221" s="104"/>
      <c r="AE221" s="105"/>
      <c r="AH221" s="106"/>
      <c r="AI221" s="106"/>
      <c r="AK221" s="104"/>
      <c r="AR221" s="104"/>
      <c r="AV221" s="104"/>
      <c r="AX221" s="104"/>
      <c r="BB221" s="104"/>
      <c r="BC221" s="104"/>
      <c r="BE221" s="104"/>
      <c r="BH221" s="120" t="s">
        <v>97</v>
      </c>
      <c r="BI221" s="203" t="s">
        <v>517</v>
      </c>
      <c r="BJ221" s="190" t="s">
        <v>428</v>
      </c>
      <c r="BK221" s="196">
        <f>0.25*0.1</f>
        <v>2.5000000000000001E-2</v>
      </c>
      <c r="BL221" s="190" t="s">
        <v>412</v>
      </c>
      <c r="BM221" s="189">
        <v>0.05</v>
      </c>
      <c r="BN221" s="189">
        <v>1.04</v>
      </c>
      <c r="BO221" s="188" t="s">
        <v>258</v>
      </c>
      <c r="BP221" s="178"/>
      <c r="BQ221" s="102"/>
      <c r="BR221" s="102"/>
      <c r="BS221" s="178"/>
      <c r="BT221" s="178"/>
      <c r="BU221" s="178"/>
      <c r="BV221" s="180"/>
      <c r="BW221" s="178"/>
      <c r="BX221" s="196">
        <f>0.25*0.9*25</f>
        <v>5.625</v>
      </c>
      <c r="BY221" s="190" t="s">
        <v>298</v>
      </c>
      <c r="BZ221" s="180"/>
      <c r="CA221" s="180"/>
      <c r="CB221" s="180"/>
      <c r="CC221" s="178"/>
      <c r="CD221" s="178"/>
      <c r="CE221" s="180"/>
      <c r="CF221" s="180"/>
      <c r="CG221" s="180"/>
      <c r="CH221" s="180"/>
      <c r="CI221" s="178"/>
      <c r="CJ221" s="178"/>
      <c r="CK221" s="180"/>
      <c r="CL221" s="180"/>
      <c r="CM221" s="180"/>
      <c r="CN221" s="225"/>
      <c r="CO221" s="218">
        <f t="shared" si="101"/>
        <v>0.05</v>
      </c>
      <c r="CP221" s="100">
        <f t="shared" si="102"/>
        <v>0.54500000000000004</v>
      </c>
      <c r="CQ221" s="218">
        <f t="shared" si="103"/>
        <v>1.04</v>
      </c>
    </row>
    <row r="222" spans="1:95" s="101" customFormat="1" ht="16.5" hidden="1" thickBot="1" x14ac:dyDescent="0.3">
      <c r="A222" s="99"/>
      <c r="V222" s="103"/>
      <c r="AA222" s="104"/>
      <c r="AB222" s="104"/>
      <c r="AD222" s="104"/>
      <c r="AE222" s="105"/>
      <c r="AH222" s="106"/>
      <c r="AI222" s="106"/>
      <c r="AK222" s="104"/>
      <c r="AR222" s="104"/>
      <c r="AV222" s="104"/>
      <c r="AX222" s="104"/>
      <c r="BB222" s="104"/>
      <c r="BC222" s="104"/>
      <c r="BF222" s="219">
        <f t="shared" ref="BF222:BF227" si="104">BK222*25</f>
        <v>0</v>
      </c>
      <c r="BH222" s="120"/>
      <c r="BI222" s="203" t="s">
        <v>516</v>
      </c>
      <c r="BJ222" s="190" t="s">
        <v>428</v>
      </c>
      <c r="BK222" s="196">
        <f>0*0.25</f>
        <v>0</v>
      </c>
      <c r="BL222" s="190" t="s">
        <v>412</v>
      </c>
      <c r="BM222" s="189">
        <v>0.05</v>
      </c>
      <c r="BN222" s="189">
        <v>1</v>
      </c>
      <c r="BO222" s="188" t="s">
        <v>258</v>
      </c>
      <c r="BP222" s="178"/>
      <c r="BQ222" s="102"/>
      <c r="BR222" s="102"/>
      <c r="BS222" s="178"/>
      <c r="BT222" s="178"/>
      <c r="BU222" s="178"/>
      <c r="BV222" s="180"/>
      <c r="BW222" s="178"/>
      <c r="BX222" s="196"/>
      <c r="BY222" s="190"/>
      <c r="BZ222" s="180"/>
      <c r="CA222" s="180"/>
      <c r="CB222" s="180"/>
      <c r="CC222" s="178"/>
      <c r="CD222" s="178"/>
      <c r="CE222" s="180"/>
      <c r="CF222" s="180"/>
      <c r="CG222" s="180"/>
      <c r="CH222" s="180"/>
      <c r="CI222" s="178"/>
      <c r="CJ222" s="178"/>
      <c r="CK222" s="180"/>
      <c r="CL222" s="180"/>
      <c r="CM222" s="180"/>
      <c r="CN222" s="225"/>
      <c r="CO222" s="218">
        <f t="shared" si="101"/>
        <v>0.05</v>
      </c>
      <c r="CP222" s="100">
        <f t="shared" si="102"/>
        <v>0.52500000000000002</v>
      </c>
      <c r="CQ222" s="218">
        <f t="shared" si="103"/>
        <v>1</v>
      </c>
    </row>
    <row r="223" spans="1:95" s="101" customFormat="1" ht="16.5" hidden="1" thickBot="1" x14ac:dyDescent="0.3">
      <c r="A223" s="99"/>
      <c r="V223" s="103"/>
      <c r="AA223" s="104"/>
      <c r="AB223" s="104"/>
      <c r="AD223" s="104"/>
      <c r="AE223" s="105"/>
      <c r="AH223" s="106"/>
      <c r="AI223" s="106"/>
      <c r="AK223" s="104"/>
      <c r="AR223" s="104"/>
      <c r="AV223" s="104"/>
      <c r="AX223" s="104"/>
      <c r="BB223" s="104"/>
      <c r="BC223" s="104"/>
      <c r="BF223" s="219">
        <f t="shared" si="104"/>
        <v>1.875</v>
      </c>
      <c r="BH223" s="120"/>
      <c r="BI223" s="203" t="s">
        <v>518</v>
      </c>
      <c r="BJ223" s="190" t="s">
        <v>428</v>
      </c>
      <c r="BK223" s="196">
        <f>0.25*0.3</f>
        <v>7.4999999999999997E-2</v>
      </c>
      <c r="BL223" s="190" t="s">
        <v>412</v>
      </c>
      <c r="BM223" s="189">
        <f>0.2/0.3</f>
        <v>0.66666666666666674</v>
      </c>
      <c r="BN223" s="189">
        <f>0.4/0.3</f>
        <v>1.3333333333333335</v>
      </c>
      <c r="BO223" s="188" t="s">
        <v>258</v>
      </c>
      <c r="BP223" s="178"/>
      <c r="BQ223" s="102"/>
      <c r="BR223" s="102"/>
      <c r="BS223" s="178"/>
      <c r="BT223" s="178"/>
      <c r="BU223" s="178"/>
      <c r="BV223" s="180"/>
      <c r="BW223" s="178"/>
      <c r="BX223" s="196"/>
      <c r="BY223" s="190"/>
      <c r="BZ223" s="180"/>
      <c r="CA223" s="180"/>
      <c r="CB223" s="180"/>
      <c r="CC223" s="178"/>
      <c r="CD223" s="178"/>
      <c r="CE223" s="180"/>
      <c r="CF223" s="180"/>
      <c r="CG223" s="180"/>
      <c r="CH223" s="180"/>
      <c r="CI223" s="178"/>
      <c r="CJ223" s="178"/>
      <c r="CK223" s="180"/>
      <c r="CL223" s="180"/>
      <c r="CM223" s="180"/>
      <c r="CN223" s="225"/>
      <c r="CO223" s="218">
        <f t="shared" si="101"/>
        <v>0.66666666666666674</v>
      </c>
      <c r="CP223" s="100">
        <f t="shared" si="102"/>
        <v>1</v>
      </c>
      <c r="CQ223" s="218">
        <f t="shared" si="103"/>
        <v>1.3333333333333335</v>
      </c>
    </row>
    <row r="224" spans="1:95" s="101" customFormat="1" ht="16.5" hidden="1" thickBot="1" x14ac:dyDescent="0.3">
      <c r="A224" s="99"/>
      <c r="V224" s="103"/>
      <c r="AA224" s="104"/>
      <c r="AB224" s="104"/>
      <c r="AD224" s="104"/>
      <c r="AE224" s="105"/>
      <c r="AH224" s="106"/>
      <c r="AI224" s="106"/>
      <c r="AK224" s="104"/>
      <c r="AR224" s="104"/>
      <c r="AV224" s="104"/>
      <c r="AX224" s="104"/>
      <c r="BB224" s="104"/>
      <c r="BC224" s="104"/>
      <c r="BF224" s="219">
        <f t="shared" si="104"/>
        <v>5</v>
      </c>
      <c r="BG224" s="100">
        <f>0.4*21</f>
        <v>8.4</v>
      </c>
      <c r="BH224" s="120"/>
      <c r="BI224" s="203" t="s">
        <v>519</v>
      </c>
      <c r="BJ224" s="190" t="s">
        <v>428</v>
      </c>
      <c r="BK224" s="196">
        <f>0.25*0.8</f>
        <v>0.2</v>
      </c>
      <c r="BL224" s="190" t="s">
        <v>412</v>
      </c>
      <c r="BM224" s="189">
        <f>0.8/0.8</f>
        <v>1</v>
      </c>
      <c r="BN224" s="189">
        <f>1/0.8</f>
        <v>1.25</v>
      </c>
      <c r="BO224" s="188" t="s">
        <v>258</v>
      </c>
      <c r="BP224" s="178"/>
      <c r="BQ224" s="102"/>
      <c r="BR224" s="102"/>
      <c r="BS224" s="178"/>
      <c r="BT224" s="178"/>
      <c r="BU224" s="178"/>
      <c r="BV224" s="180"/>
      <c r="BW224" s="178"/>
      <c r="BX224" s="196"/>
      <c r="BY224" s="190"/>
      <c r="BZ224" s="180"/>
      <c r="CA224" s="180"/>
      <c r="CB224" s="180"/>
      <c r="CC224" s="178"/>
      <c r="CD224" s="178"/>
      <c r="CE224" s="180"/>
      <c r="CF224" s="180"/>
      <c r="CG224" s="180"/>
      <c r="CH224" s="180"/>
      <c r="CI224" s="178"/>
      <c r="CJ224" s="178"/>
      <c r="CK224" s="180"/>
      <c r="CL224" s="180"/>
      <c r="CM224" s="180"/>
      <c r="CN224" s="225"/>
      <c r="CO224" s="218">
        <f t="shared" si="101"/>
        <v>1</v>
      </c>
      <c r="CP224" s="100">
        <f t="shared" si="102"/>
        <v>1.125</v>
      </c>
      <c r="CQ224" s="218">
        <f t="shared" si="103"/>
        <v>1.25</v>
      </c>
    </row>
    <row r="225" spans="1:95" s="101" customFormat="1" ht="16.5" hidden="1" thickBot="1" x14ac:dyDescent="0.3">
      <c r="A225" s="99"/>
      <c r="V225" s="103"/>
      <c r="AA225" s="104"/>
      <c r="AB225" s="104"/>
      <c r="AD225" s="104"/>
      <c r="AE225" s="105"/>
      <c r="AH225" s="106"/>
      <c r="AI225" s="106"/>
      <c r="AK225" s="104"/>
      <c r="AR225" s="104"/>
      <c r="AV225" s="104"/>
      <c r="AX225" s="104"/>
      <c r="BB225" s="104"/>
      <c r="BC225" s="104"/>
      <c r="BF225" s="219">
        <f t="shared" si="104"/>
        <v>5</v>
      </c>
      <c r="BH225" s="120"/>
      <c r="BI225" s="203" t="s">
        <v>520</v>
      </c>
      <c r="BJ225" s="190" t="s">
        <v>428</v>
      </c>
      <c r="BK225" s="196">
        <f>0.25*0.8</f>
        <v>0.2</v>
      </c>
      <c r="BL225" s="190" t="s">
        <v>412</v>
      </c>
      <c r="BM225" s="189">
        <f>0.8/0.8</f>
        <v>1</v>
      </c>
      <c r="BN225" s="189">
        <f>1/0.8</f>
        <v>1.25</v>
      </c>
      <c r="BO225" s="188" t="s">
        <v>258</v>
      </c>
      <c r="BP225" s="178"/>
      <c r="BQ225" s="102"/>
      <c r="BR225" s="102"/>
      <c r="BS225" s="178"/>
      <c r="BT225" s="178"/>
      <c r="BU225" s="178"/>
      <c r="BV225" s="180"/>
      <c r="BW225" s="178"/>
      <c r="BX225" s="196"/>
      <c r="BY225" s="190"/>
      <c r="BZ225" s="180"/>
      <c r="CA225" s="180"/>
      <c r="CB225" s="180"/>
      <c r="CC225" s="178"/>
      <c r="CD225" s="178"/>
      <c r="CE225" s="180"/>
      <c r="CF225" s="180"/>
      <c r="CG225" s="180"/>
      <c r="CH225" s="180"/>
      <c r="CI225" s="178"/>
      <c r="CJ225" s="178"/>
      <c r="CK225" s="180"/>
      <c r="CL225" s="180"/>
      <c r="CM225" s="180"/>
      <c r="CN225" s="225"/>
      <c r="CO225" s="218">
        <f t="shared" si="101"/>
        <v>1</v>
      </c>
      <c r="CP225" s="100">
        <f t="shared" si="102"/>
        <v>1.125</v>
      </c>
      <c r="CQ225" s="218">
        <f t="shared" si="103"/>
        <v>1.25</v>
      </c>
    </row>
    <row r="226" spans="1:95" s="101" customFormat="1" ht="16.5" hidden="1" thickBot="1" x14ac:dyDescent="0.3">
      <c r="A226" s="99"/>
      <c r="V226" s="103"/>
      <c r="AA226" s="104"/>
      <c r="AB226" s="104"/>
      <c r="AD226" s="104"/>
      <c r="AE226" s="105"/>
      <c r="AH226" s="106"/>
      <c r="AI226" s="106"/>
      <c r="AK226" s="104"/>
      <c r="AR226" s="104"/>
      <c r="AU226" s="233"/>
      <c r="AV226" s="104"/>
      <c r="AX226" s="104"/>
      <c r="BB226" s="104"/>
      <c r="BC226" s="104"/>
      <c r="BF226" s="219">
        <f t="shared" si="104"/>
        <v>1.25</v>
      </c>
      <c r="BH226" s="120"/>
      <c r="BI226" s="203" t="s">
        <v>521</v>
      </c>
      <c r="BJ226" s="190" t="s">
        <v>428</v>
      </c>
      <c r="BK226" s="196">
        <f>0.25*0.2</f>
        <v>0.05</v>
      </c>
      <c r="BL226" s="190" t="s">
        <v>412</v>
      </c>
      <c r="BM226" s="189">
        <f>0/0.2</f>
        <v>0</v>
      </c>
      <c r="BN226" s="189">
        <f>0.3/0.2</f>
        <v>1.4999999999999998</v>
      </c>
      <c r="BO226" s="188" t="s">
        <v>258</v>
      </c>
      <c r="BP226" s="178"/>
      <c r="BQ226" s="102"/>
      <c r="BR226" s="102"/>
      <c r="BS226" s="178"/>
      <c r="BT226" s="178"/>
      <c r="BU226" s="178"/>
      <c r="BV226" s="180"/>
      <c r="BW226" s="178"/>
      <c r="BX226" s="196"/>
      <c r="BY226" s="190"/>
      <c r="BZ226" s="180"/>
      <c r="CA226" s="180"/>
      <c r="CB226" s="180"/>
      <c r="CC226" s="178"/>
      <c r="CD226" s="178"/>
      <c r="CE226" s="180"/>
      <c r="CF226" s="180"/>
      <c r="CG226" s="180"/>
      <c r="CH226" s="180"/>
      <c r="CI226" s="178"/>
      <c r="CJ226" s="178"/>
      <c r="CK226" s="180"/>
      <c r="CL226" s="180"/>
      <c r="CM226" s="180"/>
      <c r="CN226" s="225"/>
      <c r="CO226" s="218">
        <f t="shared" si="101"/>
        <v>0</v>
      </c>
      <c r="CP226" s="100">
        <f t="shared" si="102"/>
        <v>0.74999999999999989</v>
      </c>
      <c r="CQ226" s="218">
        <f t="shared" si="103"/>
        <v>1.4999999999999998</v>
      </c>
    </row>
    <row r="227" spans="1:95" s="101" customFormat="1" ht="16.5" hidden="1" thickBot="1" x14ac:dyDescent="0.3">
      <c r="A227" s="99"/>
      <c r="V227" s="103"/>
      <c r="AA227" s="104"/>
      <c r="AB227" s="104"/>
      <c r="AD227" s="104"/>
      <c r="AE227" s="105"/>
      <c r="AH227" s="106"/>
      <c r="AI227" s="106"/>
      <c r="AK227" s="104"/>
      <c r="AR227" s="104"/>
      <c r="AV227" s="104"/>
      <c r="AX227" s="104"/>
      <c r="BB227" s="104"/>
      <c r="BC227" s="104"/>
      <c r="BF227" s="219">
        <f t="shared" si="104"/>
        <v>5</v>
      </c>
      <c r="BH227" s="120"/>
      <c r="BI227" s="203" t="s">
        <v>522</v>
      </c>
      <c r="BJ227" s="190" t="s">
        <v>428</v>
      </c>
      <c r="BK227" s="196">
        <f>0.25*0.8</f>
        <v>0.2</v>
      </c>
      <c r="BL227" s="190" t="s">
        <v>412</v>
      </c>
      <c r="BM227" s="189">
        <f>0.8/0.8</f>
        <v>1</v>
      </c>
      <c r="BN227" s="189">
        <f>1/0.8</f>
        <v>1.25</v>
      </c>
      <c r="BO227" s="188" t="s">
        <v>258</v>
      </c>
      <c r="BP227" s="178"/>
      <c r="BQ227" s="102"/>
      <c r="BR227" s="102"/>
      <c r="BS227" s="178"/>
      <c r="BT227" s="178"/>
      <c r="BU227" s="178"/>
      <c r="BV227" s="180"/>
      <c r="BW227" s="178"/>
      <c r="BX227" s="196"/>
      <c r="BY227" s="190"/>
      <c r="BZ227" s="180"/>
      <c r="CA227" s="180"/>
      <c r="CB227" s="180"/>
      <c r="CC227" s="178"/>
      <c r="CD227" s="178"/>
      <c r="CE227" s="180"/>
      <c r="CF227" s="180"/>
      <c r="CG227" s="180"/>
      <c r="CH227" s="180"/>
      <c r="CI227" s="178"/>
      <c r="CJ227" s="178"/>
      <c r="CK227" s="180"/>
      <c r="CL227" s="180"/>
      <c r="CM227" s="180"/>
      <c r="CN227" s="225"/>
      <c r="CO227" s="218">
        <f t="shared" si="101"/>
        <v>1</v>
      </c>
      <c r="CP227" s="100">
        <f t="shared" si="102"/>
        <v>1.125</v>
      </c>
      <c r="CQ227" s="218">
        <f t="shared" si="103"/>
        <v>1.25</v>
      </c>
    </row>
    <row r="228" spans="1:95" s="101" customFormat="1" ht="16.5" hidden="1" thickBot="1" x14ac:dyDescent="0.3">
      <c r="A228" s="99"/>
      <c r="V228" s="103"/>
      <c r="AA228" s="104"/>
      <c r="AB228" s="104"/>
      <c r="AD228" s="104"/>
      <c r="AE228" s="105"/>
      <c r="AH228" s="106"/>
      <c r="AI228" s="106"/>
      <c r="AK228" s="104"/>
      <c r="AR228" s="104"/>
      <c r="AV228" s="104"/>
      <c r="AX228" s="104"/>
      <c r="BB228" s="104"/>
      <c r="BC228" s="104"/>
      <c r="BF228" s="219">
        <f t="shared" ref="BF228:BF237" si="105">BK228*25</f>
        <v>1.5</v>
      </c>
      <c r="BH228" s="120"/>
      <c r="BI228" s="203" t="s">
        <v>578</v>
      </c>
      <c r="BJ228" s="190" t="s">
        <v>569</v>
      </c>
      <c r="BK228" s="196">
        <v>0.06</v>
      </c>
      <c r="BL228" s="190" t="s">
        <v>568</v>
      </c>
      <c r="BM228" s="189">
        <v>0.57999999999999996</v>
      </c>
      <c r="BN228" s="189">
        <v>1.04</v>
      </c>
      <c r="BO228" s="188" t="s">
        <v>258</v>
      </c>
      <c r="BP228" s="178"/>
      <c r="BQ228" s="102"/>
      <c r="BR228" s="102"/>
      <c r="BS228" s="178"/>
      <c r="BT228" s="178"/>
      <c r="BU228" s="178"/>
      <c r="BV228" s="180"/>
      <c r="BW228" s="178"/>
      <c r="BX228" s="196"/>
      <c r="BY228" s="190"/>
      <c r="BZ228" s="180"/>
      <c r="CA228" s="180"/>
      <c r="CB228" s="180"/>
      <c r="CC228" s="178"/>
      <c r="CD228" s="178"/>
      <c r="CE228" s="180"/>
      <c r="CF228" s="180"/>
      <c r="CG228" s="180"/>
      <c r="CH228" s="180"/>
      <c r="CI228" s="178"/>
      <c r="CJ228" s="178"/>
      <c r="CK228" s="180"/>
      <c r="CL228" s="180"/>
      <c r="CM228" s="180"/>
      <c r="CN228" s="225"/>
      <c r="CO228" s="218">
        <f t="shared" si="101"/>
        <v>0.57999999999999996</v>
      </c>
      <c r="CP228" s="100">
        <f t="shared" si="102"/>
        <v>0.81</v>
      </c>
      <c r="CQ228" s="218">
        <f t="shared" si="103"/>
        <v>1.04</v>
      </c>
    </row>
    <row r="229" spans="1:95" s="101" customFormat="1" ht="16.5" hidden="1" thickBot="1" x14ac:dyDescent="0.3">
      <c r="A229" s="99"/>
      <c r="V229" s="103"/>
      <c r="AA229" s="104"/>
      <c r="AB229" s="104"/>
      <c r="AD229" s="104"/>
      <c r="AE229" s="105"/>
      <c r="AH229" s="106"/>
      <c r="AI229" s="106"/>
      <c r="AK229" s="104"/>
      <c r="AR229" s="104"/>
      <c r="AV229" s="104"/>
      <c r="AX229" s="104"/>
      <c r="BB229" s="104"/>
      <c r="BC229" s="104"/>
      <c r="BF229" s="219">
        <f>BK229*25</f>
        <v>7.5</v>
      </c>
      <c r="BH229" s="120"/>
      <c r="BI229" s="203" t="s">
        <v>579</v>
      </c>
      <c r="BJ229" s="190" t="s">
        <v>569</v>
      </c>
      <c r="BK229" s="196">
        <v>0.3</v>
      </c>
      <c r="BL229" s="190" t="s">
        <v>568</v>
      </c>
      <c r="BM229" s="189">
        <v>0.57999999999999996</v>
      </c>
      <c r="BN229" s="189">
        <f>0.4/0.3</f>
        <v>1.3333333333333335</v>
      </c>
      <c r="BO229" s="188" t="s">
        <v>258</v>
      </c>
      <c r="BP229" s="178"/>
      <c r="BQ229" s="102"/>
      <c r="BR229" s="102"/>
      <c r="BS229" s="178"/>
      <c r="BT229" s="178"/>
      <c r="BU229" s="178"/>
      <c r="BV229" s="180"/>
      <c r="BW229" s="178"/>
      <c r="BX229" s="196"/>
      <c r="BY229" s="190"/>
      <c r="BZ229" s="180"/>
      <c r="CA229" s="180"/>
      <c r="CB229" s="180"/>
      <c r="CC229" s="178"/>
      <c r="CD229" s="178"/>
      <c r="CE229" s="180"/>
      <c r="CF229" s="180"/>
      <c r="CG229" s="180"/>
      <c r="CH229" s="180"/>
      <c r="CI229" s="178"/>
      <c r="CJ229" s="178"/>
      <c r="CK229" s="180"/>
      <c r="CL229" s="180"/>
      <c r="CM229" s="180"/>
      <c r="CN229" s="225"/>
      <c r="CO229" s="218">
        <f t="shared" si="101"/>
        <v>0.57999999999999996</v>
      </c>
      <c r="CP229" s="100">
        <f t="shared" si="102"/>
        <v>0.95666666666666678</v>
      </c>
      <c r="CQ229" s="218">
        <f t="shared" si="103"/>
        <v>1.3333333333333335</v>
      </c>
    </row>
    <row r="230" spans="1:95" s="101" customFormat="1" ht="26.25" hidden="1" thickBot="1" x14ac:dyDescent="0.3">
      <c r="A230" s="99"/>
      <c r="V230" s="103"/>
      <c r="AA230" s="104"/>
      <c r="AB230" s="104"/>
      <c r="AD230" s="104"/>
      <c r="AE230" s="105"/>
      <c r="AH230" s="106"/>
      <c r="AI230" s="106"/>
      <c r="AK230" s="104"/>
      <c r="AR230" s="104"/>
      <c r="AV230" s="104"/>
      <c r="AX230" s="104"/>
      <c r="BB230" s="104"/>
      <c r="BC230" s="104"/>
      <c r="BF230" s="219">
        <f>BK230*25</f>
        <v>0</v>
      </c>
      <c r="BG230" s="100">
        <f>0.4*21</f>
        <v>8.4</v>
      </c>
      <c r="BH230" s="120"/>
      <c r="BI230" s="203" t="s">
        <v>580</v>
      </c>
      <c r="BJ230" s="190" t="s">
        <v>569</v>
      </c>
      <c r="BK230" s="196">
        <v>0</v>
      </c>
      <c r="BL230" s="190" t="s">
        <v>568</v>
      </c>
      <c r="BM230" s="189">
        <f>0.8/0.8</f>
        <v>1</v>
      </c>
      <c r="BN230" s="189">
        <f>1/0.8</f>
        <v>1.25</v>
      </c>
      <c r="BO230" s="188" t="s">
        <v>258</v>
      </c>
      <c r="BP230" s="178"/>
      <c r="BQ230" s="102"/>
      <c r="BR230" s="102"/>
      <c r="BS230" s="178"/>
      <c r="BT230" s="178"/>
      <c r="BU230" s="178"/>
      <c r="BV230" s="180"/>
      <c r="BW230" s="178"/>
      <c r="BX230" s="196"/>
      <c r="BY230" s="190"/>
      <c r="BZ230" s="180"/>
      <c r="CA230" s="180"/>
      <c r="CB230" s="180"/>
      <c r="CC230" s="178"/>
      <c r="CD230" s="178"/>
      <c r="CE230" s="180"/>
      <c r="CF230" s="180"/>
      <c r="CG230" s="180"/>
      <c r="CH230" s="180"/>
      <c r="CI230" s="178"/>
      <c r="CJ230" s="178"/>
      <c r="CK230" s="180"/>
      <c r="CL230" s="180"/>
      <c r="CM230" s="180"/>
      <c r="CN230" s="225"/>
      <c r="CO230" s="218">
        <f t="shared" si="101"/>
        <v>1</v>
      </c>
      <c r="CP230" s="100">
        <f t="shared" si="102"/>
        <v>1.125</v>
      </c>
      <c r="CQ230" s="218">
        <f t="shared" si="103"/>
        <v>1.25</v>
      </c>
    </row>
    <row r="231" spans="1:95" s="101" customFormat="1" ht="16.5" hidden="1" thickBot="1" x14ac:dyDescent="0.3">
      <c r="A231" s="99"/>
      <c r="V231" s="103"/>
      <c r="AA231" s="104"/>
      <c r="AB231" s="104"/>
      <c r="AD231" s="104"/>
      <c r="AE231" s="105"/>
      <c r="AH231" s="106"/>
      <c r="AI231" s="106"/>
      <c r="AK231" s="104"/>
      <c r="AR231" s="104"/>
      <c r="AV231" s="104"/>
      <c r="AX231" s="104"/>
      <c r="BB231" s="104"/>
      <c r="BC231" s="104"/>
      <c r="BF231" s="219">
        <f>BK231*25</f>
        <v>0</v>
      </c>
      <c r="BH231" s="120"/>
      <c r="BI231" s="203" t="s">
        <v>581</v>
      </c>
      <c r="BJ231" s="190" t="s">
        <v>569</v>
      </c>
      <c r="BK231" s="196">
        <v>0</v>
      </c>
      <c r="BL231" s="190" t="s">
        <v>568</v>
      </c>
      <c r="BM231" s="189">
        <f>0.8/0.8</f>
        <v>1</v>
      </c>
      <c r="BN231" s="189">
        <f>1/0.8</f>
        <v>1.25</v>
      </c>
      <c r="BO231" s="188" t="s">
        <v>258</v>
      </c>
      <c r="BP231" s="178"/>
      <c r="BQ231" s="102"/>
      <c r="BR231" s="102"/>
      <c r="BS231" s="178"/>
      <c r="BT231" s="178"/>
      <c r="BU231" s="178"/>
      <c r="BV231" s="180"/>
      <c r="BW231" s="178"/>
      <c r="BX231" s="196"/>
      <c r="BY231" s="190"/>
      <c r="BZ231" s="180"/>
      <c r="CA231" s="180"/>
      <c r="CB231" s="180"/>
      <c r="CC231" s="178"/>
      <c r="CD231" s="178"/>
      <c r="CE231" s="180"/>
      <c r="CF231" s="180"/>
      <c r="CG231" s="180"/>
      <c r="CH231" s="180"/>
      <c r="CI231" s="178"/>
      <c r="CJ231" s="178"/>
      <c r="CK231" s="180"/>
      <c r="CL231" s="180"/>
      <c r="CM231" s="180"/>
      <c r="CN231" s="225"/>
      <c r="CO231" s="218">
        <f t="shared" si="101"/>
        <v>1</v>
      </c>
      <c r="CP231" s="100">
        <f t="shared" si="102"/>
        <v>1.125</v>
      </c>
      <c r="CQ231" s="218">
        <f t="shared" si="103"/>
        <v>1.25</v>
      </c>
    </row>
    <row r="232" spans="1:95" s="101" customFormat="1" ht="16.5" hidden="1" thickBot="1" x14ac:dyDescent="0.3">
      <c r="A232" s="99"/>
      <c r="V232" s="103"/>
      <c r="AA232" s="104"/>
      <c r="AB232" s="104"/>
      <c r="AD232" s="104"/>
      <c r="AE232" s="105"/>
      <c r="AH232" s="106"/>
      <c r="AI232" s="106"/>
      <c r="AK232" s="104"/>
      <c r="AR232" s="104"/>
      <c r="AU232" s="233"/>
      <c r="AV232" s="104"/>
      <c r="AX232" s="104"/>
      <c r="BB232" s="104"/>
      <c r="BC232" s="104"/>
      <c r="BF232" s="219">
        <f>BK232*25</f>
        <v>4.5</v>
      </c>
      <c r="BH232" s="120"/>
      <c r="BI232" s="203" t="s">
        <v>582</v>
      </c>
      <c r="BJ232" s="190" t="s">
        <v>569</v>
      </c>
      <c r="BK232" s="196">
        <v>0.18</v>
      </c>
      <c r="BL232" s="190" t="s">
        <v>568</v>
      </c>
      <c r="BM232" s="189">
        <v>0.42</v>
      </c>
      <c r="BN232" s="189">
        <f>0.3/0.2</f>
        <v>1.4999999999999998</v>
      </c>
      <c r="BO232" s="188" t="s">
        <v>258</v>
      </c>
      <c r="BP232" s="178"/>
      <c r="BQ232" s="102"/>
      <c r="BR232" s="102"/>
      <c r="BS232" s="178"/>
      <c r="BT232" s="178"/>
      <c r="BU232" s="178"/>
      <c r="BV232" s="180"/>
      <c r="BW232" s="178"/>
      <c r="BX232" s="196"/>
      <c r="BY232" s="190"/>
      <c r="BZ232" s="180"/>
      <c r="CA232" s="180"/>
      <c r="CB232" s="180"/>
      <c r="CC232" s="178"/>
      <c r="CD232" s="178"/>
      <c r="CE232" s="180"/>
      <c r="CF232" s="180"/>
      <c r="CG232" s="180"/>
      <c r="CH232" s="180"/>
      <c r="CI232" s="178"/>
      <c r="CJ232" s="178"/>
      <c r="CK232" s="180"/>
      <c r="CL232" s="180"/>
      <c r="CM232" s="180"/>
      <c r="CN232" s="225"/>
      <c r="CO232" s="218">
        <f t="shared" si="101"/>
        <v>0.42</v>
      </c>
      <c r="CP232" s="100">
        <f t="shared" si="102"/>
        <v>0.95999999999999985</v>
      </c>
      <c r="CQ232" s="218">
        <f t="shared" si="103"/>
        <v>1.4999999999999998</v>
      </c>
    </row>
    <row r="233" spans="1:95" s="101" customFormat="1" ht="16.5" hidden="1" thickBot="1" x14ac:dyDescent="0.3">
      <c r="A233" s="99"/>
      <c r="V233" s="103"/>
      <c r="AA233" s="104"/>
      <c r="AB233" s="104"/>
      <c r="AD233" s="104"/>
      <c r="AE233" s="105"/>
      <c r="AH233" s="106"/>
      <c r="AI233" s="106"/>
      <c r="AK233" s="104"/>
      <c r="AR233" s="104"/>
      <c r="AV233" s="104"/>
      <c r="AX233" s="104"/>
      <c r="BB233" s="104"/>
      <c r="BC233" s="104"/>
      <c r="BF233" s="219">
        <f t="shared" si="105"/>
        <v>12</v>
      </c>
      <c r="BH233" s="120"/>
      <c r="BI233" s="203" t="s">
        <v>583</v>
      </c>
      <c r="BJ233" s="190" t="s">
        <v>569</v>
      </c>
      <c r="BK233" s="196">
        <v>0.48</v>
      </c>
      <c r="BL233" s="190" t="s">
        <v>568</v>
      </c>
      <c r="BM233" s="189">
        <v>0.32</v>
      </c>
      <c r="BN233" s="189">
        <f>0.4/0.3</f>
        <v>1.3333333333333335</v>
      </c>
      <c r="BO233" s="188" t="s">
        <v>258</v>
      </c>
      <c r="BP233" s="178"/>
      <c r="BQ233" s="102"/>
      <c r="BR233" s="102"/>
      <c r="BS233" s="178"/>
      <c r="BT233" s="178"/>
      <c r="BU233" s="178"/>
      <c r="BV233" s="180"/>
      <c r="BW233" s="178"/>
      <c r="BX233" s="196"/>
      <c r="BY233" s="190"/>
      <c r="BZ233" s="180"/>
      <c r="CA233" s="180"/>
      <c r="CB233" s="180"/>
      <c r="CC233" s="178"/>
      <c r="CD233" s="178"/>
      <c r="CE233" s="180"/>
      <c r="CF233" s="180"/>
      <c r="CG233" s="180"/>
      <c r="CH233" s="180"/>
      <c r="CI233" s="178"/>
      <c r="CJ233" s="178"/>
      <c r="CK233" s="180"/>
      <c r="CL233" s="180"/>
      <c r="CM233" s="180"/>
      <c r="CN233" s="225"/>
      <c r="CO233" s="218">
        <f t="shared" si="101"/>
        <v>0.32</v>
      </c>
      <c r="CP233" s="100">
        <f t="shared" si="102"/>
        <v>0.82666666666666677</v>
      </c>
      <c r="CQ233" s="218">
        <f t="shared" si="103"/>
        <v>1.3333333333333335</v>
      </c>
    </row>
    <row r="234" spans="1:95" s="101" customFormat="1" ht="16.5" hidden="1" thickBot="1" x14ac:dyDescent="0.3">
      <c r="A234" s="99"/>
      <c r="V234" s="103"/>
      <c r="AA234" s="104"/>
      <c r="AB234" s="104"/>
      <c r="AD234" s="104"/>
      <c r="AE234" s="105"/>
      <c r="AH234" s="106"/>
      <c r="AI234" s="106"/>
      <c r="AK234" s="104"/>
      <c r="AR234" s="104"/>
      <c r="AV234" s="104"/>
      <c r="AX234" s="104"/>
      <c r="BB234" s="104"/>
      <c r="BC234" s="104"/>
      <c r="BF234" s="219">
        <f t="shared" si="105"/>
        <v>12</v>
      </c>
      <c r="BG234" s="100">
        <f>0.4*21</f>
        <v>8.4</v>
      </c>
      <c r="BH234" s="120"/>
      <c r="BI234" s="203" t="s">
        <v>584</v>
      </c>
      <c r="BJ234" s="190" t="s">
        <v>569</v>
      </c>
      <c r="BK234" s="196">
        <v>0.48</v>
      </c>
      <c r="BL234" s="190" t="s">
        <v>568</v>
      </c>
      <c r="BM234" s="189">
        <v>0.32</v>
      </c>
      <c r="BN234" s="189">
        <f>1/0.8</f>
        <v>1.25</v>
      </c>
      <c r="BO234" s="188" t="s">
        <v>258</v>
      </c>
      <c r="BP234" s="178"/>
      <c r="BQ234" s="102"/>
      <c r="BR234" s="102"/>
      <c r="BS234" s="178"/>
      <c r="BT234" s="178"/>
      <c r="BU234" s="178"/>
      <c r="BV234" s="180"/>
      <c r="BW234" s="178"/>
      <c r="BX234" s="196"/>
      <c r="BY234" s="190"/>
      <c r="BZ234" s="180"/>
      <c r="CA234" s="180"/>
      <c r="CB234" s="180"/>
      <c r="CC234" s="178"/>
      <c r="CD234" s="178"/>
      <c r="CE234" s="180"/>
      <c r="CF234" s="180"/>
      <c r="CG234" s="180"/>
      <c r="CH234" s="180"/>
      <c r="CI234" s="178"/>
      <c r="CJ234" s="178"/>
      <c r="CK234" s="180"/>
      <c r="CL234" s="180"/>
      <c r="CM234" s="180"/>
      <c r="CN234" s="225"/>
      <c r="CO234" s="218">
        <f t="shared" si="101"/>
        <v>0.32</v>
      </c>
      <c r="CP234" s="100">
        <f t="shared" si="102"/>
        <v>0.78500000000000003</v>
      </c>
      <c r="CQ234" s="218">
        <f t="shared" si="103"/>
        <v>1.25</v>
      </c>
    </row>
    <row r="235" spans="1:95" s="101" customFormat="1" ht="16.5" hidden="1" thickBot="1" x14ac:dyDescent="0.3">
      <c r="A235" s="99"/>
      <c r="V235" s="103"/>
      <c r="AA235" s="104"/>
      <c r="AB235" s="104"/>
      <c r="AD235" s="104"/>
      <c r="AE235" s="105"/>
      <c r="AH235" s="106"/>
      <c r="AI235" s="106"/>
      <c r="AK235" s="104"/>
      <c r="AR235" s="104"/>
      <c r="AV235" s="104"/>
      <c r="AX235" s="104"/>
      <c r="BB235" s="104"/>
      <c r="BC235" s="104"/>
      <c r="BF235" s="219">
        <f t="shared" si="105"/>
        <v>3</v>
      </c>
      <c r="BH235" s="120"/>
      <c r="BI235" s="203" t="s">
        <v>585</v>
      </c>
      <c r="BJ235" s="190" t="s">
        <v>569</v>
      </c>
      <c r="BK235" s="196">
        <v>0.12</v>
      </c>
      <c r="BL235" s="190" t="s">
        <v>568</v>
      </c>
      <c r="BM235" s="189">
        <v>0.42</v>
      </c>
      <c r="BN235" s="189">
        <f>1/0.8</f>
        <v>1.25</v>
      </c>
      <c r="BO235" s="188" t="s">
        <v>258</v>
      </c>
      <c r="BP235" s="178"/>
      <c r="BQ235" s="102"/>
      <c r="BR235" s="102"/>
      <c r="BS235" s="178"/>
      <c r="BT235" s="178"/>
      <c r="BU235" s="178"/>
      <c r="BV235" s="180"/>
      <c r="BW235" s="178"/>
      <c r="BX235" s="196"/>
      <c r="BY235" s="190"/>
      <c r="BZ235" s="180"/>
      <c r="CA235" s="180"/>
      <c r="CB235" s="180"/>
      <c r="CC235" s="178"/>
      <c r="CD235" s="178"/>
      <c r="CE235" s="180"/>
      <c r="CF235" s="180"/>
      <c r="CG235" s="180"/>
      <c r="CH235" s="180"/>
      <c r="CI235" s="178"/>
      <c r="CJ235" s="178"/>
      <c r="CK235" s="180"/>
      <c r="CL235" s="180"/>
      <c r="CM235" s="180"/>
      <c r="CN235" s="225"/>
      <c r="CO235" s="218">
        <f t="shared" si="101"/>
        <v>0.42</v>
      </c>
      <c r="CP235" s="100">
        <f t="shared" si="102"/>
        <v>0.83499999999999996</v>
      </c>
      <c r="CQ235" s="218">
        <f t="shared" si="103"/>
        <v>1.25</v>
      </c>
    </row>
    <row r="236" spans="1:95" s="101" customFormat="1" ht="16.5" hidden="1" thickBot="1" x14ac:dyDescent="0.3">
      <c r="A236" s="99"/>
      <c r="V236" s="103"/>
      <c r="AA236" s="104"/>
      <c r="AB236" s="104"/>
      <c r="AD236" s="104"/>
      <c r="AE236" s="105"/>
      <c r="AH236" s="106"/>
      <c r="AI236" s="106"/>
      <c r="AK236" s="104"/>
      <c r="AR236" s="104"/>
      <c r="AU236" s="233"/>
      <c r="AV236" s="104"/>
      <c r="AX236" s="104"/>
      <c r="BB236" s="104"/>
      <c r="BC236" s="104"/>
      <c r="BF236" s="219">
        <f t="shared" si="105"/>
        <v>12</v>
      </c>
      <c r="BH236" s="120"/>
      <c r="BI236" s="203" t="s">
        <v>586</v>
      </c>
      <c r="BJ236" s="190" t="s">
        <v>569</v>
      </c>
      <c r="BK236" s="196">
        <v>0.48</v>
      </c>
      <c r="BL236" s="190" t="s">
        <v>568</v>
      </c>
      <c r="BM236" s="189">
        <v>0.42</v>
      </c>
      <c r="BN236" s="189">
        <f>0.3/0.2</f>
        <v>1.4999999999999998</v>
      </c>
      <c r="BO236" s="188" t="s">
        <v>258</v>
      </c>
      <c r="BP236" s="178"/>
      <c r="BQ236" s="102"/>
      <c r="BR236" s="102"/>
      <c r="BS236" s="178"/>
      <c r="BT236" s="178"/>
      <c r="BU236" s="178"/>
      <c r="BV236" s="180"/>
      <c r="BW236" s="178"/>
      <c r="BX236" s="196"/>
      <c r="BY236" s="190"/>
      <c r="BZ236" s="180"/>
      <c r="CA236" s="180"/>
      <c r="CB236" s="180"/>
      <c r="CC236" s="178"/>
      <c r="CD236" s="178"/>
      <c r="CE236" s="180"/>
      <c r="CF236" s="180"/>
      <c r="CG236" s="180"/>
      <c r="CH236" s="180"/>
      <c r="CI236" s="178"/>
      <c r="CJ236" s="178"/>
      <c r="CK236" s="180"/>
      <c r="CL236" s="180"/>
      <c r="CM236" s="180"/>
      <c r="CN236" s="225"/>
      <c r="CO236" s="218">
        <f t="shared" si="101"/>
        <v>0.42</v>
      </c>
      <c r="CP236" s="100">
        <f t="shared" si="102"/>
        <v>0.95999999999999985</v>
      </c>
      <c r="CQ236" s="218">
        <f t="shared" si="103"/>
        <v>1.4999999999999998</v>
      </c>
    </row>
    <row r="237" spans="1:95" s="101" customFormat="1" ht="16.5" hidden="1" thickBot="1" x14ac:dyDescent="0.3">
      <c r="A237" s="99"/>
      <c r="V237" s="103"/>
      <c r="AA237" s="104"/>
      <c r="AB237" s="104"/>
      <c r="AD237" s="104"/>
      <c r="AE237" s="105"/>
      <c r="AH237" s="106"/>
      <c r="AI237" s="106"/>
      <c r="AK237" s="104"/>
      <c r="AR237" s="104"/>
      <c r="AV237" s="104"/>
      <c r="AX237" s="104"/>
      <c r="BB237" s="104"/>
      <c r="BC237" s="104"/>
      <c r="BF237" s="219">
        <f t="shared" si="105"/>
        <v>7.5</v>
      </c>
      <c r="BH237" s="120"/>
      <c r="BI237" s="203" t="s">
        <v>587</v>
      </c>
      <c r="BJ237" s="190" t="s">
        <v>569</v>
      </c>
      <c r="BK237" s="196">
        <v>0.3</v>
      </c>
      <c r="BL237" s="190" t="s">
        <v>568</v>
      </c>
      <c r="BM237" s="189">
        <v>0.3</v>
      </c>
      <c r="BN237" s="189">
        <f>1/0.8</f>
        <v>1.25</v>
      </c>
      <c r="BO237" s="188" t="s">
        <v>258</v>
      </c>
      <c r="BP237" s="178"/>
      <c r="BQ237" s="102"/>
      <c r="BR237" s="102"/>
      <c r="BS237" s="178"/>
      <c r="BT237" s="178"/>
      <c r="BU237" s="178"/>
      <c r="BV237" s="180"/>
      <c r="BW237" s="178"/>
      <c r="BX237" s="196"/>
      <c r="BY237" s="190"/>
      <c r="BZ237" s="180"/>
      <c r="CA237" s="180"/>
      <c r="CB237" s="180"/>
      <c r="CC237" s="178"/>
      <c r="CD237" s="178"/>
      <c r="CE237" s="180"/>
      <c r="CF237" s="180"/>
      <c r="CG237" s="180"/>
      <c r="CH237" s="180"/>
      <c r="CI237" s="178"/>
      <c r="CJ237" s="178"/>
      <c r="CK237" s="180"/>
      <c r="CL237" s="180"/>
      <c r="CM237" s="180"/>
      <c r="CN237" s="225"/>
      <c r="CO237" s="218">
        <f t="shared" si="101"/>
        <v>0.3</v>
      </c>
      <c r="CP237" s="100">
        <f t="shared" si="102"/>
        <v>0.77500000000000002</v>
      </c>
      <c r="CQ237" s="218">
        <f t="shared" si="103"/>
        <v>1.25</v>
      </c>
    </row>
    <row r="238" spans="1:95" s="100" customFormat="1" ht="16.5" hidden="1" thickBot="1" x14ac:dyDescent="0.3">
      <c r="A238" s="147"/>
      <c r="V238" s="218"/>
      <c r="AA238" s="219"/>
      <c r="AB238" s="219"/>
      <c r="AD238" s="219"/>
      <c r="AE238" s="220"/>
      <c r="AH238" s="221"/>
      <c r="AI238" s="221"/>
      <c r="AK238" s="219"/>
      <c r="AR238" s="219"/>
      <c r="BD238" s="219"/>
      <c r="BF238" s="219"/>
      <c r="BH238" s="249" t="s">
        <v>315</v>
      </c>
      <c r="BI238" s="203" t="s">
        <v>570</v>
      </c>
      <c r="BJ238" s="190" t="s">
        <v>428</v>
      </c>
      <c r="BK238" s="196">
        <v>0.2</v>
      </c>
      <c r="BL238" s="190" t="s">
        <v>412</v>
      </c>
      <c r="BM238" s="189">
        <v>0.05</v>
      </c>
      <c r="BN238" s="189">
        <v>0.39</v>
      </c>
      <c r="BO238" s="188" t="s">
        <v>258</v>
      </c>
      <c r="BP238" s="224"/>
      <c r="BS238" s="224"/>
      <c r="BT238" s="224"/>
      <c r="BU238" s="224"/>
      <c r="BV238" s="225"/>
      <c r="BW238" s="224"/>
      <c r="BX238" s="223">
        <f>0.25*0.9*25</f>
        <v>5.625</v>
      </c>
      <c r="BY238" s="222" t="s">
        <v>298</v>
      </c>
      <c r="BZ238" s="225"/>
      <c r="CA238" s="225"/>
      <c r="CB238" s="225"/>
      <c r="CC238" s="224"/>
      <c r="CD238" s="224"/>
      <c r="CE238" s="225"/>
      <c r="CF238" s="225"/>
      <c r="CG238" s="225"/>
      <c r="CH238" s="225"/>
      <c r="CI238" s="224"/>
      <c r="CJ238" s="224"/>
      <c r="CK238" s="225"/>
      <c r="CL238" s="225"/>
      <c r="CM238" s="225"/>
      <c r="CN238" s="225"/>
      <c r="CO238" s="218">
        <f t="shared" si="101"/>
        <v>0.05</v>
      </c>
      <c r="CP238" s="100">
        <f t="shared" si="102"/>
        <v>0.22</v>
      </c>
      <c r="CQ238" s="218">
        <f t="shared" si="103"/>
        <v>0.39</v>
      </c>
    </row>
    <row r="239" spans="1:95" s="100" customFormat="1" ht="16.5" hidden="1" thickBot="1" x14ac:dyDescent="0.3">
      <c r="A239" s="147"/>
      <c r="V239" s="218"/>
      <c r="AA239" s="219"/>
      <c r="AB239" s="219"/>
      <c r="AD239" s="219"/>
      <c r="AE239" s="220"/>
      <c r="AH239" s="221"/>
      <c r="AI239" s="221"/>
      <c r="AK239" s="219"/>
      <c r="AR239" s="219"/>
      <c r="BD239" s="219"/>
      <c r="BF239" s="219"/>
      <c r="BH239" s="249" t="s">
        <v>315</v>
      </c>
      <c r="BI239" s="203" t="s">
        <v>588</v>
      </c>
      <c r="BJ239" s="190" t="s">
        <v>569</v>
      </c>
      <c r="BK239" s="196">
        <v>0.48</v>
      </c>
      <c r="BL239" s="190" t="s">
        <v>568</v>
      </c>
      <c r="BM239" s="189">
        <v>0.05</v>
      </c>
      <c r="BN239" s="189">
        <v>0.32</v>
      </c>
      <c r="BO239" s="188" t="s">
        <v>258</v>
      </c>
      <c r="BP239" s="224"/>
      <c r="BS239" s="224"/>
      <c r="BT239" s="224"/>
      <c r="BU239" s="224"/>
      <c r="BV239" s="225"/>
      <c r="BW239" s="224"/>
      <c r="BX239" s="223">
        <f>0.25*0.9*25</f>
        <v>5.625</v>
      </c>
      <c r="BY239" s="222" t="s">
        <v>298</v>
      </c>
      <c r="BZ239" s="225"/>
      <c r="CA239" s="225"/>
      <c r="CB239" s="225"/>
      <c r="CC239" s="224"/>
      <c r="CD239" s="224"/>
      <c r="CE239" s="225"/>
      <c r="CF239" s="225"/>
      <c r="CG239" s="225"/>
      <c r="CH239" s="225"/>
      <c r="CI239" s="224"/>
      <c r="CJ239" s="224"/>
      <c r="CK239" s="225"/>
      <c r="CL239" s="225"/>
      <c r="CM239" s="225"/>
      <c r="CN239" s="225"/>
      <c r="CO239" s="218">
        <f t="shared" si="101"/>
        <v>0.05</v>
      </c>
      <c r="CP239" s="100">
        <f t="shared" si="102"/>
        <v>0.185</v>
      </c>
      <c r="CQ239" s="218">
        <f t="shared" si="103"/>
        <v>0.32</v>
      </c>
    </row>
    <row r="240" spans="1:95" s="100" customFormat="1" ht="16.5" hidden="1" thickBot="1" x14ac:dyDescent="0.3">
      <c r="A240" s="147"/>
      <c r="V240" s="218"/>
      <c r="AA240" s="219"/>
      <c r="AB240" s="219"/>
      <c r="AD240" s="219"/>
      <c r="AE240" s="220"/>
      <c r="AH240" s="221"/>
      <c r="AI240" s="221"/>
      <c r="AK240" s="219"/>
      <c r="AR240" s="219"/>
      <c r="BF240" s="100" t="s">
        <v>497</v>
      </c>
      <c r="BG240" s="220">
        <f>AV255</f>
        <v>5.497666666666666E-2</v>
      </c>
      <c r="BH240" s="249" t="s">
        <v>97</v>
      </c>
      <c r="BI240" s="203" t="s">
        <v>589</v>
      </c>
      <c r="BJ240" s="190" t="s">
        <v>333</v>
      </c>
      <c r="BK240" s="250">
        <f>AV255</f>
        <v>5.497666666666666E-2</v>
      </c>
      <c r="BL240" s="190" t="s">
        <v>425</v>
      </c>
      <c r="BM240" s="189">
        <v>0.05</v>
      </c>
      <c r="BN240" s="189">
        <v>0.3</v>
      </c>
      <c r="BO240" s="188" t="s">
        <v>258</v>
      </c>
      <c r="BP240" s="224"/>
      <c r="BS240" s="224"/>
      <c r="BT240" s="224"/>
      <c r="BU240" s="224"/>
      <c r="BV240" s="225"/>
      <c r="BW240" s="224"/>
      <c r="BX240" s="223"/>
      <c r="BY240" s="222"/>
      <c r="BZ240" s="225"/>
      <c r="CA240" s="225"/>
      <c r="CB240" s="225"/>
      <c r="CC240" s="224"/>
      <c r="CD240" s="224"/>
      <c r="CE240" s="225"/>
      <c r="CF240" s="225"/>
      <c r="CG240" s="225"/>
      <c r="CH240" s="225"/>
      <c r="CI240" s="224"/>
      <c r="CJ240" s="224"/>
      <c r="CK240" s="225"/>
      <c r="CL240" s="225"/>
      <c r="CM240" s="225"/>
      <c r="CN240" s="225"/>
      <c r="CO240" s="218">
        <f t="shared" si="101"/>
        <v>0.05</v>
      </c>
      <c r="CP240" s="100">
        <f t="shared" si="102"/>
        <v>0.17499999999999999</v>
      </c>
      <c r="CQ240" s="218">
        <f t="shared" si="103"/>
        <v>0.3</v>
      </c>
    </row>
    <row r="241" spans="1:95" s="100" customFormat="1" ht="16.5" hidden="1" thickBot="1" x14ac:dyDescent="0.3">
      <c r="A241" s="147"/>
      <c r="V241" s="218"/>
      <c r="AA241" s="219"/>
      <c r="AB241" s="219"/>
      <c r="AD241" s="219"/>
      <c r="AE241" s="220"/>
      <c r="AH241" s="221"/>
      <c r="AI241" s="221"/>
      <c r="AK241" s="219"/>
      <c r="AR241" s="219"/>
      <c r="BG241" s="220"/>
      <c r="BH241" s="249"/>
      <c r="BI241" s="203" t="s">
        <v>564</v>
      </c>
      <c r="BJ241" s="190" t="s">
        <v>333</v>
      </c>
      <c r="BK241" s="250">
        <f>AW255</f>
        <v>2.748833333333333E-2</v>
      </c>
      <c r="BL241" s="190" t="s">
        <v>425</v>
      </c>
      <c r="BM241" s="189">
        <v>0.05</v>
      </c>
      <c r="BN241" s="189">
        <v>0.3</v>
      </c>
      <c r="BO241" s="188" t="s">
        <v>258</v>
      </c>
      <c r="BP241" s="224"/>
      <c r="BS241" s="224"/>
      <c r="BT241" s="224"/>
      <c r="BU241" s="224"/>
      <c r="BV241" s="225"/>
      <c r="BW241" s="224"/>
      <c r="BX241" s="223"/>
      <c r="BY241" s="222"/>
      <c r="BZ241" s="225"/>
      <c r="CA241" s="225"/>
      <c r="CB241" s="225"/>
      <c r="CC241" s="224"/>
      <c r="CD241" s="224"/>
      <c r="CE241" s="225"/>
      <c r="CF241" s="225"/>
      <c r="CG241" s="225"/>
      <c r="CH241" s="225"/>
      <c r="CI241" s="224"/>
      <c r="CJ241" s="224"/>
      <c r="CK241" s="225"/>
      <c r="CL241" s="225"/>
      <c r="CM241" s="225"/>
      <c r="CN241" s="225"/>
      <c r="CO241" s="218">
        <f t="shared" si="101"/>
        <v>0.05</v>
      </c>
      <c r="CP241" s="100">
        <f t="shared" si="102"/>
        <v>0.17499999999999999</v>
      </c>
      <c r="CQ241" s="218">
        <f t="shared" si="103"/>
        <v>0.3</v>
      </c>
    </row>
    <row r="242" spans="1:95" s="100" customFormat="1" ht="16.5" hidden="1" thickBot="1" x14ac:dyDescent="0.3">
      <c r="A242" s="147"/>
      <c r="V242" s="218"/>
      <c r="AA242" s="219"/>
      <c r="AB242" s="219"/>
      <c r="AD242" s="219"/>
      <c r="AE242" s="220"/>
      <c r="AH242" s="221"/>
      <c r="AI242" s="221"/>
      <c r="AK242" s="219"/>
      <c r="AR242" s="219"/>
      <c r="BG242" s="220"/>
      <c r="BH242" s="249"/>
      <c r="BI242" s="203" t="s">
        <v>565</v>
      </c>
      <c r="BJ242" s="190" t="s">
        <v>333</v>
      </c>
      <c r="BK242" s="250">
        <f>AX255</f>
        <v>3.9583199999999999E-2</v>
      </c>
      <c r="BL242" s="190" t="s">
        <v>425</v>
      </c>
      <c r="BM242" s="189">
        <v>0.05</v>
      </c>
      <c r="BN242" s="189">
        <v>0.3</v>
      </c>
      <c r="BO242" s="188" t="s">
        <v>258</v>
      </c>
      <c r="BP242" s="224"/>
      <c r="BS242" s="224"/>
      <c r="BT242" s="224"/>
      <c r="BU242" s="224"/>
      <c r="BV242" s="225"/>
      <c r="BW242" s="224"/>
      <c r="BX242" s="223"/>
      <c r="BY242" s="222"/>
      <c r="BZ242" s="225"/>
      <c r="CA242" s="225"/>
      <c r="CB242" s="225"/>
      <c r="CC242" s="224"/>
      <c r="CD242" s="224"/>
      <c r="CE242" s="225"/>
      <c r="CF242" s="225"/>
      <c r="CG242" s="225"/>
      <c r="CH242" s="225"/>
      <c r="CI242" s="224"/>
      <c r="CJ242" s="224"/>
      <c r="CK242" s="225"/>
      <c r="CL242" s="225"/>
      <c r="CM242" s="225"/>
      <c r="CN242" s="225"/>
      <c r="CO242" s="218">
        <f t="shared" si="101"/>
        <v>0.05</v>
      </c>
      <c r="CP242" s="100">
        <f t="shared" si="102"/>
        <v>0.17499999999999999</v>
      </c>
      <c r="CQ242" s="218">
        <f t="shared" si="103"/>
        <v>0.3</v>
      </c>
    </row>
    <row r="243" spans="1:95" s="100" customFormat="1" ht="16.5" hidden="1" thickBot="1" x14ac:dyDescent="0.3">
      <c r="A243" s="147"/>
      <c r="V243" s="218"/>
      <c r="AA243" s="219"/>
      <c r="AB243" s="219"/>
      <c r="AD243" s="219"/>
      <c r="AE243" s="220"/>
      <c r="AH243" s="221"/>
      <c r="AI243" s="221"/>
      <c r="AK243" s="219"/>
      <c r="AR243" s="219"/>
      <c r="BG243" s="220"/>
      <c r="BH243" s="249"/>
      <c r="BI243" s="203" t="s">
        <v>566</v>
      </c>
      <c r="BJ243" s="190" t="s">
        <v>333</v>
      </c>
      <c r="BK243" s="250">
        <f>AY255</f>
        <v>1.9791599999999999E-2</v>
      </c>
      <c r="BL243" s="190" t="s">
        <v>425</v>
      </c>
      <c r="BM243" s="189">
        <v>0.05</v>
      </c>
      <c r="BN243" s="189">
        <v>0.3</v>
      </c>
      <c r="BO243" s="188" t="s">
        <v>258</v>
      </c>
      <c r="BP243" s="224"/>
      <c r="BS243" s="224"/>
      <c r="BT243" s="224"/>
      <c r="BU243" s="224"/>
      <c r="BV243" s="225"/>
      <c r="BW243" s="224"/>
      <c r="BX243" s="223"/>
      <c r="BY243" s="222"/>
      <c r="BZ243" s="225"/>
      <c r="CA243" s="225"/>
      <c r="CB243" s="225"/>
      <c r="CC243" s="224"/>
      <c r="CD243" s="224"/>
      <c r="CE243" s="225"/>
      <c r="CF243" s="225"/>
      <c r="CG243" s="225"/>
      <c r="CH243" s="225"/>
      <c r="CI243" s="224"/>
      <c r="CJ243" s="224"/>
      <c r="CK243" s="225"/>
      <c r="CL243" s="225"/>
      <c r="CM243" s="225"/>
      <c r="CN243" s="225"/>
      <c r="CO243" s="218">
        <f t="shared" si="101"/>
        <v>0.05</v>
      </c>
      <c r="CP243" s="100">
        <f t="shared" si="102"/>
        <v>0.17499999999999999</v>
      </c>
      <c r="CQ243" s="218">
        <f t="shared" si="103"/>
        <v>0.3</v>
      </c>
    </row>
    <row r="244" spans="1:95" s="100" customFormat="1" ht="16.5" hidden="1" thickBot="1" x14ac:dyDescent="0.3">
      <c r="A244" s="147"/>
      <c r="V244" s="218"/>
      <c r="AA244" s="219"/>
      <c r="AB244" s="219"/>
      <c r="AD244" s="219"/>
      <c r="AE244" s="220"/>
      <c r="AH244" s="221"/>
      <c r="AI244" s="221"/>
      <c r="AK244" s="219"/>
      <c r="AR244" s="219"/>
      <c r="BG244" s="220"/>
      <c r="BH244" s="249"/>
      <c r="BI244" s="203" t="s">
        <v>589</v>
      </c>
      <c r="BJ244" s="190" t="s">
        <v>333</v>
      </c>
      <c r="BK244" s="250">
        <f>AZ255</f>
        <v>2.9687399999999996E-2</v>
      </c>
      <c r="BL244" s="190" t="s">
        <v>425</v>
      </c>
      <c r="BM244" s="189">
        <v>0.05</v>
      </c>
      <c r="BN244" s="189">
        <v>0.3</v>
      </c>
      <c r="BO244" s="188" t="s">
        <v>258</v>
      </c>
      <c r="BP244" s="224"/>
      <c r="BS244" s="224"/>
      <c r="BT244" s="224"/>
      <c r="BU244" s="224"/>
      <c r="BV244" s="225"/>
      <c r="BW244" s="224"/>
      <c r="BX244" s="223"/>
      <c r="BY244" s="222"/>
      <c r="BZ244" s="225"/>
      <c r="CA244" s="225"/>
      <c r="CB244" s="225"/>
      <c r="CC244" s="224"/>
      <c r="CD244" s="224"/>
      <c r="CE244" s="225"/>
      <c r="CF244" s="225"/>
      <c r="CG244" s="225"/>
      <c r="CH244" s="225"/>
      <c r="CI244" s="224"/>
      <c r="CJ244" s="224"/>
      <c r="CK244" s="225"/>
      <c r="CL244" s="225"/>
      <c r="CM244" s="225"/>
      <c r="CN244" s="225"/>
      <c r="CO244" s="218">
        <f t="shared" si="101"/>
        <v>0.05</v>
      </c>
      <c r="CP244" s="100">
        <f t="shared" si="102"/>
        <v>0.17499999999999999</v>
      </c>
      <c r="CQ244" s="218">
        <f t="shared" si="103"/>
        <v>0.3</v>
      </c>
    </row>
    <row r="245" spans="1:95" s="100" customFormat="1" ht="16.5" hidden="1" thickBot="1" x14ac:dyDescent="0.3">
      <c r="A245" s="147"/>
      <c r="V245" s="218"/>
      <c r="AA245" s="219"/>
      <c r="AB245" s="219"/>
      <c r="AD245" s="219"/>
      <c r="AE245" s="220"/>
      <c r="AH245" s="221"/>
      <c r="AI245" s="221"/>
      <c r="AK245" s="219"/>
      <c r="AR245" s="219"/>
      <c r="BG245" s="220"/>
      <c r="BH245" s="249"/>
      <c r="BI245" s="203" t="s">
        <v>590</v>
      </c>
      <c r="BJ245" s="190" t="s">
        <v>333</v>
      </c>
      <c r="BK245" s="250">
        <f>AV256</f>
        <v>1.6666666666666666E-2</v>
      </c>
      <c r="BL245" s="190" t="s">
        <v>425</v>
      </c>
      <c r="BM245" s="189">
        <v>0.05</v>
      </c>
      <c r="BN245" s="189">
        <v>0.3</v>
      </c>
      <c r="BO245" s="188" t="s">
        <v>258</v>
      </c>
      <c r="BP245" s="224"/>
      <c r="BS245" s="224"/>
      <c r="BT245" s="224"/>
      <c r="BU245" s="224"/>
      <c r="BV245" s="225"/>
      <c r="BW245" s="224"/>
      <c r="BX245" s="223"/>
      <c r="BY245" s="222"/>
      <c r="BZ245" s="225"/>
      <c r="CA245" s="225"/>
      <c r="CB245" s="225"/>
      <c r="CC245" s="224"/>
      <c r="CD245" s="224"/>
      <c r="CE245" s="225"/>
      <c r="CF245" s="225"/>
      <c r="CG245" s="225"/>
      <c r="CH245" s="225"/>
      <c r="CI245" s="224"/>
      <c r="CJ245" s="224"/>
      <c r="CK245" s="225"/>
      <c r="CL245" s="225"/>
      <c r="CM245" s="225"/>
      <c r="CN245" s="225"/>
      <c r="CO245" s="218">
        <f t="shared" si="101"/>
        <v>0.05</v>
      </c>
      <c r="CP245" s="100">
        <f t="shared" si="102"/>
        <v>0.17499999999999999</v>
      </c>
      <c r="CQ245" s="218">
        <f t="shared" si="103"/>
        <v>0.3</v>
      </c>
    </row>
    <row r="246" spans="1:95" s="100" customFormat="1" ht="16.5" hidden="1" thickBot="1" x14ac:dyDescent="0.3">
      <c r="A246" s="147"/>
      <c r="V246" s="218"/>
      <c r="AA246" s="219"/>
      <c r="AB246" s="219"/>
      <c r="AD246" s="219"/>
      <c r="AE246" s="220"/>
      <c r="AH246" s="221"/>
      <c r="AI246" s="221"/>
      <c r="AK246" s="219"/>
      <c r="AR246" s="219"/>
      <c r="BG246" s="220"/>
      <c r="BH246" s="249"/>
      <c r="BI246" s="203" t="s">
        <v>591</v>
      </c>
      <c r="BJ246" s="190" t="s">
        <v>333</v>
      </c>
      <c r="BK246" s="250">
        <f>AV257</f>
        <v>4.9999999999999996E-2</v>
      </c>
      <c r="BL246" s="190" t="s">
        <v>425</v>
      </c>
      <c r="BM246" s="189">
        <v>0.05</v>
      </c>
      <c r="BN246" s="189">
        <v>0.3</v>
      </c>
      <c r="BO246" s="188" t="s">
        <v>258</v>
      </c>
      <c r="BP246" s="224"/>
      <c r="BS246" s="224"/>
      <c r="BT246" s="224"/>
      <c r="BU246" s="224"/>
      <c r="BV246" s="225"/>
      <c r="BW246" s="224"/>
      <c r="BX246" s="223"/>
      <c r="BY246" s="222"/>
      <c r="BZ246" s="225"/>
      <c r="CA246" s="225"/>
      <c r="CB246" s="225"/>
      <c r="CC246" s="224"/>
      <c r="CD246" s="224"/>
      <c r="CE246" s="225"/>
      <c r="CF246" s="225"/>
      <c r="CG246" s="225"/>
      <c r="CH246" s="225"/>
      <c r="CI246" s="224"/>
      <c r="CJ246" s="224"/>
      <c r="CK246" s="225"/>
      <c r="CL246" s="225"/>
      <c r="CM246" s="225"/>
      <c r="CN246" s="225"/>
      <c r="CO246" s="218">
        <f t="shared" si="101"/>
        <v>0.05</v>
      </c>
      <c r="CP246" s="100">
        <f t="shared" si="102"/>
        <v>0.17499999999999999</v>
      </c>
      <c r="CQ246" s="218">
        <f t="shared" si="103"/>
        <v>0.3</v>
      </c>
    </row>
    <row r="247" spans="1:95" s="100" customFormat="1" ht="16.5" hidden="1" thickBot="1" x14ac:dyDescent="0.3">
      <c r="A247" s="147"/>
      <c r="V247" s="218"/>
      <c r="AA247" s="219"/>
      <c r="AB247" s="219"/>
      <c r="AD247" s="219"/>
      <c r="AE247" s="220"/>
      <c r="AH247" s="221"/>
      <c r="AI247" s="221"/>
      <c r="AK247" s="219"/>
      <c r="AR247" s="219"/>
      <c r="AV247" s="100">
        <f>(0.449*0.15)+(0.171*0.4)+(0.047*0.43)+(0.026*0.24)+(0.007*0.39)</f>
        <v>0.16492999999999999</v>
      </c>
      <c r="BG247" s="220"/>
      <c r="BH247" s="249"/>
      <c r="BI247" s="203" t="s">
        <v>592</v>
      </c>
      <c r="BJ247" s="190" t="s">
        <v>333</v>
      </c>
      <c r="BK247" s="250">
        <f>AV257</f>
        <v>4.9999999999999996E-2</v>
      </c>
      <c r="BL247" s="190" t="s">
        <v>425</v>
      </c>
      <c r="BM247" s="189">
        <v>0.05</v>
      </c>
      <c r="BN247" s="189">
        <v>0.3</v>
      </c>
      <c r="BO247" s="188" t="s">
        <v>258</v>
      </c>
      <c r="BP247" s="224"/>
      <c r="BS247" s="224"/>
      <c r="BT247" s="224"/>
      <c r="BU247" s="224"/>
      <c r="BV247" s="225"/>
      <c r="BW247" s="224"/>
      <c r="BX247" s="223"/>
      <c r="BY247" s="222"/>
      <c r="BZ247" s="225"/>
      <c r="CA247" s="225"/>
      <c r="CB247" s="225"/>
      <c r="CC247" s="224"/>
      <c r="CD247" s="224"/>
      <c r="CE247" s="225"/>
      <c r="CF247" s="225"/>
      <c r="CG247" s="225"/>
      <c r="CH247" s="225"/>
      <c r="CI247" s="224"/>
      <c r="CJ247" s="224"/>
      <c r="CK247" s="225"/>
      <c r="CL247" s="225"/>
      <c r="CM247" s="225"/>
      <c r="CN247" s="225"/>
      <c r="CO247" s="218">
        <f t="shared" si="101"/>
        <v>0.05</v>
      </c>
      <c r="CP247" s="100">
        <f t="shared" si="102"/>
        <v>0.17499999999999999</v>
      </c>
      <c r="CQ247" s="218">
        <f t="shared" si="103"/>
        <v>0.3</v>
      </c>
    </row>
    <row r="248" spans="1:95" s="100" customFormat="1" ht="16.5" hidden="1" thickBot="1" x14ac:dyDescent="0.3">
      <c r="A248" s="147"/>
      <c r="V248" s="218"/>
      <c r="AA248" s="219"/>
      <c r="AB248" s="219"/>
      <c r="AD248" s="219"/>
      <c r="AE248" s="220"/>
      <c r="AH248" s="221"/>
      <c r="AI248" s="221"/>
      <c r="AK248" s="219"/>
      <c r="AR248" s="219"/>
      <c r="BG248" s="220"/>
      <c r="BH248" s="249"/>
      <c r="BI248" s="203" t="s">
        <v>593</v>
      </c>
      <c r="BJ248" s="190" t="s">
        <v>333</v>
      </c>
      <c r="BK248" s="250">
        <f t="shared" ref="BK248:BK253" si="106">AV259</f>
        <v>7.9999999999999988E-2</v>
      </c>
      <c r="BL248" s="190" t="s">
        <v>425</v>
      </c>
      <c r="BM248" s="189">
        <v>0.05</v>
      </c>
      <c r="BN248" s="189">
        <v>0.3</v>
      </c>
      <c r="BO248" s="188" t="s">
        <v>258</v>
      </c>
      <c r="BP248" s="224"/>
      <c r="BS248" s="224"/>
      <c r="BT248" s="224"/>
      <c r="BU248" s="224"/>
      <c r="BV248" s="225"/>
      <c r="BW248" s="224"/>
      <c r="BX248" s="223"/>
      <c r="BY248" s="222"/>
      <c r="BZ248" s="225"/>
      <c r="CA248" s="225"/>
      <c r="CB248" s="225"/>
      <c r="CC248" s="224"/>
      <c r="CD248" s="224"/>
      <c r="CE248" s="225"/>
      <c r="CF248" s="225"/>
      <c r="CG248" s="225"/>
      <c r="CH248" s="225"/>
      <c r="CI248" s="224"/>
      <c r="CJ248" s="224"/>
      <c r="CK248" s="225"/>
      <c r="CL248" s="225"/>
      <c r="CM248" s="225"/>
      <c r="CN248" s="225"/>
      <c r="CO248" s="218">
        <f t="shared" si="101"/>
        <v>0.05</v>
      </c>
      <c r="CP248" s="100">
        <f t="shared" si="102"/>
        <v>0.17499999999999999</v>
      </c>
      <c r="CQ248" s="218">
        <f t="shared" si="103"/>
        <v>0.3</v>
      </c>
    </row>
    <row r="249" spans="1:95" s="100" customFormat="1" ht="16.5" hidden="1" thickBot="1" x14ac:dyDescent="0.3">
      <c r="A249" s="147"/>
      <c r="V249" s="218"/>
      <c r="AA249" s="219"/>
      <c r="AB249" s="219"/>
      <c r="AD249" s="219"/>
      <c r="AE249" s="220"/>
      <c r="AH249" s="221"/>
      <c r="AI249" s="221"/>
      <c r="AK249" s="219"/>
      <c r="AR249" s="219"/>
      <c r="BG249" s="220"/>
      <c r="BH249" s="249"/>
      <c r="BI249" s="203" t="s">
        <v>594</v>
      </c>
      <c r="BJ249" s="190" t="s">
        <v>333</v>
      </c>
      <c r="BK249" s="250">
        <f t="shared" si="106"/>
        <v>0.14333333333333331</v>
      </c>
      <c r="BL249" s="190" t="s">
        <v>425</v>
      </c>
      <c r="BM249" s="189">
        <v>0.05</v>
      </c>
      <c r="BN249" s="189">
        <v>0.3</v>
      </c>
      <c r="BO249" s="188" t="s">
        <v>258</v>
      </c>
      <c r="BP249" s="224"/>
      <c r="BS249" s="224"/>
      <c r="BT249" s="224"/>
      <c r="BU249" s="224"/>
      <c r="BV249" s="225"/>
      <c r="BW249" s="224"/>
      <c r="BX249" s="223"/>
      <c r="BY249" s="222"/>
      <c r="BZ249" s="225"/>
      <c r="CA249" s="225"/>
      <c r="CB249" s="225"/>
      <c r="CC249" s="224"/>
      <c r="CD249" s="224"/>
      <c r="CE249" s="225"/>
      <c r="CF249" s="225"/>
      <c r="CG249" s="225"/>
      <c r="CH249" s="225"/>
      <c r="CI249" s="224"/>
      <c r="CJ249" s="224"/>
      <c r="CK249" s="225"/>
      <c r="CL249" s="225"/>
      <c r="CM249" s="225"/>
      <c r="CN249" s="225"/>
      <c r="CO249" s="218">
        <f t="shared" si="101"/>
        <v>0.05</v>
      </c>
      <c r="CP249" s="100">
        <f t="shared" si="102"/>
        <v>0.17499999999999999</v>
      </c>
      <c r="CQ249" s="218">
        <f t="shared" si="103"/>
        <v>0.3</v>
      </c>
    </row>
    <row r="250" spans="1:95" s="100" customFormat="1" ht="16.5" hidden="1" thickBot="1" x14ac:dyDescent="0.3">
      <c r="A250" s="147"/>
      <c r="V250" s="218"/>
      <c r="AA250" s="219"/>
      <c r="AB250" s="219"/>
      <c r="AD250" s="219"/>
      <c r="AE250" s="220"/>
      <c r="AH250" s="221"/>
      <c r="AI250" s="221"/>
      <c r="AK250" s="219"/>
      <c r="AR250" s="219"/>
      <c r="BG250" s="220"/>
      <c r="BH250" s="249"/>
      <c r="BI250" s="203" t="s">
        <v>595</v>
      </c>
      <c r="BJ250" s="190" t="s">
        <v>333</v>
      </c>
      <c r="BK250" s="250">
        <f t="shared" si="106"/>
        <v>0.13333333333333333</v>
      </c>
      <c r="BL250" s="190" t="s">
        <v>425</v>
      </c>
      <c r="BM250" s="189">
        <v>0.05</v>
      </c>
      <c r="BN250" s="189">
        <v>0.3</v>
      </c>
      <c r="BO250" s="188" t="s">
        <v>258</v>
      </c>
      <c r="BP250" s="224"/>
      <c r="BS250" s="224"/>
      <c r="BT250" s="224"/>
      <c r="BU250" s="224"/>
      <c r="BV250" s="225"/>
      <c r="BW250" s="224"/>
      <c r="BX250" s="223"/>
      <c r="BY250" s="222"/>
      <c r="BZ250" s="225"/>
      <c r="CA250" s="225"/>
      <c r="CB250" s="225"/>
      <c r="CC250" s="224"/>
      <c r="CD250" s="224"/>
      <c r="CE250" s="225"/>
      <c r="CF250" s="225"/>
      <c r="CG250" s="225"/>
      <c r="CH250" s="225"/>
      <c r="CI250" s="224"/>
      <c r="CJ250" s="224"/>
      <c r="CK250" s="225"/>
      <c r="CL250" s="225"/>
      <c r="CM250" s="225"/>
      <c r="CN250" s="225"/>
      <c r="CO250" s="218">
        <f t="shared" si="101"/>
        <v>0.05</v>
      </c>
      <c r="CP250" s="100">
        <f t="shared" si="102"/>
        <v>0.17499999999999999</v>
      </c>
      <c r="CQ250" s="218">
        <f t="shared" si="103"/>
        <v>0.3</v>
      </c>
    </row>
    <row r="251" spans="1:95" s="100" customFormat="1" ht="16.5" hidden="1" thickBot="1" x14ac:dyDescent="0.3">
      <c r="A251" s="147"/>
      <c r="V251" s="218"/>
      <c r="AA251" s="219"/>
      <c r="AB251" s="219"/>
      <c r="AD251" s="219"/>
      <c r="AE251" s="220"/>
      <c r="AH251" s="221"/>
      <c r="AI251" s="221"/>
      <c r="AK251" s="219"/>
      <c r="AR251" s="219"/>
      <c r="BG251" s="220"/>
      <c r="BH251" s="249"/>
      <c r="BI251" s="203" t="s">
        <v>596</v>
      </c>
      <c r="BJ251" s="190" t="s">
        <v>333</v>
      </c>
      <c r="BK251" s="250">
        <f t="shared" si="106"/>
        <v>0.13</v>
      </c>
      <c r="BL251" s="190" t="s">
        <v>425</v>
      </c>
      <c r="BM251" s="189">
        <v>0.05</v>
      </c>
      <c r="BN251" s="189">
        <v>0.3</v>
      </c>
      <c r="BO251" s="188" t="s">
        <v>258</v>
      </c>
      <c r="BP251" s="224"/>
      <c r="BS251" s="224"/>
      <c r="BT251" s="224"/>
      <c r="BU251" s="224"/>
      <c r="BV251" s="225"/>
      <c r="BW251" s="224"/>
      <c r="BX251" s="223"/>
      <c r="BY251" s="222"/>
      <c r="BZ251" s="225"/>
      <c r="CA251" s="225"/>
      <c r="CB251" s="225"/>
      <c r="CC251" s="224"/>
      <c r="CD251" s="224"/>
      <c r="CE251" s="225"/>
      <c r="CF251" s="225"/>
      <c r="CG251" s="225"/>
      <c r="CH251" s="225"/>
      <c r="CI251" s="224"/>
      <c r="CJ251" s="224"/>
      <c r="CK251" s="225"/>
      <c r="CL251" s="225"/>
      <c r="CM251" s="225"/>
      <c r="CN251" s="225"/>
      <c r="CO251" s="218">
        <f t="shared" si="101"/>
        <v>0.05</v>
      </c>
      <c r="CP251" s="100">
        <f t="shared" si="102"/>
        <v>0.17499999999999999</v>
      </c>
      <c r="CQ251" s="218">
        <f t="shared" si="103"/>
        <v>0.3</v>
      </c>
    </row>
    <row r="252" spans="1:95" s="100" customFormat="1" ht="16.5" hidden="1" thickBot="1" x14ac:dyDescent="0.3">
      <c r="A252" s="147"/>
      <c r="V252" s="218"/>
      <c r="AA252" s="219"/>
      <c r="AB252" s="219"/>
      <c r="AD252" s="219"/>
      <c r="AE252" s="220"/>
      <c r="AH252" s="221"/>
      <c r="AI252" s="221"/>
      <c r="AK252" s="219"/>
      <c r="AR252" s="219"/>
      <c r="BG252" s="220"/>
      <c r="BH252" s="249"/>
      <c r="BI252" s="203" t="s">
        <v>597</v>
      </c>
      <c r="BJ252" s="190" t="s">
        <v>333</v>
      </c>
      <c r="BK252" s="250">
        <f t="shared" si="106"/>
        <v>1.3333333333333332E-2</v>
      </c>
      <c r="BL252" s="190" t="s">
        <v>425</v>
      </c>
      <c r="BM252" s="189">
        <v>0.05</v>
      </c>
      <c r="BN252" s="189">
        <v>0.3</v>
      </c>
      <c r="BO252" s="188" t="s">
        <v>258</v>
      </c>
      <c r="BP252" s="224"/>
      <c r="BS252" s="224"/>
      <c r="BT252" s="224"/>
      <c r="BU252" s="224"/>
      <c r="BV252" s="225"/>
      <c r="BW252" s="224"/>
      <c r="BX252" s="223"/>
      <c r="BY252" s="222"/>
      <c r="BZ252" s="225"/>
      <c r="CA252" s="225"/>
      <c r="CB252" s="225"/>
      <c r="CC252" s="224"/>
      <c r="CD252" s="224"/>
      <c r="CE252" s="225"/>
      <c r="CF252" s="225"/>
      <c r="CG252" s="225"/>
      <c r="CH252" s="225"/>
      <c r="CI252" s="224"/>
      <c r="CJ252" s="224"/>
      <c r="CK252" s="225"/>
      <c r="CL252" s="225"/>
      <c r="CM252" s="225"/>
      <c r="CN252" s="225"/>
      <c r="CO252" s="218">
        <f t="shared" si="101"/>
        <v>0.05</v>
      </c>
      <c r="CP252" s="100">
        <f t="shared" si="102"/>
        <v>0.17499999999999999</v>
      </c>
      <c r="CQ252" s="218">
        <f t="shared" si="103"/>
        <v>0.3</v>
      </c>
    </row>
    <row r="253" spans="1:95" s="100" customFormat="1" ht="16.5" hidden="1" thickBot="1" x14ac:dyDescent="0.3">
      <c r="A253" s="147"/>
      <c r="V253" s="218"/>
      <c r="AA253" s="219"/>
      <c r="AB253" s="219"/>
      <c r="AD253" s="219"/>
      <c r="AE253" s="220"/>
      <c r="AH253" s="221"/>
      <c r="AI253" s="221"/>
      <c r="AK253" s="219"/>
      <c r="AR253" s="219"/>
      <c r="AV253" s="236" t="s">
        <v>504</v>
      </c>
      <c r="BF253" s="100" t="s">
        <v>477</v>
      </c>
      <c r="BG253" s="220">
        <f>AW255</f>
        <v>2.748833333333333E-2</v>
      </c>
      <c r="BH253" s="249"/>
      <c r="BI253" s="203" t="s">
        <v>598</v>
      </c>
      <c r="BJ253" s="190" t="s">
        <v>333</v>
      </c>
      <c r="BK253" s="250">
        <f t="shared" si="106"/>
        <v>3.3333333333333331E-3</v>
      </c>
      <c r="BL253" s="190" t="s">
        <v>425</v>
      </c>
      <c r="BM253" s="189">
        <v>0.05</v>
      </c>
      <c r="BN253" s="189">
        <v>0.3</v>
      </c>
      <c r="BO253" s="188" t="s">
        <v>258</v>
      </c>
      <c r="BP253" s="224"/>
      <c r="BS253" s="224"/>
      <c r="BT253" s="224"/>
      <c r="BU253" s="224"/>
      <c r="BV253" s="225"/>
      <c r="BW253" s="224"/>
      <c r="BX253" s="223"/>
      <c r="BY253" s="222"/>
      <c r="BZ253" s="225"/>
      <c r="CA253" s="225"/>
      <c r="CB253" s="225"/>
      <c r="CC253" s="224"/>
      <c r="CD253" s="224"/>
      <c r="CE253" s="225"/>
      <c r="CF253" s="225"/>
      <c r="CG253" s="225"/>
      <c r="CH253" s="225"/>
      <c r="CI253" s="224"/>
      <c r="CJ253" s="224"/>
      <c r="CK253" s="225"/>
      <c r="CL253" s="225"/>
      <c r="CM253" s="225"/>
      <c r="CN253" s="225"/>
      <c r="CO253" s="218">
        <f t="shared" si="101"/>
        <v>0.05</v>
      </c>
      <c r="CP253" s="100">
        <f t="shared" si="102"/>
        <v>0.17499999999999999</v>
      </c>
      <c r="CQ253" s="218">
        <f t="shared" si="103"/>
        <v>0.3</v>
      </c>
    </row>
    <row r="254" spans="1:95" s="101" customFormat="1" ht="29.25" hidden="1" thickBot="1" x14ac:dyDescent="0.3">
      <c r="A254" s="99"/>
      <c r="V254" s="103"/>
      <c r="AA254" s="104"/>
      <c r="AB254" s="104"/>
      <c r="AD254" s="104"/>
      <c r="AE254" s="105"/>
      <c r="AH254" s="106"/>
      <c r="AI254" s="106"/>
      <c r="AK254" s="104"/>
      <c r="AR254" s="104"/>
      <c r="AT254" s="227"/>
      <c r="AU254" s="228" t="s">
        <v>484</v>
      </c>
      <c r="AV254" s="227" t="s">
        <v>496</v>
      </c>
      <c r="AW254" s="227" t="s">
        <v>479</v>
      </c>
      <c r="AX254" s="227" t="s">
        <v>561</v>
      </c>
      <c r="AY254" s="227" t="s">
        <v>480</v>
      </c>
      <c r="AZ254" s="227" t="s">
        <v>483</v>
      </c>
      <c r="BA254" s="229" t="s">
        <v>119</v>
      </c>
      <c r="BB254" s="230" t="s">
        <v>1397</v>
      </c>
      <c r="BC254" s="230" t="s">
        <v>120</v>
      </c>
      <c r="BF254" s="100" t="s">
        <v>482</v>
      </c>
      <c r="BG254" s="220">
        <f>AX255</f>
        <v>3.9583199999999999E-2</v>
      </c>
      <c r="BH254" s="120" t="s">
        <v>97</v>
      </c>
      <c r="BI254" s="203" t="s">
        <v>573</v>
      </c>
      <c r="BJ254" s="190" t="s">
        <v>476</v>
      </c>
      <c r="BK254" s="196">
        <v>5.6000000000000004E-7</v>
      </c>
      <c r="BL254" s="190" t="s">
        <v>425</v>
      </c>
      <c r="BM254" s="189">
        <v>0.1</v>
      </c>
      <c r="BN254" s="189">
        <v>1</v>
      </c>
      <c r="BO254" s="188" t="s">
        <v>258</v>
      </c>
      <c r="BP254" s="190" t="s">
        <v>476</v>
      </c>
      <c r="BQ254" s="196">
        <v>9.7999999999999993E-6</v>
      </c>
      <c r="BR254" s="186" t="s">
        <v>426</v>
      </c>
      <c r="BS254" s="189">
        <v>0.1</v>
      </c>
      <c r="BT254" s="189">
        <v>1</v>
      </c>
      <c r="BU254" s="188" t="s">
        <v>258</v>
      </c>
      <c r="BV254" s="190" t="s">
        <v>476</v>
      </c>
      <c r="BW254" s="196">
        <v>0.14000000000000001</v>
      </c>
      <c r="BX254" s="186" t="s">
        <v>571</v>
      </c>
      <c r="BY254" s="189">
        <v>0.1</v>
      </c>
      <c r="BZ254" s="189">
        <v>1</v>
      </c>
      <c r="CA254" s="188" t="s">
        <v>258</v>
      </c>
      <c r="CB254" s="180"/>
      <c r="CC254" s="178"/>
      <c r="CD254" s="178"/>
      <c r="CE254" s="180"/>
      <c r="CF254" s="180"/>
      <c r="CG254" s="180"/>
      <c r="CH254" s="180"/>
      <c r="CI254" s="178"/>
      <c r="CJ254" s="178"/>
      <c r="CK254" s="180"/>
      <c r="CL254" s="180"/>
      <c r="CM254" s="180"/>
      <c r="CN254" s="225"/>
      <c r="CO254" s="218">
        <f t="shared" si="101"/>
        <v>0.1</v>
      </c>
      <c r="CP254" s="100">
        <f t="shared" si="102"/>
        <v>0.55000000000000004</v>
      </c>
      <c r="CQ254" s="218">
        <f t="shared" si="103"/>
        <v>1</v>
      </c>
    </row>
    <row r="255" spans="1:95" s="101" customFormat="1" ht="29.25" hidden="1" thickBot="1" x14ac:dyDescent="0.3">
      <c r="A255" s="99"/>
      <c r="V255" s="103"/>
      <c r="AA255" s="104"/>
      <c r="AB255" s="104"/>
      <c r="AD255" s="104"/>
      <c r="AE255" s="105"/>
      <c r="AH255" s="106"/>
      <c r="AI255" s="106"/>
      <c r="AK255" s="104"/>
      <c r="AR255" s="104"/>
      <c r="AT255" s="227" t="s">
        <v>486</v>
      </c>
      <c r="AU255" s="226" t="s">
        <v>498</v>
      </c>
      <c r="AV255" s="221">
        <f>((((0.449*0.15)+(0.171*0.4)+(0.047*0.43)+(0.026*0.24)+(0.007*0.39))*0.5*1)*0.5*(16/12))*(1-0)</f>
        <v>5.497666666666666E-2</v>
      </c>
      <c r="AW255" s="221">
        <f>((((0.449*0.15)+(0.171*0.4)+(0.047*0.43)+(0.026*0.24)+(0.007*0.39))*0.5*0.5)*0.5*(16/12))*(1-0)</f>
        <v>2.748833333333333E-2</v>
      </c>
      <c r="AX255" s="221">
        <f>((((0.449*0.15)+(0.171*0.4)+(0.047*0.43)+(0.026*0.24)+(0.007*0.39))*0.5*0.8)*0.5*(16/12))*(1-0.1)</f>
        <v>3.9583199999999999E-2</v>
      </c>
      <c r="AY255" s="221">
        <f>((((0.449*0.15)+(0.171*0.4)+(0.047*0.43)+(0.026*0.24)+(0.007*0.39))*0.5*0.4)*0.5*(16/12))*(1-0.1)</f>
        <v>1.9791599999999999E-2</v>
      </c>
      <c r="AZ255" s="221">
        <f>((((0.449*0.15)+(0.171*0.4)+(0.047*0.43)+(0.026*0.24)+(0.007*0.39))*0.5*0.6)*0.5*(16/12))*(1-0.1)</f>
        <v>2.9687399999999996E-2</v>
      </c>
      <c r="BA255" s="231">
        <f t="shared" ref="BA255:BA264" si="107">AVERAGE(AV255:AZ255)</f>
        <v>3.430544E-2</v>
      </c>
      <c r="BB255" s="231">
        <f t="shared" ref="BB255:BB264" si="108">STDEV(AV255:AZ255)</f>
        <v>1.3542573156662487E-2</v>
      </c>
      <c r="BC255" s="232">
        <f>1-((BA255-((BB255*2.78)/(SQRT(5))))/BA255)</f>
        <v>0.49079258210126564</v>
      </c>
      <c r="BF255" s="100" t="s">
        <v>481</v>
      </c>
      <c r="BG255" s="220">
        <f>AY255</f>
        <v>1.9791599999999999E-2</v>
      </c>
      <c r="BH255" s="120" t="s">
        <v>97</v>
      </c>
      <c r="BI255" s="203" t="s">
        <v>572</v>
      </c>
      <c r="BJ255" s="190" t="s">
        <v>476</v>
      </c>
      <c r="BK255" s="196">
        <v>2.3699999999999999E-4</v>
      </c>
      <c r="BL255" s="190" t="s">
        <v>425</v>
      </c>
      <c r="BM255" s="189">
        <v>0.1</v>
      </c>
      <c r="BN255" s="189">
        <v>1</v>
      </c>
      <c r="BO255" s="188" t="s">
        <v>258</v>
      </c>
      <c r="BP255" s="190" t="s">
        <v>476</v>
      </c>
      <c r="BQ255" s="196">
        <v>6.0000000000000002E-5</v>
      </c>
      <c r="BR255" s="186" t="s">
        <v>426</v>
      </c>
      <c r="BS255" s="189">
        <v>0.1</v>
      </c>
      <c r="BT255" s="189">
        <v>1</v>
      </c>
      <c r="BU255" s="188" t="s">
        <v>258</v>
      </c>
      <c r="BV255" s="190" t="s">
        <v>476</v>
      </c>
      <c r="BW255" s="196">
        <v>0.23</v>
      </c>
      <c r="BX255" s="186" t="s">
        <v>571</v>
      </c>
      <c r="BY255" s="189">
        <v>0.1</v>
      </c>
      <c r="BZ255" s="189">
        <v>1</v>
      </c>
      <c r="CA255" s="188" t="s">
        <v>258</v>
      </c>
      <c r="CB255" s="180"/>
      <c r="CC255" s="178"/>
      <c r="CD255" s="178"/>
      <c r="CE255" s="180"/>
      <c r="CF255" s="180"/>
      <c r="CG255" s="180"/>
      <c r="CH255" s="180"/>
      <c r="CI255" s="178"/>
      <c r="CJ255" s="178"/>
      <c r="CK255" s="180"/>
      <c r="CL255" s="180"/>
      <c r="CM255" s="180"/>
      <c r="CN255" s="225"/>
      <c r="CO255" s="218">
        <f t="shared" si="101"/>
        <v>0.1</v>
      </c>
      <c r="CP255" s="100">
        <f t="shared" si="102"/>
        <v>0.55000000000000004</v>
      </c>
      <c r="CQ255" s="218">
        <f t="shared" si="103"/>
        <v>1</v>
      </c>
    </row>
    <row r="256" spans="1:95" s="101" customFormat="1" ht="29.25" hidden="1" thickBot="1" x14ac:dyDescent="0.3">
      <c r="A256" s="99"/>
      <c r="V256" s="103"/>
      <c r="AA256" s="104"/>
      <c r="AB256" s="104"/>
      <c r="AD256" s="104"/>
      <c r="AE256" s="105"/>
      <c r="AH256" s="106"/>
      <c r="AI256" s="106"/>
      <c r="AK256" s="104"/>
      <c r="AR256" s="104"/>
      <c r="AT256" s="227" t="s">
        <v>562</v>
      </c>
      <c r="AU256" s="226">
        <v>0.05</v>
      </c>
      <c r="AV256" s="221">
        <f>((AU256*0.5*1)*0.5*(16/12))*(1-0)</f>
        <v>1.6666666666666666E-2</v>
      </c>
      <c r="AW256" s="221">
        <f>((AU256*0.5*0.5)*0.5*(16/12))*(1-0)</f>
        <v>8.3333333333333332E-3</v>
      </c>
      <c r="AX256" s="221">
        <f>((AU256*0.5*0.8)*0.5*(16/12))*(1-0.1)</f>
        <v>1.2000000000000002E-2</v>
      </c>
      <c r="AY256" s="221">
        <f t="shared" ref="AY256:AY264" si="109">((AU256*0.5*0.4)*0.5*(16/12))*(1-0.1)</f>
        <v>6.000000000000001E-3</v>
      </c>
      <c r="AZ256" s="221">
        <f t="shared" ref="AZ256:AZ264" si="110">((AU256*0.5*0.6)*0.5*(16/12))*(1-0.1)</f>
        <v>8.9999999999999993E-3</v>
      </c>
      <c r="BA256" s="231">
        <f t="shared" si="107"/>
        <v>1.0400000000000001E-2</v>
      </c>
      <c r="BB256" s="231">
        <f t="shared" si="108"/>
        <v>4.1055517967205765E-3</v>
      </c>
      <c r="BC256" s="232">
        <f>1-((BA256-((BB256*2.78)/(SQRT(5))))/BA256)</f>
        <v>0.49079258210126586</v>
      </c>
      <c r="BF256" s="100" t="s">
        <v>478</v>
      </c>
      <c r="BG256" s="220">
        <f>AZ255</f>
        <v>2.9687399999999996E-2</v>
      </c>
      <c r="BH256" s="120" t="s">
        <v>97</v>
      </c>
      <c r="BI256" s="203" t="s">
        <v>574</v>
      </c>
      <c r="BJ256" s="190" t="s">
        <v>476</v>
      </c>
      <c r="BK256" s="196">
        <v>6.4999999999999997E-3</v>
      </c>
      <c r="BL256" s="190" t="s">
        <v>425</v>
      </c>
      <c r="BM256" s="189">
        <v>0.1</v>
      </c>
      <c r="BN256" s="189">
        <v>1</v>
      </c>
      <c r="BO256" s="188" t="s">
        <v>258</v>
      </c>
      <c r="BP256" s="190" t="s">
        <v>476</v>
      </c>
      <c r="BQ256" s="196">
        <v>1.4999999999999999E-4</v>
      </c>
      <c r="BR256" s="186" t="s">
        <v>426</v>
      </c>
      <c r="BS256" s="189">
        <v>0.1</v>
      </c>
      <c r="BT256" s="189">
        <v>1</v>
      </c>
      <c r="BU256" s="188" t="s">
        <v>258</v>
      </c>
      <c r="BV256" s="190" t="s">
        <v>476</v>
      </c>
      <c r="BW256" s="196">
        <v>1.38</v>
      </c>
      <c r="BX256" s="186" t="s">
        <v>571</v>
      </c>
      <c r="BY256" s="189">
        <v>0.1</v>
      </c>
      <c r="BZ256" s="189">
        <v>1</v>
      </c>
      <c r="CA256" s="188" t="s">
        <v>258</v>
      </c>
      <c r="CB256" s="180"/>
      <c r="CC256" s="178"/>
      <c r="CD256" s="178"/>
      <c r="CE256" s="180"/>
      <c r="CF256" s="180"/>
      <c r="CG256" s="180"/>
      <c r="CH256" s="180"/>
      <c r="CI256" s="178"/>
      <c r="CJ256" s="178"/>
      <c r="CK256" s="180"/>
      <c r="CL256" s="180"/>
      <c r="CM256" s="180"/>
      <c r="CN256" s="225"/>
      <c r="CO256" s="218">
        <f t="shared" si="101"/>
        <v>0.1</v>
      </c>
      <c r="CP256" s="100">
        <f t="shared" si="102"/>
        <v>0.55000000000000004</v>
      </c>
      <c r="CQ256" s="218">
        <f t="shared" si="103"/>
        <v>1</v>
      </c>
    </row>
    <row r="257" spans="1:110" s="101" customFormat="1" ht="29.25" hidden="1" thickBot="1" x14ac:dyDescent="0.3">
      <c r="A257" s="99"/>
      <c r="V257" s="103"/>
      <c r="AA257" s="104"/>
      <c r="AB257" s="104"/>
      <c r="AD257" s="104"/>
      <c r="AE257" s="105"/>
      <c r="AH257" s="106"/>
      <c r="AI257" s="106"/>
      <c r="AK257" s="104"/>
      <c r="AR257" s="104"/>
      <c r="AT257" s="227" t="s">
        <v>485</v>
      </c>
      <c r="AU257" s="226">
        <v>0.15</v>
      </c>
      <c r="AV257" s="221">
        <f>((AU257*0.5*1)*0.5*(16/12))*(1-0)</f>
        <v>4.9999999999999996E-2</v>
      </c>
      <c r="AW257" s="221">
        <f>((AU257*0.5*0.5)*0.5*(16/12))*(1-0)</f>
        <v>2.4999999999999998E-2</v>
      </c>
      <c r="AX257" s="221">
        <f>((AU257*0.5*0.8)*0.5*(16/12))*(1-0.1)</f>
        <v>3.5999999999999997E-2</v>
      </c>
      <c r="AY257" s="221">
        <f t="shared" si="109"/>
        <v>1.7999999999999999E-2</v>
      </c>
      <c r="AZ257" s="221">
        <f t="shared" si="110"/>
        <v>2.7E-2</v>
      </c>
      <c r="BA257" s="231">
        <f t="shared" si="107"/>
        <v>3.1199999999999995E-2</v>
      </c>
      <c r="BB257" s="231">
        <f t="shared" si="108"/>
        <v>1.2316655390161741E-2</v>
      </c>
      <c r="BC257" s="232">
        <f t="shared" ref="BC257:BC264" si="111">1-((BA257-((BB257*2.78)/(SQRT(5))))/BA257)</f>
        <v>0.49079258210126642</v>
      </c>
      <c r="BF257" s="220"/>
      <c r="BG257" s="220"/>
      <c r="BH257" s="120" t="s">
        <v>97</v>
      </c>
      <c r="BI257" s="203" t="s">
        <v>575</v>
      </c>
      <c r="BJ257" s="190" t="s">
        <v>476</v>
      </c>
      <c r="BK257" s="196">
        <v>5.6000000000000004E-7</v>
      </c>
      <c r="BL257" s="190" t="s">
        <v>425</v>
      </c>
      <c r="BM257" s="189">
        <v>0.1</v>
      </c>
      <c r="BN257" s="189">
        <v>1</v>
      </c>
      <c r="BO257" s="188" t="s">
        <v>258</v>
      </c>
      <c r="BP257" s="190" t="s">
        <v>476</v>
      </c>
      <c r="BQ257" s="196">
        <v>1E-4</v>
      </c>
      <c r="BR257" s="186" t="s">
        <v>426</v>
      </c>
      <c r="BS257" s="189">
        <v>0.1</v>
      </c>
      <c r="BT257" s="189">
        <v>1</v>
      </c>
      <c r="BU257" s="188" t="s">
        <v>258</v>
      </c>
      <c r="BV257" s="190" t="s">
        <v>476</v>
      </c>
      <c r="BW257" s="196">
        <v>0.56999999999999995</v>
      </c>
      <c r="BX257" s="186" t="s">
        <v>571</v>
      </c>
      <c r="BY257" s="189">
        <v>0.1</v>
      </c>
      <c r="BZ257" s="189">
        <v>1</v>
      </c>
      <c r="CA257" s="188" t="s">
        <v>258</v>
      </c>
      <c r="CB257" s="180"/>
      <c r="CC257" s="178"/>
      <c r="CD257" s="178"/>
      <c r="CE257" s="180"/>
      <c r="CF257" s="180"/>
      <c r="CG257" s="180"/>
      <c r="CH257" s="180"/>
      <c r="CI257" s="178"/>
      <c r="CJ257" s="178"/>
      <c r="CK257" s="180"/>
      <c r="CL257" s="180"/>
      <c r="CM257" s="180"/>
      <c r="CN257" s="225"/>
      <c r="CO257" s="218">
        <f t="shared" si="101"/>
        <v>0.1</v>
      </c>
      <c r="CP257" s="100">
        <f t="shared" si="102"/>
        <v>0.55000000000000004</v>
      </c>
      <c r="CQ257" s="218">
        <f t="shared" si="103"/>
        <v>1</v>
      </c>
    </row>
    <row r="258" spans="1:110" s="101" customFormat="1" ht="29.25" hidden="1" thickBot="1" x14ac:dyDescent="0.3">
      <c r="A258" s="99"/>
      <c r="V258" s="103"/>
      <c r="AA258" s="104"/>
      <c r="AB258" s="104"/>
      <c r="AD258" s="104"/>
      <c r="AE258" s="105"/>
      <c r="AH258" s="106"/>
      <c r="AI258" s="106"/>
      <c r="AK258" s="104"/>
      <c r="AR258" s="104"/>
      <c r="AT258" s="227" t="s">
        <v>488</v>
      </c>
      <c r="AU258" s="226">
        <v>0.15</v>
      </c>
      <c r="AV258" s="221">
        <f t="shared" ref="AV258:AV264" si="112">((AU258*0.5*1)*0.5*(16/12))*(1-0)</f>
        <v>4.9999999999999996E-2</v>
      </c>
      <c r="AW258" s="221">
        <f t="shared" ref="AW258:AW264" si="113">((AU258*0.5*0.5)*0.5*(16/12))*(1-0)</f>
        <v>2.4999999999999998E-2</v>
      </c>
      <c r="AX258" s="221">
        <f t="shared" ref="AX258:AX264" si="114">((AU258*0.5*0.8)*0.5*(16/12))*(1-0.1)</f>
        <v>3.5999999999999997E-2</v>
      </c>
      <c r="AY258" s="221">
        <f t="shared" si="109"/>
        <v>1.7999999999999999E-2</v>
      </c>
      <c r="AZ258" s="221">
        <f t="shared" si="110"/>
        <v>2.7E-2</v>
      </c>
      <c r="BA258" s="231">
        <f t="shared" si="107"/>
        <v>3.1199999999999995E-2</v>
      </c>
      <c r="BB258" s="231">
        <f t="shared" si="108"/>
        <v>1.2316655390161741E-2</v>
      </c>
      <c r="BC258" s="232">
        <f t="shared" si="111"/>
        <v>0.49079258210126642</v>
      </c>
      <c r="BE258" s="220"/>
      <c r="BF258" s="220"/>
      <c r="BH258" s="120" t="s">
        <v>97</v>
      </c>
      <c r="BI258" s="203" t="s">
        <v>599</v>
      </c>
      <c r="BJ258" s="190" t="s">
        <v>476</v>
      </c>
      <c r="BK258" s="196">
        <v>5.6000000000000004E-7</v>
      </c>
      <c r="BL258" s="190" t="s">
        <v>425</v>
      </c>
      <c r="BM258" s="189">
        <v>0.1</v>
      </c>
      <c r="BN258" s="189">
        <v>1</v>
      </c>
      <c r="BO258" s="188" t="s">
        <v>258</v>
      </c>
      <c r="BP258" s="190" t="s">
        <v>476</v>
      </c>
      <c r="BQ258" s="196">
        <v>4.2000000000000002E-4</v>
      </c>
      <c r="BR258" s="186" t="s">
        <v>426</v>
      </c>
      <c r="BS258" s="189">
        <v>0.1</v>
      </c>
      <c r="BT258" s="189">
        <v>1</v>
      </c>
      <c r="BU258" s="188" t="s">
        <v>258</v>
      </c>
      <c r="BV258" s="190" t="s">
        <v>476</v>
      </c>
      <c r="BW258" s="196">
        <v>0.17</v>
      </c>
      <c r="BX258" s="186" t="s">
        <v>571</v>
      </c>
      <c r="BY258" s="189">
        <v>0.1</v>
      </c>
      <c r="BZ258" s="189">
        <v>1</v>
      </c>
      <c r="CA258" s="188" t="s">
        <v>258</v>
      </c>
      <c r="CB258" s="180"/>
      <c r="CC258" s="178"/>
      <c r="CD258" s="178"/>
      <c r="CE258" s="180"/>
      <c r="CF258" s="180"/>
      <c r="CG258" s="180"/>
      <c r="CH258" s="180"/>
      <c r="CI258" s="178"/>
      <c r="CJ258" s="178"/>
      <c r="CK258" s="180"/>
      <c r="CL258" s="180"/>
      <c r="CM258" s="180"/>
      <c r="CN258" s="225"/>
      <c r="CO258" s="218">
        <f t="shared" si="101"/>
        <v>0.1</v>
      </c>
      <c r="CP258" s="100">
        <f t="shared" si="102"/>
        <v>0.55000000000000004</v>
      </c>
      <c r="CQ258" s="218">
        <f t="shared" si="103"/>
        <v>1</v>
      </c>
    </row>
    <row r="259" spans="1:110" s="101" customFormat="1" ht="29.25" hidden="1" thickBot="1" x14ac:dyDescent="0.3">
      <c r="A259" s="99"/>
      <c r="V259" s="103"/>
      <c r="AA259" s="104"/>
      <c r="AB259" s="104"/>
      <c r="AD259" s="104"/>
      <c r="AE259" s="105"/>
      <c r="AH259" s="106"/>
      <c r="AI259" s="106"/>
      <c r="AK259" s="104"/>
      <c r="AR259" s="104"/>
      <c r="AT259" s="227" t="s">
        <v>487</v>
      </c>
      <c r="AU259" s="226">
        <v>0.24</v>
      </c>
      <c r="AV259" s="221">
        <f t="shared" si="112"/>
        <v>7.9999999999999988E-2</v>
      </c>
      <c r="AW259" s="221">
        <f t="shared" si="113"/>
        <v>3.9999999999999994E-2</v>
      </c>
      <c r="AX259" s="221">
        <f t="shared" si="114"/>
        <v>5.7600000000000005E-2</v>
      </c>
      <c r="AY259" s="221">
        <f t="shared" si="109"/>
        <v>2.8800000000000003E-2</v>
      </c>
      <c r="AZ259" s="221">
        <f t="shared" si="110"/>
        <v>4.3199999999999995E-2</v>
      </c>
      <c r="BA259" s="231">
        <f t="shared" si="107"/>
        <v>4.9919999999999992E-2</v>
      </c>
      <c r="BB259" s="231">
        <f t="shared" si="108"/>
        <v>1.9706648624258784E-2</v>
      </c>
      <c r="BC259" s="232">
        <f t="shared" si="111"/>
        <v>0.49079258210126631</v>
      </c>
      <c r="BE259" s="220"/>
      <c r="BF259" s="220"/>
      <c r="BH259" s="120" t="s">
        <v>97</v>
      </c>
      <c r="BI259" s="203" t="s">
        <v>600</v>
      </c>
      <c r="BJ259" s="190" t="s">
        <v>476</v>
      </c>
      <c r="BK259" s="196">
        <v>9.7000000000000003E-6</v>
      </c>
      <c r="BL259" s="190" t="s">
        <v>425</v>
      </c>
      <c r="BM259" s="189">
        <v>0.1</v>
      </c>
      <c r="BN259" s="189">
        <v>1</v>
      </c>
      <c r="BO259" s="188" t="s">
        <v>258</v>
      </c>
      <c r="BP259" s="190" t="s">
        <v>476</v>
      </c>
      <c r="BQ259" s="196">
        <v>8.9999999999999998E-4</v>
      </c>
      <c r="BR259" s="186" t="s">
        <v>426</v>
      </c>
      <c r="BS259" s="189">
        <v>0.1</v>
      </c>
      <c r="BT259" s="189">
        <v>1</v>
      </c>
      <c r="BU259" s="188" t="s">
        <v>258</v>
      </c>
      <c r="BV259" s="190" t="s">
        <v>476</v>
      </c>
      <c r="BW259" s="196">
        <v>0.57999999999999996</v>
      </c>
      <c r="BX259" s="186" t="s">
        <v>571</v>
      </c>
      <c r="BY259" s="189">
        <v>0.1</v>
      </c>
      <c r="BZ259" s="189">
        <v>1</v>
      </c>
      <c r="CA259" s="188" t="s">
        <v>258</v>
      </c>
      <c r="CB259" s="180"/>
      <c r="CC259" s="178"/>
      <c r="CD259" s="178"/>
      <c r="CE259" s="180"/>
      <c r="CF259" s="180"/>
      <c r="CG259" s="180"/>
      <c r="CH259" s="180"/>
      <c r="CI259" s="178"/>
      <c r="CJ259" s="178"/>
      <c r="CK259" s="180"/>
      <c r="CL259" s="180"/>
      <c r="CM259" s="180"/>
      <c r="CN259" s="225"/>
      <c r="CO259" s="218">
        <f t="shared" si="101"/>
        <v>0.1</v>
      </c>
      <c r="CP259" s="100">
        <f t="shared" si="102"/>
        <v>0.55000000000000004</v>
      </c>
      <c r="CQ259" s="218">
        <f t="shared" si="103"/>
        <v>1</v>
      </c>
    </row>
    <row r="260" spans="1:110" s="101" customFormat="1" ht="29.25" hidden="1" thickBot="1" x14ac:dyDescent="0.3">
      <c r="A260" s="99"/>
      <c r="V260" s="103"/>
      <c r="AA260" s="104"/>
      <c r="AB260" s="104"/>
      <c r="AD260" s="104"/>
      <c r="AE260" s="105"/>
      <c r="AH260" s="106"/>
      <c r="AI260" s="106"/>
      <c r="AK260" s="104"/>
      <c r="AR260" s="104"/>
      <c r="AT260" s="227" t="s">
        <v>489</v>
      </c>
      <c r="AU260" s="226">
        <v>0.43</v>
      </c>
      <c r="AV260" s="221">
        <f t="shared" si="112"/>
        <v>0.14333333333333331</v>
      </c>
      <c r="AW260" s="221">
        <f t="shared" si="113"/>
        <v>7.1666666666666656E-2</v>
      </c>
      <c r="AX260" s="221">
        <f t="shared" si="114"/>
        <v>0.1032</v>
      </c>
      <c r="AY260" s="221">
        <f t="shared" si="109"/>
        <v>5.16E-2</v>
      </c>
      <c r="AZ260" s="221">
        <f t="shared" si="110"/>
        <v>7.7399999999999997E-2</v>
      </c>
      <c r="BA260" s="231">
        <f t="shared" si="107"/>
        <v>8.9439999999999992E-2</v>
      </c>
      <c r="BB260" s="231">
        <f t="shared" si="108"/>
        <v>3.5307745451796956E-2</v>
      </c>
      <c r="BC260" s="232">
        <f t="shared" si="111"/>
        <v>0.49079258210126586</v>
      </c>
      <c r="BE260" s="220"/>
      <c r="BF260" s="220"/>
      <c r="BH260" s="120" t="s">
        <v>97</v>
      </c>
      <c r="BI260" s="203" t="s">
        <v>1398</v>
      </c>
      <c r="BJ260" s="190" t="s">
        <v>476</v>
      </c>
      <c r="BK260" s="196">
        <v>9.7000000000000003E-6</v>
      </c>
      <c r="BL260" s="190" t="s">
        <v>425</v>
      </c>
      <c r="BM260" s="189">
        <v>0.1</v>
      </c>
      <c r="BN260" s="189">
        <v>1</v>
      </c>
      <c r="BO260" s="188" t="s">
        <v>258</v>
      </c>
      <c r="BP260" s="190" t="s">
        <v>476</v>
      </c>
      <c r="BQ260" s="196">
        <v>4.4999999999999999E-4</v>
      </c>
      <c r="BR260" s="186" t="s">
        <v>426</v>
      </c>
      <c r="BS260" s="189">
        <v>0.1</v>
      </c>
      <c r="BT260" s="189">
        <v>1</v>
      </c>
      <c r="BU260" s="188" t="s">
        <v>258</v>
      </c>
      <c r="BV260" s="190" t="s">
        <v>476</v>
      </c>
      <c r="BW260" s="196">
        <v>1.47</v>
      </c>
      <c r="BX260" s="186" t="s">
        <v>571</v>
      </c>
      <c r="BY260" s="189">
        <v>0.1</v>
      </c>
      <c r="BZ260" s="189">
        <v>1</v>
      </c>
      <c r="CA260" s="188" t="s">
        <v>258</v>
      </c>
      <c r="CB260" s="180"/>
      <c r="CC260" s="178"/>
      <c r="CD260" s="178"/>
      <c r="CE260" s="180"/>
      <c r="CF260" s="180"/>
      <c r="CG260" s="180"/>
      <c r="CH260" s="180"/>
      <c r="CI260" s="178"/>
      <c r="CJ260" s="178"/>
      <c r="CK260" s="180"/>
      <c r="CL260" s="180"/>
      <c r="CM260" s="180"/>
      <c r="CN260" s="225"/>
      <c r="CO260" s="218">
        <f t="shared" si="101"/>
        <v>0.1</v>
      </c>
      <c r="CP260" s="100">
        <f t="shared" si="102"/>
        <v>0.55000000000000004</v>
      </c>
      <c r="CQ260" s="218">
        <f t="shared" si="103"/>
        <v>1</v>
      </c>
    </row>
    <row r="261" spans="1:110" s="101" customFormat="1" hidden="1" x14ac:dyDescent="0.25">
      <c r="A261" s="99"/>
      <c r="V261" s="103"/>
      <c r="AA261" s="104"/>
      <c r="AB261" s="104"/>
      <c r="AD261" s="104"/>
      <c r="AE261" s="105"/>
      <c r="AH261" s="106"/>
      <c r="AI261" s="106"/>
      <c r="AK261" s="104"/>
      <c r="AR261" s="104"/>
      <c r="AT261" s="227" t="s">
        <v>490</v>
      </c>
      <c r="AU261" s="226">
        <v>0.4</v>
      </c>
      <c r="AV261" s="221">
        <f t="shared" si="112"/>
        <v>0.13333333333333333</v>
      </c>
      <c r="AW261" s="221">
        <f t="shared" si="113"/>
        <v>6.6666666666666666E-2</v>
      </c>
      <c r="AX261" s="221">
        <f t="shared" si="114"/>
        <v>9.6000000000000016E-2</v>
      </c>
      <c r="AY261" s="221">
        <f t="shared" si="109"/>
        <v>4.8000000000000008E-2</v>
      </c>
      <c r="AZ261" s="221">
        <f t="shared" si="110"/>
        <v>7.1999999999999995E-2</v>
      </c>
      <c r="BA261" s="231">
        <f t="shared" si="107"/>
        <v>8.320000000000001E-2</v>
      </c>
      <c r="BB261" s="231">
        <f t="shared" si="108"/>
        <v>3.2844414373764612E-2</v>
      </c>
      <c r="BC261" s="232">
        <f t="shared" si="111"/>
        <v>0.49079258210126586</v>
      </c>
      <c r="BE261" s="220"/>
      <c r="BF261" s="220"/>
      <c r="BH261" s="99"/>
      <c r="BI261" s="102"/>
      <c r="BJ261" s="178"/>
      <c r="BK261" s="178"/>
      <c r="BL261" s="178"/>
      <c r="BM261" s="169"/>
      <c r="BN261" s="169"/>
      <c r="BO261" s="169"/>
      <c r="BP261" s="178"/>
      <c r="BQ261" s="178"/>
      <c r="BR261" s="178"/>
      <c r="BS261" s="178"/>
      <c r="BT261" s="178"/>
      <c r="BU261" s="178"/>
      <c r="BV261" s="180"/>
      <c r="BW261" s="178"/>
      <c r="BX261" s="178"/>
      <c r="BY261" s="180"/>
      <c r="BZ261" s="180"/>
      <c r="CA261" s="180"/>
      <c r="CB261" s="180"/>
      <c r="CC261" s="178"/>
      <c r="CD261" s="178"/>
      <c r="CE261" s="180"/>
      <c r="CF261" s="180"/>
      <c r="CG261" s="180"/>
      <c r="CH261" s="180"/>
      <c r="CI261" s="178"/>
      <c r="CJ261" s="178"/>
      <c r="CK261" s="180"/>
      <c r="CL261" s="180"/>
      <c r="CM261" s="180"/>
      <c r="CN261" s="225"/>
      <c r="CO261" s="218">
        <f t="shared" si="101"/>
        <v>0</v>
      </c>
      <c r="CP261" s="100">
        <f t="shared" si="102"/>
        <v>0</v>
      </c>
      <c r="CQ261" s="218">
        <f t="shared" si="103"/>
        <v>0</v>
      </c>
    </row>
    <row r="262" spans="1:110" s="101" customFormat="1" ht="18.75" hidden="1" thickBot="1" x14ac:dyDescent="0.3">
      <c r="A262" s="99"/>
      <c r="V262" s="103"/>
      <c r="AA262" s="104"/>
      <c r="AB262" s="104"/>
      <c r="AD262" s="104"/>
      <c r="AE262" s="105"/>
      <c r="AH262" s="106"/>
      <c r="AI262" s="106"/>
      <c r="AK262" s="104"/>
      <c r="AR262" s="104"/>
      <c r="AT262" s="227" t="s">
        <v>491</v>
      </c>
      <c r="AU262" s="226">
        <v>0.39</v>
      </c>
      <c r="AV262" s="221">
        <f t="shared" si="112"/>
        <v>0.13</v>
      </c>
      <c r="AW262" s="221">
        <f t="shared" si="113"/>
        <v>6.5000000000000002E-2</v>
      </c>
      <c r="AX262" s="221">
        <f t="shared" si="114"/>
        <v>9.3600000000000017E-2</v>
      </c>
      <c r="AY262" s="221">
        <f t="shared" si="109"/>
        <v>4.6800000000000008E-2</v>
      </c>
      <c r="AZ262" s="221">
        <f t="shared" si="110"/>
        <v>7.0199999999999985E-2</v>
      </c>
      <c r="BA262" s="231">
        <f t="shared" si="107"/>
        <v>8.1119999999999998E-2</v>
      </c>
      <c r="BB262" s="231">
        <f t="shared" si="108"/>
        <v>3.2023304014420516E-2</v>
      </c>
      <c r="BC262" s="232">
        <f t="shared" si="111"/>
        <v>0.49079258210126619</v>
      </c>
      <c r="BE262" s="219"/>
      <c r="BH262" s="99"/>
      <c r="BI262" s="102"/>
      <c r="BJ262" s="178"/>
      <c r="BK262" s="178"/>
      <c r="BL262" s="178"/>
      <c r="BM262" s="169"/>
      <c r="BN262" s="169"/>
      <c r="BO262" s="169"/>
      <c r="BP262" s="178"/>
      <c r="BQ262" s="178"/>
      <c r="BR262" s="178"/>
      <c r="BS262" s="178"/>
      <c r="BT262" s="178"/>
      <c r="BU262" s="178"/>
      <c r="BV262" s="180"/>
      <c r="BW262" s="178"/>
      <c r="BX262" s="178"/>
      <c r="BY262" s="180"/>
      <c r="BZ262" s="180"/>
      <c r="CA262" s="180"/>
      <c r="CB262" s="102"/>
      <c r="CC262" s="102"/>
      <c r="CD262" s="102"/>
      <c r="CE262" s="102"/>
      <c r="CF262" s="102"/>
      <c r="CG262" s="102"/>
      <c r="CH262" s="102"/>
      <c r="CI262" s="102"/>
      <c r="CJ262" s="102"/>
      <c r="CK262" s="102"/>
      <c r="CL262" s="102"/>
      <c r="CM262" s="102"/>
      <c r="CN262" s="100"/>
      <c r="CO262" s="218">
        <f t="shared" si="101"/>
        <v>0</v>
      </c>
      <c r="CP262" s="100">
        <f t="shared" si="102"/>
        <v>0</v>
      </c>
      <c r="CQ262" s="218">
        <f t="shared" si="103"/>
        <v>0</v>
      </c>
      <c r="CZ262" s="116" t="s">
        <v>377</v>
      </c>
      <c r="DA262" s="116" t="s">
        <v>378</v>
      </c>
      <c r="DC262" s="116" t="s">
        <v>388</v>
      </c>
      <c r="DD262" s="116"/>
      <c r="DE262" s="116"/>
      <c r="DF262" s="116"/>
    </row>
    <row r="263" spans="1:110" s="101" customFormat="1" ht="33" hidden="1" customHeight="1" x14ac:dyDescent="0.25">
      <c r="A263" s="99"/>
      <c r="V263" s="103"/>
      <c r="AA263" s="104"/>
      <c r="AB263" s="104"/>
      <c r="AD263" s="104"/>
      <c r="AE263" s="105"/>
      <c r="AH263" s="106"/>
      <c r="AI263" s="106"/>
      <c r="AK263" s="104"/>
      <c r="AR263" s="104"/>
      <c r="AT263" s="227" t="s">
        <v>499</v>
      </c>
      <c r="AU263" s="226">
        <v>0.04</v>
      </c>
      <c r="AV263" s="221">
        <f t="shared" si="112"/>
        <v>1.3333333333333332E-2</v>
      </c>
      <c r="AW263" s="221">
        <f t="shared" si="113"/>
        <v>6.6666666666666662E-3</v>
      </c>
      <c r="AX263" s="221">
        <f t="shared" si="114"/>
        <v>9.5999999999999992E-3</v>
      </c>
      <c r="AY263" s="221">
        <f t="shared" si="109"/>
        <v>4.7999999999999996E-3</v>
      </c>
      <c r="AZ263" s="221">
        <f t="shared" si="110"/>
        <v>7.2000000000000007E-3</v>
      </c>
      <c r="BA263" s="231">
        <f t="shared" si="107"/>
        <v>8.3199999999999975E-3</v>
      </c>
      <c r="BB263" s="231">
        <f t="shared" si="108"/>
        <v>3.2844414373764635E-3</v>
      </c>
      <c r="BC263" s="232">
        <f t="shared" si="111"/>
        <v>0.49079258210126642</v>
      </c>
      <c r="BE263" s="104"/>
      <c r="BH263" s="99"/>
      <c r="BI263" s="1606" t="s">
        <v>334</v>
      </c>
      <c r="BJ263" s="1606" t="s">
        <v>253</v>
      </c>
      <c r="BK263" s="1606" t="s">
        <v>279</v>
      </c>
      <c r="BL263" s="183"/>
      <c r="BM263" s="1606" t="s">
        <v>233</v>
      </c>
      <c r="BN263" s="1606" t="s">
        <v>233</v>
      </c>
      <c r="BO263" s="1606" t="s">
        <v>240</v>
      </c>
      <c r="BP263" s="178"/>
      <c r="BQ263" s="178"/>
      <c r="BR263" s="178"/>
      <c r="BS263" s="178"/>
      <c r="BT263" s="178"/>
      <c r="BU263" s="178"/>
      <c r="BV263" s="180"/>
      <c r="BW263" s="178"/>
      <c r="BX263" s="178"/>
      <c r="BY263" s="180"/>
      <c r="BZ263" s="180"/>
      <c r="CA263" s="180"/>
      <c r="CB263" s="102"/>
      <c r="CC263" s="102"/>
      <c r="CD263" s="102"/>
      <c r="CE263" s="102"/>
      <c r="CF263" s="102"/>
      <c r="CG263" s="102"/>
      <c r="CH263" s="102"/>
      <c r="CI263" s="102"/>
      <c r="CJ263" s="102"/>
      <c r="CK263" s="102"/>
      <c r="CL263" s="102"/>
      <c r="CM263" s="102"/>
      <c r="CN263" s="100"/>
      <c r="CO263" s="218" t="str">
        <f t="shared" ref="CO263:CO326" si="115">BM263</f>
        <v>Incertidumbre (+/- %)</v>
      </c>
      <c r="CP263" s="100" t="e">
        <f t="shared" ref="CP263:CP326" si="116">(CO263+CQ263)/2</f>
        <v>#VALUE!</v>
      </c>
      <c r="CQ263" s="218" t="str">
        <f t="shared" ref="CQ263:CQ326" si="117">BN263</f>
        <v>Incertidumbre (+/- %)</v>
      </c>
      <c r="CX263" s="101">
        <v>0</v>
      </c>
      <c r="CZ263" s="116" t="s">
        <v>99</v>
      </c>
      <c r="DA263" s="116" t="s">
        <v>98</v>
      </c>
      <c r="DC263" s="116" t="s">
        <v>98</v>
      </c>
      <c r="DD263" s="116"/>
      <c r="DE263" s="116"/>
      <c r="DF263" s="116"/>
    </row>
    <row r="264" spans="1:110" s="101" customFormat="1" ht="15.75" hidden="1" thickBot="1" x14ac:dyDescent="0.3">
      <c r="A264" s="99"/>
      <c r="V264" s="103"/>
      <c r="AA264" s="104"/>
      <c r="AB264" s="104"/>
      <c r="AD264" s="104"/>
      <c r="AE264" s="105"/>
      <c r="AH264" s="106"/>
      <c r="AI264" s="106"/>
      <c r="AK264" s="104"/>
      <c r="AR264" s="104"/>
      <c r="AT264" s="227" t="s">
        <v>492</v>
      </c>
      <c r="AU264" s="226">
        <v>0.01</v>
      </c>
      <c r="AV264" s="221">
        <f t="shared" si="112"/>
        <v>3.3333333333333331E-3</v>
      </c>
      <c r="AW264" s="221">
        <f t="shared" si="113"/>
        <v>1.6666666666666666E-3</v>
      </c>
      <c r="AX264" s="221">
        <f t="shared" si="114"/>
        <v>2.3999999999999998E-3</v>
      </c>
      <c r="AY264" s="221">
        <f t="shared" si="109"/>
        <v>1.1999999999999999E-3</v>
      </c>
      <c r="AZ264" s="221">
        <f t="shared" si="110"/>
        <v>1.8000000000000002E-3</v>
      </c>
      <c r="BA264" s="231">
        <f t="shared" si="107"/>
        <v>2.0799999999999994E-3</v>
      </c>
      <c r="BB264" s="231">
        <f t="shared" si="108"/>
        <v>8.2111035934411534E-4</v>
      </c>
      <c r="BC264" s="232">
        <f t="shared" si="111"/>
        <v>0.49079258210126597</v>
      </c>
      <c r="BE264" s="104"/>
      <c r="BH264" s="99"/>
      <c r="BI264" s="1607"/>
      <c r="BJ264" s="1607"/>
      <c r="BK264" s="1607"/>
      <c r="BL264" s="184" t="s">
        <v>251</v>
      </c>
      <c r="BM264" s="1607"/>
      <c r="BN264" s="1607"/>
      <c r="BO264" s="1607"/>
      <c r="BP264" s="178"/>
      <c r="BQ264" s="178"/>
      <c r="BR264" s="178"/>
      <c r="BS264" s="178"/>
      <c r="BT264" s="178"/>
      <c r="BU264" s="178"/>
      <c r="BV264" s="180"/>
      <c r="BW264" s="178"/>
      <c r="BX264" s="178"/>
      <c r="BY264" s="180"/>
      <c r="BZ264" s="180"/>
      <c r="CA264" s="180"/>
      <c r="CB264" s="102"/>
      <c r="CC264" s="102"/>
      <c r="CD264" s="102"/>
      <c r="CE264" s="102"/>
      <c r="CF264" s="102"/>
      <c r="CG264" s="102"/>
      <c r="CH264" s="102"/>
      <c r="CI264" s="102"/>
      <c r="CJ264" s="102"/>
      <c r="CK264" s="102"/>
      <c r="CL264" s="102"/>
      <c r="CM264" s="102"/>
      <c r="CN264" s="100"/>
      <c r="CO264" s="218">
        <f t="shared" si="115"/>
        <v>0</v>
      </c>
      <c r="CP264" s="100">
        <f t="shared" si="116"/>
        <v>0</v>
      </c>
      <c r="CQ264" s="218">
        <f t="shared" si="117"/>
        <v>0</v>
      </c>
      <c r="CX264" s="101">
        <v>0</v>
      </c>
      <c r="CZ264" s="116">
        <v>0</v>
      </c>
      <c r="DA264" s="116">
        <v>0</v>
      </c>
      <c r="DC264" s="116">
        <v>0</v>
      </c>
      <c r="DD264" s="116"/>
      <c r="DE264" s="116"/>
      <c r="DF264" s="116"/>
    </row>
    <row r="265" spans="1:110" s="101" customFormat="1" ht="39" hidden="1" customHeight="1" thickBot="1" x14ac:dyDescent="0.3">
      <c r="A265" s="99"/>
      <c r="V265" s="103"/>
      <c r="AA265" s="104"/>
      <c r="AB265" s="104"/>
      <c r="AD265" s="104"/>
      <c r="AE265" s="105"/>
      <c r="AH265" s="106"/>
      <c r="AI265" s="106"/>
      <c r="AK265" s="104"/>
      <c r="AR265" s="104"/>
      <c r="AT265" s="100"/>
      <c r="AU265" s="233" t="s">
        <v>119</v>
      </c>
      <c r="AV265" s="234">
        <f>AVERAGE(AV255:AV264)</f>
        <v>6.749766666666665E-2</v>
      </c>
      <c r="AW265" s="234">
        <f>AVERAGE(AW255:AW264)</f>
        <v>3.3748833333333325E-2</v>
      </c>
      <c r="AX265" s="234">
        <f>AVERAGE(AX255:AX264)</f>
        <v>4.8598320000000007E-2</v>
      </c>
      <c r="AY265" s="234">
        <f>AVERAGE(AY255:AY264)</f>
        <v>2.4299160000000004E-2</v>
      </c>
      <c r="AZ265" s="234">
        <f>AVERAGE(AZ255:AZ264)</f>
        <v>3.6448739999999993E-2</v>
      </c>
      <c r="BB265" s="104"/>
      <c r="BC265" s="104"/>
      <c r="BE265" s="104"/>
      <c r="BH265" s="120" t="s">
        <v>54</v>
      </c>
      <c r="BI265" s="203" t="s">
        <v>500</v>
      </c>
      <c r="BJ265" s="190" t="s">
        <v>100</v>
      </c>
      <c r="BK265" s="196">
        <v>84.62</v>
      </c>
      <c r="BL265" s="190" t="s">
        <v>413</v>
      </c>
      <c r="BM265" s="189">
        <v>0.2</v>
      </c>
      <c r="BN265" s="189">
        <v>0.5</v>
      </c>
      <c r="BO265" s="188" t="s">
        <v>462</v>
      </c>
      <c r="BP265" s="178"/>
      <c r="BQ265" s="196">
        <v>1425</v>
      </c>
      <c r="BR265" s="190" t="s">
        <v>414</v>
      </c>
      <c r="BS265" s="178"/>
      <c r="BT265" s="178"/>
      <c r="BU265" s="178"/>
      <c r="BV265" s="180"/>
      <c r="BW265" s="178"/>
      <c r="BX265" s="178"/>
      <c r="BY265" s="180"/>
      <c r="BZ265" s="180"/>
      <c r="CA265" s="180"/>
      <c r="CB265" s="102"/>
      <c r="CC265" s="102"/>
      <c r="CD265" s="102"/>
      <c r="CE265" s="102"/>
      <c r="CF265" s="102"/>
      <c r="CG265" s="102"/>
      <c r="CH265" s="102"/>
      <c r="CI265" s="102"/>
      <c r="CJ265" s="102"/>
      <c r="CK265" s="102"/>
      <c r="CL265" s="102"/>
      <c r="CM265" s="102"/>
      <c r="CN265" s="100"/>
      <c r="CO265" s="218">
        <f t="shared" si="115"/>
        <v>0.2</v>
      </c>
      <c r="CP265" s="100">
        <f t="shared" si="116"/>
        <v>0.35</v>
      </c>
      <c r="CQ265" s="218">
        <f t="shared" si="117"/>
        <v>0.5</v>
      </c>
      <c r="CW265" s="101" t="s">
        <v>54</v>
      </c>
      <c r="CX265" s="101" t="s">
        <v>57</v>
      </c>
      <c r="CY265" s="101" t="s">
        <v>100</v>
      </c>
      <c r="CZ265" s="116">
        <v>57</v>
      </c>
      <c r="DA265" s="141">
        <f>+CZ265*21</f>
        <v>1197</v>
      </c>
      <c r="DB265" s="116" t="s">
        <v>375</v>
      </c>
      <c r="DC265" s="116">
        <f t="shared" ref="DC265:DC281" si="118">+CZ265*25</f>
        <v>1425</v>
      </c>
      <c r="DD265" s="116"/>
      <c r="DE265" s="116"/>
      <c r="DF265" s="116"/>
    </row>
    <row r="266" spans="1:110" s="101" customFormat="1" ht="39" hidden="1" customHeight="1" thickBot="1" x14ac:dyDescent="0.3">
      <c r="A266" s="99"/>
      <c r="V266" s="103"/>
      <c r="AA266" s="104"/>
      <c r="AB266" s="104"/>
      <c r="AD266" s="104"/>
      <c r="AE266" s="105"/>
      <c r="AH266" s="106"/>
      <c r="AI266" s="106"/>
      <c r="AK266" s="104"/>
      <c r="AR266" s="104"/>
      <c r="AT266" s="100"/>
      <c r="AU266" s="233" t="s">
        <v>1397</v>
      </c>
      <c r="AV266" s="233">
        <f>STDEV(AV255:AV264)</f>
        <v>5.2230230403710561E-2</v>
      </c>
      <c r="AW266" s="233">
        <f>STDEV(AW255:AW264)</f>
        <v>2.611511520185528E-2</v>
      </c>
      <c r="AX266" s="233">
        <f>STDEV(AX255:AX264)</f>
        <v>3.7605765890671605E-2</v>
      </c>
      <c r="AY266" s="233">
        <f>STDEV(AY255:AY264)</f>
        <v>1.8802882945335803E-2</v>
      </c>
      <c r="AZ266" s="233">
        <f>STDEV(AZ255:AZ264)</f>
        <v>2.8204324418003707E-2</v>
      </c>
      <c r="BB266" s="104"/>
      <c r="BC266" s="104"/>
      <c r="BE266" s="104"/>
      <c r="BH266" s="120"/>
      <c r="BI266" s="203" t="s">
        <v>501</v>
      </c>
      <c r="BJ266" s="190" t="s">
        <v>100</v>
      </c>
      <c r="BK266" s="196">
        <v>60.44</v>
      </c>
      <c r="BL266" s="190" t="s">
        <v>413</v>
      </c>
      <c r="BM266" s="189">
        <v>0.2</v>
      </c>
      <c r="BN266" s="189">
        <v>0.5</v>
      </c>
      <c r="BO266" s="188" t="s">
        <v>462</v>
      </c>
      <c r="BP266" s="178"/>
      <c r="BQ266" s="196"/>
      <c r="BR266" s="190"/>
      <c r="BS266" s="178"/>
      <c r="BT266" s="178"/>
      <c r="BU266" s="178"/>
      <c r="BV266" s="180"/>
      <c r="BW266" s="178"/>
      <c r="BX266" s="178"/>
      <c r="BY266" s="180"/>
      <c r="BZ266" s="180"/>
      <c r="CA266" s="180"/>
      <c r="CB266" s="102"/>
      <c r="CC266" s="102"/>
      <c r="CD266" s="102"/>
      <c r="CE266" s="102"/>
      <c r="CF266" s="102"/>
      <c r="CG266" s="102"/>
      <c r="CH266" s="102"/>
      <c r="CI266" s="102"/>
      <c r="CJ266" s="102"/>
      <c r="CK266" s="102"/>
      <c r="CL266" s="102"/>
      <c r="CM266" s="102"/>
      <c r="CN266" s="100"/>
      <c r="CO266" s="218">
        <f t="shared" si="115"/>
        <v>0.2</v>
      </c>
      <c r="CP266" s="100">
        <f t="shared" si="116"/>
        <v>0.35</v>
      </c>
      <c r="CQ266" s="218">
        <f t="shared" si="117"/>
        <v>0.5</v>
      </c>
      <c r="CZ266" s="116"/>
      <c r="DA266" s="141"/>
      <c r="DB266" s="116"/>
      <c r="DC266" s="116"/>
      <c r="DD266" s="116"/>
      <c r="DE266" s="116"/>
      <c r="DF266" s="116"/>
    </row>
    <row r="267" spans="1:110" s="101" customFormat="1" ht="39" hidden="1" customHeight="1" thickBot="1" x14ac:dyDescent="0.3">
      <c r="A267" s="99"/>
      <c r="V267" s="103"/>
      <c r="AA267" s="104"/>
      <c r="AB267" s="104"/>
      <c r="AD267" s="104"/>
      <c r="AE267" s="105"/>
      <c r="AH267" s="106"/>
      <c r="AI267" s="106"/>
      <c r="AK267" s="104"/>
      <c r="AR267" s="104"/>
      <c r="AU267" s="233" t="s">
        <v>117</v>
      </c>
      <c r="AV267" s="233">
        <f>BJ422</f>
        <v>2.31</v>
      </c>
      <c r="AW267" s="235">
        <f>AV267</f>
        <v>2.31</v>
      </c>
      <c r="AX267" s="235">
        <f>AW267</f>
        <v>2.31</v>
      </c>
      <c r="AY267" s="235">
        <f>AX267</f>
        <v>2.31</v>
      </c>
      <c r="AZ267" s="235">
        <f>AY267</f>
        <v>2.31</v>
      </c>
      <c r="BB267" s="104"/>
      <c r="BC267" s="104"/>
      <c r="BE267" s="104"/>
      <c r="BH267" s="120"/>
      <c r="BI267" s="203" t="s">
        <v>502</v>
      </c>
      <c r="BJ267" s="190" t="s">
        <v>100</v>
      </c>
      <c r="BK267" s="196">
        <v>53.05</v>
      </c>
      <c r="BL267" s="190" t="s">
        <v>413</v>
      </c>
      <c r="BM267" s="189">
        <v>0.2</v>
      </c>
      <c r="BN267" s="189">
        <v>0.5</v>
      </c>
      <c r="BO267" s="188" t="s">
        <v>462</v>
      </c>
      <c r="BP267" s="178"/>
      <c r="BQ267" s="196"/>
      <c r="BR267" s="190"/>
      <c r="BS267" s="178"/>
      <c r="BT267" s="178"/>
      <c r="BU267" s="178"/>
      <c r="BV267" s="180"/>
      <c r="BW267" s="178"/>
      <c r="BX267" s="178"/>
      <c r="BY267" s="180"/>
      <c r="BZ267" s="180"/>
      <c r="CA267" s="180"/>
      <c r="CB267" s="102"/>
      <c r="CC267" s="102"/>
      <c r="CD267" s="102"/>
      <c r="CE267" s="102"/>
      <c r="CF267" s="102"/>
      <c r="CG267" s="102"/>
      <c r="CH267" s="102"/>
      <c r="CI267" s="102"/>
      <c r="CJ267" s="102"/>
      <c r="CK267" s="102"/>
      <c r="CL267" s="102"/>
      <c r="CM267" s="102"/>
      <c r="CN267" s="100"/>
      <c r="CO267" s="218">
        <f t="shared" si="115"/>
        <v>0.2</v>
      </c>
      <c r="CP267" s="100">
        <f t="shared" si="116"/>
        <v>0.35</v>
      </c>
      <c r="CQ267" s="218">
        <f t="shared" si="117"/>
        <v>0.5</v>
      </c>
      <c r="CZ267" s="116"/>
      <c r="DA267" s="141"/>
      <c r="DB267" s="116"/>
      <c r="DC267" s="116"/>
      <c r="DD267" s="116"/>
      <c r="DE267" s="116"/>
      <c r="DF267" s="116"/>
    </row>
    <row r="268" spans="1:110" s="101" customFormat="1" ht="15" hidden="1" customHeight="1" thickBot="1" x14ac:dyDescent="0.3">
      <c r="A268" s="99"/>
      <c r="V268" s="103"/>
      <c r="AA268" s="104"/>
      <c r="AB268" s="104"/>
      <c r="AD268" s="104"/>
      <c r="AE268" s="105"/>
      <c r="AH268" s="106"/>
      <c r="AI268" s="106"/>
      <c r="AK268" s="104"/>
      <c r="AR268" s="104"/>
      <c r="AU268" s="233" t="s">
        <v>120</v>
      </c>
      <c r="AV268" s="232">
        <f>1-((AV265-((AV266*AV267)/(SQRT(9))))/AV265)</f>
        <v>0.59583211386354795</v>
      </c>
      <c r="AW268" s="232">
        <f>1-((AW265-((AW266*AW267)/(SQRT(9))))/AW265)</f>
        <v>0.59583211386354795</v>
      </c>
      <c r="AX268" s="232">
        <f>1-((AX265-((AX266*AX267)/(SQRT(9))))/AX265)</f>
        <v>0.59583211386354773</v>
      </c>
      <c r="AY268" s="232">
        <f>1-((AY265-((AY266*AY267)/(SQRT(9))))/AY265)</f>
        <v>0.59583211386354773</v>
      </c>
      <c r="AZ268" s="232">
        <f>1-((AZ265-((AZ266*AZ267)/(SQRT(9))))/AZ265)</f>
        <v>0.59583211386354806</v>
      </c>
      <c r="BB268" s="104"/>
      <c r="BC268" s="104"/>
      <c r="BE268" s="104"/>
      <c r="BH268" s="120"/>
      <c r="BI268" s="203" t="s">
        <v>463</v>
      </c>
      <c r="BJ268" s="190" t="s">
        <v>100</v>
      </c>
      <c r="BK268" s="196">
        <v>57.53</v>
      </c>
      <c r="BL268" s="190" t="s">
        <v>413</v>
      </c>
      <c r="BM268" s="189">
        <v>0.2</v>
      </c>
      <c r="BN268" s="189">
        <v>0.5</v>
      </c>
      <c r="BO268" s="188" t="s">
        <v>462</v>
      </c>
      <c r="BP268" s="178"/>
      <c r="BQ268" s="196"/>
      <c r="BR268" s="190"/>
      <c r="BS268" s="178"/>
      <c r="BT268" s="178"/>
      <c r="BU268" s="178"/>
      <c r="BV268" s="180"/>
      <c r="BW268" s="178"/>
      <c r="BX268" s="178"/>
      <c r="BY268" s="180"/>
      <c r="BZ268" s="180"/>
      <c r="CA268" s="180"/>
      <c r="CB268" s="102"/>
      <c r="CC268" s="102"/>
      <c r="CD268" s="102"/>
      <c r="CE268" s="102"/>
      <c r="CF268" s="102"/>
      <c r="CG268" s="102"/>
      <c r="CH268" s="102"/>
      <c r="CI268" s="102"/>
      <c r="CJ268" s="102"/>
      <c r="CK268" s="102"/>
      <c r="CL268" s="102"/>
      <c r="CM268" s="102"/>
      <c r="CN268" s="100"/>
      <c r="CO268" s="218">
        <f t="shared" si="115"/>
        <v>0.2</v>
      </c>
      <c r="CP268" s="100">
        <f t="shared" si="116"/>
        <v>0.35</v>
      </c>
      <c r="CQ268" s="218">
        <f t="shared" si="117"/>
        <v>0.5</v>
      </c>
      <c r="CZ268" s="116"/>
      <c r="DA268" s="141"/>
      <c r="DB268" s="116"/>
      <c r="DC268" s="116"/>
      <c r="DD268" s="116"/>
      <c r="DE268" s="116"/>
      <c r="DF268" s="116"/>
    </row>
    <row r="269" spans="1:110" s="101" customFormat="1" ht="15" hidden="1" customHeight="1" thickBot="1" x14ac:dyDescent="0.3">
      <c r="A269" s="99"/>
      <c r="V269" s="103"/>
      <c r="AA269" s="104"/>
      <c r="AB269" s="104"/>
      <c r="AD269" s="104"/>
      <c r="AE269" s="105"/>
      <c r="AH269" s="106"/>
      <c r="AI269" s="106"/>
      <c r="AK269" s="104"/>
      <c r="AR269" s="104"/>
      <c r="AV269" s="104"/>
      <c r="AX269" s="104"/>
      <c r="BB269" s="104"/>
      <c r="BC269" s="104"/>
      <c r="BE269" s="104"/>
      <c r="BH269" s="120"/>
      <c r="BI269" s="203" t="s">
        <v>464</v>
      </c>
      <c r="BJ269" s="190" t="s">
        <v>100</v>
      </c>
      <c r="BK269" s="196">
        <v>20.14</v>
      </c>
      <c r="BL269" s="190" t="s">
        <v>413</v>
      </c>
      <c r="BM269" s="189">
        <v>0.2</v>
      </c>
      <c r="BN269" s="189">
        <v>0.5</v>
      </c>
      <c r="BO269" s="188" t="s">
        <v>462</v>
      </c>
      <c r="BP269" s="178"/>
      <c r="BQ269" s="196"/>
      <c r="BR269" s="190"/>
      <c r="BS269" s="178"/>
      <c r="BT269" s="178"/>
      <c r="BU269" s="178"/>
      <c r="BV269" s="180"/>
      <c r="BW269" s="178"/>
      <c r="BX269" s="178"/>
      <c r="BY269" s="180"/>
      <c r="BZ269" s="180"/>
      <c r="CA269" s="180"/>
      <c r="CB269" s="102"/>
      <c r="CC269" s="102"/>
      <c r="CD269" s="102"/>
      <c r="CE269" s="102"/>
      <c r="CF269" s="102"/>
      <c r="CG269" s="102"/>
      <c r="CH269" s="102"/>
      <c r="CI269" s="102"/>
      <c r="CJ269" s="102"/>
      <c r="CK269" s="102"/>
      <c r="CL269" s="102"/>
      <c r="CM269" s="102"/>
      <c r="CN269" s="100"/>
      <c r="CO269" s="218">
        <f t="shared" si="115"/>
        <v>0.2</v>
      </c>
      <c r="CP269" s="100">
        <f t="shared" si="116"/>
        <v>0.35</v>
      </c>
      <c r="CQ269" s="218">
        <f t="shared" si="117"/>
        <v>0.5</v>
      </c>
      <c r="CZ269" s="116"/>
      <c r="DA269" s="141"/>
      <c r="DB269" s="116"/>
      <c r="DC269" s="116"/>
      <c r="DD269" s="116"/>
      <c r="DE269" s="116"/>
      <c r="DF269" s="116"/>
    </row>
    <row r="270" spans="1:110" s="101" customFormat="1" ht="15" hidden="1" customHeight="1" thickBot="1" x14ac:dyDescent="0.3">
      <c r="A270" s="99"/>
      <c r="V270" s="103"/>
      <c r="AA270" s="104"/>
      <c r="AB270" s="104"/>
      <c r="AD270" s="104"/>
      <c r="AE270" s="105"/>
      <c r="AH270" s="106"/>
      <c r="AI270" s="106"/>
      <c r="AK270" s="104"/>
      <c r="AR270" s="104"/>
      <c r="AV270" s="104"/>
      <c r="AX270" s="104"/>
      <c r="BB270" s="104"/>
      <c r="BC270" s="104"/>
      <c r="BE270" s="104"/>
      <c r="BH270" s="120"/>
      <c r="BI270" s="203" t="s">
        <v>465</v>
      </c>
      <c r="BJ270" s="190" t="s">
        <v>100</v>
      </c>
      <c r="BK270" s="196">
        <v>30.91</v>
      </c>
      <c r="BL270" s="190" t="s">
        <v>413</v>
      </c>
      <c r="BM270" s="189">
        <v>0.2</v>
      </c>
      <c r="BN270" s="189">
        <v>0.5</v>
      </c>
      <c r="BO270" s="188" t="s">
        <v>462</v>
      </c>
      <c r="BP270" s="178"/>
      <c r="BQ270" s="196"/>
      <c r="BR270" s="190"/>
      <c r="BS270" s="178"/>
      <c r="BT270" s="178"/>
      <c r="BU270" s="178"/>
      <c r="BV270" s="180"/>
      <c r="BW270" s="178"/>
      <c r="BX270" s="178"/>
      <c r="BY270" s="180"/>
      <c r="BZ270" s="180"/>
      <c r="CA270" s="180"/>
      <c r="CB270" s="102"/>
      <c r="CC270" s="102"/>
      <c r="CD270" s="102"/>
      <c r="CE270" s="102"/>
      <c r="CF270" s="102"/>
      <c r="CG270" s="102"/>
      <c r="CH270" s="102"/>
      <c r="CI270" s="102"/>
      <c r="CJ270" s="102"/>
      <c r="CK270" s="102"/>
      <c r="CL270" s="102"/>
      <c r="CM270" s="102"/>
      <c r="CN270" s="100"/>
      <c r="CO270" s="218">
        <f t="shared" si="115"/>
        <v>0.2</v>
      </c>
      <c r="CP270" s="100">
        <f t="shared" si="116"/>
        <v>0.35</v>
      </c>
      <c r="CQ270" s="218">
        <f t="shared" si="117"/>
        <v>0.5</v>
      </c>
      <c r="CZ270" s="116"/>
      <c r="DA270" s="141"/>
      <c r="DB270" s="116"/>
      <c r="DC270" s="116"/>
      <c r="DD270" s="116"/>
      <c r="DE270" s="116"/>
      <c r="DF270" s="116"/>
    </row>
    <row r="271" spans="1:110" s="101" customFormat="1" ht="15" hidden="1" customHeight="1" thickBot="1" x14ac:dyDescent="0.3">
      <c r="A271" s="99"/>
      <c r="V271" s="103"/>
      <c r="AA271" s="104"/>
      <c r="AB271" s="104"/>
      <c r="AD271" s="104"/>
      <c r="AE271" s="105"/>
      <c r="AH271" s="106"/>
      <c r="AI271" s="106"/>
      <c r="AK271" s="104"/>
      <c r="AR271" s="104"/>
      <c r="AV271" s="104"/>
      <c r="AX271" s="104"/>
      <c r="BB271" s="104"/>
      <c r="BC271" s="104"/>
      <c r="BE271" s="104"/>
      <c r="BH271" s="120"/>
      <c r="BI271" s="203" t="s">
        <v>466</v>
      </c>
      <c r="BJ271" s="190" t="s">
        <v>100</v>
      </c>
      <c r="BK271" s="196">
        <v>36.97</v>
      </c>
      <c r="BL271" s="190" t="s">
        <v>413</v>
      </c>
      <c r="BM271" s="189">
        <v>0.2</v>
      </c>
      <c r="BN271" s="189">
        <v>0.5</v>
      </c>
      <c r="BO271" s="188" t="s">
        <v>462</v>
      </c>
      <c r="BP271" s="178"/>
      <c r="BQ271" s="196"/>
      <c r="BR271" s="190"/>
      <c r="BS271" s="178"/>
      <c r="BT271" s="178"/>
      <c r="BU271" s="178"/>
      <c r="BV271" s="180"/>
      <c r="BW271" s="178"/>
      <c r="BX271" s="178"/>
      <c r="BY271" s="180"/>
      <c r="BZ271" s="180"/>
      <c r="CA271" s="180"/>
      <c r="CB271" s="102"/>
      <c r="CC271" s="102"/>
      <c r="CD271" s="102"/>
      <c r="CE271" s="102"/>
      <c r="CF271" s="102"/>
      <c r="CG271" s="102"/>
      <c r="CH271" s="102"/>
      <c r="CI271" s="102"/>
      <c r="CJ271" s="102"/>
      <c r="CK271" s="102"/>
      <c r="CL271" s="102"/>
      <c r="CM271" s="102"/>
      <c r="CN271" s="100"/>
      <c r="CO271" s="218">
        <f t="shared" si="115"/>
        <v>0.2</v>
      </c>
      <c r="CP271" s="100">
        <f t="shared" si="116"/>
        <v>0.35</v>
      </c>
      <c r="CQ271" s="218">
        <f t="shared" si="117"/>
        <v>0.5</v>
      </c>
      <c r="CZ271" s="116"/>
      <c r="DA271" s="141"/>
      <c r="DB271" s="116"/>
      <c r="DC271" s="116"/>
      <c r="DD271" s="116"/>
      <c r="DE271" s="116"/>
      <c r="DF271" s="116"/>
    </row>
    <row r="272" spans="1:110" s="101" customFormat="1" ht="15" hidden="1" customHeight="1" thickBot="1" x14ac:dyDescent="0.3">
      <c r="A272" s="99"/>
      <c r="V272" s="103"/>
      <c r="AA272" s="104"/>
      <c r="AB272" s="104"/>
      <c r="AD272" s="104"/>
      <c r="AE272" s="105"/>
      <c r="AH272" s="106"/>
      <c r="AI272" s="106"/>
      <c r="AK272" s="104"/>
      <c r="AR272" s="104"/>
      <c r="AV272" s="104"/>
      <c r="AX272" s="104"/>
      <c r="BB272" s="104"/>
      <c r="BC272" s="104"/>
      <c r="BE272" s="104"/>
      <c r="BH272" s="120"/>
      <c r="BI272" s="203" t="s">
        <v>57</v>
      </c>
      <c r="BJ272" s="190" t="s">
        <v>100</v>
      </c>
      <c r="BK272" s="196">
        <v>63</v>
      </c>
      <c r="BL272" s="190" t="s">
        <v>413</v>
      </c>
      <c r="BM272" s="189">
        <v>0.3</v>
      </c>
      <c r="BN272" s="189">
        <v>0.5</v>
      </c>
      <c r="BO272" s="188" t="s">
        <v>258</v>
      </c>
      <c r="BP272" s="178"/>
      <c r="BQ272" s="196"/>
      <c r="BR272" s="190"/>
      <c r="BS272" s="178"/>
      <c r="BT272" s="178"/>
      <c r="BU272" s="178"/>
      <c r="BV272" s="180"/>
      <c r="BW272" s="178"/>
      <c r="BX272" s="178"/>
      <c r="BY272" s="180"/>
      <c r="BZ272" s="180"/>
      <c r="CA272" s="180"/>
      <c r="CB272" s="102"/>
      <c r="CC272" s="102"/>
      <c r="CD272" s="102"/>
      <c r="CE272" s="102"/>
      <c r="CF272" s="102"/>
      <c r="CG272" s="102"/>
      <c r="CH272" s="102"/>
      <c r="CI272" s="102"/>
      <c r="CJ272" s="102"/>
      <c r="CK272" s="102"/>
      <c r="CL272" s="102"/>
      <c r="CM272" s="102"/>
      <c r="CN272" s="100"/>
      <c r="CO272" s="218">
        <f t="shared" si="115"/>
        <v>0.3</v>
      </c>
      <c r="CP272" s="100">
        <f t="shared" si="116"/>
        <v>0.4</v>
      </c>
      <c r="CQ272" s="218">
        <f t="shared" si="117"/>
        <v>0.5</v>
      </c>
      <c r="CZ272" s="116"/>
      <c r="DA272" s="141"/>
      <c r="DB272" s="116"/>
      <c r="DC272" s="116"/>
      <c r="DD272" s="116"/>
      <c r="DE272" s="116"/>
      <c r="DF272" s="116"/>
    </row>
    <row r="273" spans="1:116" s="101" customFormat="1" ht="15" hidden="1" customHeight="1" thickBot="1" x14ac:dyDescent="0.3">
      <c r="A273" s="99"/>
      <c r="V273" s="103"/>
      <c r="AA273" s="104"/>
      <c r="AB273" s="104"/>
      <c r="AD273" s="104"/>
      <c r="AE273" s="105"/>
      <c r="AH273" s="106"/>
      <c r="AI273" s="106"/>
      <c r="AK273" s="104"/>
      <c r="AR273" s="104"/>
      <c r="AV273" s="104"/>
      <c r="AX273" s="104"/>
      <c r="BB273" s="104"/>
      <c r="BC273" s="104"/>
      <c r="BE273" s="104"/>
      <c r="BH273" s="120"/>
      <c r="BI273" s="203" t="s">
        <v>59</v>
      </c>
      <c r="BJ273" s="190" t="s">
        <v>100</v>
      </c>
      <c r="BK273" s="196">
        <v>56</v>
      </c>
      <c r="BL273" s="190" t="s">
        <v>413</v>
      </c>
      <c r="BM273" s="189">
        <v>0.3</v>
      </c>
      <c r="BN273" s="189">
        <v>0.5</v>
      </c>
      <c r="BO273" s="188" t="s">
        <v>258</v>
      </c>
      <c r="BP273" s="178"/>
      <c r="BQ273" s="196">
        <v>1225</v>
      </c>
      <c r="BR273" s="190" t="s">
        <v>414</v>
      </c>
      <c r="BS273" s="178"/>
      <c r="BT273" s="178"/>
      <c r="BU273" s="178"/>
      <c r="BV273" s="180"/>
      <c r="BW273" s="178"/>
      <c r="BX273" s="178"/>
      <c r="BY273" s="180"/>
      <c r="BZ273" s="180"/>
      <c r="CA273" s="180"/>
      <c r="CB273" s="102"/>
      <c r="CC273" s="102"/>
      <c r="CD273" s="102"/>
      <c r="CE273" s="102"/>
      <c r="CF273" s="102"/>
      <c r="CG273" s="102"/>
      <c r="CH273" s="102"/>
      <c r="CI273" s="102"/>
      <c r="CJ273" s="102"/>
      <c r="CK273" s="102"/>
      <c r="CL273" s="102"/>
      <c r="CM273" s="102"/>
      <c r="CN273" s="100"/>
      <c r="CO273" s="218">
        <f t="shared" si="115"/>
        <v>0.3</v>
      </c>
      <c r="CP273" s="100">
        <f t="shared" si="116"/>
        <v>0.4</v>
      </c>
      <c r="CQ273" s="218">
        <f t="shared" si="117"/>
        <v>0.5</v>
      </c>
      <c r="CX273" s="101" t="s">
        <v>59</v>
      </c>
      <c r="CY273" s="101" t="s">
        <v>100</v>
      </c>
      <c r="CZ273" s="116">
        <v>49</v>
      </c>
      <c r="DA273" s="141">
        <f t="shared" ref="DA273:DA281" si="119">+CZ273*21</f>
        <v>1029</v>
      </c>
      <c r="DB273" s="116" t="s">
        <v>375</v>
      </c>
      <c r="DC273" s="116">
        <f t="shared" si="118"/>
        <v>1225</v>
      </c>
      <c r="DD273" s="116"/>
      <c r="DE273" s="116"/>
      <c r="DF273" s="116"/>
    </row>
    <row r="274" spans="1:116" s="101" customFormat="1" ht="15" hidden="1" customHeight="1" thickBot="1" x14ac:dyDescent="0.3">
      <c r="A274" s="99"/>
      <c r="V274" s="103"/>
      <c r="AA274" s="104"/>
      <c r="AB274" s="104"/>
      <c r="AD274" s="104"/>
      <c r="AE274" s="105"/>
      <c r="AH274" s="106"/>
      <c r="AI274" s="106"/>
      <c r="AK274" s="104"/>
      <c r="AR274" s="104"/>
      <c r="AV274" s="104"/>
      <c r="AX274" s="104"/>
      <c r="BB274" s="104"/>
      <c r="BC274" s="104"/>
      <c r="BE274" s="104"/>
      <c r="BH274" s="120"/>
      <c r="BI274" s="203" t="s">
        <v>56</v>
      </c>
      <c r="BJ274" s="190" t="s">
        <v>100</v>
      </c>
      <c r="BK274" s="196">
        <v>55</v>
      </c>
      <c r="BL274" s="190" t="s">
        <v>413</v>
      </c>
      <c r="BM274" s="189">
        <v>0.3</v>
      </c>
      <c r="BN274" s="189">
        <v>0.5</v>
      </c>
      <c r="BO274" s="188" t="s">
        <v>258</v>
      </c>
      <c r="BP274" s="178"/>
      <c r="BQ274" s="196">
        <v>1375</v>
      </c>
      <c r="BR274" s="190" t="s">
        <v>414</v>
      </c>
      <c r="BS274" s="178"/>
      <c r="BT274" s="178"/>
      <c r="BU274" s="178"/>
      <c r="BV274" s="180"/>
      <c r="BW274" s="178"/>
      <c r="BX274" s="178"/>
      <c r="BY274" s="180"/>
      <c r="BZ274" s="180"/>
      <c r="CA274" s="180"/>
      <c r="CB274" s="102"/>
      <c r="CC274" s="102"/>
      <c r="CD274" s="102"/>
      <c r="CE274" s="102"/>
      <c r="CF274" s="102"/>
      <c r="CG274" s="102"/>
      <c r="CH274" s="102"/>
      <c r="CI274" s="102"/>
      <c r="CJ274" s="102"/>
      <c r="CK274" s="102"/>
      <c r="CL274" s="102"/>
      <c r="CM274" s="102"/>
      <c r="CN274" s="100"/>
      <c r="CO274" s="218">
        <f t="shared" si="115"/>
        <v>0.3</v>
      </c>
      <c r="CP274" s="100">
        <f t="shared" si="116"/>
        <v>0.4</v>
      </c>
      <c r="CQ274" s="218">
        <f t="shared" si="117"/>
        <v>0.5</v>
      </c>
      <c r="CX274" s="101" t="s">
        <v>56</v>
      </c>
      <c r="CY274" s="101" t="s">
        <v>100</v>
      </c>
      <c r="CZ274" s="116">
        <v>55</v>
      </c>
      <c r="DA274" s="141">
        <f t="shared" si="119"/>
        <v>1155</v>
      </c>
      <c r="DB274" s="116" t="s">
        <v>375</v>
      </c>
      <c r="DC274" s="116">
        <f t="shared" si="118"/>
        <v>1375</v>
      </c>
      <c r="DD274" s="116"/>
      <c r="DE274" s="116"/>
      <c r="DF274" s="116"/>
    </row>
    <row r="275" spans="1:116" s="101" customFormat="1" ht="15" hidden="1" customHeight="1" thickBot="1" x14ac:dyDescent="0.3">
      <c r="A275" s="99"/>
      <c r="V275" s="103"/>
      <c r="AA275" s="104"/>
      <c r="AB275" s="104"/>
      <c r="AD275" s="104"/>
      <c r="AE275" s="105"/>
      <c r="AH275" s="106"/>
      <c r="AI275" s="106"/>
      <c r="AK275" s="104"/>
      <c r="AR275" s="104"/>
      <c r="AV275" s="104"/>
      <c r="AX275" s="104"/>
      <c r="BB275" s="104"/>
      <c r="BC275" s="104"/>
      <c r="BE275" s="104"/>
      <c r="BH275" s="120"/>
      <c r="BI275" s="203" t="s">
        <v>101</v>
      </c>
      <c r="BJ275" s="190" t="s">
        <v>100</v>
      </c>
      <c r="BK275" s="196">
        <v>5</v>
      </c>
      <c r="BL275" s="190" t="s">
        <v>413</v>
      </c>
      <c r="BM275" s="189">
        <v>0.3</v>
      </c>
      <c r="BN275" s="189">
        <v>0.5</v>
      </c>
      <c r="BO275" s="188" t="s">
        <v>258</v>
      </c>
      <c r="BP275" s="178"/>
      <c r="BQ275" s="196">
        <v>125</v>
      </c>
      <c r="BR275" s="190" t="s">
        <v>414</v>
      </c>
      <c r="BS275" s="178"/>
      <c r="BT275" s="178"/>
      <c r="BU275" s="178"/>
      <c r="BV275" s="180"/>
      <c r="BW275" s="178"/>
      <c r="BX275" s="178"/>
      <c r="BY275" s="180"/>
      <c r="BZ275" s="180"/>
      <c r="CA275" s="180"/>
      <c r="CB275" s="102"/>
      <c r="CC275" s="102"/>
      <c r="CD275" s="102"/>
      <c r="CE275" s="102"/>
      <c r="CF275" s="102"/>
      <c r="CG275" s="102"/>
      <c r="CH275" s="102"/>
      <c r="CI275" s="102"/>
      <c r="CJ275" s="102"/>
      <c r="CK275" s="102"/>
      <c r="CL275" s="102"/>
      <c r="CM275" s="102"/>
      <c r="CN275" s="100"/>
      <c r="CO275" s="218">
        <f t="shared" si="115"/>
        <v>0.3</v>
      </c>
      <c r="CP275" s="100">
        <f t="shared" si="116"/>
        <v>0.4</v>
      </c>
      <c r="CQ275" s="218">
        <f t="shared" si="117"/>
        <v>0.5</v>
      </c>
      <c r="CX275" s="101" t="s">
        <v>101</v>
      </c>
      <c r="CY275" s="101" t="s">
        <v>100</v>
      </c>
      <c r="CZ275" s="116">
        <v>5</v>
      </c>
      <c r="DA275" s="141">
        <f t="shared" si="119"/>
        <v>105</v>
      </c>
      <c r="DB275" s="116" t="s">
        <v>375</v>
      </c>
      <c r="DC275" s="116">
        <f t="shared" si="118"/>
        <v>125</v>
      </c>
      <c r="DD275" s="116"/>
      <c r="DE275" s="116"/>
      <c r="DF275" s="116"/>
    </row>
    <row r="276" spans="1:116" s="101" customFormat="1" ht="15" hidden="1" customHeight="1" thickBot="1" x14ac:dyDescent="0.3">
      <c r="A276" s="99"/>
      <c r="V276" s="103"/>
      <c r="AA276" s="104"/>
      <c r="AB276" s="104"/>
      <c r="AD276" s="104"/>
      <c r="AE276" s="105"/>
      <c r="AH276" s="106"/>
      <c r="AI276" s="106"/>
      <c r="AK276" s="104"/>
      <c r="AR276" s="104"/>
      <c r="AV276" s="104"/>
      <c r="AX276" s="104"/>
      <c r="BB276" s="104"/>
      <c r="BC276" s="104"/>
      <c r="BE276" s="104"/>
      <c r="BH276" s="120"/>
      <c r="BI276" s="203" t="s">
        <v>55</v>
      </c>
      <c r="BJ276" s="190" t="s">
        <v>100</v>
      </c>
      <c r="BK276" s="196">
        <v>5</v>
      </c>
      <c r="BL276" s="190" t="s">
        <v>413</v>
      </c>
      <c r="BM276" s="189">
        <v>0.3</v>
      </c>
      <c r="BN276" s="189">
        <v>0.5</v>
      </c>
      <c r="BO276" s="188" t="s">
        <v>258</v>
      </c>
      <c r="BP276" s="178"/>
      <c r="BQ276" s="196">
        <v>125</v>
      </c>
      <c r="BR276" s="190" t="s">
        <v>414</v>
      </c>
      <c r="BS276" s="178"/>
      <c r="BT276" s="178"/>
      <c r="BU276" s="178"/>
      <c r="BV276" s="180"/>
      <c r="BW276" s="178"/>
      <c r="BX276" s="178"/>
      <c r="BY276" s="180"/>
      <c r="BZ276" s="180"/>
      <c r="CA276" s="180"/>
      <c r="CB276" s="102"/>
      <c r="CC276" s="102"/>
      <c r="CD276" s="102"/>
      <c r="CE276" s="102"/>
      <c r="CF276" s="102"/>
      <c r="CG276" s="102"/>
      <c r="CH276" s="102"/>
      <c r="CI276" s="102"/>
      <c r="CJ276" s="102"/>
      <c r="CK276" s="102"/>
      <c r="CL276" s="102"/>
      <c r="CM276" s="102"/>
      <c r="CN276" s="100"/>
      <c r="CO276" s="218">
        <f t="shared" si="115"/>
        <v>0.3</v>
      </c>
      <c r="CP276" s="100">
        <f t="shared" si="116"/>
        <v>0.4</v>
      </c>
      <c r="CQ276" s="218">
        <f t="shared" si="117"/>
        <v>0.5</v>
      </c>
      <c r="CX276" s="101" t="s">
        <v>55</v>
      </c>
      <c r="CY276" s="101" t="s">
        <v>100</v>
      </c>
      <c r="CZ276" s="116">
        <v>5</v>
      </c>
      <c r="DA276" s="141">
        <f t="shared" si="119"/>
        <v>105</v>
      </c>
      <c r="DB276" s="116" t="s">
        <v>375</v>
      </c>
      <c r="DC276" s="116">
        <f t="shared" si="118"/>
        <v>125</v>
      </c>
      <c r="DD276" s="116"/>
      <c r="DE276" s="116"/>
      <c r="DF276" s="116"/>
    </row>
    <row r="277" spans="1:116" s="101" customFormat="1" ht="15" hidden="1" customHeight="1" thickBot="1" x14ac:dyDescent="0.3">
      <c r="A277" s="99"/>
      <c r="V277" s="103"/>
      <c r="AA277" s="104"/>
      <c r="AB277" s="104"/>
      <c r="AD277" s="104"/>
      <c r="AE277" s="105"/>
      <c r="AH277" s="106"/>
      <c r="AI277" s="106"/>
      <c r="AK277" s="104"/>
      <c r="AR277" s="104"/>
      <c r="AV277" s="104"/>
      <c r="AX277" s="104"/>
      <c r="BB277" s="104"/>
      <c r="BC277" s="104"/>
      <c r="BE277" s="104"/>
      <c r="BH277" s="120"/>
      <c r="BI277" s="203" t="s">
        <v>60</v>
      </c>
      <c r="BJ277" s="190" t="s">
        <v>100</v>
      </c>
      <c r="BK277" s="196">
        <v>18</v>
      </c>
      <c r="BL277" s="190" t="s">
        <v>413</v>
      </c>
      <c r="BM277" s="189">
        <v>0.3</v>
      </c>
      <c r="BN277" s="189">
        <v>0.5</v>
      </c>
      <c r="BO277" s="188" t="s">
        <v>258</v>
      </c>
      <c r="BP277" s="178"/>
      <c r="BQ277" s="196">
        <v>450</v>
      </c>
      <c r="BR277" s="190" t="s">
        <v>414</v>
      </c>
      <c r="BS277" s="178"/>
      <c r="BT277" s="178"/>
      <c r="BU277" s="178"/>
      <c r="BV277" s="180"/>
      <c r="BW277" s="178"/>
      <c r="BX277" s="178"/>
      <c r="BY277" s="180"/>
      <c r="BZ277" s="180"/>
      <c r="CA277" s="180"/>
      <c r="CB277" s="102"/>
      <c r="CC277" s="102"/>
      <c r="CD277" s="102"/>
      <c r="CE277" s="102"/>
      <c r="CF277" s="102"/>
      <c r="CG277" s="102"/>
      <c r="CH277" s="102"/>
      <c r="CI277" s="102"/>
      <c r="CJ277" s="102"/>
      <c r="CK277" s="102"/>
      <c r="CL277" s="102"/>
      <c r="CM277" s="102"/>
      <c r="CN277" s="100"/>
      <c r="CO277" s="218">
        <f t="shared" si="115"/>
        <v>0.3</v>
      </c>
      <c r="CP277" s="100">
        <f t="shared" si="116"/>
        <v>0.4</v>
      </c>
      <c r="CQ277" s="218">
        <f t="shared" si="117"/>
        <v>0.5</v>
      </c>
      <c r="CX277" s="101" t="s">
        <v>60</v>
      </c>
      <c r="CY277" s="101" t="s">
        <v>100</v>
      </c>
      <c r="CZ277" s="116">
        <v>18</v>
      </c>
      <c r="DA277" s="141">
        <f t="shared" si="119"/>
        <v>378</v>
      </c>
      <c r="DB277" s="116" t="s">
        <v>375</v>
      </c>
      <c r="DC277" s="116">
        <f t="shared" si="118"/>
        <v>450</v>
      </c>
      <c r="DD277" s="116"/>
      <c r="DE277" s="116"/>
      <c r="DF277" s="116"/>
    </row>
    <row r="278" spans="1:116" s="101" customFormat="1" ht="15" hidden="1" customHeight="1" thickBot="1" x14ac:dyDescent="0.3">
      <c r="A278" s="99"/>
      <c r="V278" s="103"/>
      <c r="AA278" s="104"/>
      <c r="AB278" s="104"/>
      <c r="AD278" s="104"/>
      <c r="AE278" s="105"/>
      <c r="AH278" s="106"/>
      <c r="AI278" s="106"/>
      <c r="AK278" s="104"/>
      <c r="AR278" s="104"/>
      <c r="AV278" s="104"/>
      <c r="AX278" s="104"/>
      <c r="BB278" s="104"/>
      <c r="BC278" s="104"/>
      <c r="BE278" s="104"/>
      <c r="BH278" s="120"/>
      <c r="BI278" s="203" t="s">
        <v>61</v>
      </c>
      <c r="BJ278" s="190" t="s">
        <v>100</v>
      </c>
      <c r="BK278" s="196">
        <f>BQ278/25</f>
        <v>10</v>
      </c>
      <c r="BL278" s="190" t="s">
        <v>413</v>
      </c>
      <c r="BM278" s="189">
        <v>0.3</v>
      </c>
      <c r="BN278" s="189">
        <v>0.5</v>
      </c>
      <c r="BO278" s="188" t="s">
        <v>258</v>
      </c>
      <c r="BP278" s="178"/>
      <c r="BQ278" s="196">
        <v>250</v>
      </c>
      <c r="BR278" s="190" t="s">
        <v>414</v>
      </c>
      <c r="BS278" s="178"/>
      <c r="BT278" s="178"/>
      <c r="BU278" s="178"/>
      <c r="BV278" s="180"/>
      <c r="BW278" s="178"/>
      <c r="BX278" s="178"/>
      <c r="BY278" s="180"/>
      <c r="BZ278" s="180"/>
      <c r="CA278" s="180"/>
      <c r="CB278" s="102"/>
      <c r="CC278" s="102"/>
      <c r="CD278" s="102"/>
      <c r="CE278" s="102"/>
      <c r="CF278" s="102"/>
      <c r="CG278" s="102"/>
      <c r="CH278" s="102"/>
      <c r="CI278" s="102"/>
      <c r="CJ278" s="102"/>
      <c r="CK278" s="102"/>
      <c r="CL278" s="102"/>
      <c r="CM278" s="102"/>
      <c r="CN278" s="100"/>
      <c r="CO278" s="218">
        <f t="shared" si="115"/>
        <v>0.3</v>
      </c>
      <c r="CP278" s="100">
        <f t="shared" si="116"/>
        <v>0.4</v>
      </c>
      <c r="CQ278" s="218">
        <f t="shared" si="117"/>
        <v>0.5</v>
      </c>
      <c r="CX278" s="101" t="s">
        <v>61</v>
      </c>
      <c r="CY278" s="101" t="s">
        <v>100</v>
      </c>
      <c r="CZ278" s="116">
        <v>10</v>
      </c>
      <c r="DA278" s="141">
        <f t="shared" si="119"/>
        <v>210</v>
      </c>
      <c r="DB278" s="116" t="s">
        <v>375</v>
      </c>
      <c r="DC278" s="116">
        <f t="shared" si="118"/>
        <v>250</v>
      </c>
      <c r="DD278" s="116"/>
      <c r="DE278" s="116"/>
      <c r="DF278" s="116"/>
    </row>
    <row r="279" spans="1:116" s="101" customFormat="1" ht="15" hidden="1" customHeight="1" thickBot="1" x14ac:dyDescent="0.3">
      <c r="A279" s="99"/>
      <c r="V279" s="103"/>
      <c r="AA279" s="104"/>
      <c r="AB279" s="104"/>
      <c r="AD279" s="104"/>
      <c r="AE279" s="105"/>
      <c r="AH279" s="106"/>
      <c r="AI279" s="106"/>
      <c r="AK279" s="104"/>
      <c r="AR279" s="104"/>
      <c r="AV279" s="104"/>
      <c r="AX279" s="104"/>
      <c r="BB279" s="104"/>
      <c r="BC279" s="104"/>
      <c r="BE279" s="104"/>
      <c r="BH279" s="120"/>
      <c r="BI279" s="203" t="s">
        <v>102</v>
      </c>
      <c r="BJ279" s="190" t="s">
        <v>100</v>
      </c>
      <c r="BK279" s="196">
        <f>BQ279/25</f>
        <v>1</v>
      </c>
      <c r="BL279" s="190" t="s">
        <v>413</v>
      </c>
      <c r="BM279" s="189">
        <v>0.3</v>
      </c>
      <c r="BN279" s="189">
        <v>0.5</v>
      </c>
      <c r="BO279" s="188" t="s">
        <v>258</v>
      </c>
      <c r="BP279" s="178"/>
      <c r="BQ279" s="196">
        <v>25</v>
      </c>
      <c r="BR279" s="190" t="s">
        <v>414</v>
      </c>
      <c r="BS279" s="178"/>
      <c r="BT279" s="178"/>
      <c r="BU279" s="178"/>
      <c r="BV279" s="180"/>
      <c r="BW279" s="178"/>
      <c r="BX279" s="178"/>
      <c r="BY279" s="180"/>
      <c r="BZ279" s="180"/>
      <c r="CA279" s="180"/>
      <c r="CB279" s="102"/>
      <c r="CC279" s="102"/>
      <c r="CD279" s="102"/>
      <c r="CE279" s="102"/>
      <c r="CF279" s="102"/>
      <c r="CG279" s="102"/>
      <c r="CH279" s="102"/>
      <c r="CI279" s="102"/>
      <c r="CJ279" s="102"/>
      <c r="CK279" s="102"/>
      <c r="CL279" s="102"/>
      <c r="CM279" s="102"/>
      <c r="CN279" s="100"/>
      <c r="CO279" s="218">
        <f t="shared" si="115"/>
        <v>0.3</v>
      </c>
      <c r="CP279" s="100">
        <f t="shared" si="116"/>
        <v>0.4</v>
      </c>
      <c r="CQ279" s="218">
        <f t="shared" si="117"/>
        <v>0.5</v>
      </c>
      <c r="CZ279" s="116"/>
      <c r="DA279" s="141"/>
      <c r="DB279" s="116"/>
      <c r="DC279" s="116"/>
      <c r="DD279" s="116"/>
      <c r="DE279" s="116"/>
      <c r="DF279" s="116"/>
    </row>
    <row r="280" spans="1:116" s="101" customFormat="1" ht="15" hidden="1" customHeight="1" thickBot="1" x14ac:dyDescent="0.3">
      <c r="A280" s="99"/>
      <c r="V280" s="103"/>
      <c r="AA280" s="104"/>
      <c r="AB280" s="104"/>
      <c r="AD280" s="104"/>
      <c r="AE280" s="105"/>
      <c r="AH280" s="106"/>
      <c r="AI280" s="106"/>
      <c r="AK280" s="104"/>
      <c r="AR280" s="104"/>
      <c r="AV280" s="104"/>
      <c r="AX280" s="104"/>
      <c r="BB280" s="104"/>
      <c r="BC280" s="104"/>
      <c r="BE280" s="104"/>
      <c r="BH280" s="120"/>
      <c r="BI280" s="203" t="s">
        <v>467</v>
      </c>
      <c r="BJ280" s="190" t="s">
        <v>100</v>
      </c>
      <c r="BK280" s="196">
        <v>5.4199999999999998E-2</v>
      </c>
      <c r="BL280" s="190" t="s">
        <v>413</v>
      </c>
      <c r="BM280" s="189">
        <v>0.3</v>
      </c>
      <c r="BN280" s="189">
        <v>0.5</v>
      </c>
      <c r="BO280" s="188" t="s">
        <v>258</v>
      </c>
      <c r="BP280" s="178"/>
      <c r="BQ280" s="196">
        <f>BK280*25</f>
        <v>1.355</v>
      </c>
      <c r="BR280" s="190" t="s">
        <v>414</v>
      </c>
      <c r="BS280" s="178"/>
      <c r="BT280" s="178"/>
      <c r="BU280" s="178"/>
      <c r="BV280" s="180"/>
      <c r="BW280" s="178"/>
      <c r="BX280" s="178"/>
      <c r="BY280" s="180"/>
      <c r="BZ280" s="180"/>
      <c r="CA280" s="180"/>
      <c r="CB280" s="102"/>
      <c r="CC280" s="102"/>
      <c r="CD280" s="102"/>
      <c r="CE280" s="102"/>
      <c r="CF280" s="102"/>
      <c r="CG280" s="102"/>
      <c r="CH280" s="102"/>
      <c r="CI280" s="102"/>
      <c r="CJ280" s="102"/>
      <c r="CK280" s="102"/>
      <c r="CL280" s="102"/>
      <c r="CM280" s="102"/>
      <c r="CN280" s="100"/>
      <c r="CO280" s="218">
        <f t="shared" si="115"/>
        <v>0.3</v>
      </c>
      <c r="CP280" s="100">
        <f t="shared" si="116"/>
        <v>0.4</v>
      </c>
      <c r="CQ280" s="218">
        <f t="shared" si="117"/>
        <v>0.5</v>
      </c>
      <c r="CZ280" s="116"/>
      <c r="DA280" s="141"/>
      <c r="DB280" s="116"/>
      <c r="DC280" s="116"/>
      <c r="DD280" s="116"/>
      <c r="DE280" s="116"/>
      <c r="DF280" s="116"/>
    </row>
    <row r="281" spans="1:116" s="101" customFormat="1" ht="15" hidden="1" customHeight="1" thickBot="1" x14ac:dyDescent="0.3">
      <c r="A281" s="99"/>
      <c r="V281" s="103"/>
      <c r="AA281" s="104"/>
      <c r="AB281" s="104"/>
      <c r="AD281" s="104"/>
      <c r="AE281" s="105"/>
      <c r="AH281" s="106"/>
      <c r="AI281" s="106"/>
      <c r="AK281" s="104"/>
      <c r="AR281" s="104"/>
      <c r="AV281" s="104"/>
      <c r="AX281" s="104"/>
      <c r="BB281" s="104"/>
      <c r="BC281" s="104"/>
      <c r="BE281" s="104"/>
      <c r="BH281" s="120"/>
      <c r="BI281" s="203" t="s">
        <v>468</v>
      </c>
      <c r="BJ281" s="190" t="s">
        <v>100</v>
      </c>
      <c r="BK281" s="196">
        <v>9.522E-5</v>
      </c>
      <c r="BL281" s="190" t="s">
        <v>413</v>
      </c>
      <c r="BM281" s="189">
        <v>0.3</v>
      </c>
      <c r="BN281" s="189">
        <v>0.5</v>
      </c>
      <c r="BO281" s="188" t="s">
        <v>469</v>
      </c>
      <c r="BP281" s="178"/>
      <c r="BQ281" s="196">
        <f>BK281*25</f>
        <v>2.3804999999999998E-3</v>
      </c>
      <c r="BR281" s="190" t="s">
        <v>414</v>
      </c>
      <c r="BS281" s="178"/>
      <c r="BT281" s="178"/>
      <c r="BU281" s="178"/>
      <c r="BV281" s="178"/>
      <c r="BW281" s="178"/>
      <c r="BX281" s="178"/>
      <c r="BY281" s="178"/>
      <c r="BZ281" s="178"/>
      <c r="CA281" s="178"/>
      <c r="CB281" s="180"/>
      <c r="CC281" s="178"/>
      <c r="CD281" s="178"/>
      <c r="CE281" s="180"/>
      <c r="CF281" s="180"/>
      <c r="CG281" s="180"/>
      <c r="CH281" s="180"/>
      <c r="CI281" s="178"/>
      <c r="CJ281" s="178"/>
      <c r="CK281" s="180"/>
      <c r="CL281" s="180"/>
      <c r="CM281" s="180"/>
      <c r="CN281" s="225"/>
      <c r="CO281" s="218">
        <f t="shared" si="115"/>
        <v>0.3</v>
      </c>
      <c r="CP281" s="100">
        <f t="shared" si="116"/>
        <v>0.4</v>
      </c>
      <c r="CQ281" s="218">
        <f t="shared" si="117"/>
        <v>0.5</v>
      </c>
      <c r="CX281" s="101" t="s">
        <v>102</v>
      </c>
      <c r="CY281" s="101" t="s">
        <v>100</v>
      </c>
      <c r="CZ281" s="116">
        <v>1</v>
      </c>
      <c r="DA281" s="141">
        <f t="shared" si="119"/>
        <v>21</v>
      </c>
      <c r="DB281" s="116" t="s">
        <v>375</v>
      </c>
      <c r="DC281" s="116">
        <f t="shared" si="118"/>
        <v>25</v>
      </c>
      <c r="DD281" s="116"/>
      <c r="DE281" s="116"/>
      <c r="DF281" s="116"/>
    </row>
    <row r="282" spans="1:116" s="101" customFormat="1" hidden="1" x14ac:dyDescent="0.25">
      <c r="A282" s="99"/>
      <c r="V282" s="103"/>
      <c r="AA282" s="104"/>
      <c r="AB282" s="104"/>
      <c r="AD282" s="104"/>
      <c r="AE282" s="105"/>
      <c r="AH282" s="106"/>
      <c r="AI282" s="106"/>
      <c r="AK282" s="104"/>
      <c r="AR282" s="104"/>
      <c r="AV282" s="104"/>
      <c r="AX282" s="104"/>
      <c r="BB282" s="104"/>
      <c r="BC282" s="104"/>
      <c r="BE282" s="104"/>
      <c r="BH282" s="99"/>
      <c r="BI282" s="102"/>
      <c r="BJ282" s="178"/>
      <c r="BK282" s="178"/>
      <c r="BL282" s="178"/>
      <c r="BM282" s="169"/>
      <c r="BN282" s="169"/>
      <c r="BO282" s="169"/>
      <c r="BP282" s="178"/>
      <c r="BQ282" s="178"/>
      <c r="BR282" s="178"/>
      <c r="BS282" s="178"/>
      <c r="BT282" s="178"/>
      <c r="BU282" s="178"/>
      <c r="BV282" s="178"/>
      <c r="BW282" s="178"/>
      <c r="BX282" s="178"/>
      <c r="BY282" s="178"/>
      <c r="BZ282" s="178"/>
      <c r="CA282" s="178"/>
      <c r="CB282" s="180"/>
      <c r="CC282" s="178"/>
      <c r="CD282" s="178"/>
      <c r="CE282" s="180"/>
      <c r="CF282" s="180"/>
      <c r="CG282" s="180"/>
      <c r="CH282" s="180"/>
      <c r="CI282" s="178"/>
      <c r="CJ282" s="178"/>
      <c r="CK282" s="180"/>
      <c r="CL282" s="180"/>
      <c r="CM282" s="180"/>
      <c r="CN282" s="225"/>
      <c r="CO282" s="218">
        <f t="shared" si="115"/>
        <v>0</v>
      </c>
      <c r="CP282" s="100">
        <f t="shared" si="116"/>
        <v>0</v>
      </c>
      <c r="CQ282" s="218">
        <f t="shared" si="117"/>
        <v>0</v>
      </c>
      <c r="CX282" s="101">
        <v>0</v>
      </c>
      <c r="CY282" s="101">
        <v>0</v>
      </c>
      <c r="CZ282" s="116">
        <v>0</v>
      </c>
      <c r="DA282" s="101">
        <v>0</v>
      </c>
      <c r="DC282" s="116">
        <f>+CZ307*25</f>
        <v>1050</v>
      </c>
      <c r="DD282" s="116"/>
      <c r="DE282" s="116"/>
      <c r="DF282" s="116"/>
    </row>
    <row r="283" spans="1:116" s="101" customFormat="1" ht="15.75" hidden="1" customHeight="1" thickBot="1" x14ac:dyDescent="0.3">
      <c r="A283" s="99"/>
      <c r="V283" s="103"/>
      <c r="AA283" s="104"/>
      <c r="AB283" s="104"/>
      <c r="AD283" s="104"/>
      <c r="AE283" s="105"/>
      <c r="AH283" s="106"/>
      <c r="AI283" s="106"/>
      <c r="AK283" s="104"/>
      <c r="AR283" s="104"/>
      <c r="AV283" s="104"/>
      <c r="AX283" s="104"/>
      <c r="BB283" s="104"/>
      <c r="BC283" s="104"/>
      <c r="BE283" s="104"/>
      <c r="BH283" s="99"/>
      <c r="BI283" s="102"/>
      <c r="BJ283" s="178"/>
      <c r="BK283" s="178"/>
      <c r="BL283" s="178"/>
      <c r="BM283" s="169"/>
      <c r="BN283" s="169"/>
      <c r="BO283" s="169"/>
      <c r="BP283" s="178"/>
      <c r="BQ283" s="178"/>
      <c r="BR283" s="178"/>
      <c r="BS283" s="178"/>
      <c r="BT283" s="178"/>
      <c r="BU283" s="178"/>
      <c r="BV283" s="178"/>
      <c r="BW283" s="178"/>
      <c r="BX283" s="178"/>
      <c r="BY283" s="178"/>
      <c r="BZ283" s="178"/>
      <c r="CA283" s="178"/>
      <c r="CB283" s="180"/>
      <c r="CC283" s="178"/>
      <c r="CD283" s="178"/>
      <c r="CE283" s="180"/>
      <c r="CF283" s="180"/>
      <c r="CG283" s="180"/>
      <c r="CH283" s="180"/>
      <c r="CI283" s="178"/>
      <c r="CJ283" s="178"/>
      <c r="CK283" s="180"/>
      <c r="CL283" s="180"/>
      <c r="CM283" s="180"/>
      <c r="CN283" s="225"/>
      <c r="CO283" s="218">
        <f t="shared" si="115"/>
        <v>0</v>
      </c>
      <c r="CP283" s="100">
        <f t="shared" si="116"/>
        <v>0</v>
      </c>
      <c r="CQ283" s="218">
        <f t="shared" si="117"/>
        <v>0</v>
      </c>
      <c r="CZ283" s="116"/>
      <c r="DC283" s="116"/>
      <c r="DD283" s="116"/>
      <c r="DE283" s="116"/>
      <c r="DF283" s="116"/>
    </row>
    <row r="284" spans="1:116" s="101" customFormat="1" ht="15.75" hidden="1" thickBot="1" x14ac:dyDescent="0.3">
      <c r="A284" s="99"/>
      <c r="S284" s="244" t="s">
        <v>558</v>
      </c>
      <c r="V284" s="103"/>
      <c r="AA284" s="104"/>
      <c r="AB284" s="104"/>
      <c r="AD284" s="104"/>
      <c r="AF284" s="104"/>
      <c r="AI284" s="238" t="s">
        <v>555</v>
      </c>
      <c r="AJ284" s="238"/>
      <c r="AK284" s="238"/>
      <c r="AL284" s="238"/>
      <c r="AM284" s="238"/>
      <c r="AO284" s="238"/>
      <c r="AP284" s="238"/>
      <c r="AQ284" s="238"/>
      <c r="AR284" s="238"/>
      <c r="AS284" s="238"/>
      <c r="AT284" s="238"/>
      <c r="AU284" s="238"/>
      <c r="AV284" s="238"/>
      <c r="AW284" s="238"/>
      <c r="AX284" s="238"/>
      <c r="AY284" s="238"/>
      <c r="AZ284" s="238"/>
      <c r="BA284" s="238"/>
      <c r="BB284" s="238"/>
      <c r="BC284" s="238"/>
      <c r="BD284" s="238"/>
      <c r="BH284" s="99"/>
      <c r="BI284" s="102"/>
      <c r="BJ284" s="178"/>
      <c r="BK284" s="1608" t="s">
        <v>106</v>
      </c>
      <c r="BL284" s="1609"/>
      <c r="BM284" s="1609"/>
      <c r="BN284" s="1609"/>
      <c r="BO284" s="1610"/>
      <c r="BP284" s="1608" t="s">
        <v>110</v>
      </c>
      <c r="BQ284" s="1609"/>
      <c r="BR284" s="1609"/>
      <c r="BS284" s="1609"/>
      <c r="BT284" s="1610"/>
      <c r="BU284" s="178"/>
      <c r="BV284" s="178"/>
      <c r="BW284" s="178"/>
      <c r="BX284" s="178"/>
      <c r="BY284" s="178"/>
      <c r="BZ284" s="178"/>
      <c r="CA284" s="178"/>
      <c r="CB284" s="180"/>
      <c r="CC284" s="178"/>
      <c r="CD284" s="178"/>
      <c r="CE284" s="180"/>
      <c r="CF284" s="180"/>
      <c r="CG284" s="180"/>
      <c r="CH284" s="180"/>
      <c r="CI284" s="178"/>
      <c r="CJ284" s="178"/>
      <c r="CK284" s="180"/>
      <c r="CL284" s="180"/>
      <c r="CM284" s="180"/>
      <c r="CN284" s="225"/>
      <c r="CO284" s="218">
        <f t="shared" si="115"/>
        <v>0</v>
      </c>
      <c r="CP284" s="100">
        <f t="shared" si="116"/>
        <v>0</v>
      </c>
      <c r="CQ284" s="218">
        <f t="shared" si="117"/>
        <v>0</v>
      </c>
      <c r="CX284" s="121" t="s">
        <v>155</v>
      </c>
      <c r="CY284" s="1618" t="s">
        <v>379</v>
      </c>
      <c r="CZ284" s="1618" t="s">
        <v>380</v>
      </c>
      <c r="DA284" s="1618"/>
      <c r="DB284" s="1619" t="s">
        <v>159</v>
      </c>
      <c r="DC284" s="1618" t="s">
        <v>160</v>
      </c>
      <c r="DD284" s="1618" t="s">
        <v>162</v>
      </c>
      <c r="DE284" s="1618" t="s">
        <v>389</v>
      </c>
      <c r="DF284" s="1618" t="s">
        <v>390</v>
      </c>
      <c r="DG284" s="1618" t="s">
        <v>380</v>
      </c>
      <c r="DH284" s="1618"/>
      <c r="DI284" s="1618" t="s">
        <v>391</v>
      </c>
      <c r="DJ284" s="1618"/>
    </row>
    <row r="285" spans="1:116" s="101" customFormat="1" ht="21.75" hidden="1" customHeight="1" x14ac:dyDescent="0.25">
      <c r="A285" s="99"/>
      <c r="S285" s="243">
        <v>0</v>
      </c>
      <c r="T285" s="243">
        <v>0</v>
      </c>
      <c r="U285" s="243">
        <v>5.0000000000000001E-3</v>
      </c>
      <c r="V285" s="243">
        <v>0.02</v>
      </c>
      <c r="W285" s="243">
        <v>5.0000000000000001E-3</v>
      </c>
      <c r="X285" s="243">
        <v>0</v>
      </c>
      <c r="Y285" s="243">
        <v>0.01</v>
      </c>
      <c r="Z285" s="243">
        <v>7.0000000000000007E-2</v>
      </c>
      <c r="AA285" s="245">
        <v>0</v>
      </c>
      <c r="AB285" s="245">
        <v>0</v>
      </c>
      <c r="AC285" s="243">
        <v>6.0000000000000001E-3</v>
      </c>
      <c r="AD285" s="245"/>
      <c r="AE285" s="243">
        <v>0.1</v>
      </c>
      <c r="AF285" s="245">
        <v>0.01</v>
      </c>
      <c r="AG285" s="243">
        <v>0.01</v>
      </c>
      <c r="AH285" s="100"/>
      <c r="AI285" s="1611" t="s">
        <v>556</v>
      </c>
      <c r="AJ285" s="1611"/>
      <c r="AK285" s="1611"/>
      <c r="AL285" s="1611"/>
      <c r="AM285" s="1611"/>
      <c r="AN285" s="238" t="s">
        <v>554</v>
      </c>
      <c r="AO285" s="238"/>
      <c r="AP285" s="238"/>
      <c r="AQ285" s="238"/>
      <c r="AR285" s="238"/>
      <c r="AS285" s="238"/>
      <c r="AT285" s="238"/>
      <c r="AU285" s="238"/>
      <c r="AV285" s="238"/>
      <c r="AW285" s="238"/>
      <c r="AX285" s="238"/>
      <c r="AY285" s="238"/>
      <c r="AZ285" s="238"/>
      <c r="BA285" s="238"/>
      <c r="BB285" s="238"/>
      <c r="BC285" s="238"/>
      <c r="BD285" s="238"/>
      <c r="BH285" s="99"/>
      <c r="BI285" s="1606" t="s">
        <v>58</v>
      </c>
      <c r="BJ285" s="183"/>
      <c r="BK285" s="1606" t="s">
        <v>280</v>
      </c>
      <c r="BL285" s="183"/>
      <c r="BM285" s="1606" t="s">
        <v>233</v>
      </c>
      <c r="BN285" s="1606" t="s">
        <v>233</v>
      </c>
      <c r="BO285" s="1606" t="s">
        <v>240</v>
      </c>
      <c r="BP285" s="1606" t="s">
        <v>281</v>
      </c>
      <c r="BQ285" s="183"/>
      <c r="BR285" s="1606" t="s">
        <v>233</v>
      </c>
      <c r="BS285" s="1606" t="s">
        <v>233</v>
      </c>
      <c r="BT285" s="1606" t="s">
        <v>240</v>
      </c>
      <c r="BU285" s="178"/>
      <c r="BV285" s="178"/>
      <c r="BW285" s="178"/>
      <c r="BX285" s="178"/>
      <c r="BY285" s="178"/>
      <c r="BZ285" s="178"/>
      <c r="CA285" s="178"/>
      <c r="CB285" s="180"/>
      <c r="CC285" s="178"/>
      <c r="CD285" s="178"/>
      <c r="CE285" s="180"/>
      <c r="CF285" s="180"/>
      <c r="CG285" s="180"/>
      <c r="CH285" s="180"/>
      <c r="CI285" s="178"/>
      <c r="CJ285" s="178"/>
      <c r="CK285" s="180"/>
      <c r="CL285" s="180"/>
      <c r="CM285" s="180"/>
      <c r="CN285" s="225"/>
      <c r="CO285" s="218" t="str">
        <f t="shared" si="115"/>
        <v>Incertidumbre (+/- %)</v>
      </c>
      <c r="CP285" s="100" t="e">
        <f t="shared" si="116"/>
        <v>#VALUE!</v>
      </c>
      <c r="CQ285" s="218" t="str">
        <f t="shared" si="117"/>
        <v>Incertidumbre (+/- %)</v>
      </c>
      <c r="CX285" s="121"/>
      <c r="CY285" s="1618"/>
      <c r="CZ285" s="146">
        <v>1995</v>
      </c>
      <c r="DA285" s="121">
        <v>2007</v>
      </c>
      <c r="DB285" s="1619"/>
      <c r="DC285" s="1618"/>
      <c r="DD285" s="1618"/>
      <c r="DE285" s="1618"/>
      <c r="DF285" s="1618"/>
      <c r="DG285" s="121">
        <v>1995</v>
      </c>
      <c r="DH285" s="121">
        <v>2007</v>
      </c>
      <c r="DI285" s="121">
        <v>1995</v>
      </c>
      <c r="DJ285" s="121">
        <v>2007</v>
      </c>
    </row>
    <row r="286" spans="1:116" s="101" customFormat="1" ht="34.5" hidden="1" customHeight="1" thickBot="1" x14ac:dyDescent="0.3">
      <c r="Q286" s="242" t="s">
        <v>557</v>
      </c>
      <c r="R286" s="242" t="s">
        <v>559</v>
      </c>
      <c r="S286" s="242" t="s">
        <v>532</v>
      </c>
      <c r="T286" s="242" t="s">
        <v>1399</v>
      </c>
      <c r="U286" s="242" t="s">
        <v>530</v>
      </c>
      <c r="V286" s="242" t="s">
        <v>531</v>
      </c>
      <c r="W286" s="242" t="s">
        <v>529</v>
      </c>
      <c r="X286" s="242" t="s">
        <v>1400</v>
      </c>
      <c r="Y286" s="242" t="s">
        <v>537</v>
      </c>
      <c r="Z286" s="242" t="s">
        <v>538</v>
      </c>
      <c r="AA286" s="242" t="s">
        <v>1401</v>
      </c>
      <c r="AB286" s="242" t="s">
        <v>534</v>
      </c>
      <c r="AC286" s="242" t="s">
        <v>1402</v>
      </c>
      <c r="AD286" s="243"/>
      <c r="AE286" s="242" t="s">
        <v>540</v>
      </c>
      <c r="AF286" s="242" t="s">
        <v>535</v>
      </c>
      <c r="AG286" s="242" t="s">
        <v>1403</v>
      </c>
      <c r="AH286" s="242" t="s">
        <v>233</v>
      </c>
      <c r="AI286" s="239" t="s">
        <v>1404</v>
      </c>
      <c r="AJ286" s="239" t="s">
        <v>1405</v>
      </c>
      <c r="AK286" s="102"/>
      <c r="AL286" s="239" t="s">
        <v>1406</v>
      </c>
      <c r="AM286" s="239" t="s">
        <v>526</v>
      </c>
      <c r="AN286" s="241" t="s">
        <v>543</v>
      </c>
      <c r="AO286" s="241" t="s">
        <v>542</v>
      </c>
      <c r="AP286" s="240" t="s">
        <v>532</v>
      </c>
      <c r="AQ286" s="240" t="s">
        <v>1399</v>
      </c>
      <c r="AS286" s="240" t="s">
        <v>530</v>
      </c>
      <c r="AT286" s="240" t="s">
        <v>531</v>
      </c>
      <c r="AU286" s="240" t="s">
        <v>529</v>
      </c>
      <c r="AV286" s="240" t="s">
        <v>1400</v>
      </c>
      <c r="AW286" s="240" t="s">
        <v>537</v>
      </c>
      <c r="AY286" s="240" t="s">
        <v>538</v>
      </c>
      <c r="AZ286" s="240" t="s">
        <v>1401</v>
      </c>
      <c r="BA286" s="240" t="s">
        <v>534</v>
      </c>
      <c r="BB286" s="240" t="s">
        <v>1402</v>
      </c>
      <c r="BC286" s="240" t="s">
        <v>540</v>
      </c>
      <c r="BD286" s="240" t="s">
        <v>535</v>
      </c>
      <c r="BE286" s="240" t="s">
        <v>1403</v>
      </c>
      <c r="BH286" s="99"/>
      <c r="BI286" s="1607"/>
      <c r="BJ286" s="184" t="s">
        <v>253</v>
      </c>
      <c r="BK286" s="1607"/>
      <c r="BL286" s="184" t="s">
        <v>251</v>
      </c>
      <c r="BM286" s="1607"/>
      <c r="BN286" s="1607"/>
      <c r="BO286" s="1607"/>
      <c r="BP286" s="1607"/>
      <c r="BQ286" s="184" t="s">
        <v>251</v>
      </c>
      <c r="BR286" s="1607"/>
      <c r="BS286" s="1607"/>
      <c r="BT286" s="1607"/>
      <c r="BU286" s="178"/>
      <c r="BV286" s="178"/>
      <c r="BW286" s="178"/>
      <c r="BX286" s="178"/>
      <c r="BY286" s="178"/>
      <c r="BZ286" s="178"/>
      <c r="CA286" s="178"/>
      <c r="CB286" s="180"/>
      <c r="CC286" s="178"/>
      <c r="CD286" s="178"/>
      <c r="CE286" s="180"/>
      <c r="CF286" s="180"/>
      <c r="CG286" s="180"/>
      <c r="CH286" s="180"/>
      <c r="CI286" s="178"/>
      <c r="CJ286" s="178"/>
      <c r="CK286" s="180"/>
      <c r="CL286" s="180"/>
      <c r="CM286" s="180"/>
      <c r="CN286" s="225"/>
      <c r="CO286" s="218">
        <f t="shared" si="115"/>
        <v>0</v>
      </c>
      <c r="CP286" s="100">
        <f t="shared" si="116"/>
        <v>0</v>
      </c>
      <c r="CQ286" s="218">
        <f t="shared" si="117"/>
        <v>0</v>
      </c>
      <c r="CW286" s="101" t="s">
        <v>58</v>
      </c>
      <c r="CX286" s="121">
        <v>0</v>
      </c>
      <c r="CY286" s="146">
        <v>0</v>
      </c>
      <c r="CZ286" s="146">
        <v>0</v>
      </c>
      <c r="DA286" s="121">
        <v>0</v>
      </c>
      <c r="DB286" s="121">
        <v>0</v>
      </c>
      <c r="DC286" s="146">
        <v>0</v>
      </c>
      <c r="DD286" s="146">
        <v>0</v>
      </c>
      <c r="DE286" s="146">
        <v>0</v>
      </c>
      <c r="DF286" s="146">
        <v>0</v>
      </c>
      <c r="DG286" s="121">
        <v>0</v>
      </c>
      <c r="DH286" s="121">
        <v>0</v>
      </c>
      <c r="DI286" s="121">
        <v>0</v>
      </c>
      <c r="DJ286" s="121">
        <v>0</v>
      </c>
      <c r="DK286" s="101">
        <v>0</v>
      </c>
    </row>
    <row r="287" spans="1:116" s="101" customFormat="1" ht="33.75" hidden="1" thickBot="1" x14ac:dyDescent="0.4">
      <c r="O287" s="227" t="s">
        <v>128</v>
      </c>
      <c r="Q287" s="243">
        <v>0.48</v>
      </c>
      <c r="R287" s="243">
        <v>400</v>
      </c>
      <c r="S287" s="246">
        <f t="shared" ref="S287:S310" si="120">((($Q287*($R287/1000)*365)*1)*S$285)*(44/28)</f>
        <v>0</v>
      </c>
      <c r="T287" s="246">
        <f t="shared" ref="T287:AG302" si="121">((($Q287*($R287/1000)*365)*1)*T$285)*(44/28)</f>
        <v>0</v>
      </c>
      <c r="U287" s="246">
        <f t="shared" si="121"/>
        <v>0.55062857142857136</v>
      </c>
      <c r="V287" s="246">
        <f t="shared" si="121"/>
        <v>2.2025142857142854</v>
      </c>
      <c r="W287" s="246">
        <f t="shared" si="121"/>
        <v>0.55062857142857136</v>
      </c>
      <c r="X287" s="246">
        <f t="shared" si="121"/>
        <v>0</v>
      </c>
      <c r="Y287" s="246">
        <f t="shared" si="121"/>
        <v>1.1012571428571427</v>
      </c>
      <c r="Z287" s="246">
        <f t="shared" si="121"/>
        <v>7.708800000000001</v>
      </c>
      <c r="AA287" s="246">
        <f t="shared" si="121"/>
        <v>0</v>
      </c>
      <c r="AB287" s="246">
        <f t="shared" si="121"/>
        <v>0</v>
      </c>
      <c r="AC287" s="246">
        <f t="shared" si="121"/>
        <v>0.66075428571428574</v>
      </c>
      <c r="AD287" s="246">
        <f t="shared" si="121"/>
        <v>0</v>
      </c>
      <c r="AE287" s="246">
        <f t="shared" si="121"/>
        <v>11.012571428571428</v>
      </c>
      <c r="AF287" s="246">
        <v>0</v>
      </c>
      <c r="AG287" s="246">
        <f t="shared" si="121"/>
        <v>1.1012571428571427</v>
      </c>
      <c r="AH287" s="243"/>
      <c r="AI287" s="102">
        <v>1</v>
      </c>
      <c r="AJ287" s="102">
        <v>58</v>
      </c>
      <c r="AL287" s="102">
        <v>29</v>
      </c>
      <c r="AM287" s="237">
        <v>0.3</v>
      </c>
      <c r="AN287" s="241">
        <v>2.9</v>
      </c>
      <c r="AO287" s="241">
        <v>0.13</v>
      </c>
      <c r="AP287" s="247">
        <f>(AN287*365)*(AO287*0.67*0.01*1)</f>
        <v>0.92195350000000009</v>
      </c>
      <c r="AQ287" s="247">
        <f>(AN287*365)*(AO287*0.67*0.001*1)</f>
        <v>9.2195350000000023E-2</v>
      </c>
      <c r="AR287" s="248"/>
      <c r="AS287" s="247">
        <f>(AN287*365)*(AO287*0.67*0.02*1)</f>
        <v>1.8439070000000002</v>
      </c>
      <c r="AT287" s="247">
        <f>(AN287*365)*(AO287*0.67*0.01*1)</f>
        <v>0.92195350000000009</v>
      </c>
      <c r="AU287" s="247">
        <f>(AN287*365)*(AO287*0.67*0.25*1)</f>
        <v>23.048837500000001</v>
      </c>
      <c r="AV287" s="247">
        <f>(AN287*365)*(AO287*0.67*0.73*1)</f>
        <v>67.302605499999999</v>
      </c>
      <c r="AW287" s="247">
        <f>(AN287*365)*(AO287*0.67*0.03*1)</f>
        <v>2.7658605000000005</v>
      </c>
      <c r="AX287" s="248"/>
      <c r="AY287" s="247">
        <f>(AN287*365)*(AO287*0.67*0.25*1)</f>
        <v>23.048837500000001</v>
      </c>
      <c r="AZ287" s="247">
        <f t="shared" ref="AZ287:AZ322" si="122">(AN287*365)*(AO287*0.67*1*1)</f>
        <v>92.195350000000005</v>
      </c>
      <c r="BA287" s="247">
        <f t="shared" ref="BA287:BA322" si="123">(AN287*365)*(AO287*0.67*0.1*1)</f>
        <v>9.2195350000000005</v>
      </c>
      <c r="BB287" s="247">
        <f t="shared" ref="BB287:BB322" si="124">(AN287*365)*(AO287*0.67*0.005*1)</f>
        <v>0.46097675000000005</v>
      </c>
      <c r="BC287" s="247">
        <f>(AN287*365)*(AO287*0.67*0.005*1)</f>
        <v>0.46097675000000005</v>
      </c>
      <c r="BD287" s="247">
        <v>0</v>
      </c>
      <c r="BE287" s="247">
        <v>0</v>
      </c>
      <c r="BH287" s="120" t="s">
        <v>58</v>
      </c>
      <c r="BI287" s="203" t="s">
        <v>601</v>
      </c>
      <c r="BJ287" s="190" t="s">
        <v>168</v>
      </c>
      <c r="BK287" s="196">
        <f>BV287/25</f>
        <v>1</v>
      </c>
      <c r="BL287" s="190" t="s">
        <v>413</v>
      </c>
      <c r="BM287" s="189">
        <v>0.2</v>
      </c>
      <c r="BN287" s="189">
        <v>0.5</v>
      </c>
      <c r="BO287" s="188" t="s">
        <v>258</v>
      </c>
      <c r="BP287" s="196">
        <f>BY287/298</f>
        <v>1.2445714285714284</v>
      </c>
      <c r="BQ287" s="190" t="s">
        <v>415</v>
      </c>
      <c r="BR287" s="189">
        <v>0.2</v>
      </c>
      <c r="BS287" s="189">
        <v>0.5</v>
      </c>
      <c r="BT287" s="188" t="s">
        <v>258</v>
      </c>
      <c r="BU287" s="178"/>
      <c r="BV287" s="196">
        <v>25</v>
      </c>
      <c r="BW287" s="190" t="s">
        <v>414</v>
      </c>
      <c r="BX287" s="178"/>
      <c r="BY287" s="196">
        <v>370.88228571428567</v>
      </c>
      <c r="BZ287" s="190" t="s">
        <v>414</v>
      </c>
      <c r="CA287" s="178"/>
      <c r="CB287" s="180"/>
      <c r="CC287" s="178"/>
      <c r="CD287" s="178"/>
      <c r="CE287" s="180"/>
      <c r="CF287" s="180"/>
      <c r="CG287" s="180"/>
      <c r="CH287" s="180"/>
      <c r="CI287" s="178"/>
      <c r="CJ287" s="178"/>
      <c r="CK287" s="180"/>
      <c r="CL287" s="180"/>
      <c r="CM287" s="180"/>
      <c r="CN287" s="225"/>
      <c r="CO287" s="218">
        <f t="shared" si="115"/>
        <v>0.2</v>
      </c>
      <c r="CP287" s="100">
        <f t="shared" si="116"/>
        <v>0.35</v>
      </c>
      <c r="CQ287" s="218">
        <f t="shared" si="117"/>
        <v>0.5</v>
      </c>
      <c r="CW287" s="101" t="s">
        <v>58</v>
      </c>
      <c r="CX287" s="23" t="s">
        <v>125</v>
      </c>
      <c r="CY287" s="23">
        <v>1</v>
      </c>
      <c r="CZ287" s="142">
        <f>+CY287*21</f>
        <v>21</v>
      </c>
      <c r="DA287" s="142">
        <f>+CY287*25</f>
        <v>25</v>
      </c>
      <c r="DB287" s="23">
        <v>40</v>
      </c>
      <c r="DC287" s="23">
        <v>0.99</v>
      </c>
      <c r="DD287" s="142">
        <f>+DB287*DC287</f>
        <v>39.6</v>
      </c>
      <c r="DE287" s="23">
        <v>0.02</v>
      </c>
      <c r="DF287" s="149">
        <f>+DD287*DE287*44/28</f>
        <v>1.2445714285714284</v>
      </c>
      <c r="DG287" s="149">
        <f>+DF287*310</f>
        <v>385.81714285714281</v>
      </c>
      <c r="DH287" s="149">
        <f>+DF287*298</f>
        <v>370.88228571428567</v>
      </c>
      <c r="DI287" s="150">
        <f>+CZ287+DG287</f>
        <v>406.81714285714281</v>
      </c>
      <c r="DJ287" s="150">
        <f>+DA287+DH287</f>
        <v>395.88228571428567</v>
      </c>
      <c r="DK287" s="116" t="s">
        <v>168</v>
      </c>
      <c r="DL287" s="101" t="s">
        <v>392</v>
      </c>
    </row>
    <row r="288" spans="1:116" s="101" customFormat="1" ht="33.75" hidden="1" thickBot="1" x14ac:dyDescent="0.4">
      <c r="O288" s="227" t="s">
        <v>129</v>
      </c>
      <c r="Q288" s="243">
        <v>0.48</v>
      </c>
      <c r="R288" s="243">
        <v>400</v>
      </c>
      <c r="S288" s="246">
        <f t="shared" si="120"/>
        <v>0</v>
      </c>
      <c r="T288" s="246">
        <f t="shared" si="121"/>
        <v>0</v>
      </c>
      <c r="U288" s="246">
        <f t="shared" si="121"/>
        <v>0.55062857142857136</v>
      </c>
      <c r="V288" s="246">
        <f t="shared" si="121"/>
        <v>2.2025142857142854</v>
      </c>
      <c r="W288" s="246">
        <f t="shared" si="121"/>
        <v>0.55062857142857136</v>
      </c>
      <c r="X288" s="246">
        <f t="shared" si="121"/>
        <v>0</v>
      </c>
      <c r="Y288" s="246">
        <f t="shared" si="121"/>
        <v>1.1012571428571427</v>
      </c>
      <c r="Z288" s="246">
        <f t="shared" si="121"/>
        <v>7.708800000000001</v>
      </c>
      <c r="AA288" s="246">
        <f t="shared" si="121"/>
        <v>0</v>
      </c>
      <c r="AB288" s="246">
        <f t="shared" si="121"/>
        <v>0</v>
      </c>
      <c r="AC288" s="246">
        <f t="shared" si="121"/>
        <v>0.66075428571428574</v>
      </c>
      <c r="AD288" s="246">
        <f t="shared" si="121"/>
        <v>0</v>
      </c>
      <c r="AE288" s="246">
        <f t="shared" si="121"/>
        <v>11.012571428571428</v>
      </c>
      <c r="AF288" s="246">
        <v>0</v>
      </c>
      <c r="AG288" s="246">
        <f t="shared" si="121"/>
        <v>1.1012571428571427</v>
      </c>
      <c r="AH288" s="243"/>
      <c r="AI288" s="102">
        <v>1</v>
      </c>
      <c r="AJ288" s="102">
        <v>98</v>
      </c>
      <c r="AL288" s="102">
        <v>75</v>
      </c>
      <c r="AM288" s="237">
        <v>0.3</v>
      </c>
      <c r="AN288" s="241">
        <v>2.9</v>
      </c>
      <c r="AO288" s="241">
        <v>0.13</v>
      </c>
      <c r="AP288" s="247">
        <f>(AN288*365)*(AO288*0.67*0.015*1)</f>
        <v>1.3829302500000002</v>
      </c>
      <c r="AQ288" s="247">
        <f>(AN288*365)*(AO288*0.67*0.005*1)</f>
        <v>0.46097675000000005</v>
      </c>
      <c r="AR288" s="248"/>
      <c r="AS288" s="247">
        <f>(AN288*365)*(AO288*0.67*0.04*1)</f>
        <v>3.6878140000000004</v>
      </c>
      <c r="AT288" s="247">
        <f>(AN288*365)*(AO288*0.67*0.015*1)</f>
        <v>1.3829302500000002</v>
      </c>
      <c r="AU288" s="247">
        <f>(AN288*365)*(AO288*0.67*0.65*1)</f>
        <v>59.926977500000007</v>
      </c>
      <c r="AV288" s="247">
        <f>(AN288*365)*(AO288*0.67*0.79*1)</f>
        <v>72.834326500000003</v>
      </c>
      <c r="AW288" s="247">
        <f>(AN288*365)*(AO288*0.67*0.03*1)</f>
        <v>2.7658605000000005</v>
      </c>
      <c r="AX288" s="248"/>
      <c r="AY288" s="247">
        <f>(AN288*365)*(AO288*0.67*0.65*1)</f>
        <v>59.926977500000007</v>
      </c>
      <c r="AZ288" s="247">
        <f t="shared" si="122"/>
        <v>92.195350000000005</v>
      </c>
      <c r="BA288" s="247">
        <f t="shared" si="123"/>
        <v>9.2195350000000005</v>
      </c>
      <c r="BB288" s="247">
        <f t="shared" si="124"/>
        <v>0.46097675000000005</v>
      </c>
      <c r="BC288" s="247">
        <f>(AN288*365)*(AO288*0.67*0.01*1)</f>
        <v>0.92195350000000009</v>
      </c>
      <c r="BD288" s="247">
        <v>0</v>
      </c>
      <c r="BE288" s="247">
        <v>0</v>
      </c>
      <c r="BH288" s="120"/>
      <c r="BI288" s="203" t="s">
        <v>126</v>
      </c>
      <c r="BJ288" s="190" t="s">
        <v>168</v>
      </c>
      <c r="BK288" s="196">
        <f t="shared" ref="BK288:BK316" si="125">BV288/25</f>
        <v>1</v>
      </c>
      <c r="BL288" s="190" t="s">
        <v>413</v>
      </c>
      <c r="BM288" s="189">
        <v>0.2</v>
      </c>
      <c r="BN288" s="189">
        <v>0.5</v>
      </c>
      <c r="BO288" s="188" t="s">
        <v>258</v>
      </c>
      <c r="BP288" s="196">
        <f t="shared" ref="BP288:BP316" si="126">BY288/298</f>
        <v>1.2445714285714284</v>
      </c>
      <c r="BQ288" s="190" t="s">
        <v>415</v>
      </c>
      <c r="BR288" s="189">
        <v>0.2</v>
      </c>
      <c r="BS288" s="189">
        <v>0.5</v>
      </c>
      <c r="BT288" s="188" t="s">
        <v>258</v>
      </c>
      <c r="BU288" s="178"/>
      <c r="BV288" s="196">
        <v>25</v>
      </c>
      <c r="BW288" s="190" t="s">
        <v>414</v>
      </c>
      <c r="BX288" s="178"/>
      <c r="BY288" s="196">
        <v>370.88228571428567</v>
      </c>
      <c r="BZ288" s="190" t="s">
        <v>414</v>
      </c>
      <c r="CA288" s="178"/>
      <c r="CB288" s="180"/>
      <c r="CC288" s="178"/>
      <c r="CD288" s="178"/>
      <c r="CE288" s="180"/>
      <c r="CF288" s="180"/>
      <c r="CG288" s="180"/>
      <c r="CH288" s="180"/>
      <c r="CI288" s="178"/>
      <c r="CJ288" s="178"/>
      <c r="CK288" s="180"/>
      <c r="CL288" s="180"/>
      <c r="CM288" s="180"/>
      <c r="CN288" s="225"/>
      <c r="CO288" s="218">
        <f t="shared" si="115"/>
        <v>0.2</v>
      </c>
      <c r="CP288" s="100">
        <f t="shared" si="116"/>
        <v>0.35</v>
      </c>
      <c r="CQ288" s="218">
        <f t="shared" si="117"/>
        <v>0.5</v>
      </c>
      <c r="CX288" s="23" t="s">
        <v>126</v>
      </c>
      <c r="CY288" s="23">
        <v>1</v>
      </c>
      <c r="CZ288" s="142">
        <f t="shared" ref="CZ288:CZ316" si="127">+CY288*21</f>
        <v>21</v>
      </c>
      <c r="DA288" s="142">
        <f t="shared" ref="DA288:DA316" si="128">+CY288*25</f>
        <v>25</v>
      </c>
      <c r="DB288" s="23">
        <v>40</v>
      </c>
      <c r="DC288" s="23">
        <v>0.99</v>
      </c>
      <c r="DD288" s="142">
        <f t="shared" ref="DD288:DD316" si="129">+DB288*DC288</f>
        <v>39.6</v>
      </c>
      <c r="DE288" s="23">
        <v>0.02</v>
      </c>
      <c r="DF288" s="149">
        <f t="shared" ref="DF288:DF316" si="130">+DD288*DE288*44/28</f>
        <v>1.2445714285714284</v>
      </c>
      <c r="DG288" s="149">
        <f t="shared" ref="DG288:DG316" si="131">+DF288*310</f>
        <v>385.81714285714281</v>
      </c>
      <c r="DH288" s="149">
        <f t="shared" ref="DH288:DH316" si="132">+DF288*298</f>
        <v>370.88228571428567</v>
      </c>
      <c r="DI288" s="150">
        <f t="shared" ref="DI288:DJ316" si="133">+CZ288+DG288</f>
        <v>406.81714285714281</v>
      </c>
      <c r="DJ288" s="150">
        <f t="shared" si="133"/>
        <v>395.88228571428567</v>
      </c>
      <c r="DK288" s="116" t="s">
        <v>168</v>
      </c>
      <c r="DL288" s="101" t="s">
        <v>392</v>
      </c>
    </row>
    <row r="289" spans="15:116" s="101" customFormat="1" ht="33.75" hidden="1" thickBot="1" x14ac:dyDescent="0.4">
      <c r="O289" s="227" t="s">
        <v>130</v>
      </c>
      <c r="Q289" s="243">
        <v>0.48</v>
      </c>
      <c r="R289" s="243">
        <v>400</v>
      </c>
      <c r="S289" s="246">
        <f t="shared" si="120"/>
        <v>0</v>
      </c>
      <c r="T289" s="246">
        <f t="shared" si="121"/>
        <v>0</v>
      </c>
      <c r="U289" s="246">
        <f t="shared" si="121"/>
        <v>0.55062857142857136</v>
      </c>
      <c r="V289" s="246">
        <f t="shared" si="121"/>
        <v>2.2025142857142854</v>
      </c>
      <c r="W289" s="246">
        <f t="shared" si="121"/>
        <v>0.55062857142857136</v>
      </c>
      <c r="X289" s="246">
        <f t="shared" si="121"/>
        <v>0</v>
      </c>
      <c r="Y289" s="246">
        <f t="shared" si="121"/>
        <v>1.1012571428571427</v>
      </c>
      <c r="Z289" s="246">
        <f t="shared" si="121"/>
        <v>7.708800000000001</v>
      </c>
      <c r="AA289" s="246">
        <f t="shared" si="121"/>
        <v>0</v>
      </c>
      <c r="AB289" s="246">
        <f t="shared" si="121"/>
        <v>0</v>
      </c>
      <c r="AC289" s="246">
        <f t="shared" si="121"/>
        <v>0.66075428571428574</v>
      </c>
      <c r="AD289" s="246">
        <f t="shared" si="121"/>
        <v>0</v>
      </c>
      <c r="AE289" s="246">
        <f t="shared" si="121"/>
        <v>11.012571428571428</v>
      </c>
      <c r="AF289" s="246">
        <v>0</v>
      </c>
      <c r="AG289" s="246">
        <f t="shared" si="121"/>
        <v>1.1012571428571427</v>
      </c>
      <c r="AH289" s="243"/>
      <c r="AI289" s="102">
        <v>1</v>
      </c>
      <c r="AJ289" s="102">
        <v>112</v>
      </c>
      <c r="AL289" s="102">
        <v>92</v>
      </c>
      <c r="AM289" s="237">
        <v>0.3</v>
      </c>
      <c r="AN289" s="241">
        <v>2.9</v>
      </c>
      <c r="AO289" s="241">
        <v>0.13</v>
      </c>
      <c r="AP289" s="247">
        <f>(AN289*365)*(AO289*0.67*0.02*1)</f>
        <v>1.8439070000000002</v>
      </c>
      <c r="AQ289" s="247">
        <f>(AN289*365)*(AO289*0.67*0.01*1)</f>
        <v>0.92195350000000009</v>
      </c>
      <c r="AR289" s="248"/>
      <c r="AS289" s="247">
        <f>(AN289*365)*(AO289*0.67*0.05*1)</f>
        <v>4.6097675000000002</v>
      </c>
      <c r="AT289" s="247">
        <f>(AN289*365)*(AO289*0.67*0.02*1)</f>
        <v>1.8439070000000002</v>
      </c>
      <c r="AU289" s="247">
        <f>(AN289*365)*(AO289*0.67*0.8*1)</f>
        <v>73.756280000000004</v>
      </c>
      <c r="AV289" s="247">
        <f>(AN289*365)*(AO289*0.67*0.8*1)</f>
        <v>73.756280000000004</v>
      </c>
      <c r="AW289" s="247">
        <f>(AN289*365)*(AO289*0.67*0.3*1)</f>
        <v>27.658605000000005</v>
      </c>
      <c r="AX289" s="248"/>
      <c r="AY289" s="247">
        <f>(AN289*365)*(AO289*0.67*0.8*1)</f>
        <v>73.756280000000004</v>
      </c>
      <c r="AZ289" s="247">
        <f t="shared" si="122"/>
        <v>92.195350000000005</v>
      </c>
      <c r="BA289" s="247">
        <f t="shared" si="123"/>
        <v>9.2195350000000005</v>
      </c>
      <c r="BB289" s="247">
        <f t="shared" si="124"/>
        <v>0.46097675000000005</v>
      </c>
      <c r="BC289" s="247">
        <f>(AN289*365)*(AO289*0.67*0.015*1)</f>
        <v>1.3829302500000002</v>
      </c>
      <c r="BD289" s="247">
        <v>0</v>
      </c>
      <c r="BE289" s="247">
        <v>0</v>
      </c>
      <c r="BH289" s="120"/>
      <c r="BI289" s="203" t="s">
        <v>127</v>
      </c>
      <c r="BJ289" s="190" t="s">
        <v>168</v>
      </c>
      <c r="BK289" s="196">
        <f t="shared" si="125"/>
        <v>1</v>
      </c>
      <c r="BL289" s="190" t="s">
        <v>413</v>
      </c>
      <c r="BM289" s="189">
        <v>0.2</v>
      </c>
      <c r="BN289" s="189">
        <v>0.5</v>
      </c>
      <c r="BO289" s="188" t="s">
        <v>258</v>
      </c>
      <c r="BP289" s="196">
        <f t="shared" si="126"/>
        <v>1.2445714285714284</v>
      </c>
      <c r="BQ289" s="190" t="s">
        <v>415</v>
      </c>
      <c r="BR289" s="189">
        <v>0.2</v>
      </c>
      <c r="BS289" s="189">
        <v>0.5</v>
      </c>
      <c r="BT289" s="188" t="s">
        <v>258</v>
      </c>
      <c r="BU289" s="178"/>
      <c r="BV289" s="196">
        <v>25</v>
      </c>
      <c r="BW289" s="190" t="s">
        <v>414</v>
      </c>
      <c r="BX289" s="178"/>
      <c r="BY289" s="196">
        <v>370.88228571428567</v>
      </c>
      <c r="BZ289" s="190" t="s">
        <v>414</v>
      </c>
      <c r="CA289" s="178"/>
      <c r="CB289" s="180"/>
      <c r="CC289" s="178"/>
      <c r="CD289" s="178"/>
      <c r="CE289" s="180"/>
      <c r="CF289" s="180"/>
      <c r="CG289" s="180"/>
      <c r="CH289" s="180"/>
      <c r="CI289" s="178"/>
      <c r="CJ289" s="178"/>
      <c r="CK289" s="180"/>
      <c r="CL289" s="180"/>
      <c r="CM289" s="180"/>
      <c r="CN289" s="225"/>
      <c r="CO289" s="218">
        <f t="shared" si="115"/>
        <v>0.2</v>
      </c>
      <c r="CP289" s="100">
        <f t="shared" si="116"/>
        <v>0.35</v>
      </c>
      <c r="CQ289" s="218">
        <f t="shared" si="117"/>
        <v>0.5</v>
      </c>
      <c r="CX289" s="23" t="s">
        <v>127</v>
      </c>
      <c r="CY289" s="23">
        <v>1</v>
      </c>
      <c r="CZ289" s="142">
        <f t="shared" si="127"/>
        <v>21</v>
      </c>
      <c r="DA289" s="142">
        <f t="shared" si="128"/>
        <v>25</v>
      </c>
      <c r="DB289" s="23">
        <v>40</v>
      </c>
      <c r="DC289" s="23">
        <v>0.99</v>
      </c>
      <c r="DD289" s="142">
        <f t="shared" si="129"/>
        <v>39.6</v>
      </c>
      <c r="DE289" s="23">
        <v>0.02</v>
      </c>
      <c r="DF289" s="149">
        <f t="shared" si="130"/>
        <v>1.2445714285714284</v>
      </c>
      <c r="DG289" s="149">
        <f t="shared" si="131"/>
        <v>385.81714285714281</v>
      </c>
      <c r="DH289" s="149">
        <f t="shared" si="132"/>
        <v>370.88228571428567</v>
      </c>
      <c r="DI289" s="150">
        <f t="shared" si="133"/>
        <v>406.81714285714281</v>
      </c>
      <c r="DJ289" s="150">
        <f t="shared" si="133"/>
        <v>395.88228571428567</v>
      </c>
      <c r="DK289" s="116" t="s">
        <v>168</v>
      </c>
      <c r="DL289" s="101" t="s">
        <v>392</v>
      </c>
    </row>
    <row r="290" spans="15:116" s="101" customFormat="1" ht="33.75" hidden="1" thickBot="1" x14ac:dyDescent="0.4">
      <c r="O290" s="227" t="s">
        <v>125</v>
      </c>
      <c r="Q290" s="243">
        <v>0.36</v>
      </c>
      <c r="R290" s="243">
        <v>305</v>
      </c>
      <c r="S290" s="246">
        <f t="shared" si="120"/>
        <v>0</v>
      </c>
      <c r="T290" s="246">
        <f t="shared" si="121"/>
        <v>0</v>
      </c>
      <c r="U290" s="246">
        <f t="shared" si="121"/>
        <v>0.3148907142857143</v>
      </c>
      <c r="V290" s="246">
        <f t="shared" si="121"/>
        <v>1.2595628571428572</v>
      </c>
      <c r="W290" s="246">
        <f t="shared" si="121"/>
        <v>0.3148907142857143</v>
      </c>
      <c r="X290" s="246">
        <f t="shared" si="121"/>
        <v>0</v>
      </c>
      <c r="Y290" s="246">
        <f t="shared" si="121"/>
        <v>0.6297814285714286</v>
      </c>
      <c r="Z290" s="246">
        <f t="shared" si="121"/>
        <v>4.4084700000000003</v>
      </c>
      <c r="AA290" s="246">
        <f t="shared" si="121"/>
        <v>0</v>
      </c>
      <c r="AB290" s="246">
        <f t="shared" si="121"/>
        <v>0</v>
      </c>
      <c r="AC290" s="246">
        <f t="shared" si="121"/>
        <v>0.37786885714285712</v>
      </c>
      <c r="AD290" s="246">
        <f t="shared" si="121"/>
        <v>0</v>
      </c>
      <c r="AE290" s="246">
        <f t="shared" si="121"/>
        <v>6.2978142857142849</v>
      </c>
      <c r="AF290" s="246">
        <v>0</v>
      </c>
      <c r="AG290" s="246">
        <f t="shared" si="121"/>
        <v>0.6297814285714286</v>
      </c>
      <c r="AH290" s="243"/>
      <c r="AI290" s="102">
        <v>1</v>
      </c>
      <c r="AJ290" s="100">
        <v>0</v>
      </c>
      <c r="AL290" s="102">
        <v>8</v>
      </c>
      <c r="AM290" s="237">
        <v>0.3</v>
      </c>
      <c r="AN290" s="241">
        <v>2.5</v>
      </c>
      <c r="AO290" s="241">
        <v>0.1</v>
      </c>
      <c r="AP290" s="247">
        <f>(AN290*365)*(AO290*0.67*0.01*1)</f>
        <v>0.611375</v>
      </c>
      <c r="AQ290" s="247">
        <f>(AN290*365)*(AO290*0.67*0.001*1)</f>
        <v>6.1137500000000004E-2</v>
      </c>
      <c r="AR290" s="248"/>
      <c r="AS290" s="247">
        <f>(AN290*365)*(AO290*0.67*0.02*1)</f>
        <v>1.22275</v>
      </c>
      <c r="AT290" s="247">
        <f>(AN290*365)*(AO290*0.67*0.01*1)</f>
        <v>0.611375</v>
      </c>
      <c r="AU290" s="247">
        <f>(AN290*365)*(AO290*0.67*0.25*1)</f>
        <v>15.284375000000001</v>
      </c>
      <c r="AV290" s="247">
        <f>(AN290*365)*(AO290*0.67*0.73*1)</f>
        <v>44.630375000000001</v>
      </c>
      <c r="AW290" s="247">
        <f>(AN290*365)*(AO290*0.67*0.03*1)</f>
        <v>1.834125</v>
      </c>
      <c r="AX290" s="248"/>
      <c r="AY290" s="247">
        <f>(AN290*365)*(AO290*0.67*0.25*1)</f>
        <v>15.284375000000001</v>
      </c>
      <c r="AZ290" s="247">
        <f t="shared" si="122"/>
        <v>61.137500000000003</v>
      </c>
      <c r="BA290" s="247">
        <f t="shared" si="123"/>
        <v>6.1137500000000014</v>
      </c>
      <c r="BB290" s="247">
        <f t="shared" si="124"/>
        <v>0.3056875</v>
      </c>
      <c r="BC290" s="247">
        <f>(AN290*365)*(AO290*0.67*0.005*1)</f>
        <v>0.3056875</v>
      </c>
      <c r="BD290" s="247">
        <v>0</v>
      </c>
      <c r="BE290" s="247">
        <v>0</v>
      </c>
      <c r="BH290" s="120"/>
      <c r="BI290" s="203" t="s">
        <v>128</v>
      </c>
      <c r="BJ290" s="190" t="s">
        <v>168</v>
      </c>
      <c r="BK290" s="196">
        <f t="shared" si="125"/>
        <v>0</v>
      </c>
      <c r="BL290" s="190" t="s">
        <v>413</v>
      </c>
      <c r="BM290" s="189">
        <v>0.2</v>
      </c>
      <c r="BN290" s="189">
        <v>0.5</v>
      </c>
      <c r="BO290" s="188" t="s">
        <v>258</v>
      </c>
      <c r="BP290" s="196">
        <f t="shared" si="126"/>
        <v>0.79200000000000004</v>
      </c>
      <c r="BQ290" s="190" t="s">
        <v>415</v>
      </c>
      <c r="BR290" s="189">
        <v>0.2</v>
      </c>
      <c r="BS290" s="189">
        <v>0.5</v>
      </c>
      <c r="BT290" s="188" t="s">
        <v>258</v>
      </c>
      <c r="BU290" s="178"/>
      <c r="BV290" s="196">
        <v>0</v>
      </c>
      <c r="BW290" s="190" t="s">
        <v>414</v>
      </c>
      <c r="BX290" s="178"/>
      <c r="BY290" s="196">
        <v>236.01600000000002</v>
      </c>
      <c r="BZ290" s="190" t="s">
        <v>414</v>
      </c>
      <c r="CA290" s="178"/>
      <c r="CB290" s="180"/>
      <c r="CC290" s="178"/>
      <c r="CD290" s="178"/>
      <c r="CE290" s="180"/>
      <c r="CF290" s="180"/>
      <c r="CG290" s="180"/>
      <c r="CH290" s="180"/>
      <c r="CI290" s="178"/>
      <c r="CJ290" s="178"/>
      <c r="CK290" s="180"/>
      <c r="CL290" s="180"/>
      <c r="CM290" s="180"/>
      <c r="CN290" s="225"/>
      <c r="CO290" s="218">
        <f t="shared" si="115"/>
        <v>0.2</v>
      </c>
      <c r="CP290" s="100">
        <f t="shared" si="116"/>
        <v>0.35</v>
      </c>
      <c r="CQ290" s="218">
        <f t="shared" si="117"/>
        <v>0.5</v>
      </c>
      <c r="CX290" s="23" t="s">
        <v>128</v>
      </c>
      <c r="CY290" s="23">
        <v>0</v>
      </c>
      <c r="CZ290" s="142">
        <f t="shared" si="127"/>
        <v>0</v>
      </c>
      <c r="DA290" s="142">
        <f t="shared" si="128"/>
        <v>0</v>
      </c>
      <c r="DB290" s="23">
        <v>70</v>
      </c>
      <c r="DC290" s="23">
        <v>0.36</v>
      </c>
      <c r="DD290" s="142">
        <f t="shared" si="129"/>
        <v>25.2</v>
      </c>
      <c r="DE290" s="23">
        <v>0.02</v>
      </c>
      <c r="DF290" s="149">
        <f t="shared" si="130"/>
        <v>0.79200000000000004</v>
      </c>
      <c r="DG290" s="149">
        <f t="shared" si="131"/>
        <v>245.52</v>
      </c>
      <c r="DH290" s="149">
        <f t="shared" si="132"/>
        <v>236.01600000000002</v>
      </c>
      <c r="DI290" s="150">
        <f t="shared" si="133"/>
        <v>245.52</v>
      </c>
      <c r="DJ290" s="150">
        <f t="shared" si="133"/>
        <v>236.01600000000002</v>
      </c>
      <c r="DK290" s="116" t="s">
        <v>168</v>
      </c>
      <c r="DL290" s="101" t="s">
        <v>392</v>
      </c>
    </row>
    <row r="291" spans="15:116" s="101" customFormat="1" ht="33.75" hidden="1" thickBot="1" x14ac:dyDescent="0.4">
      <c r="O291" s="227" t="s">
        <v>126</v>
      </c>
      <c r="Q291" s="243">
        <v>0.36</v>
      </c>
      <c r="R291" s="243">
        <v>305</v>
      </c>
      <c r="S291" s="246">
        <f t="shared" si="120"/>
        <v>0</v>
      </c>
      <c r="T291" s="246">
        <f t="shared" si="121"/>
        <v>0</v>
      </c>
      <c r="U291" s="246">
        <f t="shared" si="121"/>
        <v>0.3148907142857143</v>
      </c>
      <c r="V291" s="246">
        <f t="shared" si="121"/>
        <v>1.2595628571428572</v>
      </c>
      <c r="W291" s="246">
        <f t="shared" si="121"/>
        <v>0.3148907142857143</v>
      </c>
      <c r="X291" s="246">
        <f t="shared" si="121"/>
        <v>0</v>
      </c>
      <c r="Y291" s="246">
        <f t="shared" si="121"/>
        <v>0.6297814285714286</v>
      </c>
      <c r="Z291" s="246">
        <f t="shared" si="121"/>
        <v>4.4084700000000003</v>
      </c>
      <c r="AA291" s="246">
        <f t="shared" si="121"/>
        <v>0</v>
      </c>
      <c r="AB291" s="246">
        <f t="shared" si="121"/>
        <v>0</v>
      </c>
      <c r="AC291" s="246">
        <f t="shared" si="121"/>
        <v>0.37786885714285712</v>
      </c>
      <c r="AD291" s="246">
        <f t="shared" si="121"/>
        <v>0</v>
      </c>
      <c r="AE291" s="246">
        <f t="shared" si="121"/>
        <v>6.2978142857142849</v>
      </c>
      <c r="AF291" s="246">
        <v>0</v>
      </c>
      <c r="AG291" s="246">
        <f t="shared" si="121"/>
        <v>0.6297814285714286</v>
      </c>
      <c r="AH291" s="243"/>
      <c r="AI291" s="102">
        <v>1</v>
      </c>
      <c r="AJ291" s="100">
        <v>0</v>
      </c>
      <c r="AL291" s="102">
        <v>21</v>
      </c>
      <c r="AM291" s="237">
        <v>0.3</v>
      </c>
      <c r="AN291" s="241">
        <v>2.5</v>
      </c>
      <c r="AO291" s="241">
        <v>0.1</v>
      </c>
      <c r="AP291" s="247">
        <f>(AN291*365)*(AO291*0.67*0.015*1)</f>
        <v>0.9170625</v>
      </c>
      <c r="AQ291" s="247">
        <f>(AN291*365)*(AO291*0.67*0.005*1)</f>
        <v>0.3056875</v>
      </c>
      <c r="AR291" s="248"/>
      <c r="AS291" s="247">
        <f>(AN291*365)*(AO291*0.67*0.04*1)</f>
        <v>2.4455</v>
      </c>
      <c r="AT291" s="247">
        <f>(AN291*365)*(AO291*0.67*0.015*1)</f>
        <v>0.9170625</v>
      </c>
      <c r="AU291" s="247">
        <f>(AN291*365)*(AO291*0.67*0.65*1)</f>
        <v>39.739375000000003</v>
      </c>
      <c r="AV291" s="247">
        <f>(AN291*365)*(AO291*0.67*0.79*1)</f>
        <v>48.298625000000001</v>
      </c>
      <c r="AW291" s="247">
        <f>(AN291*365)*(AO291*0.67*0.03*1)</f>
        <v>1.834125</v>
      </c>
      <c r="AX291" s="248"/>
      <c r="AY291" s="247">
        <f>(AN291*365)*(AO291*0.67*0.65*1)</f>
        <v>39.739375000000003</v>
      </c>
      <c r="AZ291" s="247">
        <f t="shared" si="122"/>
        <v>61.137500000000003</v>
      </c>
      <c r="BA291" s="247">
        <f t="shared" si="123"/>
        <v>6.1137500000000014</v>
      </c>
      <c r="BB291" s="247">
        <f t="shared" si="124"/>
        <v>0.3056875</v>
      </c>
      <c r="BC291" s="247">
        <f>(AN291*365)*(AO291*0.67*0.01*1)</f>
        <v>0.611375</v>
      </c>
      <c r="BD291" s="247">
        <v>0</v>
      </c>
      <c r="BE291" s="247">
        <v>0</v>
      </c>
      <c r="BH291" s="120"/>
      <c r="BI291" s="203" t="s">
        <v>129</v>
      </c>
      <c r="BJ291" s="190" t="s">
        <v>168</v>
      </c>
      <c r="BK291" s="196">
        <f t="shared" si="125"/>
        <v>1</v>
      </c>
      <c r="BL291" s="190" t="s">
        <v>413</v>
      </c>
      <c r="BM291" s="189">
        <v>0.2</v>
      </c>
      <c r="BN291" s="189">
        <v>0.5</v>
      </c>
      <c r="BO291" s="188" t="s">
        <v>258</v>
      </c>
      <c r="BP291" s="196">
        <f t="shared" si="126"/>
        <v>0.79200000000000004</v>
      </c>
      <c r="BQ291" s="190" t="s">
        <v>415</v>
      </c>
      <c r="BR291" s="189">
        <v>0.2</v>
      </c>
      <c r="BS291" s="189">
        <v>0.5</v>
      </c>
      <c r="BT291" s="188" t="s">
        <v>258</v>
      </c>
      <c r="BU291" s="178"/>
      <c r="BV291" s="196">
        <v>25</v>
      </c>
      <c r="BW291" s="190" t="s">
        <v>414</v>
      </c>
      <c r="BX291" s="178"/>
      <c r="BY291" s="196">
        <v>236.01600000000002</v>
      </c>
      <c r="BZ291" s="190" t="s">
        <v>414</v>
      </c>
      <c r="CA291" s="178"/>
      <c r="CB291" s="180"/>
      <c r="CC291" s="178"/>
      <c r="CD291" s="178"/>
      <c r="CE291" s="180"/>
      <c r="CF291" s="180"/>
      <c r="CG291" s="180"/>
      <c r="CH291" s="180"/>
      <c r="CI291" s="178"/>
      <c r="CJ291" s="178"/>
      <c r="CK291" s="180"/>
      <c r="CL291" s="180"/>
      <c r="CM291" s="180"/>
      <c r="CN291" s="225"/>
      <c r="CO291" s="218">
        <f t="shared" si="115"/>
        <v>0.2</v>
      </c>
      <c r="CP291" s="100">
        <f t="shared" si="116"/>
        <v>0.35</v>
      </c>
      <c r="CQ291" s="218">
        <f t="shared" si="117"/>
        <v>0.5</v>
      </c>
      <c r="CX291" s="23" t="s">
        <v>129</v>
      </c>
      <c r="CY291" s="23">
        <v>1</v>
      </c>
      <c r="CZ291" s="142">
        <f t="shared" si="127"/>
        <v>21</v>
      </c>
      <c r="DA291" s="142">
        <f t="shared" si="128"/>
        <v>25</v>
      </c>
      <c r="DB291" s="23">
        <v>70</v>
      </c>
      <c r="DC291" s="23">
        <v>0.36</v>
      </c>
      <c r="DD291" s="142">
        <f t="shared" si="129"/>
        <v>25.2</v>
      </c>
      <c r="DE291" s="23">
        <v>0.02</v>
      </c>
      <c r="DF291" s="149">
        <f t="shared" si="130"/>
        <v>0.79200000000000004</v>
      </c>
      <c r="DG291" s="149">
        <f t="shared" si="131"/>
        <v>245.52</v>
      </c>
      <c r="DH291" s="149">
        <f t="shared" si="132"/>
        <v>236.01600000000002</v>
      </c>
      <c r="DI291" s="150">
        <f t="shared" si="133"/>
        <v>266.52</v>
      </c>
      <c r="DJ291" s="150">
        <f t="shared" si="133"/>
        <v>261.01600000000002</v>
      </c>
      <c r="DK291" s="116" t="s">
        <v>168</v>
      </c>
      <c r="DL291" s="101" t="s">
        <v>392</v>
      </c>
    </row>
    <row r="292" spans="15:116" s="101" customFormat="1" ht="33.75" hidden="1" thickBot="1" x14ac:dyDescent="0.4">
      <c r="O292" s="227" t="s">
        <v>127</v>
      </c>
      <c r="Q292" s="243">
        <v>0.36</v>
      </c>
      <c r="R292" s="243">
        <v>305</v>
      </c>
      <c r="S292" s="246">
        <f t="shared" si="120"/>
        <v>0</v>
      </c>
      <c r="T292" s="246">
        <f t="shared" si="121"/>
        <v>0</v>
      </c>
      <c r="U292" s="246">
        <f t="shared" si="121"/>
        <v>0.3148907142857143</v>
      </c>
      <c r="V292" s="246">
        <f t="shared" si="121"/>
        <v>1.2595628571428572</v>
      </c>
      <c r="W292" s="246">
        <f t="shared" si="121"/>
        <v>0.3148907142857143</v>
      </c>
      <c r="X292" s="246">
        <f t="shared" si="121"/>
        <v>0</v>
      </c>
      <c r="Y292" s="246">
        <f t="shared" si="121"/>
        <v>0.6297814285714286</v>
      </c>
      <c r="Z292" s="246">
        <f t="shared" si="121"/>
        <v>4.4084700000000003</v>
      </c>
      <c r="AA292" s="246">
        <f t="shared" si="121"/>
        <v>0</v>
      </c>
      <c r="AB292" s="246">
        <f t="shared" si="121"/>
        <v>0</v>
      </c>
      <c r="AC292" s="246">
        <f t="shared" si="121"/>
        <v>0.37786885714285712</v>
      </c>
      <c r="AD292" s="246">
        <f t="shared" si="121"/>
        <v>0</v>
      </c>
      <c r="AE292" s="246">
        <f t="shared" si="121"/>
        <v>6.2978142857142849</v>
      </c>
      <c r="AF292" s="246">
        <v>0</v>
      </c>
      <c r="AG292" s="246">
        <f t="shared" si="121"/>
        <v>0.6297814285714286</v>
      </c>
      <c r="AH292" s="243"/>
      <c r="AI292" s="102">
        <v>2</v>
      </c>
      <c r="AJ292" s="100">
        <v>0</v>
      </c>
      <c r="AL292" s="102">
        <v>26</v>
      </c>
      <c r="AM292" s="237">
        <v>0.3</v>
      </c>
      <c r="AN292" s="241">
        <v>2.5</v>
      </c>
      <c r="AO292" s="241">
        <v>0.1</v>
      </c>
      <c r="AP292" s="247">
        <f>(AN292*365)*(AO292*0.67*0.02*1)</f>
        <v>1.22275</v>
      </c>
      <c r="AQ292" s="247">
        <f>(AN292*365)*(AO292*0.67*0.01*1)</f>
        <v>0.611375</v>
      </c>
      <c r="AR292" s="248"/>
      <c r="AS292" s="247">
        <f>(AN292*365)*(AO292*0.67*0.05*1)</f>
        <v>3.0568750000000007</v>
      </c>
      <c r="AT292" s="247">
        <f>(AN292*365)*(AO292*0.67*0.02*1)</f>
        <v>1.22275</v>
      </c>
      <c r="AU292" s="247">
        <f>(AN292*365)*(AO292*0.67*0.8*1)</f>
        <v>48.910000000000011</v>
      </c>
      <c r="AV292" s="247">
        <f>(AN292*365)*(AO292*0.67*0.8*1)</f>
        <v>48.910000000000011</v>
      </c>
      <c r="AW292" s="247">
        <f>(AN292*365)*(AO292*0.67*0.3*1)</f>
        <v>18.341249999999999</v>
      </c>
      <c r="AX292" s="248"/>
      <c r="AY292" s="247">
        <f>(AN292*365)*(AO292*0.67*0.8*1)</f>
        <v>48.910000000000011</v>
      </c>
      <c r="AZ292" s="247">
        <f t="shared" si="122"/>
        <v>61.137500000000003</v>
      </c>
      <c r="BA292" s="247">
        <f t="shared" si="123"/>
        <v>6.1137500000000014</v>
      </c>
      <c r="BB292" s="247">
        <f t="shared" si="124"/>
        <v>0.3056875</v>
      </c>
      <c r="BC292" s="247">
        <f>(AN292*365)*(AO292*0.67*0.015*1)</f>
        <v>0.9170625</v>
      </c>
      <c r="BD292" s="247">
        <v>0</v>
      </c>
      <c r="BE292" s="247">
        <v>0</v>
      </c>
      <c r="BH292" s="120"/>
      <c r="BI292" s="203" t="s">
        <v>130</v>
      </c>
      <c r="BJ292" s="190" t="s">
        <v>168</v>
      </c>
      <c r="BK292" s="196">
        <f t="shared" si="125"/>
        <v>2</v>
      </c>
      <c r="BL292" s="190" t="s">
        <v>413</v>
      </c>
      <c r="BM292" s="189">
        <v>0.2</v>
      </c>
      <c r="BN292" s="189">
        <v>0.5</v>
      </c>
      <c r="BO292" s="188" t="s">
        <v>258</v>
      </c>
      <c r="BP292" s="196">
        <f t="shared" si="126"/>
        <v>0.79200000000000004</v>
      </c>
      <c r="BQ292" s="190" t="s">
        <v>415</v>
      </c>
      <c r="BR292" s="189">
        <v>0.2</v>
      </c>
      <c r="BS292" s="189">
        <v>0.5</v>
      </c>
      <c r="BT292" s="188" t="s">
        <v>258</v>
      </c>
      <c r="BU292" s="178"/>
      <c r="BV292" s="196">
        <v>50</v>
      </c>
      <c r="BW292" s="190" t="s">
        <v>414</v>
      </c>
      <c r="BX292" s="178"/>
      <c r="BY292" s="196">
        <v>236.01600000000002</v>
      </c>
      <c r="BZ292" s="190" t="s">
        <v>414</v>
      </c>
      <c r="CA292" s="178"/>
      <c r="CB292" s="180"/>
      <c r="CC292" s="178"/>
      <c r="CD292" s="178"/>
      <c r="CE292" s="180"/>
      <c r="CF292" s="180"/>
      <c r="CG292" s="180"/>
      <c r="CH292" s="180"/>
      <c r="CI292" s="178"/>
      <c r="CJ292" s="178"/>
      <c r="CK292" s="180"/>
      <c r="CL292" s="180"/>
      <c r="CM292" s="180"/>
      <c r="CN292" s="225"/>
      <c r="CO292" s="218">
        <f t="shared" si="115"/>
        <v>0.2</v>
      </c>
      <c r="CP292" s="100">
        <f t="shared" si="116"/>
        <v>0.35</v>
      </c>
      <c r="CQ292" s="218">
        <f t="shared" si="117"/>
        <v>0.5</v>
      </c>
      <c r="CX292" s="23" t="s">
        <v>130</v>
      </c>
      <c r="CY292" s="23">
        <v>2</v>
      </c>
      <c r="CZ292" s="142">
        <f t="shared" si="127"/>
        <v>42</v>
      </c>
      <c r="DA292" s="142">
        <f t="shared" si="128"/>
        <v>50</v>
      </c>
      <c r="DB292" s="23">
        <v>70</v>
      </c>
      <c r="DC292" s="23">
        <v>0.36</v>
      </c>
      <c r="DD292" s="142">
        <f t="shared" si="129"/>
        <v>25.2</v>
      </c>
      <c r="DE292" s="23">
        <v>0.02</v>
      </c>
      <c r="DF292" s="149">
        <f t="shared" si="130"/>
        <v>0.79200000000000004</v>
      </c>
      <c r="DG292" s="149">
        <f t="shared" si="131"/>
        <v>245.52</v>
      </c>
      <c r="DH292" s="149">
        <f t="shared" si="132"/>
        <v>236.01600000000002</v>
      </c>
      <c r="DI292" s="150">
        <f t="shared" si="133"/>
        <v>287.52</v>
      </c>
      <c r="DJ292" s="150">
        <f t="shared" si="133"/>
        <v>286.01600000000002</v>
      </c>
      <c r="DK292" s="116" t="s">
        <v>168</v>
      </c>
      <c r="DL292" s="101" t="s">
        <v>392</v>
      </c>
    </row>
    <row r="293" spans="15:116" s="101" customFormat="1" ht="33.75" hidden="1" thickBot="1" x14ac:dyDescent="0.4">
      <c r="O293" s="227" t="s">
        <v>131</v>
      </c>
      <c r="Q293" s="243">
        <v>0.82</v>
      </c>
      <c r="R293" s="243">
        <v>1.8</v>
      </c>
      <c r="S293" s="246">
        <f t="shared" si="120"/>
        <v>0</v>
      </c>
      <c r="T293" s="246">
        <f t="shared" si="121"/>
        <v>0</v>
      </c>
      <c r="U293" s="246">
        <f t="shared" si="121"/>
        <v>4.2329571428571426E-3</v>
      </c>
      <c r="V293" s="246">
        <f t="shared" si="121"/>
        <v>1.6931828571428571E-2</v>
      </c>
      <c r="W293" s="246">
        <f t="shared" si="121"/>
        <v>4.2329571428571426E-3</v>
      </c>
      <c r="X293" s="246">
        <f t="shared" si="121"/>
        <v>0</v>
      </c>
      <c r="Y293" s="246">
        <v>0</v>
      </c>
      <c r="Z293" s="246">
        <v>0</v>
      </c>
      <c r="AA293" s="246">
        <f t="shared" si="121"/>
        <v>0</v>
      </c>
      <c r="AB293" s="246">
        <f t="shared" si="121"/>
        <v>0</v>
      </c>
      <c r="AC293" s="246">
        <f t="shared" si="121"/>
        <v>5.0795485714285717E-3</v>
      </c>
      <c r="AD293" s="246">
        <f t="shared" si="121"/>
        <v>0</v>
      </c>
      <c r="AE293" s="246">
        <f t="shared" si="121"/>
        <v>8.4659142857142863E-2</v>
      </c>
      <c r="AF293" s="246">
        <f t="shared" si="121"/>
        <v>8.4659142857142853E-3</v>
      </c>
      <c r="AG293" s="246">
        <f t="shared" si="121"/>
        <v>8.4659142857142853E-3</v>
      </c>
      <c r="AH293" s="243"/>
      <c r="AI293" s="102">
        <v>0.01</v>
      </c>
      <c r="AJ293" s="102">
        <v>1.2</v>
      </c>
      <c r="AL293" s="100">
        <v>0</v>
      </c>
      <c r="AM293" s="237">
        <v>0.3</v>
      </c>
      <c r="AN293" s="241">
        <v>0.1</v>
      </c>
      <c r="AO293" s="241">
        <v>0.24</v>
      </c>
      <c r="AP293" s="247">
        <f>(AN293*365)*(AO293*0.67*0.01*1)</f>
        <v>5.8692000000000001E-2</v>
      </c>
      <c r="AQ293" s="247">
        <f>(AN293*365)*(AO293*0.67*0.001*1)</f>
        <v>5.8691999999999998E-3</v>
      </c>
      <c r="AR293" s="248"/>
      <c r="AS293" s="247">
        <f>(AN293*365)*(AO293*0.67*0.02*1)</f>
        <v>0.117384</v>
      </c>
      <c r="AT293" s="247">
        <f>(AN293*365)*(AO293*0.67*0.01*1)</f>
        <v>5.8692000000000001E-2</v>
      </c>
      <c r="AU293" s="247">
        <f>(AN293*365)*(AO293*0.67*0.25*1)</f>
        <v>1.4673</v>
      </c>
      <c r="AV293" s="247">
        <f>(AN293*365)*(AO293*0.67*0.73*1)</f>
        <v>4.284516</v>
      </c>
      <c r="AW293" s="247">
        <v>0</v>
      </c>
      <c r="AX293" s="247" t="s">
        <v>541</v>
      </c>
      <c r="AY293" s="247">
        <v>0</v>
      </c>
      <c r="AZ293" s="247">
        <f t="shared" si="122"/>
        <v>5.8692000000000002</v>
      </c>
      <c r="BA293" s="247">
        <f t="shared" si="123"/>
        <v>0.58692</v>
      </c>
      <c r="BB293" s="247">
        <f t="shared" si="124"/>
        <v>2.9346000000000001E-2</v>
      </c>
      <c r="BC293" s="247">
        <f>(AN293*365)*(AO293*0.67*0.005*1)</f>
        <v>2.9346000000000001E-2</v>
      </c>
      <c r="BD293" s="247">
        <f>(AN293*365)*(AO293*0.67*0.0015*1)</f>
        <v>8.8038000000000005E-3</v>
      </c>
      <c r="BE293" s="247">
        <v>0</v>
      </c>
      <c r="BH293" s="120"/>
      <c r="BI293" s="203" t="s">
        <v>131</v>
      </c>
      <c r="BJ293" s="190" t="s">
        <v>169</v>
      </c>
      <c r="BK293" s="196">
        <f t="shared" si="125"/>
        <v>1.2E-2</v>
      </c>
      <c r="BL293" s="190" t="s">
        <v>413</v>
      </c>
      <c r="BM293" s="189">
        <v>0.2</v>
      </c>
      <c r="BN293" s="189">
        <v>0.5</v>
      </c>
      <c r="BO293" s="188" t="s">
        <v>258</v>
      </c>
      <c r="BP293" s="196">
        <f t="shared" si="126"/>
        <v>7.92E-3</v>
      </c>
      <c r="BQ293" s="190" t="s">
        <v>415</v>
      </c>
      <c r="BR293" s="189">
        <v>0.2</v>
      </c>
      <c r="BS293" s="189">
        <v>0.5</v>
      </c>
      <c r="BT293" s="188" t="s">
        <v>258</v>
      </c>
      <c r="BU293" s="178"/>
      <c r="BV293" s="196">
        <v>0.3</v>
      </c>
      <c r="BW293" s="190" t="s">
        <v>414</v>
      </c>
      <c r="BX293" s="178"/>
      <c r="BY293" s="196">
        <v>2.36016</v>
      </c>
      <c r="BZ293" s="190" t="s">
        <v>414</v>
      </c>
      <c r="CA293" s="178"/>
      <c r="CB293" s="180"/>
      <c r="CC293" s="178"/>
      <c r="CD293" s="178"/>
      <c r="CE293" s="180"/>
      <c r="CF293" s="180"/>
      <c r="CG293" s="180"/>
      <c r="CH293" s="180"/>
      <c r="CI293" s="178"/>
      <c r="CJ293" s="178"/>
      <c r="CK293" s="180"/>
      <c r="CL293" s="180"/>
      <c r="CM293" s="180"/>
      <c r="CN293" s="225"/>
      <c r="CO293" s="218">
        <f t="shared" si="115"/>
        <v>0.2</v>
      </c>
      <c r="CP293" s="100">
        <f t="shared" si="116"/>
        <v>0.35</v>
      </c>
      <c r="CQ293" s="218">
        <f t="shared" si="117"/>
        <v>0.5</v>
      </c>
      <c r="CX293" s="23" t="s">
        <v>131</v>
      </c>
      <c r="CY293" s="23">
        <v>1.2E-2</v>
      </c>
      <c r="CZ293" s="142">
        <f t="shared" si="127"/>
        <v>0.252</v>
      </c>
      <c r="DA293" s="142">
        <f t="shared" si="128"/>
        <v>0.3</v>
      </c>
      <c r="DB293" s="23">
        <v>0.6</v>
      </c>
      <c r="DC293" s="23">
        <v>0.42</v>
      </c>
      <c r="DD293" s="142">
        <f t="shared" si="129"/>
        <v>0.252</v>
      </c>
      <c r="DE293" s="23">
        <v>0.02</v>
      </c>
      <c r="DF293" s="149">
        <f t="shared" si="130"/>
        <v>7.92E-3</v>
      </c>
      <c r="DG293" s="149">
        <f t="shared" si="131"/>
        <v>2.4552</v>
      </c>
      <c r="DH293" s="149">
        <f t="shared" si="132"/>
        <v>2.36016</v>
      </c>
      <c r="DI293" s="150">
        <f t="shared" si="133"/>
        <v>2.7072000000000003</v>
      </c>
      <c r="DJ293" s="150">
        <f t="shared" si="133"/>
        <v>2.6601599999999999</v>
      </c>
      <c r="DK293" s="116" t="s">
        <v>169</v>
      </c>
      <c r="DL293" s="101" t="s">
        <v>393</v>
      </c>
    </row>
    <row r="294" spans="15:116" s="101" customFormat="1" ht="33.75" hidden="1" thickBot="1" x14ac:dyDescent="0.4">
      <c r="O294" s="227" t="s">
        <v>132</v>
      </c>
      <c r="Q294" s="243">
        <v>0.82</v>
      </c>
      <c r="R294" s="243">
        <v>1.8</v>
      </c>
      <c r="S294" s="246">
        <f t="shared" si="120"/>
        <v>0</v>
      </c>
      <c r="T294" s="246">
        <f t="shared" si="121"/>
        <v>0</v>
      </c>
      <c r="U294" s="246">
        <f t="shared" si="121"/>
        <v>4.2329571428571426E-3</v>
      </c>
      <c r="V294" s="246">
        <f t="shared" si="121"/>
        <v>1.6931828571428571E-2</v>
      </c>
      <c r="W294" s="246">
        <f t="shared" si="121"/>
        <v>4.2329571428571426E-3</v>
      </c>
      <c r="X294" s="246">
        <f t="shared" si="121"/>
        <v>0</v>
      </c>
      <c r="Y294" s="246">
        <v>0</v>
      </c>
      <c r="Z294" s="246">
        <v>0</v>
      </c>
      <c r="AA294" s="246">
        <f t="shared" si="121"/>
        <v>0</v>
      </c>
      <c r="AB294" s="246">
        <f t="shared" si="121"/>
        <v>0</v>
      </c>
      <c r="AC294" s="246">
        <f t="shared" si="121"/>
        <v>5.0795485714285717E-3</v>
      </c>
      <c r="AD294" s="246">
        <f t="shared" si="121"/>
        <v>0</v>
      </c>
      <c r="AE294" s="246">
        <f t="shared" si="121"/>
        <v>8.4659142857142863E-2</v>
      </c>
      <c r="AF294" s="246">
        <f t="shared" si="121"/>
        <v>8.4659142857142853E-3</v>
      </c>
      <c r="AG294" s="246">
        <f t="shared" si="121"/>
        <v>8.4659142857142853E-3</v>
      </c>
      <c r="AH294" s="243"/>
      <c r="AI294" s="102">
        <v>0.02</v>
      </c>
      <c r="AJ294" s="102">
        <v>1.4</v>
      </c>
      <c r="AL294" s="100">
        <v>0</v>
      </c>
      <c r="AM294" s="237">
        <v>0.3</v>
      </c>
      <c r="AN294" s="241">
        <v>0.1</v>
      </c>
      <c r="AO294" s="241">
        <v>0.24</v>
      </c>
      <c r="AP294" s="247">
        <f>(AN294*365)*(AO294*0.67*0.015*1)</f>
        <v>8.8038000000000005E-2</v>
      </c>
      <c r="AQ294" s="247">
        <f>(AN294*365)*(AO294*0.67*0.005*1)</f>
        <v>2.9346000000000001E-2</v>
      </c>
      <c r="AR294" s="248"/>
      <c r="AS294" s="247">
        <f>(AN294*365)*(AO294*0.67*0.04*1)</f>
        <v>0.234768</v>
      </c>
      <c r="AT294" s="247">
        <f>(AN294*365)*(AO294*0.67*0.015*1)</f>
        <v>8.8038000000000005E-2</v>
      </c>
      <c r="AU294" s="247">
        <f>(AN294*365)*(AO294*0.67*0.65*1)</f>
        <v>3.8149800000000003</v>
      </c>
      <c r="AV294" s="247">
        <f>(AN294*365)*(AO294*0.67*0.79*1)</f>
        <v>4.6366680000000002</v>
      </c>
      <c r="AW294" s="247">
        <v>0</v>
      </c>
      <c r="AX294" s="247" t="s">
        <v>541</v>
      </c>
      <c r="AY294" s="247">
        <v>0</v>
      </c>
      <c r="AZ294" s="247">
        <f t="shared" si="122"/>
        <v>5.8692000000000002</v>
      </c>
      <c r="BA294" s="247">
        <f t="shared" si="123"/>
        <v>0.58692</v>
      </c>
      <c r="BB294" s="247">
        <f t="shared" si="124"/>
        <v>2.9346000000000001E-2</v>
      </c>
      <c r="BC294" s="247">
        <f>(AN294*365)*(AO294*0.67*0.01*1)</f>
        <v>5.8692000000000001E-2</v>
      </c>
      <c r="BD294" s="247">
        <f>(AN294*365)*(AO294*0.67*0.0015*1)</f>
        <v>8.8038000000000005E-3</v>
      </c>
      <c r="BE294" s="247">
        <v>0</v>
      </c>
      <c r="BH294" s="120"/>
      <c r="BI294" s="203" t="s">
        <v>132</v>
      </c>
      <c r="BJ294" s="190" t="s">
        <v>169</v>
      </c>
      <c r="BK294" s="196">
        <f t="shared" si="125"/>
        <v>1.7999999999999999E-2</v>
      </c>
      <c r="BL294" s="190" t="s">
        <v>413</v>
      </c>
      <c r="BM294" s="189">
        <v>0.2</v>
      </c>
      <c r="BN294" s="189">
        <v>0.5</v>
      </c>
      <c r="BO294" s="188" t="s">
        <v>258</v>
      </c>
      <c r="BP294" s="196">
        <f t="shared" si="126"/>
        <v>7.92E-3</v>
      </c>
      <c r="BQ294" s="190" t="s">
        <v>415</v>
      </c>
      <c r="BR294" s="189">
        <v>0.2</v>
      </c>
      <c r="BS294" s="189">
        <v>0.5</v>
      </c>
      <c r="BT294" s="188" t="s">
        <v>258</v>
      </c>
      <c r="BU294" s="178"/>
      <c r="BV294" s="196">
        <v>0.44999999999999996</v>
      </c>
      <c r="BW294" s="190" t="s">
        <v>414</v>
      </c>
      <c r="BX294" s="178"/>
      <c r="BY294" s="196">
        <v>2.36016</v>
      </c>
      <c r="BZ294" s="190" t="s">
        <v>414</v>
      </c>
      <c r="CA294" s="178"/>
      <c r="CB294" s="180"/>
      <c r="CC294" s="178"/>
      <c r="CD294" s="178"/>
      <c r="CE294" s="180"/>
      <c r="CF294" s="180"/>
      <c r="CG294" s="180"/>
      <c r="CH294" s="180"/>
      <c r="CI294" s="178"/>
      <c r="CJ294" s="178"/>
      <c r="CK294" s="180"/>
      <c r="CL294" s="180"/>
      <c r="CM294" s="180"/>
      <c r="CN294" s="225"/>
      <c r="CO294" s="218">
        <f t="shared" si="115"/>
        <v>0.2</v>
      </c>
      <c r="CP294" s="100">
        <f t="shared" si="116"/>
        <v>0.35</v>
      </c>
      <c r="CQ294" s="218">
        <f t="shared" si="117"/>
        <v>0.5</v>
      </c>
      <c r="CX294" s="23" t="s">
        <v>132</v>
      </c>
      <c r="CY294" s="23">
        <v>1.7999999999999999E-2</v>
      </c>
      <c r="CZ294" s="142">
        <f t="shared" si="127"/>
        <v>0.37799999999999995</v>
      </c>
      <c r="DA294" s="142">
        <f t="shared" si="128"/>
        <v>0.44999999999999996</v>
      </c>
      <c r="DB294" s="23">
        <v>0.6</v>
      </c>
      <c r="DC294" s="23">
        <v>0.42</v>
      </c>
      <c r="DD294" s="142">
        <f t="shared" si="129"/>
        <v>0.252</v>
      </c>
      <c r="DE294" s="23">
        <v>0.02</v>
      </c>
      <c r="DF294" s="149">
        <f t="shared" si="130"/>
        <v>7.92E-3</v>
      </c>
      <c r="DG294" s="149">
        <f t="shared" si="131"/>
        <v>2.4552</v>
      </c>
      <c r="DH294" s="149">
        <f t="shared" si="132"/>
        <v>2.36016</v>
      </c>
      <c r="DI294" s="150">
        <f t="shared" si="133"/>
        <v>2.8332000000000002</v>
      </c>
      <c r="DJ294" s="150">
        <f t="shared" si="133"/>
        <v>2.8101599999999998</v>
      </c>
      <c r="DK294" s="116" t="s">
        <v>169</v>
      </c>
      <c r="DL294" s="101" t="s">
        <v>393</v>
      </c>
    </row>
    <row r="295" spans="15:116" s="101" customFormat="1" ht="33.75" hidden="1" thickBot="1" x14ac:dyDescent="0.4">
      <c r="O295" s="227" t="s">
        <v>133</v>
      </c>
      <c r="Q295" s="243">
        <v>0.82</v>
      </c>
      <c r="R295" s="243">
        <v>1.8</v>
      </c>
      <c r="S295" s="246">
        <f t="shared" si="120"/>
        <v>0</v>
      </c>
      <c r="T295" s="246">
        <f t="shared" si="121"/>
        <v>0</v>
      </c>
      <c r="U295" s="246">
        <f t="shared" si="121"/>
        <v>4.2329571428571426E-3</v>
      </c>
      <c r="V295" s="246">
        <f t="shared" si="121"/>
        <v>1.6931828571428571E-2</v>
      </c>
      <c r="W295" s="246">
        <f t="shared" si="121"/>
        <v>4.2329571428571426E-3</v>
      </c>
      <c r="X295" s="246">
        <f t="shared" si="121"/>
        <v>0</v>
      </c>
      <c r="Y295" s="246">
        <v>0</v>
      </c>
      <c r="Z295" s="246">
        <v>0</v>
      </c>
      <c r="AA295" s="246">
        <f t="shared" si="121"/>
        <v>0</v>
      </c>
      <c r="AB295" s="246">
        <f t="shared" si="121"/>
        <v>0</v>
      </c>
      <c r="AC295" s="246">
        <f t="shared" si="121"/>
        <v>5.0795485714285717E-3</v>
      </c>
      <c r="AD295" s="246">
        <f t="shared" si="121"/>
        <v>0</v>
      </c>
      <c r="AE295" s="246">
        <f t="shared" si="121"/>
        <v>8.4659142857142863E-2</v>
      </c>
      <c r="AF295" s="246">
        <f t="shared" si="121"/>
        <v>8.4659142857142853E-3</v>
      </c>
      <c r="AG295" s="246">
        <f t="shared" si="121"/>
        <v>8.4659142857142853E-3</v>
      </c>
      <c r="AH295" s="243"/>
      <c r="AI295" s="102">
        <v>0.02</v>
      </c>
      <c r="AJ295" s="102">
        <v>1.4</v>
      </c>
      <c r="AL295" s="100">
        <v>0</v>
      </c>
      <c r="AM295" s="237">
        <v>0.3</v>
      </c>
      <c r="AN295" s="241">
        <v>0.1</v>
      </c>
      <c r="AO295" s="241">
        <v>0.24</v>
      </c>
      <c r="AP295" s="247">
        <f>(AN295*365)*(AO295*0.67*0.02*1)</f>
        <v>0.117384</v>
      </c>
      <c r="AQ295" s="247">
        <f>(AN295*365)*(AO295*0.67*0.01*1)</f>
        <v>5.8692000000000001E-2</v>
      </c>
      <c r="AR295" s="248"/>
      <c r="AS295" s="247">
        <f>(AN295*365)*(AO295*0.67*0.05*1)</f>
        <v>0.29346</v>
      </c>
      <c r="AT295" s="247">
        <f>(AN295*365)*(AO295*0.67*0.02*1)</f>
        <v>0.117384</v>
      </c>
      <c r="AU295" s="247">
        <f>(AN295*365)*(AO295*0.67*0.8*1)</f>
        <v>4.69536</v>
      </c>
      <c r="AV295" s="247">
        <f>(AN295*365)*(AO295*0.67*0.8*1)</f>
        <v>4.69536</v>
      </c>
      <c r="AW295" s="247">
        <v>0</v>
      </c>
      <c r="AX295" s="247" t="s">
        <v>541</v>
      </c>
      <c r="AY295" s="247">
        <v>0</v>
      </c>
      <c r="AZ295" s="247">
        <f t="shared" si="122"/>
        <v>5.8692000000000002</v>
      </c>
      <c r="BA295" s="247">
        <f t="shared" si="123"/>
        <v>0.58692</v>
      </c>
      <c r="BB295" s="247">
        <f t="shared" si="124"/>
        <v>2.9346000000000001E-2</v>
      </c>
      <c r="BC295" s="247">
        <f>(AN295*365)*(AO295*0.67*0.015*1)</f>
        <v>8.8038000000000005E-2</v>
      </c>
      <c r="BD295" s="247">
        <f>(AN295*365)*(AO295*0.67*0.0015*1)</f>
        <v>8.8038000000000005E-3</v>
      </c>
      <c r="BE295" s="247">
        <v>0</v>
      </c>
      <c r="BH295" s="120"/>
      <c r="BI295" s="203" t="s">
        <v>133</v>
      </c>
      <c r="BJ295" s="190" t="s">
        <v>169</v>
      </c>
      <c r="BK295" s="196">
        <f t="shared" si="125"/>
        <v>2.3E-2</v>
      </c>
      <c r="BL295" s="190" t="s">
        <v>413</v>
      </c>
      <c r="BM295" s="189">
        <v>0.2</v>
      </c>
      <c r="BN295" s="189">
        <v>0.5</v>
      </c>
      <c r="BO295" s="188" t="s">
        <v>258</v>
      </c>
      <c r="BP295" s="196">
        <f t="shared" si="126"/>
        <v>7.92E-3</v>
      </c>
      <c r="BQ295" s="190" t="s">
        <v>415</v>
      </c>
      <c r="BR295" s="189">
        <v>0.2</v>
      </c>
      <c r="BS295" s="189">
        <v>0.5</v>
      </c>
      <c r="BT295" s="188" t="s">
        <v>258</v>
      </c>
      <c r="BU295" s="178"/>
      <c r="BV295" s="196">
        <v>0.57499999999999996</v>
      </c>
      <c r="BW295" s="190" t="s">
        <v>414</v>
      </c>
      <c r="BX295" s="178"/>
      <c r="BY295" s="196">
        <v>2.36016</v>
      </c>
      <c r="BZ295" s="190" t="s">
        <v>414</v>
      </c>
      <c r="CA295" s="178"/>
      <c r="CB295" s="180"/>
      <c r="CC295" s="178"/>
      <c r="CD295" s="178"/>
      <c r="CE295" s="180"/>
      <c r="CF295" s="180"/>
      <c r="CG295" s="180"/>
      <c r="CH295" s="180"/>
      <c r="CI295" s="178"/>
      <c r="CJ295" s="178"/>
      <c r="CK295" s="180"/>
      <c r="CL295" s="180"/>
      <c r="CM295" s="180"/>
      <c r="CN295" s="225"/>
      <c r="CO295" s="218">
        <f t="shared" si="115"/>
        <v>0.2</v>
      </c>
      <c r="CP295" s="100">
        <f t="shared" si="116"/>
        <v>0.35</v>
      </c>
      <c r="CQ295" s="218">
        <f t="shared" si="117"/>
        <v>0.5</v>
      </c>
      <c r="CX295" s="23" t="s">
        <v>133</v>
      </c>
      <c r="CY295" s="23">
        <v>2.3E-2</v>
      </c>
      <c r="CZ295" s="142">
        <f t="shared" si="127"/>
        <v>0.48299999999999998</v>
      </c>
      <c r="DA295" s="142">
        <f t="shared" si="128"/>
        <v>0.57499999999999996</v>
      </c>
      <c r="DB295" s="23">
        <v>0.6</v>
      </c>
      <c r="DC295" s="23">
        <v>0.42</v>
      </c>
      <c r="DD295" s="142">
        <f t="shared" si="129"/>
        <v>0.252</v>
      </c>
      <c r="DE295" s="23">
        <v>0.02</v>
      </c>
      <c r="DF295" s="149">
        <f t="shared" si="130"/>
        <v>7.92E-3</v>
      </c>
      <c r="DG295" s="149">
        <f t="shared" si="131"/>
        <v>2.4552</v>
      </c>
      <c r="DH295" s="149">
        <f t="shared" si="132"/>
        <v>2.36016</v>
      </c>
      <c r="DI295" s="150">
        <f t="shared" si="133"/>
        <v>2.9382000000000001</v>
      </c>
      <c r="DJ295" s="150">
        <f t="shared" si="133"/>
        <v>2.9351599999999998</v>
      </c>
      <c r="DK295" s="116" t="s">
        <v>169</v>
      </c>
      <c r="DL295" s="101" t="s">
        <v>393</v>
      </c>
    </row>
    <row r="296" spans="15:116" s="101" customFormat="1" ht="33.75" hidden="1" thickBot="1" x14ac:dyDescent="0.4">
      <c r="O296" s="227" t="s">
        <v>134</v>
      </c>
      <c r="Q296" s="243">
        <v>1.17</v>
      </c>
      <c r="R296" s="243">
        <v>28</v>
      </c>
      <c r="S296" s="246">
        <f t="shared" si="120"/>
        <v>0</v>
      </c>
      <c r="T296" s="246">
        <f t="shared" si="121"/>
        <v>0</v>
      </c>
      <c r="U296" s="246">
        <f t="shared" si="121"/>
        <v>9.3950999999999993E-2</v>
      </c>
      <c r="V296" s="246">
        <f t="shared" si="121"/>
        <v>0.37580399999999997</v>
      </c>
      <c r="W296" s="246">
        <f t="shared" si="121"/>
        <v>9.3950999999999993E-2</v>
      </c>
      <c r="X296" s="246">
        <f t="shared" si="121"/>
        <v>0</v>
      </c>
      <c r="Y296" s="246">
        <f t="shared" si="121"/>
        <v>0.18790199999999999</v>
      </c>
      <c r="Z296" s="246">
        <f t="shared" si="121"/>
        <v>1.3153140000000001</v>
      </c>
      <c r="AA296" s="246">
        <f t="shared" si="121"/>
        <v>0</v>
      </c>
      <c r="AB296" s="246">
        <f t="shared" si="121"/>
        <v>0</v>
      </c>
      <c r="AC296" s="246">
        <f t="shared" si="121"/>
        <v>0.1127412</v>
      </c>
      <c r="AD296" s="246">
        <f t="shared" si="121"/>
        <v>0</v>
      </c>
      <c r="AE296" s="246">
        <f t="shared" si="121"/>
        <v>1.8790199999999999</v>
      </c>
      <c r="AF296" s="246">
        <v>0</v>
      </c>
      <c r="AG296" s="246">
        <f t="shared" si="121"/>
        <v>0.18790199999999999</v>
      </c>
      <c r="AH296" s="243"/>
      <c r="AI296" s="102">
        <v>0.1</v>
      </c>
      <c r="AJ296" s="100">
        <v>0</v>
      </c>
      <c r="AL296" s="100">
        <v>0</v>
      </c>
      <c r="AM296" s="237">
        <v>0.3</v>
      </c>
      <c r="AN296" s="241">
        <v>0.32</v>
      </c>
      <c r="AO296" s="241">
        <v>0.13</v>
      </c>
      <c r="AP296" s="247">
        <f>(AN296*365)*(AO296*0.67*0.01*1)</f>
        <v>0.10173280000000001</v>
      </c>
      <c r="AQ296" s="247">
        <f>(AN296*365)*(AO296*0.67*0.001*1)</f>
        <v>1.0173280000000002E-2</v>
      </c>
      <c r="AR296" s="248"/>
      <c r="AS296" s="247">
        <f>(AN296*365)*(AO296*0.67*0.02*1)</f>
        <v>0.20346560000000002</v>
      </c>
      <c r="AT296" s="247">
        <f>(AN296*365)*(AO296*0.67*0.01*1)</f>
        <v>0.10173280000000001</v>
      </c>
      <c r="AU296" s="247">
        <f>(AN296*365)*(AO296*0.67*0.25*1)</f>
        <v>2.5433200000000005</v>
      </c>
      <c r="AV296" s="247">
        <f>(AN296*365)*(AO296*0.67*0.73*1)</f>
        <v>7.4264944000000002</v>
      </c>
      <c r="AW296" s="247">
        <f>(AN296*365)*(AO296*0.67*0.03*1)</f>
        <v>0.30519840000000004</v>
      </c>
      <c r="AX296" s="248"/>
      <c r="AY296" s="247">
        <f>(AN296*365)*(AO296*0.67*0.25*1)</f>
        <v>2.5433200000000005</v>
      </c>
      <c r="AZ296" s="247">
        <f t="shared" si="122"/>
        <v>10.173280000000002</v>
      </c>
      <c r="BA296" s="247">
        <f t="shared" si="123"/>
        <v>1.017328</v>
      </c>
      <c r="BB296" s="247">
        <f t="shared" si="124"/>
        <v>5.0866400000000006E-2</v>
      </c>
      <c r="BC296" s="247">
        <f>(AN296*365)*(AO296*0.67*0.005*1)</f>
        <v>5.0866400000000006E-2</v>
      </c>
      <c r="BD296" s="247">
        <v>0</v>
      </c>
      <c r="BE296" s="247">
        <v>0</v>
      </c>
      <c r="BH296" s="120"/>
      <c r="BI296" s="203" t="s">
        <v>134</v>
      </c>
      <c r="BJ296" s="190" t="s">
        <v>168</v>
      </c>
      <c r="BK296" s="196">
        <f t="shared" si="125"/>
        <v>0.1</v>
      </c>
      <c r="BL296" s="190" t="s">
        <v>413</v>
      </c>
      <c r="BM296" s="189">
        <v>0.2</v>
      </c>
      <c r="BN296" s="189">
        <v>0.5</v>
      </c>
      <c r="BO296" s="188" t="s">
        <v>258</v>
      </c>
      <c r="BP296" s="196">
        <f t="shared" si="126"/>
        <v>0.37714285714285711</v>
      </c>
      <c r="BQ296" s="190" t="s">
        <v>415</v>
      </c>
      <c r="BR296" s="189">
        <v>0.2</v>
      </c>
      <c r="BS296" s="189">
        <v>0.5</v>
      </c>
      <c r="BT296" s="188" t="s">
        <v>258</v>
      </c>
      <c r="BU296" s="178"/>
      <c r="BV296" s="196">
        <v>2.5</v>
      </c>
      <c r="BW296" s="190" t="s">
        <v>414</v>
      </c>
      <c r="BX296" s="178"/>
      <c r="BY296" s="196">
        <v>112.38857142857142</v>
      </c>
      <c r="BZ296" s="190" t="s">
        <v>414</v>
      </c>
      <c r="CA296" s="178"/>
      <c r="CB296" s="180"/>
      <c r="CC296" s="178"/>
      <c r="CD296" s="178"/>
      <c r="CE296" s="180"/>
      <c r="CF296" s="180"/>
      <c r="CG296" s="180"/>
      <c r="CH296" s="180"/>
      <c r="CI296" s="178"/>
      <c r="CJ296" s="178"/>
      <c r="CK296" s="180"/>
      <c r="CL296" s="180"/>
      <c r="CM296" s="180"/>
      <c r="CN296" s="225"/>
      <c r="CO296" s="218">
        <f t="shared" si="115"/>
        <v>0.2</v>
      </c>
      <c r="CP296" s="100">
        <f t="shared" si="116"/>
        <v>0.35</v>
      </c>
      <c r="CQ296" s="218">
        <f t="shared" si="117"/>
        <v>0.5</v>
      </c>
      <c r="CX296" s="23" t="s">
        <v>134</v>
      </c>
      <c r="CY296" s="23">
        <v>0.1</v>
      </c>
      <c r="CZ296" s="142">
        <f t="shared" si="127"/>
        <v>2.1</v>
      </c>
      <c r="DA296" s="142">
        <f t="shared" si="128"/>
        <v>2.5</v>
      </c>
      <c r="DB296" s="23">
        <v>12</v>
      </c>
      <c r="DC296" s="23">
        <v>1</v>
      </c>
      <c r="DD296" s="142">
        <f t="shared" si="129"/>
        <v>12</v>
      </c>
      <c r="DE296" s="23">
        <v>0.02</v>
      </c>
      <c r="DF296" s="149">
        <f t="shared" si="130"/>
        <v>0.37714285714285711</v>
      </c>
      <c r="DG296" s="149">
        <f t="shared" si="131"/>
        <v>116.91428571428571</v>
      </c>
      <c r="DH296" s="149">
        <f t="shared" si="132"/>
        <v>112.38857142857142</v>
      </c>
      <c r="DI296" s="150">
        <f t="shared" si="133"/>
        <v>119.01428571428571</v>
      </c>
      <c r="DJ296" s="150">
        <f t="shared" si="133"/>
        <v>114.88857142857142</v>
      </c>
      <c r="DK296" s="116" t="s">
        <v>168</v>
      </c>
      <c r="DL296" s="101" t="s">
        <v>392</v>
      </c>
    </row>
    <row r="297" spans="15:116" s="101" customFormat="1" ht="33.75" hidden="1" thickBot="1" x14ac:dyDescent="0.4">
      <c r="O297" s="227" t="s">
        <v>335</v>
      </c>
      <c r="Q297" s="243">
        <v>1.17</v>
      </c>
      <c r="R297" s="243">
        <v>28</v>
      </c>
      <c r="S297" s="246">
        <f t="shared" si="120"/>
        <v>0</v>
      </c>
      <c r="T297" s="246">
        <f t="shared" si="121"/>
        <v>0</v>
      </c>
      <c r="U297" s="246">
        <f t="shared" si="121"/>
        <v>9.3950999999999993E-2</v>
      </c>
      <c r="V297" s="246">
        <f t="shared" si="121"/>
        <v>0.37580399999999997</v>
      </c>
      <c r="W297" s="246">
        <f t="shared" si="121"/>
        <v>9.3950999999999993E-2</v>
      </c>
      <c r="X297" s="246">
        <f t="shared" si="121"/>
        <v>0</v>
      </c>
      <c r="Y297" s="246">
        <f t="shared" si="121"/>
        <v>0.18790199999999999</v>
      </c>
      <c r="Z297" s="246">
        <f t="shared" si="121"/>
        <v>1.3153140000000001</v>
      </c>
      <c r="AA297" s="246">
        <f t="shared" si="121"/>
        <v>0</v>
      </c>
      <c r="AB297" s="246">
        <f t="shared" si="121"/>
        <v>0</v>
      </c>
      <c r="AC297" s="246">
        <f t="shared" si="121"/>
        <v>0.1127412</v>
      </c>
      <c r="AD297" s="246">
        <f t="shared" si="121"/>
        <v>0</v>
      </c>
      <c r="AE297" s="246">
        <f t="shared" si="121"/>
        <v>1.8790199999999999</v>
      </c>
      <c r="AF297" s="246">
        <v>0</v>
      </c>
      <c r="AG297" s="246">
        <f t="shared" si="121"/>
        <v>0.18790199999999999</v>
      </c>
      <c r="AH297" s="243"/>
      <c r="AI297" s="102">
        <v>0.15</v>
      </c>
      <c r="AJ297" s="100">
        <v>0</v>
      </c>
      <c r="AL297" s="100">
        <v>0</v>
      </c>
      <c r="AM297" s="237">
        <v>0.3</v>
      </c>
      <c r="AN297" s="241">
        <v>0.32</v>
      </c>
      <c r="AO297" s="241">
        <v>0.13</v>
      </c>
      <c r="AP297" s="247">
        <f>(AN297*365)*(AO297*0.67*0.015*1)</f>
        <v>0.15259920000000002</v>
      </c>
      <c r="AQ297" s="247">
        <f>(AN297*365)*(AO297*0.67*0.005*1)</f>
        <v>5.0866400000000006E-2</v>
      </c>
      <c r="AR297" s="248"/>
      <c r="AS297" s="247">
        <f>(AN297*365)*(AO297*0.67*0.04*1)</f>
        <v>0.40693120000000005</v>
      </c>
      <c r="AT297" s="247">
        <f>(AN297*365)*(AO297*0.67*0.015*1)</f>
        <v>0.15259920000000002</v>
      </c>
      <c r="AU297" s="247">
        <f>(AN297*365)*(AO297*0.67*0.65*1)</f>
        <v>6.6126320000000005</v>
      </c>
      <c r="AV297" s="247">
        <f>(AN297*365)*(AO297*0.67*0.79*1)</f>
        <v>8.0368912000000012</v>
      </c>
      <c r="AW297" s="247">
        <f>(AN297*365)*(AO297*0.67*0.03*1)</f>
        <v>0.30519840000000004</v>
      </c>
      <c r="AX297" s="248"/>
      <c r="AY297" s="247">
        <f>(AN297*365)*(AO297*0.67*0.65*1)</f>
        <v>6.6126320000000005</v>
      </c>
      <c r="AZ297" s="247">
        <f t="shared" si="122"/>
        <v>10.173280000000002</v>
      </c>
      <c r="BA297" s="247">
        <f t="shared" si="123"/>
        <v>1.017328</v>
      </c>
      <c r="BB297" s="247">
        <f t="shared" si="124"/>
        <v>5.0866400000000006E-2</v>
      </c>
      <c r="BC297" s="247">
        <f>(AN297*365)*(AO297*0.67*0.01*1)</f>
        <v>0.10173280000000001</v>
      </c>
      <c r="BD297" s="247">
        <v>0</v>
      </c>
      <c r="BE297" s="247">
        <v>0</v>
      </c>
      <c r="BH297" s="120"/>
      <c r="BI297" s="203" t="s">
        <v>335</v>
      </c>
      <c r="BJ297" s="190" t="s">
        <v>168</v>
      </c>
      <c r="BK297" s="196">
        <f t="shared" si="125"/>
        <v>0.16</v>
      </c>
      <c r="BL297" s="190" t="s">
        <v>413</v>
      </c>
      <c r="BM297" s="189">
        <v>0.2</v>
      </c>
      <c r="BN297" s="189">
        <v>0.5</v>
      </c>
      <c r="BO297" s="188" t="s">
        <v>258</v>
      </c>
      <c r="BP297" s="196">
        <f t="shared" si="126"/>
        <v>0.37714285714285711</v>
      </c>
      <c r="BQ297" s="190" t="s">
        <v>415</v>
      </c>
      <c r="BR297" s="189">
        <v>0.2</v>
      </c>
      <c r="BS297" s="189">
        <v>0.5</v>
      </c>
      <c r="BT297" s="188" t="s">
        <v>258</v>
      </c>
      <c r="BU297" s="180"/>
      <c r="BV297" s="196">
        <v>4</v>
      </c>
      <c r="BW297" s="190" t="s">
        <v>414</v>
      </c>
      <c r="BX297" s="180"/>
      <c r="BY297" s="196">
        <v>112.38857142857142</v>
      </c>
      <c r="BZ297" s="190" t="s">
        <v>414</v>
      </c>
      <c r="CA297" s="178"/>
      <c r="CB297" s="180"/>
      <c r="CC297" s="178"/>
      <c r="CD297" s="178"/>
      <c r="CE297" s="180"/>
      <c r="CF297" s="180"/>
      <c r="CG297" s="180"/>
      <c r="CH297" s="180"/>
      <c r="CI297" s="178"/>
      <c r="CJ297" s="178"/>
      <c r="CK297" s="180"/>
      <c r="CL297" s="180"/>
      <c r="CM297" s="180"/>
      <c r="CN297" s="225"/>
      <c r="CO297" s="218">
        <f t="shared" si="115"/>
        <v>0.2</v>
      </c>
      <c r="CP297" s="100">
        <f t="shared" si="116"/>
        <v>0.35</v>
      </c>
      <c r="CQ297" s="218">
        <f t="shared" si="117"/>
        <v>0.5</v>
      </c>
      <c r="CX297" s="23" t="s">
        <v>335</v>
      </c>
      <c r="CY297" s="23">
        <v>0.16</v>
      </c>
      <c r="CZ297" s="142">
        <f t="shared" si="127"/>
        <v>3.36</v>
      </c>
      <c r="DA297" s="142">
        <f t="shared" si="128"/>
        <v>4</v>
      </c>
      <c r="DB297" s="23">
        <v>12</v>
      </c>
      <c r="DC297" s="23">
        <v>1</v>
      </c>
      <c r="DD297" s="142">
        <f t="shared" si="129"/>
        <v>12</v>
      </c>
      <c r="DE297" s="23">
        <v>0.02</v>
      </c>
      <c r="DF297" s="149">
        <f t="shared" si="130"/>
        <v>0.37714285714285711</v>
      </c>
      <c r="DG297" s="149">
        <f t="shared" si="131"/>
        <v>116.91428571428571</v>
      </c>
      <c r="DH297" s="149">
        <f t="shared" si="132"/>
        <v>112.38857142857142</v>
      </c>
      <c r="DI297" s="150">
        <f t="shared" si="133"/>
        <v>120.27428571428571</v>
      </c>
      <c r="DJ297" s="150">
        <f t="shared" si="133"/>
        <v>116.38857142857142</v>
      </c>
      <c r="DK297" s="116" t="s">
        <v>168</v>
      </c>
      <c r="DL297" s="101" t="s">
        <v>392</v>
      </c>
    </row>
    <row r="298" spans="15:116" s="101" customFormat="1" ht="33.75" hidden="1" thickBot="1" x14ac:dyDescent="0.4">
      <c r="O298" s="227" t="s">
        <v>136</v>
      </c>
      <c r="Q298" s="243">
        <v>1.17</v>
      </c>
      <c r="R298" s="243">
        <v>28</v>
      </c>
      <c r="S298" s="246">
        <f t="shared" si="120"/>
        <v>0</v>
      </c>
      <c r="T298" s="246">
        <f t="shared" si="121"/>
        <v>0</v>
      </c>
      <c r="U298" s="246">
        <f t="shared" si="121"/>
        <v>9.3950999999999993E-2</v>
      </c>
      <c r="V298" s="246">
        <f t="shared" si="121"/>
        <v>0.37580399999999997</v>
      </c>
      <c r="W298" s="246">
        <f t="shared" si="121"/>
        <v>9.3950999999999993E-2</v>
      </c>
      <c r="X298" s="246">
        <f t="shared" si="121"/>
        <v>0</v>
      </c>
      <c r="Y298" s="246">
        <f t="shared" si="121"/>
        <v>0.18790199999999999</v>
      </c>
      <c r="Z298" s="246">
        <f t="shared" si="121"/>
        <v>1.3153140000000001</v>
      </c>
      <c r="AA298" s="246">
        <f t="shared" si="121"/>
        <v>0</v>
      </c>
      <c r="AB298" s="246">
        <f t="shared" si="121"/>
        <v>0</v>
      </c>
      <c r="AC298" s="246">
        <f t="shared" si="121"/>
        <v>0.1127412</v>
      </c>
      <c r="AD298" s="246">
        <f t="shared" si="121"/>
        <v>0</v>
      </c>
      <c r="AE298" s="246">
        <f t="shared" si="121"/>
        <v>1.8790199999999999</v>
      </c>
      <c r="AF298" s="246">
        <v>0</v>
      </c>
      <c r="AG298" s="246">
        <f t="shared" si="121"/>
        <v>0.18790199999999999</v>
      </c>
      <c r="AH298" s="243"/>
      <c r="AI298" s="102">
        <v>0.2</v>
      </c>
      <c r="AJ298" s="100">
        <v>0</v>
      </c>
      <c r="AL298" s="100">
        <v>0</v>
      </c>
      <c r="AM298" s="237">
        <v>0.3</v>
      </c>
      <c r="AN298" s="241">
        <v>0.32</v>
      </c>
      <c r="AO298" s="241">
        <v>0.13</v>
      </c>
      <c r="AP298" s="247">
        <f>(AN298*365)*(AO298*0.67*0.02*1)</f>
        <v>0.20346560000000002</v>
      </c>
      <c r="AQ298" s="247">
        <f>(AN298*365)*(AO298*0.67*0.01*1)</f>
        <v>0.10173280000000001</v>
      </c>
      <c r="AR298" s="248"/>
      <c r="AS298" s="247">
        <f>(AN298*365)*(AO298*0.67*0.05*1)</f>
        <v>0.50866400000000001</v>
      </c>
      <c r="AT298" s="247">
        <f>(AN298*365)*(AO298*0.67*0.02*1)</f>
        <v>0.20346560000000002</v>
      </c>
      <c r="AU298" s="247">
        <f>(AN298*365)*(AO298*0.67*0.8*1)</f>
        <v>8.1386240000000001</v>
      </c>
      <c r="AV298" s="247">
        <f>(AN298*365)*(AO298*0.67*0.8*1)</f>
        <v>8.1386240000000001</v>
      </c>
      <c r="AW298" s="247">
        <f>(AN298*365)*(AO298*0.67*0.3*1)</f>
        <v>3.0519840000000005</v>
      </c>
      <c r="AX298" s="248"/>
      <c r="AY298" s="247">
        <f>(AN298*365)*(AO298*0.67*0.8*1)</f>
        <v>8.1386240000000001</v>
      </c>
      <c r="AZ298" s="247">
        <f t="shared" si="122"/>
        <v>10.173280000000002</v>
      </c>
      <c r="BA298" s="247">
        <f t="shared" si="123"/>
        <v>1.017328</v>
      </c>
      <c r="BB298" s="247">
        <f t="shared" si="124"/>
        <v>5.0866400000000006E-2</v>
      </c>
      <c r="BC298" s="247">
        <f>(AN298*365)*(AO298*0.67*0.015*1)</f>
        <v>0.15259920000000002</v>
      </c>
      <c r="BD298" s="247">
        <v>0</v>
      </c>
      <c r="BE298" s="247">
        <v>0</v>
      </c>
      <c r="BH298" s="120"/>
      <c r="BI298" s="203" t="s">
        <v>136</v>
      </c>
      <c r="BJ298" s="190" t="s">
        <v>168</v>
      </c>
      <c r="BK298" s="196">
        <f t="shared" si="125"/>
        <v>0.21</v>
      </c>
      <c r="BL298" s="190" t="s">
        <v>413</v>
      </c>
      <c r="BM298" s="189">
        <v>0.2</v>
      </c>
      <c r="BN298" s="189">
        <v>0.5</v>
      </c>
      <c r="BO298" s="188" t="s">
        <v>258</v>
      </c>
      <c r="BP298" s="196">
        <f t="shared" si="126"/>
        <v>0.37714285714285711</v>
      </c>
      <c r="BQ298" s="190" t="s">
        <v>415</v>
      </c>
      <c r="BR298" s="189">
        <v>0.2</v>
      </c>
      <c r="BS298" s="189">
        <v>0.5</v>
      </c>
      <c r="BT298" s="188" t="s">
        <v>258</v>
      </c>
      <c r="BU298" s="180"/>
      <c r="BV298" s="196">
        <v>5.25</v>
      </c>
      <c r="BW298" s="190" t="s">
        <v>414</v>
      </c>
      <c r="BX298" s="180"/>
      <c r="BY298" s="196">
        <v>112.38857142857142</v>
      </c>
      <c r="BZ298" s="190" t="s">
        <v>414</v>
      </c>
      <c r="CA298" s="178"/>
      <c r="CB298" s="180"/>
      <c r="CC298" s="178"/>
      <c r="CD298" s="178"/>
      <c r="CE298" s="180"/>
      <c r="CF298" s="180"/>
      <c r="CG298" s="180"/>
      <c r="CH298" s="180"/>
      <c r="CI298" s="178"/>
      <c r="CJ298" s="178"/>
      <c r="CK298" s="180"/>
      <c r="CL298" s="180"/>
      <c r="CM298" s="180"/>
      <c r="CN298" s="225"/>
      <c r="CO298" s="218">
        <f t="shared" si="115"/>
        <v>0.2</v>
      </c>
      <c r="CP298" s="100">
        <f t="shared" si="116"/>
        <v>0.35</v>
      </c>
      <c r="CQ298" s="218">
        <f t="shared" si="117"/>
        <v>0.5</v>
      </c>
      <c r="CX298" s="23" t="s">
        <v>136</v>
      </c>
      <c r="CY298" s="23">
        <v>0.21</v>
      </c>
      <c r="CZ298" s="142">
        <f t="shared" si="127"/>
        <v>4.41</v>
      </c>
      <c r="DA298" s="142">
        <f t="shared" si="128"/>
        <v>5.25</v>
      </c>
      <c r="DB298" s="23">
        <v>12</v>
      </c>
      <c r="DC298" s="23">
        <v>1</v>
      </c>
      <c r="DD298" s="142">
        <f t="shared" si="129"/>
        <v>12</v>
      </c>
      <c r="DE298" s="23">
        <v>0.02</v>
      </c>
      <c r="DF298" s="149">
        <f t="shared" si="130"/>
        <v>0.37714285714285711</v>
      </c>
      <c r="DG298" s="149">
        <f t="shared" si="131"/>
        <v>116.91428571428571</v>
      </c>
      <c r="DH298" s="149">
        <f t="shared" si="132"/>
        <v>112.38857142857142</v>
      </c>
      <c r="DI298" s="150">
        <f t="shared" si="133"/>
        <v>121.32428571428571</v>
      </c>
      <c r="DJ298" s="150">
        <f t="shared" si="133"/>
        <v>117.63857142857142</v>
      </c>
      <c r="DK298" s="116" t="s">
        <v>168</v>
      </c>
      <c r="DL298" s="101" t="s">
        <v>392</v>
      </c>
    </row>
    <row r="299" spans="15:116" s="101" customFormat="1" ht="33.75" hidden="1" thickBot="1" x14ac:dyDescent="0.4">
      <c r="O299" s="227" t="s">
        <v>523</v>
      </c>
      <c r="Q299" s="243">
        <v>1.57</v>
      </c>
      <c r="R299" s="243">
        <v>28</v>
      </c>
      <c r="S299" s="246">
        <f t="shared" si="120"/>
        <v>0</v>
      </c>
      <c r="T299" s="246">
        <f t="shared" si="121"/>
        <v>0</v>
      </c>
      <c r="U299" s="246">
        <f t="shared" si="121"/>
        <v>0.12607100000000002</v>
      </c>
      <c r="V299" s="246">
        <f t="shared" si="121"/>
        <v>0.50428400000000007</v>
      </c>
      <c r="W299" s="246">
        <f t="shared" si="121"/>
        <v>0.12607100000000002</v>
      </c>
      <c r="X299" s="246">
        <f t="shared" si="121"/>
        <v>0</v>
      </c>
      <c r="Y299" s="246">
        <f t="shared" si="121"/>
        <v>0.25214200000000003</v>
      </c>
      <c r="Z299" s="246">
        <f t="shared" si="121"/>
        <v>1.7649940000000004</v>
      </c>
      <c r="AA299" s="246">
        <f t="shared" si="121"/>
        <v>0</v>
      </c>
      <c r="AB299" s="246">
        <f t="shared" si="121"/>
        <v>0</v>
      </c>
      <c r="AC299" s="246">
        <f t="shared" si="121"/>
        <v>0.15128520000000001</v>
      </c>
      <c r="AD299" s="246">
        <f t="shared" si="121"/>
        <v>0</v>
      </c>
      <c r="AE299" s="246">
        <f t="shared" si="121"/>
        <v>2.52142</v>
      </c>
      <c r="AF299" s="246">
        <v>0</v>
      </c>
      <c r="AG299" s="246">
        <f t="shared" si="121"/>
        <v>0.25214200000000003</v>
      </c>
      <c r="AH299" s="243"/>
      <c r="AI299" s="102">
        <v>1</v>
      </c>
      <c r="AJ299" s="102">
        <v>12</v>
      </c>
      <c r="AL299" s="102">
        <v>8</v>
      </c>
      <c r="AM299" s="237">
        <v>0.3</v>
      </c>
      <c r="AN299" s="241">
        <v>0.3</v>
      </c>
      <c r="AO299" s="241">
        <v>0.28999999999999998</v>
      </c>
      <c r="AP299" s="247">
        <f>(AN299*365)*(AO299*0.67*0.01*1)</f>
        <v>0.21275850000000002</v>
      </c>
      <c r="AQ299" s="247">
        <f>(AN299*365)*(AO299*0.67*0.001*1)</f>
        <v>2.1275850000000002E-2</v>
      </c>
      <c r="AR299" s="248"/>
      <c r="AS299" s="247">
        <f>(AN299*365)*(AO299*0.67*0.02*1)</f>
        <v>0.42551700000000003</v>
      </c>
      <c r="AT299" s="247">
        <f>(AN299*365)*(AO299*0.67*0.01*1)</f>
        <v>0.21275850000000002</v>
      </c>
      <c r="AU299" s="247">
        <f>(AN299*365)*(AO299*0.67*0.25*1)</f>
        <v>5.3189624999999996</v>
      </c>
      <c r="AV299" s="247">
        <f>(AN299*365)*(AO299*0.67*0.73*1)</f>
        <v>15.5313705</v>
      </c>
      <c r="AW299" s="247">
        <f>(AN299*365)*(AO299*0.67*0.03*1)</f>
        <v>0.6382755</v>
      </c>
      <c r="AX299" s="248"/>
      <c r="AY299" s="247">
        <f>(AN299*365)*(AO299*0.67*0.25*1)</f>
        <v>5.3189624999999996</v>
      </c>
      <c r="AZ299" s="247">
        <f t="shared" si="122"/>
        <v>21.275849999999998</v>
      </c>
      <c r="BA299" s="247">
        <f t="shared" si="123"/>
        <v>2.1275850000000003</v>
      </c>
      <c r="BB299" s="247">
        <f t="shared" si="124"/>
        <v>0.10637925000000001</v>
      </c>
      <c r="BC299" s="247">
        <f>(AN299*365)*(AO299*0.67*0.005*1)</f>
        <v>0.10637925000000001</v>
      </c>
      <c r="BD299" s="247">
        <v>0</v>
      </c>
      <c r="BE299" s="247">
        <v>0</v>
      </c>
      <c r="BH299" s="120"/>
      <c r="BI299" s="203" t="s">
        <v>137</v>
      </c>
      <c r="BJ299" s="190" t="s">
        <v>168</v>
      </c>
      <c r="BK299" s="196">
        <f t="shared" si="125"/>
        <v>0</v>
      </c>
      <c r="BL299" s="190" t="s">
        <v>413</v>
      </c>
      <c r="BM299" s="189">
        <v>0.2</v>
      </c>
      <c r="BN299" s="189">
        <v>0.5</v>
      </c>
      <c r="BO299" s="188" t="s">
        <v>258</v>
      </c>
      <c r="BP299" s="196">
        <f t="shared" si="126"/>
        <v>0.25645714285714288</v>
      </c>
      <c r="BQ299" s="190" t="s">
        <v>415</v>
      </c>
      <c r="BR299" s="189">
        <v>0.2</v>
      </c>
      <c r="BS299" s="189">
        <v>0.5</v>
      </c>
      <c r="BT299" s="188" t="s">
        <v>258</v>
      </c>
      <c r="BU299" s="180"/>
      <c r="BV299" s="196">
        <v>0</v>
      </c>
      <c r="BW299" s="190" t="s">
        <v>414</v>
      </c>
      <c r="BX299" s="180"/>
      <c r="BY299" s="196">
        <v>76.424228571428586</v>
      </c>
      <c r="BZ299" s="190" t="s">
        <v>414</v>
      </c>
      <c r="CA299" s="178"/>
      <c r="CB299" s="180"/>
      <c r="CC299" s="178"/>
      <c r="CD299" s="178"/>
      <c r="CE299" s="180"/>
      <c r="CF299" s="180"/>
      <c r="CG299" s="180"/>
      <c r="CH299" s="180"/>
      <c r="CI299" s="178"/>
      <c r="CJ299" s="178"/>
      <c r="CK299" s="180"/>
      <c r="CL299" s="180"/>
      <c r="CM299" s="180"/>
      <c r="CN299" s="225"/>
      <c r="CO299" s="218">
        <f t="shared" si="115"/>
        <v>0.2</v>
      </c>
      <c r="CP299" s="100">
        <f t="shared" si="116"/>
        <v>0.35</v>
      </c>
      <c r="CQ299" s="218">
        <f t="shared" si="117"/>
        <v>0.5</v>
      </c>
      <c r="CX299" s="23" t="s">
        <v>137</v>
      </c>
      <c r="CY299" s="23">
        <v>0</v>
      </c>
      <c r="CZ299" s="142">
        <f t="shared" si="127"/>
        <v>0</v>
      </c>
      <c r="DA299" s="142">
        <f t="shared" si="128"/>
        <v>0</v>
      </c>
      <c r="DB299" s="23">
        <v>16</v>
      </c>
      <c r="DC299" s="23">
        <v>0.51</v>
      </c>
      <c r="DD299" s="142">
        <f t="shared" si="129"/>
        <v>8.16</v>
      </c>
      <c r="DE299" s="23">
        <v>0.02</v>
      </c>
      <c r="DF299" s="149">
        <f t="shared" si="130"/>
        <v>0.25645714285714288</v>
      </c>
      <c r="DG299" s="149">
        <f t="shared" si="131"/>
        <v>79.5017142857143</v>
      </c>
      <c r="DH299" s="149">
        <f t="shared" si="132"/>
        <v>76.424228571428586</v>
      </c>
      <c r="DI299" s="150">
        <f t="shared" si="133"/>
        <v>79.5017142857143</v>
      </c>
      <c r="DJ299" s="150">
        <f t="shared" si="133"/>
        <v>76.424228571428586</v>
      </c>
      <c r="DK299" s="116" t="s">
        <v>168</v>
      </c>
      <c r="DL299" s="101" t="s">
        <v>392</v>
      </c>
    </row>
    <row r="300" spans="15:116" s="101" customFormat="1" ht="33.75" hidden="1" thickBot="1" x14ac:dyDescent="0.4">
      <c r="O300" s="227" t="s">
        <v>524</v>
      </c>
      <c r="Q300" s="243">
        <v>1.57</v>
      </c>
      <c r="R300" s="243">
        <v>28</v>
      </c>
      <c r="S300" s="246">
        <f t="shared" si="120"/>
        <v>0</v>
      </c>
      <c r="T300" s="246">
        <f t="shared" si="121"/>
        <v>0</v>
      </c>
      <c r="U300" s="246">
        <f t="shared" si="121"/>
        <v>0.12607100000000002</v>
      </c>
      <c r="V300" s="246">
        <f t="shared" si="121"/>
        <v>0.50428400000000007</v>
      </c>
      <c r="W300" s="246">
        <f t="shared" si="121"/>
        <v>0.12607100000000002</v>
      </c>
      <c r="X300" s="246">
        <f t="shared" si="121"/>
        <v>0</v>
      </c>
      <c r="Y300" s="246">
        <f t="shared" si="121"/>
        <v>0.25214200000000003</v>
      </c>
      <c r="Z300" s="246">
        <f t="shared" si="121"/>
        <v>1.7649940000000004</v>
      </c>
      <c r="AA300" s="246">
        <f t="shared" si="121"/>
        <v>0</v>
      </c>
      <c r="AB300" s="246">
        <f t="shared" si="121"/>
        <v>0</v>
      </c>
      <c r="AC300" s="246">
        <f t="shared" si="121"/>
        <v>0.15128520000000001</v>
      </c>
      <c r="AD300" s="246">
        <f t="shared" si="121"/>
        <v>0</v>
      </c>
      <c r="AE300" s="246">
        <f t="shared" si="121"/>
        <v>2.52142</v>
      </c>
      <c r="AF300" s="246">
        <v>0</v>
      </c>
      <c r="AG300" s="246">
        <f t="shared" si="121"/>
        <v>0.25214200000000003</v>
      </c>
      <c r="AH300" s="243"/>
      <c r="AI300" s="102">
        <v>1</v>
      </c>
      <c r="AJ300" s="102">
        <v>20</v>
      </c>
      <c r="AL300" s="102">
        <v>18</v>
      </c>
      <c r="AM300" s="237">
        <v>0.3</v>
      </c>
      <c r="AN300" s="241">
        <v>0.3</v>
      </c>
      <c r="AO300" s="241">
        <v>0.28999999999999998</v>
      </c>
      <c r="AP300" s="247">
        <f>(AN300*365)*(AO300*0.67*0.015*1)</f>
        <v>0.31913775</v>
      </c>
      <c r="AQ300" s="247">
        <f>(AN300*365)*(AO300*0.67*0.005*1)</f>
        <v>0.10637925000000001</v>
      </c>
      <c r="AR300" s="248"/>
      <c r="AS300" s="247">
        <f>(AN300*365)*(AO300*0.67*0.04*1)</f>
        <v>0.85103400000000007</v>
      </c>
      <c r="AT300" s="247">
        <f>(AN300*365)*(AO300*0.67*0.015*1)</f>
        <v>0.31913775</v>
      </c>
      <c r="AU300" s="247">
        <f>(AN300*365)*(AO300*0.67*0.65*1)</f>
        <v>13.829302500000002</v>
      </c>
      <c r="AV300" s="247">
        <f>(AN300*365)*(AO300*0.67*0.79*1)</f>
        <v>16.807921499999999</v>
      </c>
      <c r="AW300" s="247">
        <f>(AN300*365)*(AO300*0.67*0.03*1)</f>
        <v>0.6382755</v>
      </c>
      <c r="AX300" s="248"/>
      <c r="AY300" s="247">
        <f>(AN300*365)*(AO300*0.67*0.65*1)</f>
        <v>13.829302500000002</v>
      </c>
      <c r="AZ300" s="247">
        <f t="shared" si="122"/>
        <v>21.275849999999998</v>
      </c>
      <c r="BA300" s="247">
        <f t="shared" si="123"/>
        <v>2.1275850000000003</v>
      </c>
      <c r="BB300" s="247">
        <f t="shared" si="124"/>
        <v>0.10637925000000001</v>
      </c>
      <c r="BC300" s="247">
        <f>(AN300*365)*(AO300*0.67*0.01*1)</f>
        <v>0.21275850000000002</v>
      </c>
      <c r="BD300" s="247">
        <v>0</v>
      </c>
      <c r="BE300" s="247">
        <v>0</v>
      </c>
      <c r="BH300" s="120"/>
      <c r="BI300" s="203" t="s">
        <v>336</v>
      </c>
      <c r="BJ300" s="190" t="s">
        <v>168</v>
      </c>
      <c r="BK300" s="196">
        <f t="shared" si="125"/>
        <v>1</v>
      </c>
      <c r="BL300" s="190" t="s">
        <v>413</v>
      </c>
      <c r="BM300" s="189">
        <v>0.2</v>
      </c>
      <c r="BN300" s="189">
        <v>0.5</v>
      </c>
      <c r="BO300" s="188" t="s">
        <v>258</v>
      </c>
      <c r="BP300" s="196">
        <f t="shared" si="126"/>
        <v>0.25645714285714288</v>
      </c>
      <c r="BQ300" s="190" t="s">
        <v>415</v>
      </c>
      <c r="BR300" s="189">
        <v>0.2</v>
      </c>
      <c r="BS300" s="189">
        <v>0.5</v>
      </c>
      <c r="BT300" s="188" t="s">
        <v>258</v>
      </c>
      <c r="BU300" s="180"/>
      <c r="BV300" s="196">
        <v>25</v>
      </c>
      <c r="BW300" s="190" t="s">
        <v>414</v>
      </c>
      <c r="BX300" s="180"/>
      <c r="BY300" s="196">
        <v>76.424228571428586</v>
      </c>
      <c r="BZ300" s="190" t="s">
        <v>414</v>
      </c>
      <c r="CA300" s="180"/>
      <c r="CB300" s="180"/>
      <c r="CC300" s="178"/>
      <c r="CD300" s="178"/>
      <c r="CE300" s="180"/>
      <c r="CF300" s="180"/>
      <c r="CG300" s="180"/>
      <c r="CH300" s="180"/>
      <c r="CI300" s="178"/>
      <c r="CJ300" s="178"/>
      <c r="CK300" s="180"/>
      <c r="CL300" s="180"/>
      <c r="CM300" s="180"/>
      <c r="CN300" s="225"/>
      <c r="CO300" s="218">
        <f t="shared" si="115"/>
        <v>0.2</v>
      </c>
      <c r="CP300" s="100">
        <f t="shared" si="116"/>
        <v>0.35</v>
      </c>
      <c r="CQ300" s="218">
        <f t="shared" si="117"/>
        <v>0.5</v>
      </c>
      <c r="CX300" s="23" t="s">
        <v>336</v>
      </c>
      <c r="CY300" s="23">
        <v>1</v>
      </c>
      <c r="CZ300" s="142">
        <f t="shared" si="127"/>
        <v>21</v>
      </c>
      <c r="DA300" s="142">
        <f t="shared" si="128"/>
        <v>25</v>
      </c>
      <c r="DB300" s="23">
        <v>16</v>
      </c>
      <c r="DC300" s="23">
        <v>0.51</v>
      </c>
      <c r="DD300" s="142">
        <f t="shared" si="129"/>
        <v>8.16</v>
      </c>
      <c r="DE300" s="23">
        <v>0.02</v>
      </c>
      <c r="DF300" s="149">
        <f t="shared" si="130"/>
        <v>0.25645714285714288</v>
      </c>
      <c r="DG300" s="149">
        <f t="shared" si="131"/>
        <v>79.5017142857143</v>
      </c>
      <c r="DH300" s="149">
        <f t="shared" si="132"/>
        <v>76.424228571428586</v>
      </c>
      <c r="DI300" s="150">
        <f t="shared" si="133"/>
        <v>100.5017142857143</v>
      </c>
      <c r="DJ300" s="150">
        <f t="shared" si="133"/>
        <v>101.42422857142859</v>
      </c>
      <c r="DK300" s="116" t="s">
        <v>168</v>
      </c>
      <c r="DL300" s="101" t="s">
        <v>392</v>
      </c>
    </row>
    <row r="301" spans="15:116" s="101" customFormat="1" ht="33.75" hidden="1" thickBot="1" x14ac:dyDescent="0.4">
      <c r="O301" s="227" t="s">
        <v>525</v>
      </c>
      <c r="Q301" s="243">
        <v>1.57</v>
      </c>
      <c r="R301" s="243">
        <v>28</v>
      </c>
      <c r="S301" s="246">
        <f t="shared" si="120"/>
        <v>0</v>
      </c>
      <c r="T301" s="246">
        <f t="shared" si="121"/>
        <v>0</v>
      </c>
      <c r="U301" s="246">
        <f t="shared" si="121"/>
        <v>0.12607100000000002</v>
      </c>
      <c r="V301" s="246">
        <f t="shared" si="121"/>
        <v>0.50428400000000007</v>
      </c>
      <c r="W301" s="246">
        <f t="shared" si="121"/>
        <v>0.12607100000000002</v>
      </c>
      <c r="X301" s="246">
        <f t="shared" si="121"/>
        <v>0</v>
      </c>
      <c r="Y301" s="246">
        <f t="shared" si="121"/>
        <v>0.25214200000000003</v>
      </c>
      <c r="Z301" s="246">
        <f t="shared" si="121"/>
        <v>1.7649940000000004</v>
      </c>
      <c r="AA301" s="246">
        <f t="shared" si="121"/>
        <v>0</v>
      </c>
      <c r="AB301" s="246">
        <f t="shared" si="121"/>
        <v>0</v>
      </c>
      <c r="AC301" s="246">
        <f t="shared" si="121"/>
        <v>0.15128520000000001</v>
      </c>
      <c r="AD301" s="246">
        <f t="shared" si="121"/>
        <v>0</v>
      </c>
      <c r="AE301" s="246">
        <f t="shared" si="121"/>
        <v>2.52142</v>
      </c>
      <c r="AF301" s="246">
        <v>0</v>
      </c>
      <c r="AG301" s="246">
        <f t="shared" si="121"/>
        <v>0.25214200000000003</v>
      </c>
      <c r="AH301" s="243"/>
      <c r="AI301" s="102">
        <v>2</v>
      </c>
      <c r="AJ301" s="102">
        <v>23</v>
      </c>
      <c r="AL301" s="102">
        <v>21</v>
      </c>
      <c r="AM301" s="237">
        <v>0.3</v>
      </c>
      <c r="AN301" s="241">
        <v>0.3</v>
      </c>
      <c r="AO301" s="241">
        <v>0.28999999999999998</v>
      </c>
      <c r="AP301" s="247">
        <f>(AN301*365)*(AO301*0.67*0.02*1)</f>
        <v>0.42551700000000003</v>
      </c>
      <c r="AQ301" s="247">
        <f>(AN301*365)*(AO301*0.67*0.01*1)</f>
        <v>0.21275850000000002</v>
      </c>
      <c r="AR301" s="248"/>
      <c r="AS301" s="247">
        <f>(AN301*365)*(AO301*0.67*0.05*1)</f>
        <v>1.0637925000000001</v>
      </c>
      <c r="AT301" s="247">
        <f>(AN301*365)*(AO301*0.67*0.02*1)</f>
        <v>0.42551700000000003</v>
      </c>
      <c r="AU301" s="247">
        <f>(AN301*365)*(AO301*0.67*0.8*1)</f>
        <v>17.020680000000002</v>
      </c>
      <c r="AV301" s="247">
        <f>(AN301*365)*(AO301*0.67*0.8*1)</f>
        <v>17.020680000000002</v>
      </c>
      <c r="AW301" s="247">
        <f>(AN301*365)*(AO301*0.67*0.3*1)</f>
        <v>6.3827549999999995</v>
      </c>
      <c r="AX301" s="248"/>
      <c r="AY301" s="247">
        <f>(AN301*365)*(AO301*0.67*0.8*1)</f>
        <v>17.020680000000002</v>
      </c>
      <c r="AZ301" s="247">
        <f t="shared" si="122"/>
        <v>21.275849999999998</v>
      </c>
      <c r="BA301" s="247">
        <f t="shared" si="123"/>
        <v>2.1275850000000003</v>
      </c>
      <c r="BB301" s="247">
        <f t="shared" si="124"/>
        <v>0.10637925000000001</v>
      </c>
      <c r="BC301" s="247">
        <f>(AN301*365)*(AO301*0.67*0.015*1)</f>
        <v>0.31913775</v>
      </c>
      <c r="BD301" s="247">
        <v>0</v>
      </c>
      <c r="BE301" s="247">
        <v>0</v>
      </c>
      <c r="BH301" s="120"/>
      <c r="BI301" s="203" t="s">
        <v>139</v>
      </c>
      <c r="BJ301" s="190" t="s">
        <v>168</v>
      </c>
      <c r="BK301" s="196">
        <f t="shared" si="125"/>
        <v>2</v>
      </c>
      <c r="BL301" s="190" t="s">
        <v>413</v>
      </c>
      <c r="BM301" s="189">
        <v>0.2</v>
      </c>
      <c r="BN301" s="189">
        <v>0.5</v>
      </c>
      <c r="BO301" s="188" t="s">
        <v>258</v>
      </c>
      <c r="BP301" s="196">
        <f t="shared" si="126"/>
        <v>0.25645714285714288</v>
      </c>
      <c r="BQ301" s="190" t="s">
        <v>415</v>
      </c>
      <c r="BR301" s="189">
        <v>0.2</v>
      </c>
      <c r="BS301" s="189">
        <v>0.5</v>
      </c>
      <c r="BT301" s="188" t="s">
        <v>258</v>
      </c>
      <c r="BU301" s="180"/>
      <c r="BV301" s="196">
        <v>50</v>
      </c>
      <c r="BW301" s="190" t="s">
        <v>414</v>
      </c>
      <c r="BX301" s="180"/>
      <c r="BY301" s="196">
        <v>76.424228571428586</v>
      </c>
      <c r="BZ301" s="190" t="s">
        <v>414</v>
      </c>
      <c r="CA301" s="180"/>
      <c r="CB301" s="180"/>
      <c r="CC301" s="178"/>
      <c r="CD301" s="178"/>
      <c r="CE301" s="180"/>
      <c r="CF301" s="180"/>
      <c r="CG301" s="180"/>
      <c r="CH301" s="180"/>
      <c r="CI301" s="178"/>
      <c r="CJ301" s="178"/>
      <c r="CK301" s="180"/>
      <c r="CL301" s="180"/>
      <c r="CM301" s="180"/>
      <c r="CN301" s="225"/>
      <c r="CO301" s="218">
        <f t="shared" si="115"/>
        <v>0.2</v>
      </c>
      <c r="CP301" s="100">
        <f t="shared" si="116"/>
        <v>0.35</v>
      </c>
      <c r="CQ301" s="218">
        <f t="shared" si="117"/>
        <v>0.5</v>
      </c>
      <c r="CX301" s="23" t="s">
        <v>139</v>
      </c>
      <c r="CY301" s="23">
        <v>2</v>
      </c>
      <c r="CZ301" s="142">
        <f t="shared" si="127"/>
        <v>42</v>
      </c>
      <c r="DA301" s="142">
        <f t="shared" si="128"/>
        <v>50</v>
      </c>
      <c r="DB301" s="23">
        <v>16</v>
      </c>
      <c r="DC301" s="23">
        <v>0.51</v>
      </c>
      <c r="DD301" s="142">
        <f t="shared" si="129"/>
        <v>8.16</v>
      </c>
      <c r="DE301" s="23">
        <v>0.02</v>
      </c>
      <c r="DF301" s="149">
        <f t="shared" si="130"/>
        <v>0.25645714285714288</v>
      </c>
      <c r="DG301" s="149">
        <f t="shared" si="131"/>
        <v>79.5017142857143</v>
      </c>
      <c r="DH301" s="149">
        <f t="shared" si="132"/>
        <v>76.424228571428586</v>
      </c>
      <c r="DI301" s="150">
        <f t="shared" si="133"/>
        <v>121.5017142857143</v>
      </c>
      <c r="DJ301" s="150">
        <f t="shared" si="133"/>
        <v>126.42422857142859</v>
      </c>
      <c r="DK301" s="116" t="s">
        <v>168</v>
      </c>
      <c r="DL301" s="101" t="s">
        <v>392</v>
      </c>
    </row>
    <row r="302" spans="15:116" s="101" customFormat="1" ht="18.75" hidden="1" customHeight="1" thickBot="1" x14ac:dyDescent="0.4">
      <c r="O302" s="227" t="s">
        <v>545</v>
      </c>
      <c r="Q302" s="243">
        <v>0.55000000000000004</v>
      </c>
      <c r="R302" s="243">
        <v>28</v>
      </c>
      <c r="S302" s="246">
        <f t="shared" si="120"/>
        <v>0</v>
      </c>
      <c r="T302" s="246">
        <f t="shared" si="121"/>
        <v>0</v>
      </c>
      <c r="U302" s="246">
        <f t="shared" si="121"/>
        <v>4.4165000000000003E-2</v>
      </c>
      <c r="V302" s="246">
        <f t="shared" si="121"/>
        <v>0.17666000000000001</v>
      </c>
      <c r="W302" s="246">
        <f t="shared" si="121"/>
        <v>4.4165000000000003E-2</v>
      </c>
      <c r="X302" s="246">
        <f t="shared" si="121"/>
        <v>0</v>
      </c>
      <c r="Y302" s="246">
        <f t="shared" si="121"/>
        <v>8.8330000000000006E-2</v>
      </c>
      <c r="Z302" s="246">
        <f t="shared" si="121"/>
        <v>0.61831000000000003</v>
      </c>
      <c r="AA302" s="246">
        <f t="shared" si="121"/>
        <v>0</v>
      </c>
      <c r="AB302" s="246">
        <f t="shared" si="121"/>
        <v>0</v>
      </c>
      <c r="AC302" s="246">
        <f t="shared" si="121"/>
        <v>5.299800000000001E-2</v>
      </c>
      <c r="AD302" s="246">
        <f t="shared" si="121"/>
        <v>0</v>
      </c>
      <c r="AE302" s="246">
        <f t="shared" si="121"/>
        <v>0.88330000000000009</v>
      </c>
      <c r="AF302" s="246">
        <v>0</v>
      </c>
      <c r="AG302" s="246">
        <f t="shared" si="121"/>
        <v>8.8330000000000006E-2</v>
      </c>
      <c r="AH302" s="243"/>
      <c r="AI302" s="102">
        <v>1</v>
      </c>
      <c r="AJ302" s="102">
        <v>23</v>
      </c>
      <c r="AL302" s="102">
        <v>12</v>
      </c>
      <c r="AM302" s="237">
        <v>0.3</v>
      </c>
      <c r="AN302" s="241">
        <v>0.3</v>
      </c>
      <c r="AO302" s="241">
        <v>0.28999999999999998</v>
      </c>
      <c r="AP302" s="247">
        <f>(AN302*365)*(AO302*0.67*0.01*1)</f>
        <v>0.21275850000000002</v>
      </c>
      <c r="AQ302" s="247">
        <f>(AN302*365)*(AO302*0.67*0.001*1)</f>
        <v>2.1275850000000002E-2</v>
      </c>
      <c r="AR302" s="248"/>
      <c r="AS302" s="247">
        <f>(AN302*365)*(AO302*0.67*0.02*1)</f>
        <v>0.42551700000000003</v>
      </c>
      <c r="AT302" s="247">
        <f>(AN302*365)*(AO302*0.67*0.01*1)</f>
        <v>0.21275850000000002</v>
      </c>
      <c r="AU302" s="247">
        <f>(AN302*365)*(AO302*0.67*0.25*1)</f>
        <v>5.3189624999999996</v>
      </c>
      <c r="AV302" s="247">
        <f>(AN302*365)*(AO302*0.67*0.73*1)</f>
        <v>15.5313705</v>
      </c>
      <c r="AW302" s="247">
        <f>(AN302*365)*(AO302*0.67*0.03*1)</f>
        <v>0.6382755</v>
      </c>
      <c r="AX302" s="248"/>
      <c r="AY302" s="247">
        <f>(AN302*365)*(AO302*0.67*0.25*1)</f>
        <v>5.3189624999999996</v>
      </c>
      <c r="AZ302" s="247">
        <f t="shared" si="122"/>
        <v>21.275849999999998</v>
      </c>
      <c r="BA302" s="247">
        <f t="shared" si="123"/>
        <v>2.1275850000000003</v>
      </c>
      <c r="BB302" s="247">
        <f t="shared" si="124"/>
        <v>0.10637925000000001</v>
      </c>
      <c r="BC302" s="247">
        <f>(AN302*365)*(AO302*0.67*0.005*1)</f>
        <v>0.10637925000000001</v>
      </c>
      <c r="BD302" s="247">
        <v>0</v>
      </c>
      <c r="BE302" s="247">
        <v>0</v>
      </c>
      <c r="BH302" s="120"/>
      <c r="BI302" s="203" t="s">
        <v>337</v>
      </c>
      <c r="BJ302" s="190" t="s">
        <v>168</v>
      </c>
      <c r="BK302" s="196">
        <f t="shared" si="125"/>
        <v>0</v>
      </c>
      <c r="BL302" s="190" t="s">
        <v>413</v>
      </c>
      <c r="BM302" s="189">
        <v>0.2</v>
      </c>
      <c r="BN302" s="189">
        <v>0.5</v>
      </c>
      <c r="BO302" s="188" t="s">
        <v>258</v>
      </c>
      <c r="BP302" s="196">
        <f t="shared" si="126"/>
        <v>5.0285714285714281E-2</v>
      </c>
      <c r="BQ302" s="190" t="s">
        <v>415</v>
      </c>
      <c r="BR302" s="189">
        <v>0.2</v>
      </c>
      <c r="BS302" s="189">
        <v>0.5</v>
      </c>
      <c r="BT302" s="188" t="s">
        <v>258</v>
      </c>
      <c r="BU302" s="180"/>
      <c r="BV302" s="196">
        <v>0</v>
      </c>
      <c r="BW302" s="190" t="s">
        <v>414</v>
      </c>
      <c r="BX302" s="180"/>
      <c r="BY302" s="196">
        <v>14.985142857142856</v>
      </c>
      <c r="BZ302" s="190" t="s">
        <v>414</v>
      </c>
      <c r="CA302" s="180"/>
      <c r="CB302" s="180"/>
      <c r="CC302" s="178"/>
      <c r="CD302" s="178"/>
      <c r="CE302" s="180"/>
      <c r="CF302" s="180"/>
      <c r="CG302" s="180"/>
      <c r="CH302" s="180"/>
      <c r="CI302" s="178"/>
      <c r="CJ302" s="178"/>
      <c r="CK302" s="180"/>
      <c r="CL302" s="180"/>
      <c r="CM302" s="180"/>
      <c r="CN302" s="225"/>
      <c r="CO302" s="218">
        <f t="shared" si="115"/>
        <v>0.2</v>
      </c>
      <c r="CP302" s="100">
        <f t="shared" si="116"/>
        <v>0.35</v>
      </c>
      <c r="CQ302" s="218">
        <f t="shared" si="117"/>
        <v>0.5</v>
      </c>
      <c r="CX302" s="23" t="s">
        <v>337</v>
      </c>
      <c r="CY302" s="23">
        <v>0</v>
      </c>
      <c r="CZ302" s="142">
        <f t="shared" si="127"/>
        <v>0</v>
      </c>
      <c r="DA302" s="142">
        <f t="shared" si="128"/>
        <v>0</v>
      </c>
      <c r="DB302" s="23">
        <v>16</v>
      </c>
      <c r="DC302" s="23">
        <v>0.4</v>
      </c>
      <c r="DD302" s="142">
        <f t="shared" si="129"/>
        <v>6.4</v>
      </c>
      <c r="DE302" s="23">
        <v>5.0000000000000001E-3</v>
      </c>
      <c r="DF302" s="149">
        <f t="shared" si="130"/>
        <v>5.0285714285714281E-2</v>
      </c>
      <c r="DG302" s="149">
        <f t="shared" si="131"/>
        <v>15.588571428571427</v>
      </c>
      <c r="DH302" s="149">
        <f t="shared" si="132"/>
        <v>14.985142857142856</v>
      </c>
      <c r="DI302" s="150">
        <f t="shared" si="133"/>
        <v>15.588571428571427</v>
      </c>
      <c r="DJ302" s="150">
        <f t="shared" si="133"/>
        <v>14.985142857142856</v>
      </c>
      <c r="DK302" s="116" t="s">
        <v>168</v>
      </c>
      <c r="DL302" s="101" t="s">
        <v>392</v>
      </c>
    </row>
    <row r="303" spans="15:116" s="101" customFormat="1" ht="33.75" hidden="1" thickBot="1" x14ac:dyDescent="0.4">
      <c r="O303" s="227" t="s">
        <v>546</v>
      </c>
      <c r="Q303" s="243">
        <v>0.55000000000000004</v>
      </c>
      <c r="R303" s="243">
        <v>28</v>
      </c>
      <c r="S303" s="246">
        <f t="shared" si="120"/>
        <v>0</v>
      </c>
      <c r="T303" s="246">
        <f t="shared" ref="T303:AE310" si="134">((($Q303*($R303/1000)*365)*1)*T$285)*(44/28)</f>
        <v>0</v>
      </c>
      <c r="U303" s="246">
        <f t="shared" si="134"/>
        <v>4.4165000000000003E-2</v>
      </c>
      <c r="V303" s="246">
        <f t="shared" si="134"/>
        <v>0.17666000000000001</v>
      </c>
      <c r="W303" s="246">
        <f t="shared" si="134"/>
        <v>4.4165000000000003E-2</v>
      </c>
      <c r="X303" s="246">
        <f t="shared" si="134"/>
        <v>0</v>
      </c>
      <c r="Y303" s="246">
        <f t="shared" si="134"/>
        <v>8.8330000000000006E-2</v>
      </c>
      <c r="Z303" s="246">
        <f t="shared" si="134"/>
        <v>0.61831000000000003</v>
      </c>
      <c r="AA303" s="246">
        <f t="shared" si="134"/>
        <v>0</v>
      </c>
      <c r="AB303" s="246">
        <f t="shared" si="134"/>
        <v>0</v>
      </c>
      <c r="AC303" s="246">
        <f t="shared" si="134"/>
        <v>5.299800000000001E-2</v>
      </c>
      <c r="AD303" s="246">
        <f t="shared" si="134"/>
        <v>0</v>
      </c>
      <c r="AE303" s="246">
        <f t="shared" si="134"/>
        <v>0.88330000000000009</v>
      </c>
      <c r="AF303" s="246">
        <v>0</v>
      </c>
      <c r="AG303" s="246">
        <f t="shared" ref="AG303:AG310" si="135">((($Q303*($R303/1000)*365)*1)*AG$285)*(44/28)</f>
        <v>8.8330000000000006E-2</v>
      </c>
      <c r="AH303" s="243"/>
      <c r="AI303" s="102">
        <v>1</v>
      </c>
      <c r="AJ303" s="102">
        <v>39</v>
      </c>
      <c r="AL303" s="102">
        <v>27</v>
      </c>
      <c r="AM303" s="237">
        <v>0.3</v>
      </c>
      <c r="AN303" s="241">
        <v>0.3</v>
      </c>
      <c r="AO303" s="241">
        <v>0.28999999999999998</v>
      </c>
      <c r="AP303" s="247">
        <f>(AN303*365)*(AO303*0.67*0.015*1)</f>
        <v>0.31913775</v>
      </c>
      <c r="AQ303" s="247">
        <f>(AN303*365)*(AO303*0.67*0.005*1)</f>
        <v>0.10637925000000001</v>
      </c>
      <c r="AR303" s="248"/>
      <c r="AS303" s="247">
        <f>(AN303*365)*(AO303*0.67*0.04*1)</f>
        <v>0.85103400000000007</v>
      </c>
      <c r="AT303" s="247">
        <f>(AN303*365)*(AO303*0.67*0.015*1)</f>
        <v>0.31913775</v>
      </c>
      <c r="AU303" s="247">
        <f>(AN303*365)*(AO303*0.67*0.65*1)</f>
        <v>13.829302500000002</v>
      </c>
      <c r="AV303" s="247">
        <f>(AN303*365)*(AO303*0.67*0.79*1)</f>
        <v>16.807921499999999</v>
      </c>
      <c r="AW303" s="247">
        <f>(AN303*365)*(AO303*0.67*0.03*1)</f>
        <v>0.6382755</v>
      </c>
      <c r="AX303" s="248"/>
      <c r="AY303" s="247">
        <f>(AN303*365)*(AO303*0.67*0.65*1)</f>
        <v>13.829302500000002</v>
      </c>
      <c r="AZ303" s="247">
        <f t="shared" si="122"/>
        <v>21.275849999999998</v>
      </c>
      <c r="BA303" s="247">
        <f t="shared" si="123"/>
        <v>2.1275850000000003</v>
      </c>
      <c r="BB303" s="247">
        <f t="shared" si="124"/>
        <v>0.10637925000000001</v>
      </c>
      <c r="BC303" s="247">
        <f>(AN303*365)*(AO303*0.67*0.01*1)</f>
        <v>0.21275850000000002</v>
      </c>
      <c r="BD303" s="247">
        <v>0</v>
      </c>
      <c r="BE303" s="247">
        <v>0</v>
      </c>
      <c r="BH303" s="120"/>
      <c r="BI303" s="203" t="s">
        <v>338</v>
      </c>
      <c r="BJ303" s="190" t="s">
        <v>168</v>
      </c>
      <c r="BK303" s="196">
        <f t="shared" si="125"/>
        <v>1</v>
      </c>
      <c r="BL303" s="190" t="s">
        <v>413</v>
      </c>
      <c r="BM303" s="189">
        <v>0.2</v>
      </c>
      <c r="BN303" s="189">
        <v>0.5</v>
      </c>
      <c r="BO303" s="188" t="s">
        <v>258</v>
      </c>
      <c r="BP303" s="196">
        <f t="shared" si="126"/>
        <v>5.0285714285714281E-2</v>
      </c>
      <c r="BQ303" s="190" t="s">
        <v>415</v>
      </c>
      <c r="BR303" s="189">
        <v>0.2</v>
      </c>
      <c r="BS303" s="189">
        <v>0.5</v>
      </c>
      <c r="BT303" s="188" t="s">
        <v>258</v>
      </c>
      <c r="BU303" s="180"/>
      <c r="BV303" s="196">
        <v>25</v>
      </c>
      <c r="BW303" s="190" t="s">
        <v>414</v>
      </c>
      <c r="BX303" s="180"/>
      <c r="BY303" s="196">
        <v>14.985142857142856</v>
      </c>
      <c r="BZ303" s="190" t="s">
        <v>414</v>
      </c>
      <c r="CA303" s="180"/>
      <c r="CB303" s="180"/>
      <c r="CC303" s="178"/>
      <c r="CD303" s="178"/>
      <c r="CE303" s="180"/>
      <c r="CF303" s="180"/>
      <c r="CG303" s="180"/>
      <c r="CH303" s="180"/>
      <c r="CI303" s="178"/>
      <c r="CJ303" s="178"/>
      <c r="CK303" s="180"/>
      <c r="CL303" s="180"/>
      <c r="CM303" s="180"/>
      <c r="CN303" s="225"/>
      <c r="CO303" s="218">
        <f t="shared" si="115"/>
        <v>0.2</v>
      </c>
      <c r="CP303" s="100">
        <f t="shared" si="116"/>
        <v>0.35</v>
      </c>
      <c r="CQ303" s="218">
        <f t="shared" si="117"/>
        <v>0.5</v>
      </c>
      <c r="CX303" s="23" t="s">
        <v>338</v>
      </c>
      <c r="CY303" s="23">
        <v>1</v>
      </c>
      <c r="CZ303" s="142">
        <f t="shared" si="127"/>
        <v>21</v>
      </c>
      <c r="DA303" s="142">
        <f t="shared" si="128"/>
        <v>25</v>
      </c>
      <c r="DB303" s="23">
        <v>16</v>
      </c>
      <c r="DC303" s="23">
        <v>0.4</v>
      </c>
      <c r="DD303" s="142">
        <f t="shared" si="129"/>
        <v>6.4</v>
      </c>
      <c r="DE303" s="23">
        <v>5.0000000000000001E-3</v>
      </c>
      <c r="DF303" s="149">
        <f t="shared" si="130"/>
        <v>5.0285714285714281E-2</v>
      </c>
      <c r="DG303" s="149">
        <f t="shared" si="131"/>
        <v>15.588571428571427</v>
      </c>
      <c r="DH303" s="149">
        <f t="shared" si="132"/>
        <v>14.985142857142856</v>
      </c>
      <c r="DI303" s="150">
        <f t="shared" si="133"/>
        <v>36.588571428571427</v>
      </c>
      <c r="DJ303" s="150">
        <f t="shared" si="133"/>
        <v>39.985142857142854</v>
      </c>
      <c r="DK303" s="116" t="s">
        <v>168</v>
      </c>
      <c r="DL303" s="101" t="s">
        <v>392</v>
      </c>
    </row>
    <row r="304" spans="15:116" s="101" customFormat="1" ht="33.75" hidden="1" thickBot="1" x14ac:dyDescent="0.4">
      <c r="O304" s="227" t="s">
        <v>547</v>
      </c>
      <c r="Q304" s="243">
        <v>0.55000000000000004</v>
      </c>
      <c r="R304" s="243">
        <v>28</v>
      </c>
      <c r="S304" s="246">
        <f t="shared" si="120"/>
        <v>0</v>
      </c>
      <c r="T304" s="246">
        <f t="shared" si="134"/>
        <v>0</v>
      </c>
      <c r="U304" s="246">
        <f t="shared" si="134"/>
        <v>4.4165000000000003E-2</v>
      </c>
      <c r="V304" s="246">
        <f t="shared" si="134"/>
        <v>0.17666000000000001</v>
      </c>
      <c r="W304" s="246">
        <f t="shared" si="134"/>
        <v>4.4165000000000003E-2</v>
      </c>
      <c r="X304" s="246">
        <f t="shared" si="134"/>
        <v>0</v>
      </c>
      <c r="Y304" s="246">
        <f t="shared" si="134"/>
        <v>8.8330000000000006E-2</v>
      </c>
      <c r="Z304" s="246">
        <f t="shared" si="134"/>
        <v>0.61831000000000003</v>
      </c>
      <c r="AA304" s="246">
        <f t="shared" si="134"/>
        <v>0</v>
      </c>
      <c r="AB304" s="246">
        <f t="shared" si="134"/>
        <v>0</v>
      </c>
      <c r="AC304" s="246">
        <f t="shared" si="134"/>
        <v>5.299800000000001E-2</v>
      </c>
      <c r="AD304" s="246">
        <f t="shared" si="134"/>
        <v>0</v>
      </c>
      <c r="AE304" s="246">
        <f t="shared" si="134"/>
        <v>0.88330000000000009</v>
      </c>
      <c r="AF304" s="246">
        <v>0</v>
      </c>
      <c r="AG304" s="246">
        <f t="shared" si="135"/>
        <v>8.8330000000000006E-2</v>
      </c>
      <c r="AH304" s="243"/>
      <c r="AI304" s="102">
        <v>2</v>
      </c>
      <c r="AJ304" s="102">
        <v>45</v>
      </c>
      <c r="AL304" s="102">
        <v>33</v>
      </c>
      <c r="AM304" s="237">
        <v>0.3</v>
      </c>
      <c r="AN304" s="241">
        <v>0.3</v>
      </c>
      <c r="AO304" s="241">
        <v>0.28999999999999998</v>
      </c>
      <c r="AP304" s="247">
        <f>(AN304*365)*(AO304*0.67*0.02*1)</f>
        <v>0.42551700000000003</v>
      </c>
      <c r="AQ304" s="247">
        <f>(AN304*365)*(AO304*0.67*0.01*1)</f>
        <v>0.21275850000000002</v>
      </c>
      <c r="AR304" s="248"/>
      <c r="AS304" s="247">
        <f>(AN304*365)*(AO304*0.67*0.05*1)</f>
        <v>1.0637925000000001</v>
      </c>
      <c r="AT304" s="247">
        <f>(AN304*365)*(AO304*0.67*0.02*1)</f>
        <v>0.42551700000000003</v>
      </c>
      <c r="AU304" s="247">
        <f>(AN304*365)*(AO304*0.67*0.8*1)</f>
        <v>17.020680000000002</v>
      </c>
      <c r="AV304" s="247">
        <f>(AN304*365)*(AO304*0.67*0.8*1)</f>
        <v>17.020680000000002</v>
      </c>
      <c r="AW304" s="247">
        <f>(AN304*365)*(AO304*0.67*0.3*1)</f>
        <v>6.3827549999999995</v>
      </c>
      <c r="AX304" s="248"/>
      <c r="AY304" s="247">
        <f>(AN304*365)*(AO304*0.67*0.8*1)</f>
        <v>17.020680000000002</v>
      </c>
      <c r="AZ304" s="247">
        <f t="shared" si="122"/>
        <v>21.275849999999998</v>
      </c>
      <c r="BA304" s="247">
        <f t="shared" si="123"/>
        <v>2.1275850000000003</v>
      </c>
      <c r="BB304" s="247">
        <f t="shared" si="124"/>
        <v>0.10637925000000001</v>
      </c>
      <c r="BC304" s="247">
        <f>(AN304*365)*(AO304*0.67*0.015*1)</f>
        <v>0.31913775</v>
      </c>
      <c r="BD304" s="247">
        <v>0</v>
      </c>
      <c r="BE304" s="247">
        <v>0</v>
      </c>
      <c r="BH304" s="120"/>
      <c r="BI304" s="203" t="s">
        <v>339</v>
      </c>
      <c r="BJ304" s="190" t="s">
        <v>168</v>
      </c>
      <c r="BK304" s="196">
        <f t="shared" si="125"/>
        <v>2</v>
      </c>
      <c r="BL304" s="190" t="s">
        <v>413</v>
      </c>
      <c r="BM304" s="189">
        <v>0.2</v>
      </c>
      <c r="BN304" s="189">
        <v>0.5</v>
      </c>
      <c r="BO304" s="188" t="s">
        <v>258</v>
      </c>
      <c r="BP304" s="196">
        <f t="shared" si="126"/>
        <v>5.0285714285714281E-2</v>
      </c>
      <c r="BQ304" s="190" t="s">
        <v>415</v>
      </c>
      <c r="BR304" s="189">
        <v>0.2</v>
      </c>
      <c r="BS304" s="189">
        <v>0.5</v>
      </c>
      <c r="BT304" s="188" t="s">
        <v>258</v>
      </c>
      <c r="BU304" s="180"/>
      <c r="BV304" s="196">
        <v>50</v>
      </c>
      <c r="BW304" s="190" t="s">
        <v>414</v>
      </c>
      <c r="BX304" s="180"/>
      <c r="BY304" s="196">
        <v>14.985142857142856</v>
      </c>
      <c r="BZ304" s="190" t="s">
        <v>414</v>
      </c>
      <c r="CA304" s="180"/>
      <c r="CB304" s="180"/>
      <c r="CC304" s="178"/>
      <c r="CD304" s="178"/>
      <c r="CE304" s="180"/>
      <c r="CF304" s="180"/>
      <c r="CG304" s="180"/>
      <c r="CH304" s="180"/>
      <c r="CI304" s="178"/>
      <c r="CJ304" s="178"/>
      <c r="CK304" s="180"/>
      <c r="CL304" s="180"/>
      <c r="CM304" s="180"/>
      <c r="CN304" s="225"/>
      <c r="CO304" s="218">
        <f t="shared" si="115"/>
        <v>0.2</v>
      </c>
      <c r="CP304" s="100">
        <f t="shared" si="116"/>
        <v>0.35</v>
      </c>
      <c r="CQ304" s="218">
        <f t="shared" si="117"/>
        <v>0.5</v>
      </c>
      <c r="CX304" s="23" t="s">
        <v>339</v>
      </c>
      <c r="CY304" s="23">
        <v>2</v>
      </c>
      <c r="CZ304" s="142">
        <f t="shared" si="127"/>
        <v>42</v>
      </c>
      <c r="DA304" s="142">
        <f t="shared" si="128"/>
        <v>50</v>
      </c>
      <c r="DB304" s="23">
        <v>16</v>
      </c>
      <c r="DC304" s="23">
        <v>0.4</v>
      </c>
      <c r="DD304" s="142">
        <f t="shared" si="129"/>
        <v>6.4</v>
      </c>
      <c r="DE304" s="23">
        <v>5.0000000000000001E-3</v>
      </c>
      <c r="DF304" s="149">
        <f t="shared" si="130"/>
        <v>5.0285714285714281E-2</v>
      </c>
      <c r="DG304" s="149">
        <f t="shared" si="131"/>
        <v>15.588571428571427</v>
      </c>
      <c r="DH304" s="149">
        <f t="shared" si="132"/>
        <v>14.985142857142856</v>
      </c>
      <c r="DI304" s="150">
        <f t="shared" si="133"/>
        <v>57.588571428571427</v>
      </c>
      <c r="DJ304" s="150">
        <f t="shared" si="133"/>
        <v>64.985142857142861</v>
      </c>
      <c r="DK304" s="116" t="s">
        <v>168</v>
      </c>
      <c r="DL304" s="101" t="s">
        <v>392</v>
      </c>
    </row>
    <row r="305" spans="15:116" s="101" customFormat="1" ht="33.75" hidden="1" thickBot="1" x14ac:dyDescent="0.4">
      <c r="O305" s="227" t="s">
        <v>143</v>
      </c>
      <c r="Q305" s="243">
        <v>0.32</v>
      </c>
      <c r="R305" s="243">
        <v>380</v>
      </c>
      <c r="S305" s="246">
        <f t="shared" si="120"/>
        <v>0</v>
      </c>
      <c r="T305" s="246">
        <f t="shared" si="134"/>
        <v>0</v>
      </c>
      <c r="U305" s="246">
        <f t="shared" si="134"/>
        <v>0.34873142857142858</v>
      </c>
      <c r="V305" s="246">
        <f t="shared" si="134"/>
        <v>1.3949257142857143</v>
      </c>
      <c r="W305" s="246">
        <f t="shared" si="134"/>
        <v>0.34873142857142858</v>
      </c>
      <c r="X305" s="246">
        <f t="shared" si="134"/>
        <v>0</v>
      </c>
      <c r="Y305" s="246">
        <f t="shared" si="134"/>
        <v>0.69746285714285716</v>
      </c>
      <c r="Z305" s="246">
        <f t="shared" si="134"/>
        <v>4.8822400000000004</v>
      </c>
      <c r="AA305" s="246">
        <f t="shared" si="134"/>
        <v>0</v>
      </c>
      <c r="AB305" s="246">
        <f t="shared" si="134"/>
        <v>0</v>
      </c>
      <c r="AC305" s="246">
        <f t="shared" si="134"/>
        <v>0.41847771428571423</v>
      </c>
      <c r="AD305" s="246">
        <f t="shared" si="134"/>
        <v>0</v>
      </c>
      <c r="AE305" s="246">
        <f t="shared" si="134"/>
        <v>6.9746285714285721</v>
      </c>
      <c r="AF305" s="246">
        <v>0</v>
      </c>
      <c r="AG305" s="246">
        <f t="shared" si="135"/>
        <v>0.69746285714285716</v>
      </c>
      <c r="AH305" s="243"/>
      <c r="AI305" s="102">
        <v>1</v>
      </c>
      <c r="AJ305" s="100">
        <v>0</v>
      </c>
      <c r="AL305" s="102">
        <v>5</v>
      </c>
      <c r="AM305" s="237">
        <v>0.3</v>
      </c>
      <c r="AN305" s="241">
        <v>3.9</v>
      </c>
      <c r="AO305" s="241">
        <v>0.1</v>
      </c>
      <c r="AP305" s="247">
        <f>(AN305*365)*(AO305*0.67*0.01*1)</f>
        <v>0.95374500000000006</v>
      </c>
      <c r="AQ305" s="247">
        <f>(AN305*365)*(AO305*0.67*0.001*1)</f>
        <v>9.5374500000000001E-2</v>
      </c>
      <c r="AR305" s="248"/>
      <c r="AS305" s="247">
        <f>(AN305*365)*(AO305*0.67*0.02*1)</f>
        <v>1.9074900000000001</v>
      </c>
      <c r="AT305" s="247">
        <f>(AN305*365)*(AO305*0.67*0.01*1)</f>
        <v>0.95374500000000006</v>
      </c>
      <c r="AU305" s="247">
        <f>(AN305*365)*(AO305*0.67*0.25*1)</f>
        <v>23.843625000000003</v>
      </c>
      <c r="AV305" s="247">
        <f>(AN305*365)*(AO305*0.67*0.73*1)</f>
        <v>69.623384999999999</v>
      </c>
      <c r="AW305" s="247">
        <f>(AN305*365)*(AO305*0.67*0.03*1)</f>
        <v>2.8612350000000002</v>
      </c>
      <c r="AX305" s="248"/>
      <c r="AY305" s="247">
        <f>(AN305*365)*(AO305*0.67*0.25*1)</f>
        <v>23.843625000000003</v>
      </c>
      <c r="AZ305" s="247">
        <f t="shared" si="122"/>
        <v>95.374500000000012</v>
      </c>
      <c r="BA305" s="247">
        <f t="shared" si="123"/>
        <v>9.5374500000000015</v>
      </c>
      <c r="BB305" s="247">
        <f t="shared" si="124"/>
        <v>0.47687250000000003</v>
      </c>
      <c r="BC305" s="247">
        <f>(AN305*365)*(AO305*0.67*0.005*1)</f>
        <v>0.47687250000000003</v>
      </c>
      <c r="BD305" s="247">
        <v>0</v>
      </c>
      <c r="BE305" s="247">
        <v>0</v>
      </c>
      <c r="BH305" s="120"/>
      <c r="BI305" s="203" t="s">
        <v>143</v>
      </c>
      <c r="BJ305" s="190" t="s">
        <v>168</v>
      </c>
      <c r="BK305" s="196">
        <f t="shared" si="125"/>
        <v>1</v>
      </c>
      <c r="BL305" s="190" t="s">
        <v>413</v>
      </c>
      <c r="BM305" s="189">
        <v>0.2</v>
      </c>
      <c r="BN305" s="189">
        <v>0.5</v>
      </c>
      <c r="BO305" s="188" t="s">
        <v>258</v>
      </c>
      <c r="BP305" s="196">
        <f t="shared" si="126"/>
        <v>1.2445714285714284</v>
      </c>
      <c r="BQ305" s="190" t="s">
        <v>415</v>
      </c>
      <c r="BR305" s="189">
        <v>0.2</v>
      </c>
      <c r="BS305" s="189">
        <v>0.5</v>
      </c>
      <c r="BT305" s="188" t="s">
        <v>258</v>
      </c>
      <c r="BU305" s="180"/>
      <c r="BV305" s="196">
        <v>25</v>
      </c>
      <c r="BW305" s="190" t="s">
        <v>414</v>
      </c>
      <c r="BX305" s="180"/>
      <c r="BY305" s="196">
        <v>370.88228571428567</v>
      </c>
      <c r="BZ305" s="190" t="s">
        <v>414</v>
      </c>
      <c r="CA305" s="180"/>
      <c r="CB305" s="180"/>
      <c r="CC305" s="178"/>
      <c r="CD305" s="178"/>
      <c r="CE305" s="180"/>
      <c r="CF305" s="180"/>
      <c r="CG305" s="180"/>
      <c r="CH305" s="180"/>
      <c r="CI305" s="178"/>
      <c r="CJ305" s="178"/>
      <c r="CK305" s="180"/>
      <c r="CL305" s="180"/>
      <c r="CM305" s="180"/>
      <c r="CN305" s="225"/>
      <c r="CO305" s="218">
        <f t="shared" si="115"/>
        <v>0.2</v>
      </c>
      <c r="CP305" s="100">
        <f t="shared" si="116"/>
        <v>0.35</v>
      </c>
      <c r="CQ305" s="218">
        <f t="shared" si="117"/>
        <v>0.5</v>
      </c>
      <c r="CX305" s="23" t="s">
        <v>143</v>
      </c>
      <c r="CY305" s="23">
        <v>1</v>
      </c>
      <c r="CZ305" s="142">
        <f t="shared" si="127"/>
        <v>21</v>
      </c>
      <c r="DA305" s="142">
        <f t="shared" si="128"/>
        <v>25</v>
      </c>
      <c r="DB305" s="23">
        <v>40</v>
      </c>
      <c r="DC305" s="23">
        <v>0.99</v>
      </c>
      <c r="DD305" s="142">
        <f t="shared" si="129"/>
        <v>39.6</v>
      </c>
      <c r="DE305" s="23">
        <v>0.02</v>
      </c>
      <c r="DF305" s="149">
        <f t="shared" si="130"/>
        <v>1.2445714285714284</v>
      </c>
      <c r="DG305" s="149">
        <f t="shared" si="131"/>
        <v>385.81714285714281</v>
      </c>
      <c r="DH305" s="149">
        <f t="shared" si="132"/>
        <v>370.88228571428567</v>
      </c>
      <c r="DI305" s="150">
        <f t="shared" si="133"/>
        <v>406.81714285714281</v>
      </c>
      <c r="DJ305" s="150">
        <f t="shared" si="133"/>
        <v>395.88228571428567</v>
      </c>
      <c r="DK305" s="116" t="s">
        <v>168</v>
      </c>
      <c r="DL305" s="101" t="s">
        <v>392</v>
      </c>
    </row>
    <row r="306" spans="15:116" s="101" customFormat="1" ht="33.75" hidden="1" thickBot="1" x14ac:dyDescent="0.4">
      <c r="O306" s="227" t="s">
        <v>144</v>
      </c>
      <c r="Q306" s="243">
        <v>0.32</v>
      </c>
      <c r="R306" s="243">
        <v>380</v>
      </c>
      <c r="S306" s="246">
        <f t="shared" si="120"/>
        <v>0</v>
      </c>
      <c r="T306" s="246">
        <f t="shared" si="134"/>
        <v>0</v>
      </c>
      <c r="U306" s="246">
        <f t="shared" si="134"/>
        <v>0.34873142857142858</v>
      </c>
      <c r="V306" s="246">
        <f t="shared" si="134"/>
        <v>1.3949257142857143</v>
      </c>
      <c r="W306" s="246">
        <f t="shared" si="134"/>
        <v>0.34873142857142858</v>
      </c>
      <c r="X306" s="246">
        <f t="shared" si="134"/>
        <v>0</v>
      </c>
      <c r="Y306" s="246">
        <f t="shared" si="134"/>
        <v>0.69746285714285716</v>
      </c>
      <c r="Z306" s="246">
        <f t="shared" si="134"/>
        <v>4.8822400000000004</v>
      </c>
      <c r="AA306" s="246">
        <f t="shared" si="134"/>
        <v>0</v>
      </c>
      <c r="AB306" s="246">
        <f t="shared" si="134"/>
        <v>0</v>
      </c>
      <c r="AC306" s="246">
        <f t="shared" si="134"/>
        <v>0.41847771428571423</v>
      </c>
      <c r="AD306" s="246">
        <f t="shared" si="134"/>
        <v>0</v>
      </c>
      <c r="AE306" s="246">
        <f t="shared" si="134"/>
        <v>6.9746285714285721</v>
      </c>
      <c r="AF306" s="246">
        <v>0</v>
      </c>
      <c r="AG306" s="246">
        <f t="shared" si="135"/>
        <v>0.69746285714285716</v>
      </c>
      <c r="AH306" s="243"/>
      <c r="AI306" s="102">
        <v>1</v>
      </c>
      <c r="AJ306" s="100">
        <v>0</v>
      </c>
      <c r="AL306" s="102">
        <v>14</v>
      </c>
      <c r="AM306" s="237">
        <v>0.3</v>
      </c>
      <c r="AN306" s="241">
        <v>3.9</v>
      </c>
      <c r="AO306" s="241">
        <v>0.1</v>
      </c>
      <c r="AP306" s="247">
        <f>(AN306*365)*(AO306*0.67*0.015*1)</f>
        <v>1.4306175000000001</v>
      </c>
      <c r="AQ306" s="247">
        <f>(AN306*365)*(AO306*0.67*0.005*1)</f>
        <v>0.47687250000000003</v>
      </c>
      <c r="AR306" s="248"/>
      <c r="AS306" s="247">
        <f>(AN306*365)*(AO306*0.67*0.04*1)</f>
        <v>3.8149800000000003</v>
      </c>
      <c r="AT306" s="247">
        <f>(AN306*365)*(AO306*0.67*0.015*1)</f>
        <v>1.4306175000000001</v>
      </c>
      <c r="AU306" s="247">
        <f>(AN306*365)*(AO306*0.67*0.65*1)</f>
        <v>61.993425000000009</v>
      </c>
      <c r="AV306" s="247">
        <f>(AN306*365)*(AO306*0.67*0.79*1)</f>
        <v>75.345855</v>
      </c>
      <c r="AW306" s="247">
        <f>(AN306*365)*(AO306*0.67*0.03*1)</f>
        <v>2.8612350000000002</v>
      </c>
      <c r="AX306" s="248"/>
      <c r="AY306" s="247">
        <f>(AN306*365)*(AO306*0.67*0.65*1)</f>
        <v>61.993425000000009</v>
      </c>
      <c r="AZ306" s="247">
        <f t="shared" si="122"/>
        <v>95.374500000000012</v>
      </c>
      <c r="BA306" s="247">
        <f t="shared" si="123"/>
        <v>9.5374500000000015</v>
      </c>
      <c r="BB306" s="247">
        <f t="shared" si="124"/>
        <v>0.47687250000000003</v>
      </c>
      <c r="BC306" s="247">
        <f>(AN306*365)*(AO306*0.67*0.01*1)</f>
        <v>0.95374500000000006</v>
      </c>
      <c r="BD306" s="247">
        <v>0</v>
      </c>
      <c r="BE306" s="247">
        <v>0</v>
      </c>
      <c r="BH306" s="120"/>
      <c r="BI306" s="203" t="s">
        <v>144</v>
      </c>
      <c r="BJ306" s="190" t="s">
        <v>168</v>
      </c>
      <c r="BK306" s="196">
        <f t="shared" si="125"/>
        <v>1</v>
      </c>
      <c r="BL306" s="190" t="s">
        <v>413</v>
      </c>
      <c r="BM306" s="189">
        <v>0.2</v>
      </c>
      <c r="BN306" s="189">
        <v>0.5</v>
      </c>
      <c r="BO306" s="188" t="s">
        <v>258</v>
      </c>
      <c r="BP306" s="196">
        <f t="shared" si="126"/>
        <v>1.2445714285714284</v>
      </c>
      <c r="BQ306" s="190" t="s">
        <v>415</v>
      </c>
      <c r="BR306" s="189">
        <v>0.2</v>
      </c>
      <c r="BS306" s="189">
        <v>0.5</v>
      </c>
      <c r="BT306" s="188" t="s">
        <v>258</v>
      </c>
      <c r="BU306" s="180"/>
      <c r="BV306" s="196">
        <v>25</v>
      </c>
      <c r="BW306" s="190" t="s">
        <v>414</v>
      </c>
      <c r="BX306" s="180"/>
      <c r="BY306" s="196">
        <v>370.88228571428567</v>
      </c>
      <c r="BZ306" s="190" t="s">
        <v>414</v>
      </c>
      <c r="CA306" s="180"/>
      <c r="CB306" s="180"/>
      <c r="CC306" s="178"/>
      <c r="CD306" s="178"/>
      <c r="CE306" s="180"/>
      <c r="CF306" s="180"/>
      <c r="CG306" s="180"/>
      <c r="CH306" s="180"/>
      <c r="CI306" s="178"/>
      <c r="CJ306" s="178"/>
      <c r="CK306" s="180"/>
      <c r="CL306" s="180"/>
      <c r="CM306" s="180"/>
      <c r="CN306" s="225"/>
      <c r="CO306" s="218">
        <f t="shared" si="115"/>
        <v>0.2</v>
      </c>
      <c r="CP306" s="100">
        <f t="shared" si="116"/>
        <v>0.35</v>
      </c>
      <c r="CQ306" s="218">
        <f t="shared" si="117"/>
        <v>0.5</v>
      </c>
      <c r="CX306" s="23" t="s">
        <v>144</v>
      </c>
      <c r="CY306" s="23">
        <v>1</v>
      </c>
      <c r="CZ306" s="142">
        <f t="shared" si="127"/>
        <v>21</v>
      </c>
      <c r="DA306" s="142">
        <f t="shared" si="128"/>
        <v>25</v>
      </c>
      <c r="DB306" s="23">
        <v>40</v>
      </c>
      <c r="DC306" s="23">
        <v>0.99</v>
      </c>
      <c r="DD306" s="142">
        <f t="shared" si="129"/>
        <v>39.6</v>
      </c>
      <c r="DE306" s="23">
        <v>0.02</v>
      </c>
      <c r="DF306" s="149">
        <f t="shared" si="130"/>
        <v>1.2445714285714284</v>
      </c>
      <c r="DG306" s="149">
        <f t="shared" si="131"/>
        <v>385.81714285714281</v>
      </c>
      <c r="DH306" s="149">
        <f t="shared" si="132"/>
        <v>370.88228571428567</v>
      </c>
      <c r="DI306" s="150">
        <f t="shared" si="133"/>
        <v>406.81714285714281</v>
      </c>
      <c r="DJ306" s="150">
        <f t="shared" si="133"/>
        <v>395.88228571428567</v>
      </c>
      <c r="DK306" s="116" t="s">
        <v>168</v>
      </c>
      <c r="DL306" s="101" t="s">
        <v>392</v>
      </c>
    </row>
    <row r="307" spans="15:116" s="101" customFormat="1" ht="33.75" hidden="1" thickBot="1" x14ac:dyDescent="0.4">
      <c r="O307" s="227" t="s">
        <v>145</v>
      </c>
      <c r="Q307" s="243">
        <v>0.32</v>
      </c>
      <c r="R307" s="243">
        <v>380</v>
      </c>
      <c r="S307" s="246">
        <f t="shared" si="120"/>
        <v>0</v>
      </c>
      <c r="T307" s="246">
        <f t="shared" si="134"/>
        <v>0</v>
      </c>
      <c r="U307" s="246">
        <f t="shared" si="134"/>
        <v>0.34873142857142858</v>
      </c>
      <c r="V307" s="246">
        <f t="shared" si="134"/>
        <v>1.3949257142857143</v>
      </c>
      <c r="W307" s="246">
        <f t="shared" si="134"/>
        <v>0.34873142857142858</v>
      </c>
      <c r="X307" s="246">
        <f t="shared" si="134"/>
        <v>0</v>
      </c>
      <c r="Y307" s="246">
        <f t="shared" si="134"/>
        <v>0.69746285714285716</v>
      </c>
      <c r="Z307" s="246">
        <f t="shared" si="134"/>
        <v>4.8822400000000004</v>
      </c>
      <c r="AA307" s="246">
        <f t="shared" si="134"/>
        <v>0</v>
      </c>
      <c r="AB307" s="246">
        <f t="shared" si="134"/>
        <v>0</v>
      </c>
      <c r="AC307" s="246">
        <f t="shared" si="134"/>
        <v>0.41847771428571423</v>
      </c>
      <c r="AD307" s="246">
        <f t="shared" si="134"/>
        <v>0</v>
      </c>
      <c r="AE307" s="246">
        <f t="shared" si="134"/>
        <v>6.9746285714285721</v>
      </c>
      <c r="AF307" s="246">
        <v>0</v>
      </c>
      <c r="AG307" s="246">
        <f t="shared" si="135"/>
        <v>0.69746285714285716</v>
      </c>
      <c r="AH307" s="243"/>
      <c r="AI307" s="102">
        <v>2</v>
      </c>
      <c r="AJ307" s="100">
        <v>0</v>
      </c>
      <c r="AL307" s="102">
        <v>17</v>
      </c>
      <c r="AM307" s="237">
        <v>0.3</v>
      </c>
      <c r="AN307" s="241">
        <v>3.9</v>
      </c>
      <c r="AO307" s="241">
        <v>0.1</v>
      </c>
      <c r="AP307" s="247">
        <f>(AN307*365)*(AO307*0.67*0.02*1)</f>
        <v>1.9074900000000001</v>
      </c>
      <c r="AQ307" s="247">
        <f>(AN307*365)*(AO307*0.67*0.01*1)</f>
        <v>0.95374500000000006</v>
      </c>
      <c r="AR307" s="248"/>
      <c r="AS307" s="247">
        <f>(AN307*365)*(AO307*0.67*0.05*1)</f>
        <v>4.7687250000000008</v>
      </c>
      <c r="AT307" s="247">
        <f>(AN307*365)*(AO307*0.67*0.02*1)</f>
        <v>1.9074900000000001</v>
      </c>
      <c r="AU307" s="247">
        <f>(AN307*365)*(AO307*0.67*0.8*1)</f>
        <v>76.299600000000012</v>
      </c>
      <c r="AV307" s="247">
        <f>(AN307*365)*(AO307*0.67*0.8*1)</f>
        <v>76.299600000000012</v>
      </c>
      <c r="AW307" s="247">
        <f>(AN307*365)*(AO307*0.67*0.3*1)</f>
        <v>28.612349999999999</v>
      </c>
      <c r="AX307" s="248"/>
      <c r="AY307" s="247">
        <f>(AN307*365)*(AO307*0.67*0.8*1)</f>
        <v>76.299600000000012</v>
      </c>
      <c r="AZ307" s="247">
        <f t="shared" si="122"/>
        <v>95.374500000000012</v>
      </c>
      <c r="BA307" s="247">
        <f t="shared" si="123"/>
        <v>9.5374500000000015</v>
      </c>
      <c r="BB307" s="247">
        <f t="shared" si="124"/>
        <v>0.47687250000000003</v>
      </c>
      <c r="BC307" s="247">
        <f>(AN307*365)*(AO307*0.67*0.015*1)</f>
        <v>1.4306175000000001</v>
      </c>
      <c r="BD307" s="247">
        <v>0</v>
      </c>
      <c r="BE307" s="247">
        <v>0</v>
      </c>
      <c r="BH307" s="120"/>
      <c r="BI307" s="203" t="s">
        <v>145</v>
      </c>
      <c r="BJ307" s="190" t="s">
        <v>168</v>
      </c>
      <c r="BK307" s="196">
        <f t="shared" si="125"/>
        <v>2</v>
      </c>
      <c r="BL307" s="190" t="s">
        <v>413</v>
      </c>
      <c r="BM307" s="189">
        <v>0.2</v>
      </c>
      <c r="BN307" s="189">
        <v>0.5</v>
      </c>
      <c r="BO307" s="188" t="s">
        <v>258</v>
      </c>
      <c r="BP307" s="196">
        <f t="shared" si="126"/>
        <v>1.2445714285714284</v>
      </c>
      <c r="BQ307" s="190" t="s">
        <v>415</v>
      </c>
      <c r="BR307" s="189">
        <v>0.2</v>
      </c>
      <c r="BS307" s="189">
        <v>0.5</v>
      </c>
      <c r="BT307" s="188" t="s">
        <v>258</v>
      </c>
      <c r="BU307" s="180"/>
      <c r="BV307" s="196">
        <v>50</v>
      </c>
      <c r="BW307" s="190" t="s">
        <v>414</v>
      </c>
      <c r="BX307" s="180"/>
      <c r="BY307" s="196">
        <v>370.88228571428567</v>
      </c>
      <c r="BZ307" s="190" t="s">
        <v>414</v>
      </c>
      <c r="CA307" s="180"/>
      <c r="CB307" s="180"/>
      <c r="CC307" s="178"/>
      <c r="CD307" s="178"/>
      <c r="CE307" s="180"/>
      <c r="CF307" s="180"/>
      <c r="CG307" s="180"/>
      <c r="CH307" s="180"/>
      <c r="CI307" s="178"/>
      <c r="CJ307" s="178"/>
      <c r="CK307" s="180"/>
      <c r="CL307" s="180"/>
      <c r="CM307" s="180"/>
      <c r="CN307" s="225"/>
      <c r="CO307" s="218">
        <f t="shared" si="115"/>
        <v>0.2</v>
      </c>
      <c r="CP307" s="100">
        <f t="shared" si="116"/>
        <v>0.35</v>
      </c>
      <c r="CQ307" s="218">
        <f t="shared" si="117"/>
        <v>0.5</v>
      </c>
      <c r="CX307" s="23" t="s">
        <v>145</v>
      </c>
      <c r="CY307" s="23">
        <v>2</v>
      </c>
      <c r="CZ307" s="142">
        <f t="shared" si="127"/>
        <v>42</v>
      </c>
      <c r="DA307" s="142">
        <f t="shared" si="128"/>
        <v>50</v>
      </c>
      <c r="DB307" s="23">
        <v>40</v>
      </c>
      <c r="DC307" s="23">
        <v>0.99</v>
      </c>
      <c r="DD307" s="142">
        <f t="shared" si="129"/>
        <v>39.6</v>
      </c>
      <c r="DE307" s="23">
        <v>0.02</v>
      </c>
      <c r="DF307" s="149">
        <f t="shared" si="130"/>
        <v>1.2445714285714284</v>
      </c>
      <c r="DG307" s="149">
        <f t="shared" si="131"/>
        <v>385.81714285714281</v>
      </c>
      <c r="DH307" s="149">
        <f t="shared" si="132"/>
        <v>370.88228571428567</v>
      </c>
      <c r="DI307" s="150">
        <f t="shared" si="133"/>
        <v>427.81714285714281</v>
      </c>
      <c r="DJ307" s="150">
        <f t="shared" si="133"/>
        <v>420.88228571428567</v>
      </c>
      <c r="DK307" s="116" t="s">
        <v>168</v>
      </c>
      <c r="DL307" s="101" t="s">
        <v>392</v>
      </c>
    </row>
    <row r="308" spans="15:116" s="101" customFormat="1" ht="33.75" hidden="1" thickBot="1" x14ac:dyDescent="0.4">
      <c r="O308" s="227" t="s">
        <v>146</v>
      </c>
      <c r="Q308" s="243">
        <v>1.37</v>
      </c>
      <c r="R308" s="243">
        <v>30</v>
      </c>
      <c r="S308" s="246">
        <f t="shared" si="120"/>
        <v>0</v>
      </c>
      <c r="T308" s="246">
        <f t="shared" si="134"/>
        <v>0</v>
      </c>
      <c r="U308" s="246">
        <f t="shared" si="134"/>
        <v>0.11786892857142858</v>
      </c>
      <c r="V308" s="246">
        <f t="shared" si="134"/>
        <v>0.47147571428571433</v>
      </c>
      <c r="W308" s="246">
        <f t="shared" si="134"/>
        <v>0.11786892857142858</v>
      </c>
      <c r="X308" s="246">
        <f t="shared" si="134"/>
        <v>0</v>
      </c>
      <c r="Y308" s="246">
        <f t="shared" si="134"/>
        <v>0.23573785714285717</v>
      </c>
      <c r="Z308" s="246">
        <f t="shared" si="134"/>
        <v>1.6501650000000003</v>
      </c>
      <c r="AA308" s="246">
        <f t="shared" si="134"/>
        <v>0</v>
      </c>
      <c r="AB308" s="246">
        <f t="shared" si="134"/>
        <v>0</v>
      </c>
      <c r="AC308" s="246">
        <f t="shared" si="134"/>
        <v>0.14144271428571431</v>
      </c>
      <c r="AD308" s="246">
        <f t="shared" si="134"/>
        <v>0</v>
      </c>
      <c r="AE308" s="246">
        <f t="shared" si="134"/>
        <v>2.3573785714285718</v>
      </c>
      <c r="AF308" s="246">
        <v>0</v>
      </c>
      <c r="AG308" s="246">
        <f t="shared" si="135"/>
        <v>0.23573785714285717</v>
      </c>
      <c r="AH308" s="243"/>
      <c r="AI308" s="102">
        <v>0.11</v>
      </c>
      <c r="AJ308" s="100">
        <v>0</v>
      </c>
      <c r="AL308" s="100">
        <v>0</v>
      </c>
      <c r="AM308" s="237">
        <v>0.3</v>
      </c>
      <c r="AN308" s="241">
        <v>0.35</v>
      </c>
      <c r="AO308" s="241">
        <v>0.13</v>
      </c>
      <c r="AP308" s="247">
        <f>(AN308*365)*(AO308*0.67*0.01*1)</f>
        <v>0.11127025</v>
      </c>
      <c r="AQ308" s="247">
        <f>(AN308*365)*(AO308*0.67*0.001*1)</f>
        <v>1.1127025E-2</v>
      </c>
      <c r="AR308" s="248"/>
      <c r="AS308" s="247">
        <f>(AN308*365)*(AO308*0.67*0.02*1)</f>
        <v>0.2225405</v>
      </c>
      <c r="AT308" s="247">
        <f>(AN308*365)*(AO308*0.67*0.01*1)</f>
        <v>0.11127025</v>
      </c>
      <c r="AU308" s="247">
        <f>(AN308*365)*(AO308*0.67*0.25*1)</f>
        <v>2.7817562499999999</v>
      </c>
      <c r="AV308" s="247">
        <f>(AN308*365)*(AO308*0.67*0.73*1)</f>
        <v>8.1227282499999998</v>
      </c>
      <c r="AW308" s="247">
        <f>(AN308*365)*(AO308*0.67*0.03*1)</f>
        <v>0.33381074999999999</v>
      </c>
      <c r="AX308" s="248"/>
      <c r="AY308" s="247">
        <f>(AN308*365)*(AO308*0.67*0.25*1)</f>
        <v>2.7817562499999999</v>
      </c>
      <c r="AZ308" s="247">
        <f t="shared" si="122"/>
        <v>11.127025</v>
      </c>
      <c r="BA308" s="247">
        <f t="shared" si="123"/>
        <v>1.1127024999999999</v>
      </c>
      <c r="BB308" s="247">
        <f t="shared" si="124"/>
        <v>5.5635125000000001E-2</v>
      </c>
      <c r="BC308" s="247">
        <f>(AN308*365)*(AO308*0.67*0.005*1)</f>
        <v>5.5635125000000001E-2</v>
      </c>
      <c r="BD308" s="247">
        <v>0</v>
      </c>
      <c r="BE308" s="247">
        <v>0</v>
      </c>
      <c r="BH308" s="120"/>
      <c r="BI308" s="203" t="s">
        <v>146</v>
      </c>
      <c r="BJ308" s="190" t="s">
        <v>168</v>
      </c>
      <c r="BK308" s="196">
        <f t="shared" si="125"/>
        <v>0.11</v>
      </c>
      <c r="BL308" s="190" t="s">
        <v>413</v>
      </c>
      <c r="BM308" s="189">
        <v>0.2</v>
      </c>
      <c r="BN308" s="189">
        <v>0.5</v>
      </c>
      <c r="BO308" s="188" t="s">
        <v>258</v>
      </c>
      <c r="BP308" s="196">
        <f t="shared" si="126"/>
        <v>1.2445714285714284</v>
      </c>
      <c r="BQ308" s="190" t="s">
        <v>415</v>
      </c>
      <c r="BR308" s="189">
        <v>0.2</v>
      </c>
      <c r="BS308" s="189">
        <v>0.5</v>
      </c>
      <c r="BT308" s="188" t="s">
        <v>258</v>
      </c>
      <c r="BU308" s="180"/>
      <c r="BV308" s="196">
        <v>2.75</v>
      </c>
      <c r="BW308" s="190" t="s">
        <v>414</v>
      </c>
      <c r="BX308" s="180"/>
      <c r="BY308" s="196">
        <v>370.88228571428567</v>
      </c>
      <c r="BZ308" s="190" t="s">
        <v>414</v>
      </c>
      <c r="CA308" s="178"/>
      <c r="CB308" s="180"/>
      <c r="CC308" s="178"/>
      <c r="CD308" s="178"/>
      <c r="CE308" s="180"/>
      <c r="CF308" s="180"/>
      <c r="CG308" s="180"/>
      <c r="CH308" s="180"/>
      <c r="CI308" s="178"/>
      <c r="CJ308" s="178"/>
      <c r="CK308" s="180"/>
      <c r="CL308" s="180"/>
      <c r="CM308" s="180"/>
      <c r="CN308" s="225"/>
      <c r="CO308" s="218">
        <f t="shared" si="115"/>
        <v>0.2</v>
      </c>
      <c r="CP308" s="100">
        <f t="shared" si="116"/>
        <v>0.35</v>
      </c>
      <c r="CQ308" s="218">
        <f t="shared" si="117"/>
        <v>0.5</v>
      </c>
      <c r="CX308" s="23" t="s">
        <v>146</v>
      </c>
      <c r="CY308" s="23">
        <v>0.11</v>
      </c>
      <c r="CZ308" s="142">
        <f t="shared" si="127"/>
        <v>2.31</v>
      </c>
      <c r="DA308" s="142">
        <f t="shared" si="128"/>
        <v>2.75</v>
      </c>
      <c r="DB308" s="23">
        <v>40</v>
      </c>
      <c r="DC308" s="23">
        <v>0.99</v>
      </c>
      <c r="DD308" s="142">
        <f t="shared" si="129"/>
        <v>39.6</v>
      </c>
      <c r="DE308" s="23">
        <v>0.02</v>
      </c>
      <c r="DF308" s="149">
        <f t="shared" si="130"/>
        <v>1.2445714285714284</v>
      </c>
      <c r="DG308" s="149">
        <f t="shared" si="131"/>
        <v>385.81714285714281</v>
      </c>
      <c r="DH308" s="149">
        <f t="shared" si="132"/>
        <v>370.88228571428567</v>
      </c>
      <c r="DI308" s="150">
        <f t="shared" si="133"/>
        <v>388.12714285714281</v>
      </c>
      <c r="DJ308" s="150">
        <f t="shared" si="133"/>
        <v>373.63228571428567</v>
      </c>
      <c r="DK308" s="116" t="s">
        <v>168</v>
      </c>
      <c r="DL308" s="101" t="s">
        <v>392</v>
      </c>
    </row>
    <row r="309" spans="15:116" s="101" customFormat="1" ht="33.75" hidden="1" thickBot="1" x14ac:dyDescent="0.4">
      <c r="O309" s="227" t="s">
        <v>147</v>
      </c>
      <c r="Q309" s="243">
        <v>1.37</v>
      </c>
      <c r="R309" s="243">
        <v>30</v>
      </c>
      <c r="S309" s="246">
        <f t="shared" si="120"/>
        <v>0</v>
      </c>
      <c r="T309" s="246">
        <f t="shared" si="134"/>
        <v>0</v>
      </c>
      <c r="U309" s="246">
        <f t="shared" si="134"/>
        <v>0.11786892857142858</v>
      </c>
      <c r="V309" s="246">
        <f t="shared" si="134"/>
        <v>0.47147571428571433</v>
      </c>
      <c r="W309" s="246">
        <f t="shared" si="134"/>
        <v>0.11786892857142858</v>
      </c>
      <c r="X309" s="246">
        <f t="shared" si="134"/>
        <v>0</v>
      </c>
      <c r="Y309" s="246">
        <f t="shared" si="134"/>
        <v>0.23573785714285717</v>
      </c>
      <c r="Z309" s="246">
        <f t="shared" si="134"/>
        <v>1.6501650000000003</v>
      </c>
      <c r="AA309" s="246">
        <f t="shared" si="134"/>
        <v>0</v>
      </c>
      <c r="AB309" s="246">
        <f t="shared" si="134"/>
        <v>0</v>
      </c>
      <c r="AC309" s="246">
        <f t="shared" si="134"/>
        <v>0.14144271428571431</v>
      </c>
      <c r="AD309" s="246">
        <f t="shared" si="134"/>
        <v>0</v>
      </c>
      <c r="AE309" s="246">
        <f t="shared" si="134"/>
        <v>2.3573785714285718</v>
      </c>
      <c r="AF309" s="246">
        <v>0</v>
      </c>
      <c r="AG309" s="246">
        <f t="shared" si="135"/>
        <v>0.23573785714285717</v>
      </c>
      <c r="AH309" s="243"/>
      <c r="AI309" s="102">
        <v>0.17</v>
      </c>
      <c r="AJ309" s="100">
        <v>0</v>
      </c>
      <c r="AL309" s="100">
        <v>0</v>
      </c>
      <c r="AM309" s="237">
        <v>0.3</v>
      </c>
      <c r="AN309" s="241">
        <v>0.35</v>
      </c>
      <c r="AO309" s="241">
        <v>0.13</v>
      </c>
      <c r="AP309" s="247">
        <f>(AN309*365)*(AO309*0.67*0.015*1)</f>
        <v>0.16690537499999999</v>
      </c>
      <c r="AQ309" s="247">
        <f>(AN309*365)*(AO309*0.67*0.005*1)</f>
        <v>5.5635125000000001E-2</v>
      </c>
      <c r="AR309" s="248"/>
      <c r="AS309" s="247">
        <f>(AN309*365)*(AO309*0.67*0.04*1)</f>
        <v>0.445081</v>
      </c>
      <c r="AT309" s="247">
        <f>(AN309*365)*(AO309*0.67*0.015*1)</f>
        <v>0.16690537499999999</v>
      </c>
      <c r="AU309" s="247">
        <f>(AN309*365)*(AO309*0.67*0.65*1)</f>
        <v>7.2325662499999996</v>
      </c>
      <c r="AV309" s="247">
        <f>(AN309*365)*(AO309*0.67*0.79*1)</f>
        <v>8.7903497500000007</v>
      </c>
      <c r="AW309" s="247">
        <f>(AN309*365)*(AO309*0.67*0.03*1)</f>
        <v>0.33381074999999999</v>
      </c>
      <c r="AX309" s="248"/>
      <c r="AY309" s="247">
        <f>(AN309*365)*(AO309*0.67*0.65*1)</f>
        <v>7.2325662499999996</v>
      </c>
      <c r="AZ309" s="247">
        <f t="shared" si="122"/>
        <v>11.127025</v>
      </c>
      <c r="BA309" s="247">
        <f t="shared" si="123"/>
        <v>1.1127024999999999</v>
      </c>
      <c r="BB309" s="247">
        <f t="shared" si="124"/>
        <v>5.5635125000000001E-2</v>
      </c>
      <c r="BC309" s="247">
        <f>(AN309*365)*(AO309*0.67*0.01*1)</f>
        <v>0.11127025</v>
      </c>
      <c r="BD309" s="247">
        <v>0</v>
      </c>
      <c r="BE309" s="247">
        <v>0</v>
      </c>
      <c r="BH309" s="120"/>
      <c r="BI309" s="203" t="s">
        <v>147</v>
      </c>
      <c r="BJ309" s="190" t="s">
        <v>168</v>
      </c>
      <c r="BK309" s="196">
        <f t="shared" si="125"/>
        <v>0.17</v>
      </c>
      <c r="BL309" s="190" t="s">
        <v>413</v>
      </c>
      <c r="BM309" s="189">
        <v>0.2</v>
      </c>
      <c r="BN309" s="189">
        <v>0.5</v>
      </c>
      <c r="BO309" s="188" t="s">
        <v>258</v>
      </c>
      <c r="BP309" s="196">
        <f t="shared" si="126"/>
        <v>1.2445714285714284</v>
      </c>
      <c r="BQ309" s="190" t="s">
        <v>415</v>
      </c>
      <c r="BR309" s="189">
        <v>0.2</v>
      </c>
      <c r="BS309" s="189">
        <v>0.5</v>
      </c>
      <c r="BT309" s="188" t="s">
        <v>258</v>
      </c>
      <c r="BU309" s="180"/>
      <c r="BV309" s="196">
        <v>4.25</v>
      </c>
      <c r="BW309" s="190" t="s">
        <v>414</v>
      </c>
      <c r="BX309" s="180"/>
      <c r="BY309" s="196">
        <v>370.88228571428567</v>
      </c>
      <c r="BZ309" s="190" t="s">
        <v>414</v>
      </c>
      <c r="CA309" s="178"/>
      <c r="CB309" s="180"/>
      <c r="CC309" s="178"/>
      <c r="CD309" s="178"/>
      <c r="CE309" s="180"/>
      <c r="CF309" s="180"/>
      <c r="CG309" s="180"/>
      <c r="CH309" s="180"/>
      <c r="CI309" s="178"/>
      <c r="CJ309" s="178"/>
      <c r="CK309" s="180"/>
      <c r="CL309" s="180"/>
      <c r="CM309" s="180"/>
      <c r="CN309" s="225"/>
      <c r="CO309" s="218">
        <f t="shared" si="115"/>
        <v>0.2</v>
      </c>
      <c r="CP309" s="100">
        <f t="shared" si="116"/>
        <v>0.35</v>
      </c>
      <c r="CQ309" s="218">
        <f t="shared" si="117"/>
        <v>0.5</v>
      </c>
      <c r="CX309" s="23" t="s">
        <v>147</v>
      </c>
      <c r="CY309" s="23">
        <v>0.17</v>
      </c>
      <c r="CZ309" s="142">
        <f t="shared" si="127"/>
        <v>3.5700000000000003</v>
      </c>
      <c r="DA309" s="142">
        <f t="shared" si="128"/>
        <v>4.25</v>
      </c>
      <c r="DB309" s="23">
        <v>40</v>
      </c>
      <c r="DC309" s="23">
        <v>0.99</v>
      </c>
      <c r="DD309" s="142">
        <f t="shared" si="129"/>
        <v>39.6</v>
      </c>
      <c r="DE309" s="23">
        <v>0.02</v>
      </c>
      <c r="DF309" s="149">
        <f t="shared" si="130"/>
        <v>1.2445714285714284</v>
      </c>
      <c r="DG309" s="149">
        <f t="shared" si="131"/>
        <v>385.81714285714281</v>
      </c>
      <c r="DH309" s="149">
        <f t="shared" si="132"/>
        <v>370.88228571428567</v>
      </c>
      <c r="DI309" s="150">
        <f t="shared" si="133"/>
        <v>389.38714285714281</v>
      </c>
      <c r="DJ309" s="150">
        <f t="shared" si="133"/>
        <v>375.13228571428567</v>
      </c>
      <c r="DK309" s="116" t="s">
        <v>168</v>
      </c>
      <c r="DL309" s="101" t="s">
        <v>392</v>
      </c>
    </row>
    <row r="310" spans="15:116" s="101" customFormat="1" ht="22.5" hidden="1" customHeight="1" thickBot="1" x14ac:dyDescent="0.4">
      <c r="O310" s="227" t="s">
        <v>148</v>
      </c>
      <c r="Q310" s="243">
        <v>1.37</v>
      </c>
      <c r="R310" s="243">
        <v>30</v>
      </c>
      <c r="S310" s="246">
        <f t="shared" si="120"/>
        <v>0</v>
      </c>
      <c r="T310" s="246">
        <f t="shared" si="134"/>
        <v>0</v>
      </c>
      <c r="U310" s="246">
        <f t="shared" si="134"/>
        <v>0.11786892857142858</v>
      </c>
      <c r="V310" s="246">
        <f t="shared" si="134"/>
        <v>0.47147571428571433</v>
      </c>
      <c r="W310" s="246">
        <f t="shared" si="134"/>
        <v>0.11786892857142858</v>
      </c>
      <c r="X310" s="246">
        <f t="shared" si="134"/>
        <v>0</v>
      </c>
      <c r="Y310" s="246">
        <f t="shared" si="134"/>
        <v>0.23573785714285717</v>
      </c>
      <c r="Z310" s="246">
        <f t="shared" si="134"/>
        <v>1.6501650000000003</v>
      </c>
      <c r="AA310" s="246">
        <f t="shared" si="134"/>
        <v>0</v>
      </c>
      <c r="AB310" s="246">
        <f t="shared" si="134"/>
        <v>0</v>
      </c>
      <c r="AC310" s="246">
        <f t="shared" si="134"/>
        <v>0.14144271428571431</v>
      </c>
      <c r="AD310" s="246">
        <f t="shared" si="134"/>
        <v>0</v>
      </c>
      <c r="AE310" s="246">
        <f t="shared" si="134"/>
        <v>2.3573785714285718</v>
      </c>
      <c r="AF310" s="246">
        <v>0</v>
      </c>
      <c r="AG310" s="246">
        <f t="shared" si="135"/>
        <v>0.23573785714285717</v>
      </c>
      <c r="AH310" s="243"/>
      <c r="AI310" s="102">
        <v>0.22</v>
      </c>
      <c r="AJ310" s="100">
        <v>0</v>
      </c>
      <c r="AL310" s="100">
        <v>0</v>
      </c>
      <c r="AM310" s="237">
        <v>0.3</v>
      </c>
      <c r="AN310" s="241">
        <v>0.35</v>
      </c>
      <c r="AO310" s="241">
        <v>0.13</v>
      </c>
      <c r="AP310" s="247">
        <f>(AN310*365)*(AO310*0.67*0.02*1)</f>
        <v>0.2225405</v>
      </c>
      <c r="AQ310" s="247">
        <f>(AN310*365)*(AO310*0.67*0.01*1)</f>
        <v>0.11127025</v>
      </c>
      <c r="AR310" s="248"/>
      <c r="AS310" s="247">
        <f>(AN310*365)*(AO310*0.67*0.05*1)</f>
        <v>0.55635124999999996</v>
      </c>
      <c r="AT310" s="247">
        <f>(AN310*365)*(AO310*0.67*0.02*1)</f>
        <v>0.2225405</v>
      </c>
      <c r="AU310" s="247">
        <f>(AN310*365)*(AO310*0.67*0.8*1)</f>
        <v>8.9016199999999994</v>
      </c>
      <c r="AV310" s="247">
        <f>(AN310*365)*(AO310*0.67*0.8*1)</f>
        <v>8.9016199999999994</v>
      </c>
      <c r="AW310" s="247">
        <f>(AN310*365)*(AO310*0.67*0.3*1)</f>
        <v>3.3381075</v>
      </c>
      <c r="AX310" s="248"/>
      <c r="AY310" s="247">
        <f>(AN310*365)*(AO310*0.67*0.8*1)</f>
        <v>8.9016199999999994</v>
      </c>
      <c r="AZ310" s="247">
        <f t="shared" si="122"/>
        <v>11.127025</v>
      </c>
      <c r="BA310" s="247">
        <f t="shared" si="123"/>
        <v>1.1127024999999999</v>
      </c>
      <c r="BB310" s="247">
        <f t="shared" si="124"/>
        <v>5.5635125000000001E-2</v>
      </c>
      <c r="BC310" s="247">
        <f>(AN310*365)*(AO310*0.67*0.015*1)</f>
        <v>0.16690537499999999</v>
      </c>
      <c r="BD310" s="247">
        <v>0</v>
      </c>
      <c r="BE310" s="247">
        <v>0</v>
      </c>
      <c r="BH310" s="120"/>
      <c r="BI310" s="203" t="s">
        <v>148</v>
      </c>
      <c r="BJ310" s="190" t="s">
        <v>168</v>
      </c>
      <c r="BK310" s="196">
        <f t="shared" si="125"/>
        <v>0.22</v>
      </c>
      <c r="BL310" s="190" t="s">
        <v>413</v>
      </c>
      <c r="BM310" s="189">
        <v>0.2</v>
      </c>
      <c r="BN310" s="189">
        <v>0.5</v>
      </c>
      <c r="BO310" s="188" t="s">
        <v>258</v>
      </c>
      <c r="BP310" s="196">
        <f t="shared" si="126"/>
        <v>1.2445714285714284</v>
      </c>
      <c r="BQ310" s="190" t="s">
        <v>415</v>
      </c>
      <c r="BR310" s="189">
        <v>0.2</v>
      </c>
      <c r="BS310" s="189">
        <v>0.5</v>
      </c>
      <c r="BT310" s="188" t="s">
        <v>258</v>
      </c>
      <c r="BU310" s="204"/>
      <c r="BV310" s="196">
        <v>5.5</v>
      </c>
      <c r="BW310" s="190" t="s">
        <v>414</v>
      </c>
      <c r="BX310" s="204"/>
      <c r="BY310" s="196">
        <v>370.88228571428567</v>
      </c>
      <c r="BZ310" s="190" t="s">
        <v>414</v>
      </c>
      <c r="CA310" s="205"/>
      <c r="CB310" s="180"/>
      <c r="CC310" s="178"/>
      <c r="CD310" s="178"/>
      <c r="CE310" s="180"/>
      <c r="CF310" s="180"/>
      <c r="CG310" s="180"/>
      <c r="CH310" s="180"/>
      <c r="CI310" s="178"/>
      <c r="CJ310" s="178"/>
      <c r="CK310" s="180"/>
      <c r="CL310" s="180"/>
      <c r="CM310" s="180"/>
      <c r="CN310" s="225"/>
      <c r="CO310" s="218">
        <f t="shared" si="115"/>
        <v>0.2</v>
      </c>
      <c r="CP310" s="100">
        <f t="shared" si="116"/>
        <v>0.35</v>
      </c>
      <c r="CQ310" s="218">
        <f t="shared" si="117"/>
        <v>0.5</v>
      </c>
      <c r="CX310" s="23" t="s">
        <v>148</v>
      </c>
      <c r="CY310" s="23">
        <v>0.22</v>
      </c>
      <c r="CZ310" s="142">
        <f t="shared" si="127"/>
        <v>4.62</v>
      </c>
      <c r="DA310" s="142">
        <f t="shared" si="128"/>
        <v>5.5</v>
      </c>
      <c r="DB310" s="23">
        <v>40</v>
      </c>
      <c r="DC310" s="23">
        <v>0.99</v>
      </c>
      <c r="DD310" s="142">
        <f t="shared" si="129"/>
        <v>39.6</v>
      </c>
      <c r="DE310" s="23">
        <v>0.02</v>
      </c>
      <c r="DF310" s="149">
        <f t="shared" si="130"/>
        <v>1.2445714285714284</v>
      </c>
      <c r="DG310" s="149">
        <f t="shared" si="131"/>
        <v>385.81714285714281</v>
      </c>
      <c r="DH310" s="149">
        <f t="shared" si="132"/>
        <v>370.88228571428567</v>
      </c>
      <c r="DI310" s="150">
        <f t="shared" si="133"/>
        <v>390.43714285714282</v>
      </c>
      <c r="DJ310" s="150">
        <f t="shared" si="133"/>
        <v>376.38228571428567</v>
      </c>
      <c r="DK310" s="116" t="s">
        <v>168</v>
      </c>
      <c r="DL310" s="101" t="s">
        <v>392</v>
      </c>
    </row>
    <row r="311" spans="15:116" s="101" customFormat="1" ht="24.75" hidden="1" customHeight="1" thickBot="1" x14ac:dyDescent="0.4">
      <c r="O311" s="227" t="s">
        <v>149</v>
      </c>
      <c r="Q311" s="243">
        <v>1.37</v>
      </c>
      <c r="R311" s="243">
        <v>30</v>
      </c>
      <c r="S311" s="246">
        <f t="shared" ref="S311:AG319" si="136">((($Q311*($R311/1000)*365)*1)*S$285)*(44/28)</f>
        <v>0</v>
      </c>
      <c r="T311" s="246">
        <f t="shared" si="136"/>
        <v>0</v>
      </c>
      <c r="U311" s="246">
        <f t="shared" si="136"/>
        <v>0.11786892857142858</v>
      </c>
      <c r="V311" s="246">
        <f t="shared" si="136"/>
        <v>0.47147571428571433</v>
      </c>
      <c r="W311" s="246">
        <f t="shared" si="136"/>
        <v>0.11786892857142858</v>
      </c>
      <c r="X311" s="246">
        <f t="shared" si="136"/>
        <v>0</v>
      </c>
      <c r="Y311" s="246">
        <f t="shared" si="136"/>
        <v>0.23573785714285717</v>
      </c>
      <c r="Z311" s="246">
        <f t="shared" si="136"/>
        <v>1.6501650000000003</v>
      </c>
      <c r="AA311" s="246">
        <f t="shared" si="136"/>
        <v>0</v>
      </c>
      <c r="AB311" s="246">
        <f t="shared" si="136"/>
        <v>0</v>
      </c>
      <c r="AC311" s="246">
        <f t="shared" si="136"/>
        <v>0.14144271428571431</v>
      </c>
      <c r="AD311" s="246">
        <f t="shared" si="136"/>
        <v>0</v>
      </c>
      <c r="AE311" s="246">
        <f t="shared" si="136"/>
        <v>2.3573785714285718</v>
      </c>
      <c r="AF311" s="246">
        <v>0</v>
      </c>
      <c r="AG311" s="246">
        <f t="shared" si="136"/>
        <v>0.23573785714285717</v>
      </c>
      <c r="AH311" s="243"/>
      <c r="AI311" s="102">
        <v>1.0900000000000001</v>
      </c>
      <c r="AJ311" s="100">
        <v>0</v>
      </c>
      <c r="AL311" s="100">
        <v>0</v>
      </c>
      <c r="AM311" s="237">
        <v>0.3</v>
      </c>
      <c r="AN311" s="241">
        <v>1.72</v>
      </c>
      <c r="AO311" s="241">
        <v>0.26</v>
      </c>
      <c r="AP311" s="247">
        <f>(AN311*365)*(AO311*0.67*0.01*1)</f>
        <v>1.0936276</v>
      </c>
      <c r="AQ311" s="247">
        <f>(AN311*365)*(AO311*0.67*0.001*1)</f>
        <v>0.10936276000000002</v>
      </c>
      <c r="AR311" s="248"/>
      <c r="AS311" s="247">
        <f>(AN311*365)*(AO311*0.67*0.02*1)</f>
        <v>2.1872552000000001</v>
      </c>
      <c r="AT311" s="247">
        <f>(AN311*365)*(AO311*0.67*0.01*1)</f>
        <v>1.0936276</v>
      </c>
      <c r="AU311" s="247">
        <f>(AN311*365)*(AO311*0.67*0.25*1)</f>
        <v>27.340690000000002</v>
      </c>
      <c r="AV311" s="247">
        <f>(AN311*365)*(AO311*0.67*0.73*1)</f>
        <v>79.83481479999999</v>
      </c>
      <c r="AW311" s="247">
        <f>(AN311*365)*(AO311*0.67*0.03*1)</f>
        <v>3.2808828000000001</v>
      </c>
      <c r="AX311" s="248"/>
      <c r="AY311" s="247">
        <f>(AN311*365)*(AO311*0.67*0.25*1)</f>
        <v>27.340690000000002</v>
      </c>
      <c r="AZ311" s="247">
        <f t="shared" si="122"/>
        <v>109.36276000000001</v>
      </c>
      <c r="BA311" s="247">
        <f t="shared" si="123"/>
        <v>10.936275999999999</v>
      </c>
      <c r="BB311" s="247">
        <f t="shared" si="124"/>
        <v>0.54681380000000002</v>
      </c>
      <c r="BC311" s="247">
        <f>(AN311*365)*(AO311*0.67*0.005*1)</f>
        <v>0.54681380000000002</v>
      </c>
      <c r="BD311" s="247">
        <v>0</v>
      </c>
      <c r="BE311" s="247">
        <v>0</v>
      </c>
      <c r="BH311" s="120"/>
      <c r="BI311" s="203" t="s">
        <v>149</v>
      </c>
      <c r="BJ311" s="190" t="s">
        <v>168</v>
      </c>
      <c r="BK311" s="196">
        <f t="shared" si="125"/>
        <v>1.0900000000000001</v>
      </c>
      <c r="BL311" s="190" t="s">
        <v>413</v>
      </c>
      <c r="BM311" s="189">
        <v>0.2</v>
      </c>
      <c r="BN311" s="189">
        <v>0.5</v>
      </c>
      <c r="BO311" s="188" t="s">
        <v>258</v>
      </c>
      <c r="BP311" s="196">
        <f t="shared" si="126"/>
        <v>1.2445714285714284</v>
      </c>
      <c r="BQ311" s="190" t="s">
        <v>415</v>
      </c>
      <c r="BR311" s="189">
        <v>0.2</v>
      </c>
      <c r="BS311" s="189">
        <v>0.5</v>
      </c>
      <c r="BT311" s="188" t="s">
        <v>258</v>
      </c>
      <c r="BU311" s="204"/>
      <c r="BV311" s="196">
        <v>27.250000000000004</v>
      </c>
      <c r="BW311" s="190" t="s">
        <v>414</v>
      </c>
      <c r="BX311" s="204"/>
      <c r="BY311" s="196">
        <v>370.88228571428567</v>
      </c>
      <c r="BZ311" s="190" t="s">
        <v>414</v>
      </c>
      <c r="CA311" s="205"/>
      <c r="CB311" s="180"/>
      <c r="CC311" s="178"/>
      <c r="CD311" s="178"/>
      <c r="CE311" s="180"/>
      <c r="CF311" s="180"/>
      <c r="CG311" s="180"/>
      <c r="CH311" s="180"/>
      <c r="CI311" s="178"/>
      <c r="CJ311" s="178"/>
      <c r="CK311" s="180"/>
      <c r="CL311" s="180"/>
      <c r="CM311" s="180"/>
      <c r="CN311" s="225"/>
      <c r="CO311" s="218">
        <f t="shared" si="115"/>
        <v>0.2</v>
      </c>
      <c r="CP311" s="100">
        <f t="shared" si="116"/>
        <v>0.35</v>
      </c>
      <c r="CQ311" s="218">
        <f t="shared" si="117"/>
        <v>0.5</v>
      </c>
      <c r="CX311" s="23" t="s">
        <v>149</v>
      </c>
      <c r="CY311" s="23">
        <v>1.0900000000000001</v>
      </c>
      <c r="CZ311" s="142">
        <f t="shared" si="127"/>
        <v>22.89</v>
      </c>
      <c r="DA311" s="142">
        <f t="shared" si="128"/>
        <v>27.250000000000004</v>
      </c>
      <c r="DB311" s="23">
        <v>40</v>
      </c>
      <c r="DC311" s="23">
        <v>0.99</v>
      </c>
      <c r="DD311" s="142">
        <f t="shared" si="129"/>
        <v>39.6</v>
      </c>
      <c r="DE311" s="23">
        <v>0.02</v>
      </c>
      <c r="DF311" s="149">
        <f t="shared" si="130"/>
        <v>1.2445714285714284</v>
      </c>
      <c r="DG311" s="149">
        <f t="shared" si="131"/>
        <v>385.81714285714281</v>
      </c>
      <c r="DH311" s="149">
        <f t="shared" si="132"/>
        <v>370.88228571428567</v>
      </c>
      <c r="DI311" s="150">
        <f t="shared" si="133"/>
        <v>408.7071428571428</v>
      </c>
      <c r="DJ311" s="150">
        <f t="shared" si="133"/>
        <v>398.13228571428567</v>
      </c>
      <c r="DK311" s="116" t="s">
        <v>168</v>
      </c>
      <c r="DL311" s="101" t="s">
        <v>392</v>
      </c>
    </row>
    <row r="312" spans="15:116" s="101" customFormat="1" ht="33.75" hidden="1" thickBot="1" x14ac:dyDescent="0.4">
      <c r="O312" s="227" t="s">
        <v>150</v>
      </c>
      <c r="Q312" s="243">
        <v>1.37</v>
      </c>
      <c r="R312" s="243">
        <v>30</v>
      </c>
      <c r="S312" s="246">
        <f t="shared" si="136"/>
        <v>0</v>
      </c>
      <c r="T312" s="246">
        <f t="shared" si="136"/>
        <v>0</v>
      </c>
      <c r="U312" s="246">
        <f t="shared" si="136"/>
        <v>0.11786892857142858</v>
      </c>
      <c r="V312" s="246">
        <f t="shared" si="136"/>
        <v>0.47147571428571433</v>
      </c>
      <c r="W312" s="246">
        <f t="shared" si="136"/>
        <v>0.11786892857142858</v>
      </c>
      <c r="X312" s="246">
        <f t="shared" si="136"/>
        <v>0</v>
      </c>
      <c r="Y312" s="246">
        <f t="shared" si="136"/>
        <v>0.23573785714285717</v>
      </c>
      <c r="Z312" s="246">
        <f t="shared" si="136"/>
        <v>1.6501650000000003</v>
      </c>
      <c r="AA312" s="246">
        <f t="shared" si="136"/>
        <v>0</v>
      </c>
      <c r="AB312" s="246">
        <f t="shared" si="136"/>
        <v>0</v>
      </c>
      <c r="AC312" s="246">
        <f t="shared" si="136"/>
        <v>0.14144271428571431</v>
      </c>
      <c r="AD312" s="246">
        <f t="shared" si="136"/>
        <v>0</v>
      </c>
      <c r="AE312" s="246">
        <f t="shared" si="136"/>
        <v>2.3573785714285718</v>
      </c>
      <c r="AF312" s="246">
        <v>0</v>
      </c>
      <c r="AG312" s="246">
        <f t="shared" si="136"/>
        <v>0.23573785714285717</v>
      </c>
      <c r="AH312" s="243"/>
      <c r="AI312" s="102">
        <v>1.64</v>
      </c>
      <c r="AJ312" s="100">
        <v>0</v>
      </c>
      <c r="AL312" s="100">
        <v>0</v>
      </c>
      <c r="AM312" s="237">
        <v>0.3</v>
      </c>
      <c r="AN312" s="241">
        <v>1.72</v>
      </c>
      <c r="AO312" s="241">
        <v>0.26</v>
      </c>
      <c r="AP312" s="247">
        <f>(AN312*365)*(AO312*0.67*0.015*1)</f>
        <v>1.6404414</v>
      </c>
      <c r="AQ312" s="247">
        <f>(AN312*365)*(AO312*0.67*0.005*1)</f>
        <v>0.54681380000000002</v>
      </c>
      <c r="AR312" s="248"/>
      <c r="AS312" s="247">
        <f>(AN312*365)*(AO312*0.67*0.04*1)</f>
        <v>4.3745104000000001</v>
      </c>
      <c r="AT312" s="247">
        <f>(AN312*365)*(AO312*0.67*0.015*1)</f>
        <v>1.6404414</v>
      </c>
      <c r="AU312" s="247">
        <f>(AN312*365)*(AO312*0.67*0.65*1)</f>
        <v>71.085794000000007</v>
      </c>
      <c r="AV312" s="247">
        <f>(AN312*365)*(AO312*0.67*0.79*1)</f>
        <v>86.396580400000005</v>
      </c>
      <c r="AW312" s="247">
        <f>(AN312*365)*(AO312*0.67*0.03*1)</f>
        <v>3.2808828000000001</v>
      </c>
      <c r="AX312" s="248"/>
      <c r="AY312" s="247">
        <f>(AN312*365)*(AO312*0.67*0.65*1)</f>
        <v>71.085794000000007</v>
      </c>
      <c r="AZ312" s="247">
        <f t="shared" si="122"/>
        <v>109.36276000000001</v>
      </c>
      <c r="BA312" s="247">
        <f t="shared" si="123"/>
        <v>10.936275999999999</v>
      </c>
      <c r="BB312" s="247">
        <f t="shared" si="124"/>
        <v>0.54681380000000002</v>
      </c>
      <c r="BC312" s="247">
        <f>(AN312*365)*(AO312*0.67*0.01*1)</f>
        <v>1.0936276</v>
      </c>
      <c r="BD312" s="247">
        <v>0</v>
      </c>
      <c r="BE312" s="247">
        <v>0</v>
      </c>
      <c r="BH312" s="120"/>
      <c r="BI312" s="203" t="s">
        <v>150</v>
      </c>
      <c r="BJ312" s="190" t="s">
        <v>168</v>
      </c>
      <c r="BK312" s="196">
        <f t="shared" si="125"/>
        <v>1.64</v>
      </c>
      <c r="BL312" s="190" t="s">
        <v>413</v>
      </c>
      <c r="BM312" s="189">
        <v>0.2</v>
      </c>
      <c r="BN312" s="189">
        <v>0.5</v>
      </c>
      <c r="BO312" s="188" t="s">
        <v>258</v>
      </c>
      <c r="BP312" s="196">
        <f t="shared" si="126"/>
        <v>1.2445714285714284</v>
      </c>
      <c r="BQ312" s="190" t="s">
        <v>415</v>
      </c>
      <c r="BR312" s="189">
        <v>0.2</v>
      </c>
      <c r="BS312" s="189">
        <v>0.5</v>
      </c>
      <c r="BT312" s="188" t="s">
        <v>258</v>
      </c>
      <c r="BU312" s="204"/>
      <c r="BV312" s="196">
        <v>41</v>
      </c>
      <c r="BW312" s="190" t="s">
        <v>414</v>
      </c>
      <c r="BX312" s="204"/>
      <c r="BY312" s="196">
        <v>370.88228571428567</v>
      </c>
      <c r="BZ312" s="190" t="s">
        <v>414</v>
      </c>
      <c r="CA312" s="205"/>
      <c r="CB312" s="180"/>
      <c r="CC312" s="178"/>
      <c r="CD312" s="178"/>
      <c r="CE312" s="180"/>
      <c r="CF312" s="180"/>
      <c r="CG312" s="180"/>
      <c r="CH312" s="180"/>
      <c r="CI312" s="178"/>
      <c r="CJ312" s="178"/>
      <c r="CK312" s="180"/>
      <c r="CL312" s="180"/>
      <c r="CM312" s="180"/>
      <c r="CN312" s="225"/>
      <c r="CO312" s="218">
        <f t="shared" si="115"/>
        <v>0.2</v>
      </c>
      <c r="CP312" s="100">
        <f t="shared" si="116"/>
        <v>0.35</v>
      </c>
      <c r="CQ312" s="218">
        <f t="shared" si="117"/>
        <v>0.5</v>
      </c>
      <c r="CX312" s="23" t="s">
        <v>150</v>
      </c>
      <c r="CY312" s="23">
        <v>1.64</v>
      </c>
      <c r="CZ312" s="142">
        <f t="shared" si="127"/>
        <v>34.44</v>
      </c>
      <c r="DA312" s="142">
        <f t="shared" si="128"/>
        <v>41</v>
      </c>
      <c r="DB312" s="23">
        <v>40</v>
      </c>
      <c r="DC312" s="23">
        <v>0.99</v>
      </c>
      <c r="DD312" s="142">
        <f t="shared" si="129"/>
        <v>39.6</v>
      </c>
      <c r="DE312" s="23">
        <v>0.02</v>
      </c>
      <c r="DF312" s="149">
        <f t="shared" si="130"/>
        <v>1.2445714285714284</v>
      </c>
      <c r="DG312" s="149">
        <f t="shared" si="131"/>
        <v>385.81714285714281</v>
      </c>
      <c r="DH312" s="149">
        <f t="shared" si="132"/>
        <v>370.88228571428567</v>
      </c>
      <c r="DI312" s="150">
        <f t="shared" si="133"/>
        <v>420.25714285714281</v>
      </c>
      <c r="DJ312" s="150">
        <f t="shared" si="133"/>
        <v>411.88228571428567</v>
      </c>
      <c r="DK312" s="116" t="s">
        <v>168</v>
      </c>
      <c r="DL312" s="101" t="s">
        <v>392</v>
      </c>
    </row>
    <row r="313" spans="15:116" s="101" customFormat="1" ht="33.75" hidden="1" thickBot="1" x14ac:dyDescent="0.4">
      <c r="O313" s="227" t="s">
        <v>151</v>
      </c>
      <c r="Q313" s="243">
        <v>1.37</v>
      </c>
      <c r="R313" s="243">
        <v>30</v>
      </c>
      <c r="S313" s="246">
        <f t="shared" si="136"/>
        <v>0</v>
      </c>
      <c r="T313" s="246">
        <f t="shared" si="136"/>
        <v>0</v>
      </c>
      <c r="U313" s="246">
        <f t="shared" si="136"/>
        <v>0.11786892857142858</v>
      </c>
      <c r="V313" s="246">
        <f t="shared" si="136"/>
        <v>0.47147571428571433</v>
      </c>
      <c r="W313" s="246">
        <f t="shared" si="136"/>
        <v>0.11786892857142858</v>
      </c>
      <c r="X313" s="246">
        <f t="shared" si="136"/>
        <v>0</v>
      </c>
      <c r="Y313" s="246">
        <f t="shared" si="136"/>
        <v>0.23573785714285717</v>
      </c>
      <c r="Z313" s="246">
        <f t="shared" si="136"/>
        <v>1.6501650000000003</v>
      </c>
      <c r="AA313" s="246">
        <f t="shared" si="136"/>
        <v>0</v>
      </c>
      <c r="AB313" s="246">
        <f t="shared" si="136"/>
        <v>0</v>
      </c>
      <c r="AC313" s="246">
        <f t="shared" si="136"/>
        <v>0.14144271428571431</v>
      </c>
      <c r="AD313" s="246">
        <f t="shared" si="136"/>
        <v>0</v>
      </c>
      <c r="AE313" s="246">
        <f t="shared" si="136"/>
        <v>2.3573785714285718</v>
      </c>
      <c r="AF313" s="246">
        <v>0</v>
      </c>
      <c r="AG313" s="246">
        <f t="shared" si="136"/>
        <v>0.23573785714285717</v>
      </c>
      <c r="AH313" s="243"/>
      <c r="AI313" s="102">
        <v>2.19</v>
      </c>
      <c r="AJ313" s="100">
        <v>0</v>
      </c>
      <c r="AL313" s="100">
        <v>0</v>
      </c>
      <c r="AM313" s="237">
        <v>0.3</v>
      </c>
      <c r="AN313" s="241">
        <v>1.72</v>
      </c>
      <c r="AO313" s="241">
        <v>0.26</v>
      </c>
      <c r="AP313" s="247">
        <f>(AN313*365)*(AO313*0.67*0.02*1)</f>
        <v>2.1872552000000001</v>
      </c>
      <c r="AQ313" s="247">
        <f>(AN313*365)*(AO313*0.67*0.01*1)</f>
        <v>1.0936276</v>
      </c>
      <c r="AR313" s="248"/>
      <c r="AS313" s="247">
        <f>(AN313*365)*(AO313*0.67*0.05*1)</f>
        <v>5.4681379999999997</v>
      </c>
      <c r="AT313" s="247">
        <f>(AN313*365)*(AO313*0.67*0.02*1)</f>
        <v>2.1872552000000001</v>
      </c>
      <c r="AU313" s="247">
        <f>(AN313*365)*(AO313*0.67*0.8*1)</f>
        <v>87.490207999999996</v>
      </c>
      <c r="AV313" s="247">
        <f>(AN313*365)*(AO313*0.67*0.8*1)</f>
        <v>87.490207999999996</v>
      </c>
      <c r="AW313" s="247">
        <f>(AN313*365)*(AO313*0.67*0.3*1)</f>
        <v>32.808828000000005</v>
      </c>
      <c r="AX313" s="248"/>
      <c r="AY313" s="247">
        <f>(AN313*365)*(AO313*0.67*0.8*1)</f>
        <v>87.490207999999996</v>
      </c>
      <c r="AZ313" s="247">
        <f t="shared" si="122"/>
        <v>109.36276000000001</v>
      </c>
      <c r="BA313" s="247">
        <f t="shared" si="123"/>
        <v>10.936275999999999</v>
      </c>
      <c r="BB313" s="247">
        <f t="shared" si="124"/>
        <v>0.54681380000000002</v>
      </c>
      <c r="BC313" s="247">
        <f>(AN313*365)*(AO313*0.67*0.015*1)</f>
        <v>1.6404414</v>
      </c>
      <c r="BD313" s="247">
        <v>0</v>
      </c>
      <c r="BE313" s="247">
        <v>0</v>
      </c>
      <c r="BH313" s="120"/>
      <c r="BI313" s="203" t="s">
        <v>151</v>
      </c>
      <c r="BJ313" s="190" t="s">
        <v>168</v>
      </c>
      <c r="BK313" s="196">
        <f t="shared" si="125"/>
        <v>2.1800000000000002</v>
      </c>
      <c r="BL313" s="190" t="s">
        <v>413</v>
      </c>
      <c r="BM313" s="189">
        <v>0.2</v>
      </c>
      <c r="BN313" s="189">
        <v>0.5</v>
      </c>
      <c r="BO313" s="188" t="s">
        <v>258</v>
      </c>
      <c r="BP313" s="196">
        <f t="shared" si="126"/>
        <v>1.2445714285714284</v>
      </c>
      <c r="BQ313" s="190" t="s">
        <v>415</v>
      </c>
      <c r="BR313" s="189">
        <v>0.2</v>
      </c>
      <c r="BS313" s="189">
        <v>0.5</v>
      </c>
      <c r="BT313" s="188" t="s">
        <v>258</v>
      </c>
      <c r="BU313" s="206"/>
      <c r="BV313" s="196">
        <v>54.500000000000007</v>
      </c>
      <c r="BW313" s="190" t="s">
        <v>414</v>
      </c>
      <c r="BX313" s="206"/>
      <c r="BY313" s="196">
        <v>370.88228571428567</v>
      </c>
      <c r="BZ313" s="190" t="s">
        <v>414</v>
      </c>
      <c r="CA313" s="207"/>
      <c r="CB313" s="180"/>
      <c r="CC313" s="178"/>
      <c r="CD313" s="178"/>
      <c r="CE313" s="180"/>
      <c r="CF313" s="180"/>
      <c r="CG313" s="180"/>
      <c r="CH313" s="180"/>
      <c r="CI313" s="178"/>
      <c r="CJ313" s="178"/>
      <c r="CK313" s="180"/>
      <c r="CL313" s="180"/>
      <c r="CM313" s="180"/>
      <c r="CN313" s="225"/>
      <c r="CO313" s="218">
        <f t="shared" si="115"/>
        <v>0.2</v>
      </c>
      <c r="CP313" s="100">
        <f t="shared" si="116"/>
        <v>0.35</v>
      </c>
      <c r="CQ313" s="218">
        <f t="shared" si="117"/>
        <v>0.5</v>
      </c>
      <c r="CX313" s="23" t="s">
        <v>151</v>
      </c>
      <c r="CY313" s="23">
        <v>2.1800000000000002</v>
      </c>
      <c r="CZ313" s="142">
        <f t="shared" si="127"/>
        <v>45.78</v>
      </c>
      <c r="DA313" s="142">
        <f t="shared" si="128"/>
        <v>54.500000000000007</v>
      </c>
      <c r="DB313" s="23">
        <v>40</v>
      </c>
      <c r="DC313" s="23">
        <v>0.99</v>
      </c>
      <c r="DD313" s="142">
        <f t="shared" si="129"/>
        <v>39.6</v>
      </c>
      <c r="DE313" s="23">
        <v>0.02</v>
      </c>
      <c r="DF313" s="149">
        <f t="shared" si="130"/>
        <v>1.2445714285714284</v>
      </c>
      <c r="DG313" s="149">
        <f t="shared" si="131"/>
        <v>385.81714285714281</v>
      </c>
      <c r="DH313" s="149">
        <f t="shared" si="132"/>
        <v>370.88228571428567</v>
      </c>
      <c r="DI313" s="150">
        <f t="shared" si="133"/>
        <v>431.59714285714279</v>
      </c>
      <c r="DJ313" s="150">
        <f t="shared" si="133"/>
        <v>425.38228571428567</v>
      </c>
      <c r="DK313" s="116" t="s">
        <v>168</v>
      </c>
      <c r="DL313" s="101" t="s">
        <v>392</v>
      </c>
    </row>
    <row r="314" spans="15:116" s="101" customFormat="1" ht="33.75" hidden="1" thickBot="1" x14ac:dyDescent="0.4">
      <c r="O314" s="227" t="s">
        <v>152</v>
      </c>
      <c r="Q314" s="243">
        <v>1.37</v>
      </c>
      <c r="R314" s="243">
        <v>30</v>
      </c>
      <c r="S314" s="246">
        <f t="shared" si="136"/>
        <v>0</v>
      </c>
      <c r="T314" s="246">
        <f t="shared" si="136"/>
        <v>0</v>
      </c>
      <c r="U314" s="246">
        <f t="shared" si="136"/>
        <v>0.11786892857142858</v>
      </c>
      <c r="V314" s="246">
        <f t="shared" si="136"/>
        <v>0.47147571428571433</v>
      </c>
      <c r="W314" s="246">
        <f t="shared" si="136"/>
        <v>0.11786892857142858</v>
      </c>
      <c r="X314" s="246">
        <f t="shared" si="136"/>
        <v>0</v>
      </c>
      <c r="Y314" s="246">
        <f t="shared" si="136"/>
        <v>0.23573785714285717</v>
      </c>
      <c r="Z314" s="246">
        <f t="shared" si="136"/>
        <v>1.6501650000000003</v>
      </c>
      <c r="AA314" s="246">
        <f t="shared" si="136"/>
        <v>0</v>
      </c>
      <c r="AB314" s="246">
        <f t="shared" si="136"/>
        <v>0</v>
      </c>
      <c r="AC314" s="246">
        <f t="shared" si="136"/>
        <v>0.14144271428571431</v>
      </c>
      <c r="AD314" s="246">
        <f t="shared" si="136"/>
        <v>0</v>
      </c>
      <c r="AE314" s="246">
        <f t="shared" si="136"/>
        <v>2.3573785714285718</v>
      </c>
      <c r="AF314" s="246">
        <v>0</v>
      </c>
      <c r="AG314" s="246">
        <f t="shared" si="136"/>
        <v>0.23573785714285717</v>
      </c>
      <c r="AH314" s="243"/>
      <c r="AI314" s="102">
        <v>0.6</v>
      </c>
      <c r="AJ314" s="100">
        <v>0</v>
      </c>
      <c r="AL314" s="100">
        <v>0</v>
      </c>
      <c r="AM314" s="237">
        <v>0.3</v>
      </c>
      <c r="AN314" s="241">
        <v>0.94</v>
      </c>
      <c r="AO314" s="241">
        <v>0.26</v>
      </c>
      <c r="AP314" s="247">
        <f>(AN314*365)*(AO314*0.67*0.01*1)</f>
        <v>0.59768019999999999</v>
      </c>
      <c r="AQ314" s="247">
        <f>(AN314*365)*(AO314*0.67*0.001*1)</f>
        <v>5.9768020000000005E-2</v>
      </c>
      <c r="AR314" s="248"/>
      <c r="AS314" s="247">
        <f>(AN314*365)*(AO314*0.67*0.02*1)</f>
        <v>1.1953604</v>
      </c>
      <c r="AT314" s="247">
        <f>(AN314*365)*(AO314*0.67*0.01*1)</f>
        <v>0.59768019999999999</v>
      </c>
      <c r="AU314" s="247">
        <f>(AN314*365)*(AO314*0.67*0.25*1)</f>
        <v>14.942005</v>
      </c>
      <c r="AV314" s="247">
        <f>(AN314*365)*(AO314*0.67*0.73*1)</f>
        <v>43.630654599999993</v>
      </c>
      <c r="AW314" s="247">
        <f>(AN314*365)*(AO314*0.67*0.03*1)</f>
        <v>1.7930406000000001</v>
      </c>
      <c r="AX314" s="248"/>
      <c r="AY314" s="247">
        <f>(AN314*365)*(AO314*0.67*0.25*1)</f>
        <v>14.942005</v>
      </c>
      <c r="AZ314" s="247">
        <f t="shared" si="122"/>
        <v>59.76802</v>
      </c>
      <c r="BA314" s="247">
        <f t="shared" si="123"/>
        <v>5.9768020000000002</v>
      </c>
      <c r="BB314" s="247">
        <f t="shared" si="124"/>
        <v>0.2988401</v>
      </c>
      <c r="BC314" s="247">
        <f>(AN314*365)*(AO314*0.67*0.005*1)</f>
        <v>0.2988401</v>
      </c>
      <c r="BD314" s="247">
        <v>0</v>
      </c>
      <c r="BE314" s="247">
        <v>0</v>
      </c>
      <c r="BH314" s="120"/>
      <c r="BI314" s="203" t="s">
        <v>152</v>
      </c>
      <c r="BJ314" s="190" t="s">
        <v>168</v>
      </c>
      <c r="BK314" s="196">
        <f t="shared" si="125"/>
        <v>0.6</v>
      </c>
      <c r="BL314" s="190" t="s">
        <v>413</v>
      </c>
      <c r="BM314" s="189">
        <v>0.2</v>
      </c>
      <c r="BN314" s="189">
        <v>0.5</v>
      </c>
      <c r="BO314" s="188" t="s">
        <v>258</v>
      </c>
      <c r="BP314" s="196">
        <f t="shared" si="126"/>
        <v>1.2445714285714284</v>
      </c>
      <c r="BQ314" s="190" t="s">
        <v>415</v>
      </c>
      <c r="BR314" s="189">
        <v>0.2</v>
      </c>
      <c r="BS314" s="189">
        <v>0.5</v>
      </c>
      <c r="BT314" s="188" t="s">
        <v>258</v>
      </c>
      <c r="BU314" s="206"/>
      <c r="BV314" s="196">
        <v>15</v>
      </c>
      <c r="BW314" s="190" t="s">
        <v>414</v>
      </c>
      <c r="BX314" s="206"/>
      <c r="BY314" s="196">
        <v>370.88228571428567</v>
      </c>
      <c r="BZ314" s="190" t="s">
        <v>414</v>
      </c>
      <c r="CA314" s="207"/>
      <c r="CB314" s="180"/>
      <c r="CC314" s="178"/>
      <c r="CD314" s="178"/>
      <c r="CE314" s="180"/>
      <c r="CF314" s="180"/>
      <c r="CG314" s="180"/>
      <c r="CH314" s="180"/>
      <c r="CI314" s="178"/>
      <c r="CJ314" s="178"/>
      <c r="CK314" s="180"/>
      <c r="CL314" s="180"/>
      <c r="CM314" s="180"/>
      <c r="CN314" s="225"/>
      <c r="CO314" s="218">
        <f t="shared" si="115"/>
        <v>0.2</v>
      </c>
      <c r="CP314" s="100">
        <f t="shared" si="116"/>
        <v>0.35</v>
      </c>
      <c r="CQ314" s="218">
        <f t="shared" si="117"/>
        <v>0.5</v>
      </c>
      <c r="CX314" s="23" t="s">
        <v>152</v>
      </c>
      <c r="CY314" s="23">
        <v>0.6</v>
      </c>
      <c r="CZ314" s="142">
        <f t="shared" si="127"/>
        <v>12.6</v>
      </c>
      <c r="DA314" s="142">
        <f t="shared" si="128"/>
        <v>15</v>
      </c>
      <c r="DB314" s="23">
        <v>40</v>
      </c>
      <c r="DC314" s="23">
        <v>0.99</v>
      </c>
      <c r="DD314" s="142">
        <f t="shared" si="129"/>
        <v>39.6</v>
      </c>
      <c r="DE314" s="23">
        <v>0.02</v>
      </c>
      <c r="DF314" s="149">
        <f t="shared" si="130"/>
        <v>1.2445714285714284</v>
      </c>
      <c r="DG314" s="149">
        <f t="shared" si="131"/>
        <v>385.81714285714281</v>
      </c>
      <c r="DH314" s="149">
        <f t="shared" si="132"/>
        <v>370.88228571428567</v>
      </c>
      <c r="DI314" s="150">
        <f t="shared" si="133"/>
        <v>398.41714285714284</v>
      </c>
      <c r="DJ314" s="150">
        <f t="shared" si="133"/>
        <v>385.88228571428567</v>
      </c>
      <c r="DK314" s="116" t="s">
        <v>168</v>
      </c>
      <c r="DL314" s="101" t="s">
        <v>392</v>
      </c>
    </row>
    <row r="315" spans="15:116" s="101" customFormat="1" ht="33.75" hidden="1" thickBot="1" x14ac:dyDescent="0.4">
      <c r="O315" s="227" t="s">
        <v>153</v>
      </c>
      <c r="Q315" s="243">
        <v>1.37</v>
      </c>
      <c r="R315" s="243">
        <v>30</v>
      </c>
      <c r="S315" s="246">
        <f t="shared" si="136"/>
        <v>0</v>
      </c>
      <c r="T315" s="246">
        <f t="shared" si="136"/>
        <v>0</v>
      </c>
      <c r="U315" s="246">
        <f t="shared" si="136"/>
        <v>0.11786892857142858</v>
      </c>
      <c r="V315" s="246">
        <f t="shared" si="136"/>
        <v>0.47147571428571433</v>
      </c>
      <c r="W315" s="246">
        <f t="shared" si="136"/>
        <v>0.11786892857142858</v>
      </c>
      <c r="X315" s="246">
        <f t="shared" si="136"/>
        <v>0</v>
      </c>
      <c r="Y315" s="246">
        <f t="shared" si="136"/>
        <v>0.23573785714285717</v>
      </c>
      <c r="Z315" s="246">
        <f t="shared" si="136"/>
        <v>1.6501650000000003</v>
      </c>
      <c r="AA315" s="246">
        <f t="shared" si="136"/>
        <v>0</v>
      </c>
      <c r="AB315" s="246">
        <f t="shared" si="136"/>
        <v>0</v>
      </c>
      <c r="AC315" s="246">
        <f t="shared" si="136"/>
        <v>0.14144271428571431</v>
      </c>
      <c r="AD315" s="246">
        <f t="shared" si="136"/>
        <v>0</v>
      </c>
      <c r="AE315" s="246">
        <f t="shared" si="136"/>
        <v>2.3573785714285718</v>
      </c>
      <c r="AF315" s="246">
        <v>0</v>
      </c>
      <c r="AG315" s="246">
        <f t="shared" si="136"/>
        <v>0.23573785714285717</v>
      </c>
      <c r="AH315" s="243"/>
      <c r="AI315" s="102">
        <v>0.9</v>
      </c>
      <c r="AJ315" s="100">
        <v>0</v>
      </c>
      <c r="AL315" s="100">
        <v>0</v>
      </c>
      <c r="AM315" s="237">
        <v>0.3</v>
      </c>
      <c r="AN315" s="241">
        <v>0.94</v>
      </c>
      <c r="AO315" s="241">
        <v>0.26</v>
      </c>
      <c r="AP315" s="247">
        <f>(AN315*365)*(AO315*0.67*0.015*1)</f>
        <v>0.89652030000000005</v>
      </c>
      <c r="AQ315" s="247">
        <f>(AN315*365)*(AO315*0.67*0.005*1)</f>
        <v>0.2988401</v>
      </c>
      <c r="AR315" s="248"/>
      <c r="AS315" s="247">
        <f>(AN315*365)*(AO315*0.67*0.04*1)</f>
        <v>2.3907208</v>
      </c>
      <c r="AT315" s="247">
        <f>(AN315*365)*(AO315*0.67*0.015*1)</f>
        <v>0.89652030000000005</v>
      </c>
      <c r="AU315" s="247">
        <f>(AN315*365)*(AO315*0.67*0.65*1)</f>
        <v>38.849212999999999</v>
      </c>
      <c r="AV315" s="247">
        <f>(AN315*365)*(AO315*0.67*0.79*1)</f>
        <v>47.216735800000002</v>
      </c>
      <c r="AW315" s="247">
        <f>(AN315*365)*(AO315*0.67*0.03*1)</f>
        <v>1.7930406000000001</v>
      </c>
      <c r="AX315" s="248"/>
      <c r="AY315" s="247">
        <f>(AN315*365)*(AO315*0.67*0.65*1)</f>
        <v>38.849212999999999</v>
      </c>
      <c r="AZ315" s="247">
        <f t="shared" si="122"/>
        <v>59.76802</v>
      </c>
      <c r="BA315" s="247">
        <f t="shared" si="123"/>
        <v>5.9768020000000002</v>
      </c>
      <c r="BB315" s="247">
        <f t="shared" si="124"/>
        <v>0.2988401</v>
      </c>
      <c r="BC315" s="247">
        <f>(AN315*365)*(AO315*0.67*0.01*1)</f>
        <v>0.59768019999999999</v>
      </c>
      <c r="BD315" s="247">
        <v>0</v>
      </c>
      <c r="BE315" s="247">
        <v>0</v>
      </c>
      <c r="BH315" s="120"/>
      <c r="BI315" s="203" t="s">
        <v>153</v>
      </c>
      <c r="BJ315" s="190" t="s">
        <v>168</v>
      </c>
      <c r="BK315" s="196">
        <f t="shared" si="125"/>
        <v>0.9</v>
      </c>
      <c r="BL315" s="190" t="s">
        <v>413</v>
      </c>
      <c r="BM315" s="189">
        <v>0.2</v>
      </c>
      <c r="BN315" s="189">
        <v>0.5</v>
      </c>
      <c r="BO315" s="188" t="s">
        <v>258</v>
      </c>
      <c r="BP315" s="196">
        <f t="shared" si="126"/>
        <v>1.2445714285714284</v>
      </c>
      <c r="BQ315" s="190" t="s">
        <v>415</v>
      </c>
      <c r="BR315" s="189">
        <v>0.2</v>
      </c>
      <c r="BS315" s="189">
        <v>0.5</v>
      </c>
      <c r="BT315" s="188" t="s">
        <v>258</v>
      </c>
      <c r="BU315" s="206"/>
      <c r="BV315" s="196">
        <v>22.5</v>
      </c>
      <c r="BW315" s="190" t="s">
        <v>414</v>
      </c>
      <c r="BX315" s="206"/>
      <c r="BY315" s="196">
        <v>370.88228571428567</v>
      </c>
      <c r="BZ315" s="190" t="s">
        <v>414</v>
      </c>
      <c r="CA315" s="207"/>
      <c r="CB315" s="180"/>
      <c r="CC315" s="178"/>
      <c r="CD315" s="178"/>
      <c r="CE315" s="180"/>
      <c r="CF315" s="180"/>
      <c r="CG315" s="180"/>
      <c r="CH315" s="180"/>
      <c r="CI315" s="178"/>
      <c r="CJ315" s="178"/>
      <c r="CK315" s="180"/>
      <c r="CL315" s="180"/>
      <c r="CM315" s="180"/>
      <c r="CN315" s="225"/>
      <c r="CO315" s="218">
        <f t="shared" si="115"/>
        <v>0.2</v>
      </c>
      <c r="CP315" s="100">
        <f t="shared" si="116"/>
        <v>0.35</v>
      </c>
      <c r="CQ315" s="218">
        <f t="shared" si="117"/>
        <v>0.5</v>
      </c>
      <c r="CX315" s="23" t="s">
        <v>153</v>
      </c>
      <c r="CY315" s="23">
        <v>0.9</v>
      </c>
      <c r="CZ315" s="142">
        <f t="shared" si="127"/>
        <v>18.900000000000002</v>
      </c>
      <c r="DA315" s="142">
        <f t="shared" si="128"/>
        <v>22.5</v>
      </c>
      <c r="DB315" s="23">
        <v>40</v>
      </c>
      <c r="DC315" s="23">
        <v>0.99</v>
      </c>
      <c r="DD315" s="142">
        <f t="shared" si="129"/>
        <v>39.6</v>
      </c>
      <c r="DE315" s="23">
        <v>0.02</v>
      </c>
      <c r="DF315" s="149">
        <f t="shared" si="130"/>
        <v>1.2445714285714284</v>
      </c>
      <c r="DG315" s="149">
        <f t="shared" si="131"/>
        <v>385.81714285714281</v>
      </c>
      <c r="DH315" s="149">
        <f t="shared" si="132"/>
        <v>370.88228571428567</v>
      </c>
      <c r="DI315" s="150">
        <f t="shared" si="133"/>
        <v>404.71714285714279</v>
      </c>
      <c r="DJ315" s="150">
        <f t="shared" si="133"/>
        <v>393.38228571428567</v>
      </c>
      <c r="DK315" s="116" t="s">
        <v>168</v>
      </c>
      <c r="DL315" s="101" t="s">
        <v>392</v>
      </c>
    </row>
    <row r="316" spans="15:116" s="101" customFormat="1" ht="33.75" hidden="1" thickBot="1" x14ac:dyDescent="0.4">
      <c r="O316" s="227" t="s">
        <v>154</v>
      </c>
      <c r="Q316" s="243">
        <v>1.37</v>
      </c>
      <c r="R316" s="243">
        <v>30</v>
      </c>
      <c r="S316" s="246">
        <f t="shared" si="136"/>
        <v>0</v>
      </c>
      <c r="T316" s="246">
        <f t="shared" si="136"/>
        <v>0</v>
      </c>
      <c r="U316" s="246">
        <f t="shared" si="136"/>
        <v>0.11786892857142858</v>
      </c>
      <c r="V316" s="246">
        <f t="shared" si="136"/>
        <v>0.47147571428571433</v>
      </c>
      <c r="W316" s="246">
        <f t="shared" si="136"/>
        <v>0.11786892857142858</v>
      </c>
      <c r="X316" s="246">
        <f t="shared" si="136"/>
        <v>0</v>
      </c>
      <c r="Y316" s="246">
        <f t="shared" si="136"/>
        <v>0.23573785714285717</v>
      </c>
      <c r="Z316" s="246">
        <f t="shared" si="136"/>
        <v>1.6501650000000003</v>
      </c>
      <c r="AA316" s="246">
        <f t="shared" si="136"/>
        <v>0</v>
      </c>
      <c r="AB316" s="246">
        <f t="shared" si="136"/>
        <v>0</v>
      </c>
      <c r="AC316" s="246">
        <f t="shared" si="136"/>
        <v>0.14144271428571431</v>
      </c>
      <c r="AD316" s="246">
        <f t="shared" si="136"/>
        <v>0</v>
      </c>
      <c r="AE316" s="246">
        <f t="shared" si="136"/>
        <v>2.3573785714285718</v>
      </c>
      <c r="AF316" s="246">
        <v>0</v>
      </c>
      <c r="AG316" s="246">
        <f t="shared" si="136"/>
        <v>0.23573785714285717</v>
      </c>
      <c r="AH316" s="243"/>
      <c r="AI316" s="102">
        <v>1.2</v>
      </c>
      <c r="AJ316" s="100">
        <v>0</v>
      </c>
      <c r="AL316" s="100">
        <v>0</v>
      </c>
      <c r="AM316" s="237">
        <v>0.3</v>
      </c>
      <c r="AN316" s="241">
        <v>0.94</v>
      </c>
      <c r="AO316" s="241">
        <v>0.26</v>
      </c>
      <c r="AP316" s="247">
        <f>(AN316*365)*(AO316*0.67*0.02*1)</f>
        <v>1.1953604</v>
      </c>
      <c r="AQ316" s="247">
        <f>(AN316*365)*(AO316*0.67*0.01*1)</f>
        <v>0.59768019999999999</v>
      </c>
      <c r="AR316" s="248"/>
      <c r="AS316" s="247">
        <f>(AN316*365)*(AO316*0.67*0.05*1)</f>
        <v>2.9884010000000001</v>
      </c>
      <c r="AT316" s="247">
        <f>(AN316*365)*(AO316*0.67*0.02*1)</f>
        <v>1.1953604</v>
      </c>
      <c r="AU316" s="247">
        <f>(AN316*365)*(AO316*0.67*0.8*1)</f>
        <v>47.814416000000001</v>
      </c>
      <c r="AV316" s="247">
        <f>(AN316*365)*(AO316*0.67*0.8*1)</f>
        <v>47.814416000000001</v>
      </c>
      <c r="AW316" s="247">
        <f>(AN316*365)*(AO316*0.67*0.3*1)</f>
        <v>17.930406000000001</v>
      </c>
      <c r="AX316" s="248"/>
      <c r="AY316" s="247">
        <f>(AN316*365)*(AO316*0.67*0.8*1)</f>
        <v>47.814416000000001</v>
      </c>
      <c r="AZ316" s="247">
        <f t="shared" si="122"/>
        <v>59.76802</v>
      </c>
      <c r="BA316" s="247">
        <f t="shared" si="123"/>
        <v>5.9768020000000002</v>
      </c>
      <c r="BB316" s="247">
        <f t="shared" si="124"/>
        <v>0.2988401</v>
      </c>
      <c r="BC316" s="247">
        <f>(AN316*365)*(AO316*0.67*0.015*1)</f>
        <v>0.89652030000000005</v>
      </c>
      <c r="BD316" s="247">
        <v>0</v>
      </c>
      <c r="BE316" s="247">
        <v>0</v>
      </c>
      <c r="BH316" s="120"/>
      <c r="BI316" s="203" t="s">
        <v>154</v>
      </c>
      <c r="BJ316" s="190" t="s">
        <v>168</v>
      </c>
      <c r="BK316" s="196">
        <f t="shared" si="125"/>
        <v>1.19</v>
      </c>
      <c r="BL316" s="190" t="s">
        <v>413</v>
      </c>
      <c r="BM316" s="189">
        <v>0.2</v>
      </c>
      <c r="BN316" s="189">
        <v>0.5</v>
      </c>
      <c r="BO316" s="188" t="s">
        <v>258</v>
      </c>
      <c r="BP316" s="196">
        <f t="shared" si="126"/>
        <v>1.2445714285714284</v>
      </c>
      <c r="BQ316" s="190" t="s">
        <v>415</v>
      </c>
      <c r="BR316" s="189">
        <v>0.2</v>
      </c>
      <c r="BS316" s="189">
        <v>0.5</v>
      </c>
      <c r="BT316" s="188" t="s">
        <v>258</v>
      </c>
      <c r="BU316" s="206"/>
      <c r="BV316" s="196">
        <v>29.75</v>
      </c>
      <c r="BW316" s="190" t="s">
        <v>414</v>
      </c>
      <c r="BX316" s="206"/>
      <c r="BY316" s="196">
        <v>370.88228571428567</v>
      </c>
      <c r="BZ316" s="190" t="s">
        <v>414</v>
      </c>
      <c r="CA316" s="207"/>
      <c r="CB316" s="180"/>
      <c r="CC316" s="178"/>
      <c r="CD316" s="178"/>
      <c r="CE316" s="180"/>
      <c r="CF316" s="180"/>
      <c r="CG316" s="180"/>
      <c r="CH316" s="180"/>
      <c r="CI316" s="178"/>
      <c r="CJ316" s="178"/>
      <c r="CK316" s="180"/>
      <c r="CL316" s="180"/>
      <c r="CM316" s="180"/>
      <c r="CN316" s="225"/>
      <c r="CO316" s="218">
        <f t="shared" si="115"/>
        <v>0.2</v>
      </c>
      <c r="CP316" s="100">
        <f t="shared" si="116"/>
        <v>0.35</v>
      </c>
      <c r="CQ316" s="218">
        <f t="shared" si="117"/>
        <v>0.5</v>
      </c>
      <c r="CX316" s="23" t="s">
        <v>154</v>
      </c>
      <c r="CY316" s="23">
        <v>1.19</v>
      </c>
      <c r="CZ316" s="142">
        <f t="shared" si="127"/>
        <v>24.99</v>
      </c>
      <c r="DA316" s="142">
        <f t="shared" si="128"/>
        <v>29.75</v>
      </c>
      <c r="DB316" s="23">
        <v>40</v>
      </c>
      <c r="DC316" s="23">
        <v>0.99</v>
      </c>
      <c r="DD316" s="142">
        <f t="shared" si="129"/>
        <v>39.6</v>
      </c>
      <c r="DE316" s="23">
        <v>0.02</v>
      </c>
      <c r="DF316" s="149">
        <f t="shared" si="130"/>
        <v>1.2445714285714284</v>
      </c>
      <c r="DG316" s="149">
        <f t="shared" si="131"/>
        <v>385.81714285714281</v>
      </c>
      <c r="DH316" s="149">
        <f t="shared" si="132"/>
        <v>370.88228571428567</v>
      </c>
      <c r="DI316" s="150">
        <f t="shared" si="133"/>
        <v>410.80714285714282</v>
      </c>
      <c r="DJ316" s="150">
        <f t="shared" si="133"/>
        <v>400.63228571428567</v>
      </c>
      <c r="DK316" s="116" t="s">
        <v>168</v>
      </c>
      <c r="DL316" s="101" t="s">
        <v>392</v>
      </c>
    </row>
    <row r="317" spans="15:116" s="101" customFormat="1" hidden="1" x14ac:dyDescent="0.25">
      <c r="O317" s="227" t="s">
        <v>548</v>
      </c>
      <c r="Q317" s="243">
        <v>1.37</v>
      </c>
      <c r="R317" s="243">
        <v>30</v>
      </c>
      <c r="S317" s="246">
        <f t="shared" si="136"/>
        <v>0</v>
      </c>
      <c r="T317" s="246">
        <f t="shared" si="136"/>
        <v>0</v>
      </c>
      <c r="U317" s="246">
        <f t="shared" si="136"/>
        <v>0.11786892857142858</v>
      </c>
      <c r="V317" s="246">
        <f t="shared" si="136"/>
        <v>0.47147571428571433</v>
      </c>
      <c r="W317" s="246">
        <f t="shared" si="136"/>
        <v>0.11786892857142858</v>
      </c>
      <c r="X317" s="246">
        <f t="shared" si="136"/>
        <v>0</v>
      </c>
      <c r="Y317" s="246">
        <f t="shared" si="136"/>
        <v>0.23573785714285717</v>
      </c>
      <c r="Z317" s="246">
        <f t="shared" si="136"/>
        <v>1.6501650000000003</v>
      </c>
      <c r="AA317" s="246">
        <f t="shared" si="136"/>
        <v>0</v>
      </c>
      <c r="AB317" s="246">
        <f t="shared" si="136"/>
        <v>0</v>
      </c>
      <c r="AC317" s="246">
        <f t="shared" si="136"/>
        <v>0.14144271428571431</v>
      </c>
      <c r="AD317" s="246">
        <f t="shared" si="136"/>
        <v>0</v>
      </c>
      <c r="AE317" s="246">
        <f t="shared" si="136"/>
        <v>2.3573785714285718</v>
      </c>
      <c r="AF317" s="246">
        <v>0</v>
      </c>
      <c r="AG317" s="246">
        <f t="shared" si="136"/>
        <v>0.23573785714285717</v>
      </c>
      <c r="AH317" s="243"/>
      <c r="AI317" s="102">
        <v>0.08</v>
      </c>
      <c r="AJ317" s="100"/>
      <c r="AK317" s="100"/>
      <c r="AL317" s="100"/>
      <c r="AM317" s="100"/>
      <c r="AN317" s="241">
        <v>0.1</v>
      </c>
      <c r="AO317" s="241">
        <v>0.32</v>
      </c>
      <c r="AP317" s="247">
        <f>(AN317*365)*(AO317*0.67*0.01*1)</f>
        <v>7.8256000000000006E-2</v>
      </c>
      <c r="AQ317" s="247">
        <f>(AN317*365)*(AO317*0.67*0.001*1)</f>
        <v>7.8256000000000003E-3</v>
      </c>
      <c r="AR317" s="248"/>
      <c r="AS317" s="247">
        <f>(AN317*365)*(AO317*0.67*0.02*1)</f>
        <v>0.15651200000000001</v>
      </c>
      <c r="AT317" s="247">
        <f>(AN317*365)*(AO317*0.67*0.01*1)</f>
        <v>7.8256000000000006E-2</v>
      </c>
      <c r="AU317" s="247">
        <f>(AN317*365)*(AO317*0.67*0.25*1)</f>
        <v>1.9564000000000001</v>
      </c>
      <c r="AV317" s="247">
        <f>(AN317*365)*(AO317*0.67*0.73*1)</f>
        <v>5.7126880000000009</v>
      </c>
      <c r="AW317" s="247">
        <f>(AN317*365)*(AO317*0.67*0.03*1)</f>
        <v>0.234768</v>
      </c>
      <c r="AX317" s="248"/>
      <c r="AY317" s="247">
        <f>(AN317*365)*(AO317*0.67*0.25*1)</f>
        <v>1.9564000000000001</v>
      </c>
      <c r="AZ317" s="247">
        <f t="shared" si="122"/>
        <v>7.8256000000000006</v>
      </c>
      <c r="BA317" s="247">
        <f t="shared" si="123"/>
        <v>0.78256000000000003</v>
      </c>
      <c r="BB317" s="247">
        <f t="shared" si="124"/>
        <v>3.9128000000000003E-2</v>
      </c>
      <c r="BC317" s="247">
        <f>(AN317*365)*(AO317*0.67*0.005*1)</f>
        <v>3.9128000000000003E-2</v>
      </c>
      <c r="BD317" s="247">
        <v>0</v>
      </c>
      <c r="BE317" s="247">
        <v>0</v>
      </c>
      <c r="BH317" s="99"/>
      <c r="BI317" s="102"/>
      <c r="BJ317" s="178"/>
      <c r="BK317" s="178"/>
      <c r="BL317" s="178"/>
      <c r="BM317" s="169"/>
      <c r="BN317" s="169"/>
      <c r="BO317" s="169"/>
      <c r="BP317" s="206"/>
      <c r="BQ317" s="206"/>
      <c r="BR317" s="206"/>
      <c r="BS317" s="206"/>
      <c r="BT317" s="206"/>
      <c r="BU317" s="206"/>
      <c r="BV317" s="207"/>
      <c r="BW317" s="206"/>
      <c r="BX317" s="206"/>
      <c r="BY317" s="207"/>
      <c r="BZ317" s="207"/>
      <c r="CA317" s="207"/>
      <c r="CB317" s="180"/>
      <c r="CC317" s="178"/>
      <c r="CD317" s="178"/>
      <c r="CE317" s="180"/>
      <c r="CF317" s="180"/>
      <c r="CG317" s="180"/>
      <c r="CH317" s="180"/>
      <c r="CI317" s="178"/>
      <c r="CJ317" s="178"/>
      <c r="CK317" s="180"/>
      <c r="CL317" s="180"/>
      <c r="CM317" s="180"/>
      <c r="CN317" s="225"/>
      <c r="CO317" s="218">
        <f t="shared" si="115"/>
        <v>0</v>
      </c>
      <c r="CP317" s="100">
        <f t="shared" si="116"/>
        <v>0</v>
      </c>
      <c r="CQ317" s="218">
        <f t="shared" si="117"/>
        <v>0</v>
      </c>
      <c r="CZ317" s="116"/>
      <c r="DA317" s="141"/>
      <c r="DB317" s="116"/>
      <c r="DC317" s="116"/>
      <c r="DD317" s="116"/>
      <c r="DE317" s="116"/>
      <c r="DF317" s="116"/>
    </row>
    <row r="318" spans="15:116" s="101" customFormat="1" hidden="1" x14ac:dyDescent="0.25">
      <c r="O318" s="227" t="s">
        <v>549</v>
      </c>
      <c r="Q318" s="243">
        <v>1.37</v>
      </c>
      <c r="R318" s="243">
        <v>30</v>
      </c>
      <c r="S318" s="246">
        <f t="shared" si="136"/>
        <v>0</v>
      </c>
      <c r="T318" s="246">
        <f t="shared" si="136"/>
        <v>0</v>
      </c>
      <c r="U318" s="246">
        <f t="shared" si="136"/>
        <v>0.11786892857142858</v>
      </c>
      <c r="V318" s="246">
        <f t="shared" si="136"/>
        <v>0.47147571428571433</v>
      </c>
      <c r="W318" s="246">
        <f t="shared" si="136"/>
        <v>0.11786892857142858</v>
      </c>
      <c r="X318" s="246">
        <f t="shared" si="136"/>
        <v>0</v>
      </c>
      <c r="Y318" s="246">
        <f t="shared" si="136"/>
        <v>0.23573785714285717</v>
      </c>
      <c r="Z318" s="246">
        <f t="shared" si="136"/>
        <v>1.6501650000000003</v>
      </c>
      <c r="AA318" s="246">
        <f t="shared" si="136"/>
        <v>0</v>
      </c>
      <c r="AB318" s="246">
        <f t="shared" si="136"/>
        <v>0</v>
      </c>
      <c r="AC318" s="246">
        <f t="shared" si="136"/>
        <v>0.14144271428571431</v>
      </c>
      <c r="AD318" s="246">
        <f t="shared" si="136"/>
        <v>0</v>
      </c>
      <c r="AE318" s="246">
        <f t="shared" si="136"/>
        <v>2.3573785714285718</v>
      </c>
      <c r="AF318" s="246">
        <v>0</v>
      </c>
      <c r="AG318" s="246">
        <f t="shared" si="136"/>
        <v>0.23573785714285717</v>
      </c>
      <c r="AH318" s="243"/>
      <c r="AN318" s="241">
        <v>0.1</v>
      </c>
      <c r="AO318" s="241">
        <v>0.32</v>
      </c>
      <c r="AP318" s="247">
        <f>(AN318*365)*(AO318*0.67*0.015*1)</f>
        <v>0.117384</v>
      </c>
      <c r="AQ318" s="247">
        <f>(AN318*365)*(AO318*0.67*0.005*1)</f>
        <v>3.9128000000000003E-2</v>
      </c>
      <c r="AR318" s="248"/>
      <c r="AS318" s="247">
        <f>(AN318*365)*(AO318*0.67*0.04*1)</f>
        <v>0.31302400000000002</v>
      </c>
      <c r="AT318" s="247">
        <f>(AN318*365)*(AO318*0.67*0.015*1)</f>
        <v>0.117384</v>
      </c>
      <c r="AU318" s="247">
        <f>(AN318*365)*(AO318*0.67*0.65*1)</f>
        <v>5.0866400000000001</v>
      </c>
      <c r="AV318" s="247">
        <f>(AN318*365)*(AO318*0.67*0.79*1)</f>
        <v>6.1822240000000006</v>
      </c>
      <c r="AW318" s="247">
        <f>(AN318*365)*(AO318*0.67*0.03*1)</f>
        <v>0.234768</v>
      </c>
      <c r="AX318" s="248"/>
      <c r="AY318" s="247">
        <f>(AN318*365)*(AO318*0.67*0.65*1)</f>
        <v>5.0866400000000001</v>
      </c>
      <c r="AZ318" s="247">
        <f t="shared" si="122"/>
        <v>7.8256000000000006</v>
      </c>
      <c r="BA318" s="247">
        <f t="shared" si="123"/>
        <v>0.78256000000000003</v>
      </c>
      <c r="BB318" s="247">
        <f t="shared" si="124"/>
        <v>3.9128000000000003E-2</v>
      </c>
      <c r="BC318" s="247">
        <f>(AN318*365)*(AO318*0.67*0.01*1)</f>
        <v>7.8256000000000006E-2</v>
      </c>
      <c r="BD318" s="247">
        <v>0</v>
      </c>
      <c r="BE318" s="247">
        <v>0</v>
      </c>
      <c r="BI318" s="102"/>
      <c r="BJ318" s="178"/>
      <c r="BK318" s="178"/>
      <c r="BL318" s="178"/>
      <c r="BM318" s="169"/>
      <c r="BN318" s="169"/>
      <c r="BO318" s="169"/>
      <c r="BP318" s="206"/>
      <c r="BQ318" s="206"/>
      <c r="BR318" s="206"/>
      <c r="BS318" s="206"/>
      <c r="BT318" s="206"/>
      <c r="BU318" s="206"/>
      <c r="BV318" s="207"/>
      <c r="BW318" s="206"/>
      <c r="BX318" s="206"/>
      <c r="BY318" s="207"/>
      <c r="BZ318" s="207"/>
      <c r="CA318" s="207"/>
      <c r="CB318" s="180"/>
      <c r="CC318" s="178"/>
      <c r="CD318" s="178"/>
      <c r="CE318" s="180"/>
      <c r="CF318" s="180"/>
      <c r="CG318" s="180"/>
      <c r="CH318" s="180"/>
      <c r="CI318" s="178"/>
      <c r="CJ318" s="178"/>
      <c r="CK318" s="180"/>
      <c r="CL318" s="180"/>
      <c r="CM318" s="180"/>
      <c r="CN318" s="225"/>
      <c r="CO318" s="218">
        <f t="shared" si="115"/>
        <v>0</v>
      </c>
      <c r="CP318" s="100">
        <f t="shared" si="116"/>
        <v>0</v>
      </c>
      <c r="CQ318" s="218">
        <f t="shared" si="117"/>
        <v>0</v>
      </c>
      <c r="CZ318" s="116" t="s">
        <v>67</v>
      </c>
      <c r="DB318" s="116" t="s">
        <v>103</v>
      </c>
      <c r="DC318" s="116" t="s">
        <v>104</v>
      </c>
      <c r="DD318" s="116"/>
      <c r="DE318" s="116"/>
      <c r="DF318" s="116"/>
      <c r="DG318" s="116" t="s">
        <v>105</v>
      </c>
      <c r="DH318" s="116" t="s">
        <v>106</v>
      </c>
      <c r="DI318" s="116" t="s">
        <v>107</v>
      </c>
      <c r="DJ318" s="116"/>
      <c r="DK318" s="116" t="s">
        <v>108</v>
      </c>
    </row>
    <row r="319" spans="15:116" s="101" customFormat="1" ht="18.75" hidden="1" thickBot="1" x14ac:dyDescent="0.3">
      <c r="O319" s="227" t="s">
        <v>550</v>
      </c>
      <c r="Q319" s="243">
        <v>1.37</v>
      </c>
      <c r="R319" s="243">
        <v>30</v>
      </c>
      <c r="S319" s="246">
        <f t="shared" si="136"/>
        <v>0</v>
      </c>
      <c r="T319" s="246">
        <f t="shared" si="136"/>
        <v>0</v>
      </c>
      <c r="U319" s="246">
        <f t="shared" si="136"/>
        <v>0.11786892857142858</v>
      </c>
      <c r="V319" s="246">
        <f t="shared" si="136"/>
        <v>0.47147571428571433</v>
      </c>
      <c r="W319" s="246">
        <f t="shared" si="136"/>
        <v>0.11786892857142858</v>
      </c>
      <c r="X319" s="246">
        <f t="shared" si="136"/>
        <v>0</v>
      </c>
      <c r="Y319" s="246">
        <f t="shared" si="136"/>
        <v>0.23573785714285717</v>
      </c>
      <c r="Z319" s="246">
        <f t="shared" si="136"/>
        <v>1.6501650000000003</v>
      </c>
      <c r="AA319" s="246">
        <f t="shared" si="136"/>
        <v>0</v>
      </c>
      <c r="AB319" s="246">
        <f t="shared" si="136"/>
        <v>0</v>
      </c>
      <c r="AC319" s="246">
        <f t="shared" si="136"/>
        <v>0.14144271428571431</v>
      </c>
      <c r="AD319" s="246">
        <f t="shared" si="136"/>
        <v>0</v>
      </c>
      <c r="AE319" s="246">
        <f t="shared" si="136"/>
        <v>2.3573785714285718</v>
      </c>
      <c r="AF319" s="246">
        <v>0</v>
      </c>
      <c r="AG319" s="246">
        <f t="shared" si="136"/>
        <v>0.23573785714285717</v>
      </c>
      <c r="AH319" s="243"/>
      <c r="AN319" s="241">
        <v>0.1</v>
      </c>
      <c r="AO319" s="241">
        <v>0.32</v>
      </c>
      <c r="AP319" s="247">
        <f>(AN319*365)*(AO319*0.67*0.02*1)</f>
        <v>0.15651200000000001</v>
      </c>
      <c r="AQ319" s="247">
        <f>(AN319*365)*(AO319*0.67*0.01*1)</f>
        <v>7.8256000000000006E-2</v>
      </c>
      <c r="AR319" s="248"/>
      <c r="AS319" s="247">
        <f>(AN319*365)*(AO319*0.67*0.05*1)</f>
        <v>0.39128000000000002</v>
      </c>
      <c r="AT319" s="247">
        <f>(AN319*365)*(AO319*0.67*0.02*1)</f>
        <v>0.15651200000000001</v>
      </c>
      <c r="AU319" s="247">
        <f>(AN319*365)*(AO319*0.67*0.8*1)</f>
        <v>6.2604800000000003</v>
      </c>
      <c r="AV319" s="247">
        <f>(AN319*365)*(AO319*0.67*0.8*1)</f>
        <v>6.2604800000000003</v>
      </c>
      <c r="AW319" s="247">
        <f>(AN319*365)*(AO319*0.67*0.3*1)</f>
        <v>2.34768</v>
      </c>
      <c r="AX319" s="248"/>
      <c r="AY319" s="247">
        <f>(AN319*365)*(AO319*0.67*0.8*1)</f>
        <v>6.2604800000000003</v>
      </c>
      <c r="AZ319" s="247">
        <f t="shared" si="122"/>
        <v>7.8256000000000006</v>
      </c>
      <c r="BA319" s="247">
        <f t="shared" si="123"/>
        <v>0.78256000000000003</v>
      </c>
      <c r="BB319" s="247">
        <f t="shared" si="124"/>
        <v>3.9128000000000003E-2</v>
      </c>
      <c r="BC319" s="247">
        <f>(AN319*365)*(AO319*0.67*0.015*1)</f>
        <v>0.117384</v>
      </c>
      <c r="BD319" s="247">
        <v>0</v>
      </c>
      <c r="BE319" s="247">
        <v>0</v>
      </c>
      <c r="BI319" s="102"/>
      <c r="BJ319" s="178"/>
      <c r="BK319" s="178"/>
      <c r="BL319" s="178"/>
      <c r="BM319" s="169"/>
      <c r="BN319" s="169"/>
      <c r="BO319" s="169"/>
      <c r="BP319" s="206"/>
      <c r="BQ319" s="206"/>
      <c r="BR319" s="206"/>
      <c r="BS319" s="206"/>
      <c r="BT319" s="206"/>
      <c r="BU319" s="206"/>
      <c r="BV319" s="207"/>
      <c r="BW319" s="206"/>
      <c r="BX319" s="206"/>
      <c r="BY319" s="207"/>
      <c r="BZ319" s="207"/>
      <c r="CA319" s="207"/>
      <c r="CB319" s="180"/>
      <c r="CC319" s="178"/>
      <c r="CD319" s="178"/>
      <c r="CE319" s="180"/>
      <c r="CF319" s="180"/>
      <c r="CG319" s="180"/>
      <c r="CH319" s="180"/>
      <c r="CI319" s="178"/>
      <c r="CJ319" s="178"/>
      <c r="CK319" s="180"/>
      <c r="CL319" s="180"/>
      <c r="CM319" s="180"/>
      <c r="CN319" s="225"/>
      <c r="CO319" s="218">
        <f t="shared" si="115"/>
        <v>0</v>
      </c>
      <c r="CP319" s="100">
        <f t="shared" si="116"/>
        <v>0</v>
      </c>
      <c r="CQ319" s="218">
        <f t="shared" si="117"/>
        <v>0</v>
      </c>
      <c r="CX319" s="101" t="s">
        <v>62</v>
      </c>
      <c r="CY319" s="101" t="s">
        <v>49</v>
      </c>
      <c r="CZ319" s="101">
        <f>+DK319</f>
        <v>6.1897500000000008E-2</v>
      </c>
      <c r="DB319" s="116">
        <v>1</v>
      </c>
      <c r="DC319" s="116">
        <v>0.9</v>
      </c>
      <c r="DD319" s="116"/>
      <c r="DE319" s="116"/>
      <c r="DF319" s="116"/>
      <c r="DG319" s="116">
        <v>0.5</v>
      </c>
      <c r="DH319" s="116">
        <v>5.0000000000000001E-3</v>
      </c>
      <c r="DI319" s="116">
        <f>+DB319*DC319*DG319*DH319*21</f>
        <v>4.7250000000000007E-2</v>
      </c>
      <c r="DJ319" s="116"/>
      <c r="DK319" s="101">
        <f>+DI319+DJ330</f>
        <v>6.1897500000000008E-2</v>
      </c>
      <c r="DL319" s="116" t="s">
        <v>376</v>
      </c>
    </row>
    <row r="320" spans="15:116" s="101" customFormat="1" ht="15" hidden="1" customHeight="1" x14ac:dyDescent="0.25">
      <c r="O320" s="227" t="s">
        <v>551</v>
      </c>
      <c r="Q320" s="243"/>
      <c r="R320" s="243"/>
      <c r="S320" s="242"/>
      <c r="T320" s="242"/>
      <c r="U320" s="242"/>
      <c r="V320" s="242"/>
      <c r="W320" s="242"/>
      <c r="X320" s="242"/>
      <c r="Y320" s="242"/>
      <c r="Z320" s="242"/>
      <c r="AA320" s="242"/>
      <c r="AB320" s="242"/>
      <c r="AC320" s="242"/>
      <c r="AD320" s="242"/>
      <c r="AE320" s="242"/>
      <c r="AF320" s="242"/>
      <c r="AG320" s="242"/>
      <c r="AH320" s="243"/>
      <c r="AI320" s="102">
        <v>5.67</v>
      </c>
      <c r="AN320" s="241">
        <v>1.1599999999999999</v>
      </c>
      <c r="AO320" s="241">
        <v>0.25</v>
      </c>
      <c r="AP320" s="247">
        <f>(AN320*365)*(AO320*0.67*0.01*1)</f>
        <v>0.70919500000000002</v>
      </c>
      <c r="AQ320" s="247">
        <f>(AN320*365)*(AO320*0.67*0.001*1)</f>
        <v>7.0919499999999996E-2</v>
      </c>
      <c r="AR320" s="248"/>
      <c r="AS320" s="247">
        <f>(AN320*365)*(AO320*0.67*0.02*1)</f>
        <v>1.41839</v>
      </c>
      <c r="AT320" s="247">
        <f>(AN320*365)*(AO320*0.67*0.01*1)</f>
        <v>0.70919500000000002</v>
      </c>
      <c r="AU320" s="247">
        <f>(AN320*365)*(AO320*0.67*0.25*1)</f>
        <v>17.729875</v>
      </c>
      <c r="AV320" s="247">
        <f>(AN320*365)*(AO320*0.67*0.73*1)</f>
        <v>51.771235000000004</v>
      </c>
      <c r="AW320" s="247">
        <f>(AN320*365)*(AO320*0.67*0.03*1)</f>
        <v>2.1275849999999998</v>
      </c>
      <c r="AX320" s="248"/>
      <c r="AY320" s="247">
        <f>(AN320*365)*(AO320*0.67*0.25*1)</f>
        <v>17.729875</v>
      </c>
      <c r="AZ320" s="247">
        <f t="shared" si="122"/>
        <v>70.919499999999999</v>
      </c>
      <c r="BA320" s="247">
        <f t="shared" si="123"/>
        <v>7.0919499999999998</v>
      </c>
      <c r="BB320" s="247">
        <f t="shared" si="124"/>
        <v>0.35459750000000001</v>
      </c>
      <c r="BC320" s="247">
        <f>(AN320*365)*(AO320*0.67*0.005*1)</f>
        <v>0.35459750000000001</v>
      </c>
      <c r="BD320" s="247">
        <v>0</v>
      </c>
      <c r="BE320" s="247">
        <v>0</v>
      </c>
      <c r="BI320" s="1606" t="s">
        <v>58</v>
      </c>
      <c r="BJ320" s="183"/>
      <c r="BK320" s="1606" t="s">
        <v>279</v>
      </c>
      <c r="BL320" s="183"/>
      <c r="BM320" s="1606" t="s">
        <v>233</v>
      </c>
      <c r="BN320" s="1606" t="s">
        <v>233</v>
      </c>
      <c r="BO320" s="1606" t="s">
        <v>240</v>
      </c>
      <c r="BP320" s="1606" t="s">
        <v>282</v>
      </c>
      <c r="BQ320" s="183"/>
      <c r="BR320" s="1606" t="s">
        <v>233</v>
      </c>
      <c r="BS320" s="1606" t="s">
        <v>233</v>
      </c>
      <c r="BT320" s="1606" t="s">
        <v>240</v>
      </c>
      <c r="BU320" s="102"/>
      <c r="BV320" s="207"/>
      <c r="BW320" s="206"/>
      <c r="BX320" s="206"/>
      <c r="BY320" s="207"/>
      <c r="BZ320" s="207"/>
      <c r="CA320" s="207"/>
      <c r="CB320" s="180"/>
      <c r="CC320" s="178"/>
      <c r="CD320" s="178"/>
      <c r="CE320" s="180"/>
      <c r="CF320" s="180"/>
      <c r="CG320" s="180"/>
      <c r="CH320" s="180"/>
      <c r="CI320" s="178"/>
      <c r="CJ320" s="178"/>
      <c r="CK320" s="180"/>
      <c r="CL320" s="180"/>
      <c r="CM320" s="180"/>
      <c r="CN320" s="225"/>
      <c r="CO320" s="218" t="str">
        <f t="shared" si="115"/>
        <v>Incertidumbre (+/- %)</v>
      </c>
      <c r="CP320" s="100" t="e">
        <f t="shared" si="116"/>
        <v>#VALUE!</v>
      </c>
      <c r="CQ320" s="218" t="str">
        <f t="shared" si="117"/>
        <v>Incertidumbre (+/- %)</v>
      </c>
      <c r="DC320" s="116"/>
      <c r="DD320" s="116"/>
      <c r="DE320" s="116"/>
      <c r="DF320" s="116"/>
    </row>
    <row r="321" spans="15:115" s="101" customFormat="1" ht="15.75" hidden="1" thickBot="1" x14ac:dyDescent="0.3">
      <c r="O321" s="227" t="s">
        <v>552</v>
      </c>
      <c r="Q321" s="243"/>
      <c r="R321" s="243"/>
      <c r="S321" s="242"/>
      <c r="T321" s="242"/>
      <c r="U321" s="242"/>
      <c r="V321" s="242"/>
      <c r="W321" s="242"/>
      <c r="X321" s="242"/>
      <c r="Y321" s="242"/>
      <c r="Z321" s="242"/>
      <c r="AA321" s="242"/>
      <c r="AB321" s="242"/>
      <c r="AC321" s="242"/>
      <c r="AD321" s="242"/>
      <c r="AE321" s="242"/>
      <c r="AF321" s="242"/>
      <c r="AG321" s="242"/>
      <c r="AH321" s="243"/>
      <c r="AN321" s="241">
        <v>1.1599999999999999</v>
      </c>
      <c r="AO321" s="241">
        <v>0.25</v>
      </c>
      <c r="AP321" s="247">
        <f>(AN321*365)*(AO321*0.67*0.015*1)</f>
        <v>1.0637924999999999</v>
      </c>
      <c r="AQ321" s="247">
        <f>(AN321*365)*(AO321*0.67*0.005*1)</f>
        <v>0.35459750000000001</v>
      </c>
      <c r="AR321" s="248"/>
      <c r="AS321" s="247">
        <f>(AN321*365)*(AO321*0.67*0.04*1)</f>
        <v>2.8367800000000001</v>
      </c>
      <c r="AT321" s="247">
        <f>(AN321*365)*(AO321*0.67*0.015*1)</f>
        <v>1.0637924999999999</v>
      </c>
      <c r="AU321" s="247">
        <f>(AN321*365)*(AO321*0.67*0.65*1)</f>
        <v>46.097675000000002</v>
      </c>
      <c r="AV321" s="247">
        <f>(AN321*365)*(AO321*0.67*0.79*1)</f>
        <v>56.026405000000011</v>
      </c>
      <c r="AW321" s="247">
        <f>(AN321*365)*(AO321*0.67*0.03*1)</f>
        <v>2.1275849999999998</v>
      </c>
      <c r="AX321" s="248"/>
      <c r="AY321" s="247">
        <f>(AN321*365)*(AO321*0.67*0.65*1)</f>
        <v>46.097675000000002</v>
      </c>
      <c r="AZ321" s="247">
        <f t="shared" si="122"/>
        <v>70.919499999999999</v>
      </c>
      <c r="BA321" s="247">
        <f t="shared" si="123"/>
        <v>7.0919499999999998</v>
      </c>
      <c r="BB321" s="247">
        <f t="shared" si="124"/>
        <v>0.35459750000000001</v>
      </c>
      <c r="BC321" s="247">
        <f>(AN321*365)*(AO321*0.67*0.01*1)</f>
        <v>0.70919500000000002</v>
      </c>
      <c r="BD321" s="247">
        <v>0</v>
      </c>
      <c r="BE321" s="247">
        <v>0</v>
      </c>
      <c r="BI321" s="1607"/>
      <c r="BJ321" s="184" t="s">
        <v>253</v>
      </c>
      <c r="BK321" s="1607"/>
      <c r="BL321" s="184" t="s">
        <v>251</v>
      </c>
      <c r="BM321" s="1607"/>
      <c r="BN321" s="1607"/>
      <c r="BO321" s="1607"/>
      <c r="BP321" s="1607"/>
      <c r="BQ321" s="184" t="s">
        <v>251</v>
      </c>
      <c r="BR321" s="1607"/>
      <c r="BS321" s="1607"/>
      <c r="BT321" s="1607"/>
      <c r="BU321" s="102"/>
      <c r="BV321" s="207"/>
      <c r="BW321" s="206"/>
      <c r="BX321" s="206"/>
      <c r="BY321" s="207"/>
      <c r="BZ321" s="207"/>
      <c r="CA321" s="207"/>
      <c r="CB321" s="180"/>
      <c r="CC321" s="178"/>
      <c r="CD321" s="178"/>
      <c r="CE321" s="180"/>
      <c r="CF321" s="180"/>
      <c r="CG321" s="180"/>
      <c r="CH321" s="180"/>
      <c r="CI321" s="178"/>
      <c r="CJ321" s="178"/>
      <c r="CK321" s="180"/>
      <c r="CL321" s="180"/>
      <c r="CM321" s="180"/>
      <c r="CN321" s="225"/>
      <c r="CO321" s="218">
        <f t="shared" si="115"/>
        <v>0</v>
      </c>
      <c r="CP321" s="100">
        <f t="shared" si="116"/>
        <v>0</v>
      </c>
      <c r="CQ321" s="218">
        <f t="shared" si="117"/>
        <v>0</v>
      </c>
      <c r="DC321" s="116"/>
      <c r="DD321" s="116"/>
      <c r="DE321" s="116"/>
      <c r="DF321" s="116"/>
      <c r="DI321" s="116">
        <f>+DB319*DC319*DG319*DH319*25</f>
        <v>5.6250000000000008E-2</v>
      </c>
      <c r="DK321" s="101">
        <f>+DI321+DJ332</f>
        <v>7.0330500000000004E-2</v>
      </c>
    </row>
    <row r="322" spans="15:115" s="101" customFormat="1" ht="18.75" hidden="1" thickBot="1" x14ac:dyDescent="0.3">
      <c r="O322" s="227" t="s">
        <v>553</v>
      </c>
      <c r="Q322" s="243"/>
      <c r="R322" s="243"/>
      <c r="S322" s="242"/>
      <c r="T322" s="242"/>
      <c r="U322" s="242"/>
      <c r="V322" s="242"/>
      <c r="W322" s="242"/>
      <c r="X322" s="242"/>
      <c r="Y322" s="242"/>
      <c r="Z322" s="242"/>
      <c r="AA322" s="242"/>
      <c r="AB322" s="242"/>
      <c r="AC322" s="242"/>
      <c r="AD322" s="242"/>
      <c r="AE322" s="242"/>
      <c r="AF322" s="242"/>
      <c r="AG322" s="242"/>
      <c r="AH322" s="243"/>
      <c r="AN322" s="241">
        <v>1.1599999999999999</v>
      </c>
      <c r="AO322" s="241">
        <v>0.25</v>
      </c>
      <c r="AP322" s="247">
        <f>(AN322*365)*(AO322*0.67*0.02*1)</f>
        <v>1.41839</v>
      </c>
      <c r="AQ322" s="247">
        <f>(AN322*365)*(AO322*0.67*0.01*1)</f>
        <v>0.70919500000000002</v>
      </c>
      <c r="AR322" s="248"/>
      <c r="AS322" s="247">
        <f>(AN322*365)*(AO322*0.67*0.05*1)</f>
        <v>3.5459749999999999</v>
      </c>
      <c r="AT322" s="247">
        <f>(AN322*365)*(AO322*0.67*0.02*1)</f>
        <v>1.41839</v>
      </c>
      <c r="AU322" s="247">
        <f>(AN322*365)*(AO322*0.67*0.8*1)</f>
        <v>56.735599999999998</v>
      </c>
      <c r="AV322" s="247">
        <f>(AN322*365)*(AO322*0.67*0.8*1)</f>
        <v>56.735599999999998</v>
      </c>
      <c r="AW322" s="247">
        <f>(AN322*365)*(AO322*0.67*0.3*1)</f>
        <v>21.275849999999998</v>
      </c>
      <c r="AX322" s="248"/>
      <c r="AY322" s="247">
        <f>(AN322*365)*(AO322*0.67*0.8*1)</f>
        <v>56.735599999999998</v>
      </c>
      <c r="AZ322" s="247">
        <f t="shared" si="122"/>
        <v>70.919499999999999</v>
      </c>
      <c r="BA322" s="247">
        <f t="shared" si="123"/>
        <v>7.0919499999999998</v>
      </c>
      <c r="BB322" s="247">
        <f t="shared" si="124"/>
        <v>0.35459750000000001</v>
      </c>
      <c r="BC322" s="247">
        <f>(AN322*365)*(AO322*0.67*0.015*1)</f>
        <v>1.0637924999999999</v>
      </c>
      <c r="BD322" s="247">
        <v>0</v>
      </c>
      <c r="BE322" s="247">
        <v>0</v>
      </c>
      <c r="BI322" s="203" t="s">
        <v>470</v>
      </c>
      <c r="BJ322" s="190" t="s">
        <v>471</v>
      </c>
      <c r="BK322" s="196">
        <f>10/1000</f>
        <v>0.01</v>
      </c>
      <c r="BL322" s="190" t="s">
        <v>416</v>
      </c>
      <c r="BM322" s="189">
        <f>0.08/10</f>
        <v>8.0000000000000002E-3</v>
      </c>
      <c r="BN322" s="189">
        <f>20/10</f>
        <v>2</v>
      </c>
      <c r="BO322" s="188" t="s">
        <v>258</v>
      </c>
      <c r="BP322" s="196">
        <f>0.6/1000</f>
        <v>5.9999999999999995E-4</v>
      </c>
      <c r="BQ322" s="190" t="s">
        <v>417</v>
      </c>
      <c r="BR322" s="189">
        <f>0.2/0.6</f>
        <v>0.33333333333333337</v>
      </c>
      <c r="BS322" s="189">
        <f>1.2/0.6</f>
        <v>2</v>
      </c>
      <c r="BT322" s="188" t="s">
        <v>258</v>
      </c>
      <c r="BU322" s="102"/>
      <c r="BV322" s="207"/>
      <c r="BW322" s="206"/>
      <c r="BX322" s="206"/>
      <c r="BY322" s="207"/>
      <c r="BZ322" s="207"/>
      <c r="CA322" s="207"/>
      <c r="CB322" s="180"/>
      <c r="CC322" s="178"/>
      <c r="CD322" s="178"/>
      <c r="CE322" s="180"/>
      <c r="CF322" s="180"/>
      <c r="CG322" s="180"/>
      <c r="CH322" s="180"/>
      <c r="CI322" s="178"/>
      <c r="CJ322" s="178"/>
      <c r="CK322" s="180"/>
      <c r="CL322" s="180"/>
      <c r="CM322" s="180"/>
      <c r="CN322" s="225"/>
      <c r="CO322" s="218">
        <f t="shared" si="115"/>
        <v>8.0000000000000002E-3</v>
      </c>
      <c r="CP322" s="100">
        <f t="shared" si="116"/>
        <v>1.004</v>
      </c>
      <c r="CQ322" s="218">
        <f t="shared" si="117"/>
        <v>2</v>
      </c>
      <c r="DC322" s="116"/>
      <c r="DD322" s="116"/>
      <c r="DE322" s="116"/>
      <c r="DF322" s="116"/>
      <c r="DI322" s="116"/>
    </row>
    <row r="323" spans="15:115" s="101" customFormat="1" ht="18.75" hidden="1" thickBot="1" x14ac:dyDescent="0.3">
      <c r="BD323" s="101">
        <v>0</v>
      </c>
      <c r="BI323" s="203" t="s">
        <v>472</v>
      </c>
      <c r="BJ323" s="190" t="s">
        <v>1407</v>
      </c>
      <c r="BK323" s="196">
        <f>4/1000</f>
        <v>4.0000000000000001E-3</v>
      </c>
      <c r="BL323" s="190" t="s">
        <v>416</v>
      </c>
      <c r="BM323" s="189">
        <f>0.03/4</f>
        <v>7.4999999999999997E-3</v>
      </c>
      <c r="BN323" s="189">
        <f>8/4</f>
        <v>2</v>
      </c>
      <c r="BO323" s="188" t="s">
        <v>258</v>
      </c>
      <c r="BP323" s="196">
        <f>0.3/1000</f>
        <v>2.9999999999999997E-4</v>
      </c>
      <c r="BQ323" s="190" t="s">
        <v>417</v>
      </c>
      <c r="BR323" s="189">
        <f>0.06/0.3</f>
        <v>0.2</v>
      </c>
      <c r="BS323" s="189">
        <f>0.6/0.3</f>
        <v>2</v>
      </c>
      <c r="BT323" s="188" t="s">
        <v>258</v>
      </c>
      <c r="BU323" s="102"/>
      <c r="BV323" s="207"/>
      <c r="BW323" s="206"/>
      <c r="BX323" s="206"/>
      <c r="BY323" s="207"/>
      <c r="BZ323" s="207"/>
      <c r="CA323" s="207"/>
      <c r="CB323" s="180"/>
      <c r="CC323" s="178"/>
      <c r="CD323" s="178"/>
      <c r="CE323" s="180"/>
      <c r="CF323" s="180"/>
      <c r="CG323" s="180"/>
      <c r="CH323" s="180"/>
      <c r="CI323" s="178"/>
      <c r="CJ323" s="178"/>
      <c r="CK323" s="180"/>
      <c r="CL323" s="180"/>
      <c r="CM323" s="180"/>
      <c r="CN323" s="225"/>
      <c r="CO323" s="218">
        <f t="shared" si="115"/>
        <v>7.4999999999999997E-3</v>
      </c>
      <c r="CP323" s="100">
        <f t="shared" si="116"/>
        <v>1.0037499999999999</v>
      </c>
      <c r="CQ323" s="218">
        <f t="shared" si="117"/>
        <v>2</v>
      </c>
      <c r="DC323" s="116"/>
      <c r="DD323" s="116"/>
      <c r="DE323" s="116"/>
      <c r="DF323" s="116"/>
      <c r="DI323" s="116"/>
    </row>
    <row r="324" spans="15:115" s="101" customFormat="1" ht="18.75" hidden="1" thickBot="1" x14ac:dyDescent="0.3">
      <c r="BI324" s="203" t="s">
        <v>473</v>
      </c>
      <c r="BJ324" s="190" t="s">
        <v>471</v>
      </c>
      <c r="BK324" s="196">
        <f>2/1000</f>
        <v>2E-3</v>
      </c>
      <c r="BL324" s="190" t="s">
        <v>416</v>
      </c>
      <c r="BM324" s="189">
        <f>0/2</f>
        <v>0</v>
      </c>
      <c r="BN324" s="189">
        <f>20/2</f>
        <v>10</v>
      </c>
      <c r="BO324" s="188" t="s">
        <v>258</v>
      </c>
      <c r="BP324" s="196">
        <v>0</v>
      </c>
      <c r="BQ324" s="190" t="s">
        <v>417</v>
      </c>
      <c r="BR324" s="189">
        <v>0</v>
      </c>
      <c r="BS324" s="189">
        <v>0</v>
      </c>
      <c r="BT324" s="188" t="s">
        <v>258</v>
      </c>
      <c r="BU324" s="102"/>
      <c r="BV324" s="207"/>
      <c r="BW324" s="206"/>
      <c r="BX324" s="206"/>
      <c r="BY324" s="207"/>
      <c r="BZ324" s="207"/>
      <c r="CA324" s="207"/>
      <c r="CB324" s="180"/>
      <c r="CC324" s="178"/>
      <c r="CD324" s="178"/>
      <c r="CE324" s="180"/>
      <c r="CF324" s="180"/>
      <c r="CG324" s="180"/>
      <c r="CH324" s="180"/>
      <c r="CI324" s="178"/>
      <c r="CJ324" s="178"/>
      <c r="CK324" s="180"/>
      <c r="CL324" s="180"/>
      <c r="CM324" s="180"/>
      <c r="CN324" s="225"/>
      <c r="CO324" s="218">
        <f t="shared" si="115"/>
        <v>0</v>
      </c>
      <c r="CP324" s="100">
        <f t="shared" si="116"/>
        <v>5</v>
      </c>
      <c r="CQ324" s="218">
        <f t="shared" si="117"/>
        <v>10</v>
      </c>
      <c r="DC324" s="116"/>
      <c r="DD324" s="116"/>
      <c r="DE324" s="116"/>
      <c r="DF324" s="116"/>
      <c r="DI324" s="116"/>
    </row>
    <row r="325" spans="15:115" s="101" customFormat="1" ht="18.75" hidden="1" thickBot="1" x14ac:dyDescent="0.3">
      <c r="BB325" s="100" t="s">
        <v>1408</v>
      </c>
      <c r="BC325" s="100" t="s">
        <v>1409</v>
      </c>
      <c r="BD325" s="100" t="s">
        <v>1410</v>
      </c>
      <c r="BE325" s="100"/>
      <c r="BF325" s="100" t="s">
        <v>1411</v>
      </c>
      <c r="BI325" s="203" t="s">
        <v>474</v>
      </c>
      <c r="BJ325" s="190" t="s">
        <v>1407</v>
      </c>
      <c r="BK325" s="196">
        <f>1/1000</f>
        <v>1E-3</v>
      </c>
      <c r="BL325" s="190" t="s">
        <v>416</v>
      </c>
      <c r="BM325" s="189">
        <f>0/2</f>
        <v>0</v>
      </c>
      <c r="BN325" s="189">
        <f>8/1</f>
        <v>8</v>
      </c>
      <c r="BO325" s="188" t="s">
        <v>258</v>
      </c>
      <c r="BP325" s="196">
        <v>0</v>
      </c>
      <c r="BQ325" s="190" t="s">
        <v>417</v>
      </c>
      <c r="BR325" s="189">
        <v>0</v>
      </c>
      <c r="BS325" s="189">
        <v>0</v>
      </c>
      <c r="BT325" s="188" t="s">
        <v>258</v>
      </c>
      <c r="BU325" s="102"/>
      <c r="BV325" s="207"/>
      <c r="BW325" s="206"/>
      <c r="BX325" s="206"/>
      <c r="BY325" s="207"/>
      <c r="BZ325" s="207"/>
      <c r="CA325" s="207"/>
      <c r="CB325" s="180"/>
      <c r="CC325" s="178"/>
      <c r="CD325" s="178"/>
      <c r="CE325" s="180"/>
      <c r="CF325" s="180"/>
      <c r="CG325" s="180"/>
      <c r="CH325" s="180"/>
      <c r="CI325" s="178"/>
      <c r="CJ325" s="178"/>
      <c r="CK325" s="180"/>
      <c r="CL325" s="180"/>
      <c r="CM325" s="180"/>
      <c r="CN325" s="225"/>
      <c r="CO325" s="218">
        <f t="shared" si="115"/>
        <v>0</v>
      </c>
      <c r="CP325" s="100">
        <f t="shared" si="116"/>
        <v>4</v>
      </c>
      <c r="CQ325" s="218">
        <f t="shared" si="117"/>
        <v>8</v>
      </c>
      <c r="DC325" s="116"/>
      <c r="DD325" s="116"/>
      <c r="DE325" s="116"/>
      <c r="DF325" s="116"/>
      <c r="DI325" s="116"/>
    </row>
    <row r="326" spans="15:115" s="101" customFormat="1" ht="26.25" hidden="1" thickBot="1" x14ac:dyDescent="0.3">
      <c r="BB326" s="100">
        <v>50.4</v>
      </c>
      <c r="BC326" s="100">
        <v>22</v>
      </c>
      <c r="BD326" s="100">
        <f>BC326/((BB326*1000*1000)/(1000*1000))</f>
        <v>0.43650793650793651</v>
      </c>
      <c r="BE326" s="100"/>
      <c r="BF326" s="100">
        <v>0.63500999999999996</v>
      </c>
      <c r="BI326" s="203" t="s">
        <v>1412</v>
      </c>
      <c r="BJ326" s="190" t="s">
        <v>1413</v>
      </c>
      <c r="BK326" s="196">
        <f>BD326*BF326</f>
        <v>0.27718690476190477</v>
      </c>
      <c r="BL326" s="190" t="s">
        <v>1414</v>
      </c>
      <c r="BM326" s="189">
        <f>0%/5%</f>
        <v>0</v>
      </c>
      <c r="BN326" s="189">
        <f>10%/5%</f>
        <v>2</v>
      </c>
      <c r="BO326" s="188" t="s">
        <v>258</v>
      </c>
      <c r="BP326" s="196">
        <v>0</v>
      </c>
      <c r="BQ326" s="190" t="s">
        <v>1415</v>
      </c>
      <c r="BR326" s="189">
        <v>0</v>
      </c>
      <c r="BS326" s="189">
        <v>0</v>
      </c>
      <c r="BT326" s="188" t="s">
        <v>258</v>
      </c>
      <c r="BU326" s="102"/>
      <c r="BV326" s="207"/>
      <c r="BW326" s="206"/>
      <c r="BX326" s="206"/>
      <c r="BY326" s="207"/>
      <c r="BZ326" s="207"/>
      <c r="CA326" s="207"/>
      <c r="CB326" s="180"/>
      <c r="CC326" s="178"/>
      <c r="CD326" s="178"/>
      <c r="CE326" s="180"/>
      <c r="CF326" s="180"/>
      <c r="CG326" s="180"/>
      <c r="CH326" s="180"/>
      <c r="CI326" s="178"/>
      <c r="CJ326" s="178"/>
      <c r="CK326" s="180"/>
      <c r="CL326" s="180"/>
      <c r="CM326" s="180"/>
      <c r="CN326" s="225"/>
      <c r="CO326" s="218">
        <f t="shared" si="115"/>
        <v>0</v>
      </c>
      <c r="CP326" s="100">
        <f t="shared" si="116"/>
        <v>1</v>
      </c>
      <c r="CQ326" s="218">
        <f t="shared" si="117"/>
        <v>2</v>
      </c>
      <c r="DC326" s="116"/>
      <c r="DD326" s="116"/>
      <c r="DE326" s="116"/>
      <c r="DF326" s="116"/>
      <c r="DI326" s="116"/>
    </row>
    <row r="327" spans="15:115" s="101" customFormat="1" ht="18.75" hidden="1" thickBot="1" x14ac:dyDescent="0.3">
      <c r="BI327" s="203" t="s">
        <v>316</v>
      </c>
      <c r="BJ327" s="190" t="s">
        <v>49</v>
      </c>
      <c r="BK327" s="196">
        <f>2.7/1000</f>
        <v>2.7000000000000001E-3</v>
      </c>
      <c r="BL327" s="190" t="s">
        <v>416</v>
      </c>
      <c r="BM327" s="189">
        <f>0.9/2.7</f>
        <v>0.33333333333333331</v>
      </c>
      <c r="BN327" s="189">
        <f>0.9/2.7</f>
        <v>0.33333333333333331</v>
      </c>
      <c r="BO327" s="188" t="s">
        <v>258</v>
      </c>
      <c r="BP327" s="196">
        <f>0.07/1000</f>
        <v>7.0000000000000007E-5</v>
      </c>
      <c r="BQ327" s="190" t="s">
        <v>417</v>
      </c>
      <c r="BR327" s="189">
        <f>0.1/0.07</f>
        <v>1.4285714285714286</v>
      </c>
      <c r="BS327" s="189">
        <f>0.1/0.07</f>
        <v>1.4285714285714286</v>
      </c>
      <c r="BT327" s="188" t="s">
        <v>258</v>
      </c>
      <c r="BU327" s="102"/>
      <c r="BV327" s="196">
        <v>1515</v>
      </c>
      <c r="BW327" s="190" t="s">
        <v>461</v>
      </c>
      <c r="BX327" s="189">
        <f>177/1515</f>
        <v>0.11683168316831684</v>
      </c>
      <c r="BY327" s="189">
        <f>177/1515</f>
        <v>0.11683168316831684</v>
      </c>
      <c r="BZ327" s="188" t="s">
        <v>258</v>
      </c>
      <c r="CA327" s="207"/>
      <c r="CB327" s="180"/>
      <c r="CC327" s="178"/>
      <c r="CD327" s="178"/>
      <c r="CE327" s="180"/>
      <c r="CF327" s="180"/>
      <c r="CG327" s="180"/>
      <c r="CH327" s="180"/>
      <c r="CI327" s="178"/>
      <c r="CJ327" s="178"/>
      <c r="CK327" s="180"/>
      <c r="CL327" s="180"/>
      <c r="CM327" s="180"/>
      <c r="CN327" s="225"/>
      <c r="CO327" s="218">
        <f t="shared" ref="CO327:CO390" si="137">BM327</f>
        <v>0.33333333333333331</v>
      </c>
      <c r="CP327" s="100">
        <f t="shared" ref="CP327:CP390" si="138">(CO327+CQ327)/2</f>
        <v>0.33333333333333331</v>
      </c>
      <c r="CQ327" s="218">
        <f t="shared" ref="CQ327:CQ390" si="139">BN327</f>
        <v>0.33333333333333331</v>
      </c>
      <c r="DC327" s="116"/>
      <c r="DD327" s="116"/>
      <c r="DE327" s="116"/>
      <c r="DF327" s="116"/>
      <c r="DI327" s="116"/>
    </row>
    <row r="328" spans="15:115" s="101" customFormat="1" ht="18.75" hidden="1" thickBot="1" x14ac:dyDescent="0.3">
      <c r="BI328" s="203" t="s">
        <v>460</v>
      </c>
      <c r="BJ328" s="190" t="s">
        <v>49</v>
      </c>
      <c r="BK328" s="196">
        <f>2.3/1000</f>
        <v>2.3E-3</v>
      </c>
      <c r="BL328" s="190" t="s">
        <v>416</v>
      </c>
      <c r="BM328" s="189">
        <f>0.9/2.3</f>
        <v>0.39130434782608697</v>
      </c>
      <c r="BN328" s="189">
        <f>0.9/2.3</f>
        <v>0.39130434782608697</v>
      </c>
      <c r="BO328" s="188" t="s">
        <v>258</v>
      </c>
      <c r="BP328" s="196">
        <f>0.21/1000</f>
        <v>2.0999999999999998E-4</v>
      </c>
      <c r="BQ328" s="190" t="s">
        <v>417</v>
      </c>
      <c r="BR328" s="189">
        <f>0.1/0.21</f>
        <v>0.47619047619047622</v>
      </c>
      <c r="BS328" s="189">
        <f>0.1/0.21</f>
        <v>0.47619047619047622</v>
      </c>
      <c r="BT328" s="188" t="s">
        <v>258</v>
      </c>
      <c r="BU328" s="102"/>
      <c r="BV328" s="196">
        <v>1613</v>
      </c>
      <c r="BW328" s="190" t="s">
        <v>461</v>
      </c>
      <c r="BX328" s="189">
        <f>95/1613</f>
        <v>5.8896466212027279E-2</v>
      </c>
      <c r="BY328" s="189">
        <f>95/1613</f>
        <v>5.8896466212027279E-2</v>
      </c>
      <c r="BZ328" s="188" t="s">
        <v>258</v>
      </c>
      <c r="CA328" s="207"/>
      <c r="CB328" s="180"/>
      <c r="CC328" s="178"/>
      <c r="CD328" s="178"/>
      <c r="CE328" s="180"/>
      <c r="CF328" s="180"/>
      <c r="CG328" s="180"/>
      <c r="CH328" s="180"/>
      <c r="CI328" s="178"/>
      <c r="CJ328" s="178"/>
      <c r="CK328" s="180"/>
      <c r="CL328" s="180"/>
      <c r="CM328" s="180"/>
      <c r="CN328" s="225"/>
      <c r="CO328" s="218">
        <f t="shared" si="137"/>
        <v>0.39130434782608697</v>
      </c>
      <c r="CP328" s="100">
        <f t="shared" si="138"/>
        <v>0.39130434782608697</v>
      </c>
      <c r="CQ328" s="218">
        <f t="shared" si="139"/>
        <v>0.39130434782608697</v>
      </c>
      <c r="DC328" s="116"/>
      <c r="DD328" s="116"/>
      <c r="DE328" s="116"/>
      <c r="DF328" s="116"/>
      <c r="DI328" s="116"/>
    </row>
    <row r="329" spans="15:115" s="101" customFormat="1" hidden="1" x14ac:dyDescent="0.25">
      <c r="BI329" s="102"/>
      <c r="BJ329" s="178"/>
      <c r="BK329" s="178"/>
      <c r="BL329" s="178"/>
      <c r="BM329" s="169"/>
      <c r="BN329" s="169"/>
      <c r="BO329" s="169"/>
      <c r="BP329" s="206"/>
      <c r="BQ329" s="178"/>
      <c r="BR329" s="206"/>
      <c r="BS329" s="206"/>
      <c r="BT329" s="206"/>
      <c r="BU329" s="206"/>
      <c r="BV329" s="207"/>
      <c r="BW329" s="206"/>
      <c r="BX329" s="206"/>
      <c r="BY329" s="207"/>
      <c r="BZ329" s="207"/>
      <c r="CA329" s="207"/>
      <c r="CB329" s="180"/>
      <c r="CC329" s="178"/>
      <c r="CD329" s="178"/>
      <c r="CE329" s="180"/>
      <c r="CF329" s="180"/>
      <c r="CG329" s="180"/>
      <c r="CH329" s="180"/>
      <c r="CI329" s="178"/>
      <c r="CJ329" s="178"/>
      <c r="CK329" s="180"/>
      <c r="CL329" s="180"/>
      <c r="CM329" s="180"/>
      <c r="CN329" s="225"/>
      <c r="CO329" s="218">
        <f t="shared" si="137"/>
        <v>0</v>
      </c>
      <c r="CP329" s="100">
        <f t="shared" si="138"/>
        <v>0</v>
      </c>
      <c r="CQ329" s="218">
        <f t="shared" si="139"/>
        <v>0</v>
      </c>
      <c r="DC329" s="116"/>
      <c r="DD329" s="116"/>
      <c r="DE329" s="116"/>
      <c r="DF329" s="116"/>
      <c r="DH329" s="101" t="s">
        <v>109</v>
      </c>
      <c r="DI329" s="101" t="s">
        <v>110</v>
      </c>
      <c r="DJ329" s="101" t="s">
        <v>107</v>
      </c>
    </row>
    <row r="330" spans="15:115" s="101" customFormat="1" ht="15.75" hidden="1" thickBot="1" x14ac:dyDescent="0.3">
      <c r="BI330" s="102"/>
      <c r="BJ330" s="178"/>
      <c r="BK330" s="178"/>
      <c r="BL330" s="178"/>
      <c r="BM330" s="169"/>
      <c r="BN330" s="169"/>
      <c r="BO330" s="169"/>
      <c r="BP330" s="206"/>
      <c r="BQ330" s="206"/>
      <c r="BR330" s="206"/>
      <c r="BS330" s="206"/>
      <c r="BT330" s="206"/>
      <c r="BU330" s="206"/>
      <c r="BV330" s="207"/>
      <c r="BW330" s="206"/>
      <c r="BX330" s="206"/>
      <c r="BY330" s="207"/>
      <c r="BZ330" s="207"/>
      <c r="CA330" s="207"/>
      <c r="CB330" s="180"/>
      <c r="CC330" s="178"/>
      <c r="CD330" s="178"/>
      <c r="CE330" s="180"/>
      <c r="CF330" s="180"/>
      <c r="CG330" s="180"/>
      <c r="CH330" s="180"/>
      <c r="CI330" s="178"/>
      <c r="CJ330" s="178"/>
      <c r="CK330" s="180"/>
      <c r="CL330" s="180"/>
      <c r="CM330" s="180"/>
      <c r="CN330" s="225"/>
      <c r="CO330" s="218">
        <f t="shared" si="137"/>
        <v>0</v>
      </c>
      <c r="CP330" s="100">
        <f t="shared" si="138"/>
        <v>0</v>
      </c>
      <c r="CQ330" s="218">
        <f t="shared" si="139"/>
        <v>0</v>
      </c>
      <c r="DC330" s="116"/>
      <c r="DD330" s="116"/>
      <c r="DE330" s="116"/>
      <c r="DF330" s="116"/>
      <c r="DH330" s="101">
        <v>1.4999999999999999E-2</v>
      </c>
      <c r="DI330" s="101">
        <v>7.0000000000000001E-3</v>
      </c>
      <c r="DJ330" s="101">
        <f>+DB319*DC319*DG319*DH330*DI330*310</f>
        <v>1.4647500000000001E-2</v>
      </c>
    </row>
    <row r="331" spans="15:115" s="101" customFormat="1" hidden="1" x14ac:dyDescent="0.25">
      <c r="BI331" s="1606" t="s">
        <v>261</v>
      </c>
      <c r="BJ331" s="183"/>
      <c r="BK331" s="1606" t="s">
        <v>282</v>
      </c>
      <c r="BL331" s="183"/>
      <c r="BM331" s="1606" t="s">
        <v>233</v>
      </c>
      <c r="BN331" s="1606" t="s">
        <v>233</v>
      </c>
      <c r="BO331" s="1606" t="s">
        <v>240</v>
      </c>
      <c r="BP331" s="206"/>
      <c r="BQ331" s="206"/>
      <c r="BR331" s="206"/>
      <c r="BS331" s="206"/>
      <c r="BT331" s="206"/>
      <c r="BU331" s="206"/>
      <c r="BV331" s="207"/>
      <c r="BW331" s="206"/>
      <c r="BX331" s="206"/>
      <c r="BY331" s="207"/>
      <c r="BZ331" s="207"/>
      <c r="CA331" s="207"/>
      <c r="CB331" s="180"/>
      <c r="CC331" s="178"/>
      <c r="CD331" s="178"/>
      <c r="CE331" s="180"/>
      <c r="CF331" s="180"/>
      <c r="CG331" s="180"/>
      <c r="CH331" s="180"/>
      <c r="CI331" s="178"/>
      <c r="CJ331" s="178"/>
      <c r="CK331" s="180"/>
      <c r="CL331" s="180"/>
      <c r="CM331" s="180"/>
      <c r="CN331" s="225"/>
      <c r="CO331" s="218" t="str">
        <f t="shared" si="137"/>
        <v>Incertidumbre (+/- %)</v>
      </c>
      <c r="CP331" s="100" t="e">
        <f t="shared" si="138"/>
        <v>#VALUE!</v>
      </c>
      <c r="CQ331" s="218" t="str">
        <f t="shared" si="139"/>
        <v>Incertidumbre (+/- %)</v>
      </c>
      <c r="DC331" s="116"/>
      <c r="DD331" s="116"/>
      <c r="DE331" s="116"/>
      <c r="DF331" s="116"/>
    </row>
    <row r="332" spans="15:115" s="101" customFormat="1" ht="15.75" hidden="1" thickBot="1" x14ac:dyDescent="0.3">
      <c r="BI332" s="1607"/>
      <c r="BJ332" s="184" t="s">
        <v>253</v>
      </c>
      <c r="BK332" s="1607"/>
      <c r="BL332" s="184" t="s">
        <v>251</v>
      </c>
      <c r="BM332" s="1607"/>
      <c r="BN332" s="1607"/>
      <c r="BO332" s="1607"/>
      <c r="BP332" s="206"/>
      <c r="BQ332" s="206"/>
      <c r="BR332" s="206"/>
      <c r="BS332" s="206"/>
      <c r="BT332" s="206"/>
      <c r="BU332" s="206"/>
      <c r="BV332" s="207"/>
      <c r="BW332" s="206"/>
      <c r="BX332" s="206"/>
      <c r="BY332" s="207"/>
      <c r="BZ332" s="207"/>
      <c r="CA332" s="207"/>
      <c r="CB332" s="180"/>
      <c r="CC332" s="178"/>
      <c r="CD332" s="178"/>
      <c r="CE332" s="180"/>
      <c r="CF332" s="180"/>
      <c r="CG332" s="180"/>
      <c r="CH332" s="180"/>
      <c r="CI332" s="178"/>
      <c r="CJ332" s="178"/>
      <c r="CK332" s="180"/>
      <c r="CL332" s="180"/>
      <c r="CM332" s="180"/>
      <c r="CN332" s="225"/>
      <c r="CO332" s="218">
        <f t="shared" si="137"/>
        <v>0</v>
      </c>
      <c r="CP332" s="100">
        <f t="shared" si="138"/>
        <v>0</v>
      </c>
      <c r="CQ332" s="218">
        <f t="shared" si="139"/>
        <v>0</v>
      </c>
      <c r="DC332" s="116"/>
      <c r="DD332" s="116"/>
      <c r="DE332" s="116"/>
      <c r="DF332" s="116"/>
      <c r="DJ332" s="101">
        <f>+DB319*DC319*DG319*DH330*DI330*298</f>
        <v>1.4080500000000001E-2</v>
      </c>
    </row>
    <row r="333" spans="15:115" s="101" customFormat="1" ht="18.75" hidden="1" thickBot="1" x14ac:dyDescent="0.3">
      <c r="BI333" s="203" t="s">
        <v>450</v>
      </c>
      <c r="BJ333" s="190" t="s">
        <v>419</v>
      </c>
      <c r="BK333" s="196">
        <v>3.6666999999999998E-2</v>
      </c>
      <c r="BL333" s="190" t="s">
        <v>453</v>
      </c>
      <c r="BM333" s="189">
        <v>0.1</v>
      </c>
      <c r="BN333" s="189">
        <v>3</v>
      </c>
      <c r="BO333" s="188" t="s">
        <v>258</v>
      </c>
      <c r="BP333" s="206"/>
      <c r="BQ333" s="206"/>
      <c r="BR333" s="206"/>
      <c r="BS333" s="206"/>
      <c r="BT333" s="206"/>
      <c r="BU333" s="206"/>
      <c r="BV333" s="207"/>
      <c r="BW333" s="206"/>
      <c r="BX333" s="206"/>
      <c r="BY333" s="207"/>
      <c r="BZ333" s="207"/>
      <c r="CA333" s="207"/>
      <c r="CB333" s="180"/>
      <c r="CC333" s="178"/>
      <c r="CD333" s="178"/>
      <c r="CE333" s="180"/>
      <c r="CF333" s="180"/>
      <c r="CG333" s="180"/>
      <c r="CH333" s="180"/>
      <c r="CI333" s="178"/>
      <c r="CJ333" s="178"/>
      <c r="CK333" s="180"/>
      <c r="CL333" s="180"/>
      <c r="CM333" s="180"/>
      <c r="CN333" s="225"/>
      <c r="CO333" s="218">
        <f t="shared" si="137"/>
        <v>0.1</v>
      </c>
      <c r="CP333" s="100">
        <f t="shared" si="138"/>
        <v>1.55</v>
      </c>
      <c r="CQ333" s="218">
        <f t="shared" si="139"/>
        <v>3</v>
      </c>
      <c r="DC333" s="116"/>
      <c r="DD333" s="116"/>
      <c r="DE333" s="116"/>
      <c r="DF333" s="116"/>
    </row>
    <row r="334" spans="15:115" s="101" customFormat="1" ht="18.75" hidden="1" thickBot="1" x14ac:dyDescent="0.3">
      <c r="BI334" s="203" t="s">
        <v>451</v>
      </c>
      <c r="BJ334" s="190" t="s">
        <v>419</v>
      </c>
      <c r="BK334" s="196">
        <v>7.3332999999999995E-2</v>
      </c>
      <c r="BL334" s="190" t="s">
        <v>453</v>
      </c>
      <c r="BM334" s="189">
        <v>0.35</v>
      </c>
      <c r="BN334" s="189">
        <v>3</v>
      </c>
      <c r="BO334" s="188" t="s">
        <v>258</v>
      </c>
      <c r="BP334" s="206"/>
      <c r="BQ334" s="206"/>
      <c r="BR334" s="206"/>
      <c r="BS334" s="206"/>
      <c r="BT334" s="206"/>
      <c r="BU334" s="206"/>
      <c r="BV334" s="207"/>
      <c r="BW334" s="206"/>
      <c r="BX334" s="206"/>
      <c r="BY334" s="207"/>
      <c r="BZ334" s="207"/>
      <c r="CA334" s="207"/>
      <c r="CB334" s="180"/>
      <c r="CC334" s="178"/>
      <c r="CD334" s="178"/>
      <c r="CE334" s="180"/>
      <c r="CF334" s="180"/>
      <c r="CG334" s="180"/>
      <c r="CH334" s="180"/>
      <c r="CI334" s="178"/>
      <c r="CJ334" s="178"/>
      <c r="CK334" s="180"/>
      <c r="CL334" s="180"/>
      <c r="CM334" s="180"/>
      <c r="CN334" s="225"/>
      <c r="CO334" s="218">
        <f t="shared" si="137"/>
        <v>0.35</v>
      </c>
      <c r="CP334" s="100">
        <f t="shared" si="138"/>
        <v>1.675</v>
      </c>
      <c r="CQ334" s="218">
        <f t="shared" si="139"/>
        <v>3</v>
      </c>
      <c r="DC334" s="116"/>
      <c r="DD334" s="116"/>
      <c r="DE334" s="116"/>
      <c r="DF334" s="116"/>
    </row>
    <row r="335" spans="15:115" s="101" customFormat="1" ht="18.75" hidden="1" thickBot="1" x14ac:dyDescent="0.3">
      <c r="BI335" s="203" t="s">
        <v>452</v>
      </c>
      <c r="BJ335" s="190" t="s">
        <v>419</v>
      </c>
      <c r="BK335" s="196">
        <v>3.6666999999999998E-2</v>
      </c>
      <c r="BL335" s="190" t="s">
        <v>453</v>
      </c>
      <c r="BM335" s="189">
        <v>0.33329999999999999</v>
      </c>
      <c r="BN335" s="189">
        <v>3</v>
      </c>
      <c r="BO335" s="188" t="s">
        <v>258</v>
      </c>
      <c r="BP335" s="206"/>
      <c r="BQ335" s="206"/>
      <c r="BR335" s="206"/>
      <c r="BS335" s="206"/>
      <c r="BT335" s="206"/>
      <c r="BU335" s="206"/>
      <c r="BV335" s="207"/>
      <c r="BW335" s="206"/>
      <c r="BX335" s="206"/>
      <c r="BY335" s="207"/>
      <c r="BZ335" s="207"/>
      <c r="CA335" s="207"/>
      <c r="CB335" s="180"/>
      <c r="CC335" s="178"/>
      <c r="CD335" s="178"/>
      <c r="CE335" s="180"/>
      <c r="CF335" s="180"/>
      <c r="CG335" s="180"/>
      <c r="CH335" s="180"/>
      <c r="CI335" s="178"/>
      <c r="CJ335" s="178"/>
      <c r="CK335" s="180"/>
      <c r="CL335" s="180"/>
      <c r="CM335" s="180"/>
      <c r="CN335" s="225"/>
      <c r="CO335" s="218">
        <f t="shared" si="137"/>
        <v>0.33329999999999999</v>
      </c>
      <c r="CP335" s="100">
        <f t="shared" si="138"/>
        <v>1.66665</v>
      </c>
      <c r="CQ335" s="218">
        <f t="shared" si="139"/>
        <v>3</v>
      </c>
      <c r="DC335" s="116"/>
      <c r="DD335" s="116"/>
      <c r="DE335" s="116"/>
      <c r="DF335" s="116"/>
    </row>
    <row r="336" spans="15:115" s="101" customFormat="1" ht="18.75" hidden="1" thickBot="1" x14ac:dyDescent="0.3">
      <c r="BI336" s="203" t="s">
        <v>449</v>
      </c>
      <c r="BJ336" s="190" t="s">
        <v>419</v>
      </c>
      <c r="BK336" s="196">
        <v>1.0999999999999999E-2</v>
      </c>
      <c r="BL336" s="190" t="s">
        <v>453</v>
      </c>
      <c r="BM336" s="189">
        <v>0.01</v>
      </c>
      <c r="BN336" s="189">
        <v>2</v>
      </c>
      <c r="BO336" s="188" t="s">
        <v>258</v>
      </c>
      <c r="BP336" s="206"/>
      <c r="BQ336" s="196">
        <v>3.3525000000000005</v>
      </c>
      <c r="BR336" s="190" t="s">
        <v>420</v>
      </c>
      <c r="BS336" s="206"/>
      <c r="BT336" s="206"/>
      <c r="BU336" s="206"/>
      <c r="BV336" s="207"/>
      <c r="BW336" s="206"/>
      <c r="BX336" s="206"/>
      <c r="BY336" s="207"/>
      <c r="BZ336" s="207"/>
      <c r="CA336" s="207"/>
      <c r="CB336" s="180"/>
      <c r="CC336" s="178"/>
      <c r="CD336" s="178"/>
      <c r="CE336" s="180"/>
      <c r="CF336" s="180"/>
      <c r="CG336" s="180"/>
      <c r="CH336" s="180"/>
      <c r="CI336" s="178"/>
      <c r="CJ336" s="178"/>
      <c r="CK336" s="180"/>
      <c r="CL336" s="180"/>
      <c r="CM336" s="180"/>
      <c r="CN336" s="225"/>
      <c r="CO336" s="218">
        <f t="shared" si="137"/>
        <v>0.01</v>
      </c>
      <c r="CP336" s="100">
        <f t="shared" si="138"/>
        <v>1.0049999999999999</v>
      </c>
      <c r="CQ336" s="218">
        <f t="shared" si="139"/>
        <v>2</v>
      </c>
      <c r="DC336" s="116"/>
      <c r="DD336" s="116"/>
      <c r="DE336" s="116"/>
      <c r="DF336" s="116"/>
    </row>
    <row r="337" spans="61:116" s="101" customFormat="1" ht="18.75" hidden="1" thickBot="1" x14ac:dyDescent="0.3">
      <c r="BI337" s="203" t="s">
        <v>456</v>
      </c>
      <c r="BJ337" s="190" t="s">
        <v>455</v>
      </c>
      <c r="BK337" s="196">
        <f>0.12*(44/12)</f>
        <v>0.43999999999999995</v>
      </c>
      <c r="BL337" s="190" t="s">
        <v>454</v>
      </c>
      <c r="BM337" s="189">
        <v>0.01</v>
      </c>
      <c r="BN337" s="189">
        <v>0.5</v>
      </c>
      <c r="BO337" s="188" t="s">
        <v>258</v>
      </c>
      <c r="BP337" s="206"/>
      <c r="BQ337" s="206"/>
      <c r="BR337" s="206"/>
      <c r="BS337" s="206"/>
      <c r="BT337" s="206"/>
      <c r="BU337" s="206"/>
      <c r="BV337" s="207"/>
      <c r="BW337" s="206"/>
      <c r="BX337" s="206"/>
      <c r="BY337" s="207"/>
      <c r="BZ337" s="207"/>
      <c r="CA337" s="207"/>
      <c r="CB337" s="180"/>
      <c r="CC337" s="178"/>
      <c r="CD337" s="178"/>
      <c r="CE337" s="180"/>
      <c r="CF337" s="180"/>
      <c r="CG337" s="180"/>
      <c r="CH337" s="180"/>
      <c r="CI337" s="178"/>
      <c r="CJ337" s="178"/>
      <c r="CK337" s="180"/>
      <c r="CL337" s="180"/>
      <c r="CM337" s="180"/>
      <c r="CN337" s="225"/>
      <c r="CO337" s="218">
        <f t="shared" si="137"/>
        <v>0.01</v>
      </c>
      <c r="CP337" s="100">
        <f t="shared" si="138"/>
        <v>0.255</v>
      </c>
      <c r="CQ337" s="218">
        <f t="shared" si="139"/>
        <v>0.5</v>
      </c>
      <c r="DC337" s="116"/>
      <c r="DD337" s="116"/>
      <c r="DE337" s="116"/>
      <c r="DF337" s="116"/>
    </row>
    <row r="338" spans="61:116" s="101" customFormat="1" ht="18.75" hidden="1" thickBot="1" x14ac:dyDescent="0.3">
      <c r="BI338" s="203" t="s">
        <v>457</v>
      </c>
      <c r="BJ338" s="190" t="s">
        <v>455</v>
      </c>
      <c r="BK338" s="196">
        <f>0.13*(44/12)</f>
        <v>0.47666666666666668</v>
      </c>
      <c r="BL338" s="190" t="s">
        <v>454</v>
      </c>
      <c r="BM338" s="189">
        <v>0.01</v>
      </c>
      <c r="BN338" s="189">
        <v>0.5</v>
      </c>
      <c r="BO338" s="188" t="s">
        <v>258</v>
      </c>
      <c r="BP338" s="206"/>
      <c r="BQ338" s="206"/>
      <c r="BR338" s="206"/>
      <c r="BS338" s="206"/>
      <c r="BT338" s="206"/>
      <c r="BU338" s="206"/>
      <c r="BV338" s="207"/>
      <c r="BW338" s="206"/>
      <c r="BX338" s="206"/>
      <c r="BY338" s="207"/>
      <c r="BZ338" s="207"/>
      <c r="CA338" s="207"/>
      <c r="CB338" s="180"/>
      <c r="CC338" s="178"/>
      <c r="CD338" s="178"/>
      <c r="CE338" s="180"/>
      <c r="CF338" s="180"/>
      <c r="CG338" s="180"/>
      <c r="CH338" s="180"/>
      <c r="CI338" s="178"/>
      <c r="CJ338" s="178"/>
      <c r="CK338" s="180"/>
      <c r="CL338" s="180"/>
      <c r="CM338" s="180"/>
      <c r="CN338" s="225"/>
      <c r="CO338" s="218">
        <f t="shared" si="137"/>
        <v>0.01</v>
      </c>
      <c r="CP338" s="100">
        <f t="shared" si="138"/>
        <v>0.255</v>
      </c>
      <c r="CQ338" s="218">
        <f t="shared" si="139"/>
        <v>0.5</v>
      </c>
      <c r="DC338" s="116"/>
      <c r="DD338" s="116"/>
      <c r="DE338" s="116"/>
      <c r="DF338" s="116"/>
    </row>
    <row r="339" spans="61:116" s="101" customFormat="1" ht="18.75" hidden="1" thickBot="1" x14ac:dyDescent="0.3">
      <c r="BI339" s="203" t="s">
        <v>493</v>
      </c>
      <c r="BJ339" s="190" t="s">
        <v>458</v>
      </c>
      <c r="BK339" s="196">
        <f>0.2*(44/12)</f>
        <v>0.73333333333333339</v>
      </c>
      <c r="BL339" s="190" t="s">
        <v>459</v>
      </c>
      <c r="BM339" s="189">
        <v>0.01</v>
      </c>
      <c r="BN339" s="189">
        <v>0.5</v>
      </c>
      <c r="BO339" s="188" t="s">
        <v>258</v>
      </c>
      <c r="BP339" s="206"/>
      <c r="BQ339" s="196"/>
      <c r="BR339" s="190"/>
      <c r="BS339" s="206"/>
      <c r="BT339" s="206"/>
      <c r="BU339" s="206"/>
      <c r="BV339" s="207"/>
      <c r="BW339" s="206"/>
      <c r="BX339" s="206"/>
      <c r="BY339" s="207"/>
      <c r="BZ339" s="207"/>
      <c r="CA339" s="207"/>
      <c r="CB339" s="180"/>
      <c r="CC339" s="178"/>
      <c r="CD339" s="178"/>
      <c r="CE339" s="180"/>
      <c r="CF339" s="180"/>
      <c r="CG339" s="180"/>
      <c r="CH339" s="180"/>
      <c r="CI339" s="178"/>
      <c r="CJ339" s="178"/>
      <c r="CK339" s="180"/>
      <c r="CL339" s="180"/>
      <c r="CM339" s="180"/>
      <c r="CN339" s="225"/>
      <c r="CO339" s="218">
        <f t="shared" si="137"/>
        <v>0.01</v>
      </c>
      <c r="CP339" s="100">
        <f t="shared" si="138"/>
        <v>0.255</v>
      </c>
      <c r="CQ339" s="218">
        <f t="shared" si="139"/>
        <v>0.5</v>
      </c>
      <c r="DC339" s="116"/>
      <c r="DD339" s="116"/>
      <c r="DE339" s="116"/>
      <c r="DF339" s="116"/>
    </row>
    <row r="340" spans="61:116" s="101" customFormat="1" hidden="1" x14ac:dyDescent="0.25">
      <c r="BI340" s="102"/>
      <c r="BJ340" s="178"/>
      <c r="BK340" s="178"/>
      <c r="BL340" s="178"/>
      <c r="BM340" s="169"/>
      <c r="BN340" s="169"/>
      <c r="BO340" s="169"/>
      <c r="BP340" s="206"/>
      <c r="BQ340" s="206"/>
      <c r="BR340" s="206"/>
      <c r="BS340" s="206"/>
      <c r="BT340" s="206"/>
      <c r="BU340" s="206"/>
      <c r="BV340" s="207"/>
      <c r="BW340" s="206"/>
      <c r="BX340" s="206"/>
      <c r="BY340" s="207"/>
      <c r="BZ340" s="207"/>
      <c r="CA340" s="207"/>
      <c r="CB340" s="180"/>
      <c r="CC340" s="178"/>
      <c r="CD340" s="178"/>
      <c r="CE340" s="180"/>
      <c r="CF340" s="180"/>
      <c r="CG340" s="180"/>
      <c r="CH340" s="180"/>
      <c r="CI340" s="178"/>
      <c r="CJ340" s="178"/>
      <c r="CK340" s="180"/>
      <c r="CL340" s="180"/>
      <c r="CM340" s="180"/>
      <c r="CN340" s="225"/>
      <c r="CO340" s="218">
        <f t="shared" si="137"/>
        <v>0</v>
      </c>
      <c r="CP340" s="100">
        <f t="shared" si="138"/>
        <v>0</v>
      </c>
      <c r="CQ340" s="218">
        <f t="shared" si="139"/>
        <v>0</v>
      </c>
      <c r="CY340" s="101" t="s">
        <v>111</v>
      </c>
      <c r="CZ340" s="101" t="s">
        <v>112</v>
      </c>
      <c r="DB340" s="101" t="s">
        <v>103</v>
      </c>
      <c r="DC340" s="116" t="s">
        <v>113</v>
      </c>
      <c r="DD340" s="116"/>
      <c r="DE340" s="116"/>
      <c r="DF340" s="116"/>
      <c r="DH340" s="101" t="s">
        <v>114</v>
      </c>
      <c r="DI340" s="124" t="s">
        <v>115</v>
      </c>
      <c r="DJ340" s="115" t="s">
        <v>107</v>
      </c>
    </row>
    <row r="341" spans="61:116" s="101" customFormat="1" hidden="1" x14ac:dyDescent="0.25">
      <c r="BI341" s="102"/>
      <c r="BJ341" s="178"/>
      <c r="BK341" s="178"/>
      <c r="BL341" s="178"/>
      <c r="BM341" s="169"/>
      <c r="BN341" s="169"/>
      <c r="BO341" s="169"/>
      <c r="BP341" s="206"/>
      <c r="BQ341" s="206"/>
      <c r="BR341" s="206"/>
      <c r="BS341" s="206"/>
      <c r="BT341" s="206"/>
      <c r="BU341" s="206"/>
      <c r="BV341" s="207"/>
      <c r="BW341" s="206"/>
      <c r="BX341" s="206"/>
      <c r="BY341" s="207"/>
      <c r="BZ341" s="207"/>
      <c r="CA341" s="207"/>
      <c r="CB341" s="180"/>
      <c r="CC341" s="178"/>
      <c r="CD341" s="178"/>
      <c r="CE341" s="180"/>
      <c r="CF341" s="180"/>
      <c r="CG341" s="180"/>
      <c r="CH341" s="180"/>
      <c r="CI341" s="178"/>
      <c r="CJ341" s="178"/>
      <c r="CK341" s="180"/>
      <c r="CL341" s="180"/>
      <c r="CM341" s="180"/>
      <c r="CN341" s="225"/>
      <c r="CO341" s="218">
        <f t="shared" si="137"/>
        <v>0</v>
      </c>
      <c r="CP341" s="100">
        <f t="shared" si="138"/>
        <v>0</v>
      </c>
      <c r="CQ341" s="218">
        <f t="shared" si="139"/>
        <v>0</v>
      </c>
      <c r="CX341" s="101" t="s">
        <v>9</v>
      </c>
      <c r="CZ341" s="101">
        <f>+DJ341</f>
        <v>3.4875000000000003</v>
      </c>
      <c r="DB341" s="101">
        <v>1</v>
      </c>
      <c r="DC341" s="116">
        <v>0.9</v>
      </c>
      <c r="DD341" s="116"/>
      <c r="DE341" s="116"/>
      <c r="DF341" s="116"/>
      <c r="DH341" s="101">
        <v>1.2500000000000001E-2</v>
      </c>
      <c r="DI341" s="101">
        <v>310</v>
      </c>
      <c r="DJ341" s="101">
        <f>+DC341*DH341*DI341</f>
        <v>3.4875000000000003</v>
      </c>
    </row>
    <row r="342" spans="61:116" s="101" customFormat="1" hidden="1" x14ac:dyDescent="0.25">
      <c r="BI342" s="102"/>
      <c r="BJ342" s="178"/>
      <c r="BK342" s="178"/>
      <c r="BL342" s="178"/>
      <c r="BM342" s="169"/>
      <c r="BN342" s="169"/>
      <c r="BO342" s="169"/>
      <c r="BP342" s="206"/>
      <c r="BQ342" s="206"/>
      <c r="BR342" s="206"/>
      <c r="BS342" s="206"/>
      <c r="BT342" s="206"/>
      <c r="BU342" s="206"/>
      <c r="BV342" s="207"/>
      <c r="BW342" s="206"/>
      <c r="BX342" s="206"/>
      <c r="BY342" s="207"/>
      <c r="BZ342" s="207"/>
      <c r="CA342" s="207"/>
      <c r="CB342" s="180"/>
      <c r="CC342" s="178"/>
      <c r="CD342" s="178"/>
      <c r="CE342" s="180"/>
      <c r="CF342" s="180"/>
      <c r="CG342" s="180"/>
      <c r="CH342" s="180"/>
      <c r="CI342" s="178"/>
      <c r="CJ342" s="178"/>
      <c r="CK342" s="180"/>
      <c r="CL342" s="180"/>
      <c r="CM342" s="180"/>
      <c r="CN342" s="225"/>
      <c r="CO342" s="218">
        <f t="shared" si="137"/>
        <v>0</v>
      </c>
      <c r="CP342" s="100">
        <f t="shared" si="138"/>
        <v>0</v>
      </c>
      <c r="CQ342" s="218">
        <f t="shared" si="139"/>
        <v>0</v>
      </c>
      <c r="DC342" s="116"/>
      <c r="DD342" s="116"/>
      <c r="DE342" s="116"/>
      <c r="DF342" s="116"/>
      <c r="DI342" s="101">
        <v>298</v>
      </c>
      <c r="DJ342" s="101">
        <f>+DC341*DH341*DI342</f>
        <v>3.3525000000000005</v>
      </c>
    </row>
    <row r="343" spans="61:116" s="101" customFormat="1" ht="15.75" hidden="1" thickBot="1" x14ac:dyDescent="0.3">
      <c r="BI343" s="102"/>
      <c r="BJ343" s="178"/>
      <c r="BK343" s="178"/>
      <c r="BL343" s="178"/>
      <c r="BM343" s="169"/>
      <c r="BN343" s="169"/>
      <c r="BO343" s="169"/>
      <c r="BP343" s="206"/>
      <c r="BQ343" s="206"/>
      <c r="BR343" s="206"/>
      <c r="BS343" s="206"/>
      <c r="BT343" s="206"/>
      <c r="BU343" s="206"/>
      <c r="BV343" s="207"/>
      <c r="BW343" s="206"/>
      <c r="BX343" s="206"/>
      <c r="BY343" s="207"/>
      <c r="BZ343" s="207"/>
      <c r="CA343" s="207"/>
      <c r="CB343" s="180"/>
      <c r="CC343" s="178"/>
      <c r="CD343" s="178"/>
      <c r="CE343" s="180"/>
      <c r="CF343" s="180"/>
      <c r="CG343" s="180"/>
      <c r="CH343" s="180"/>
      <c r="CI343" s="178"/>
      <c r="CJ343" s="178"/>
      <c r="CK343" s="180"/>
      <c r="CL343" s="180"/>
      <c r="CM343" s="180"/>
      <c r="CN343" s="225"/>
      <c r="CO343" s="218">
        <f t="shared" si="137"/>
        <v>0</v>
      </c>
      <c r="CP343" s="100">
        <f t="shared" si="138"/>
        <v>0</v>
      </c>
      <c r="CQ343" s="218">
        <f t="shared" si="139"/>
        <v>0</v>
      </c>
      <c r="DC343" s="116"/>
      <c r="DD343" s="116"/>
      <c r="DE343" s="116"/>
      <c r="DF343" s="116"/>
    </row>
    <row r="344" spans="61:116" s="101" customFormat="1" hidden="1" x14ac:dyDescent="0.25">
      <c r="BI344" s="1606" t="s">
        <v>299</v>
      </c>
      <c r="BJ344" s="183"/>
      <c r="BK344" s="1606" t="s">
        <v>282</v>
      </c>
      <c r="BL344" s="183"/>
      <c r="BM344" s="1606" t="s">
        <v>233</v>
      </c>
      <c r="BN344" s="1606" t="s">
        <v>233</v>
      </c>
      <c r="BO344" s="1606" t="s">
        <v>240</v>
      </c>
      <c r="BP344" s="206"/>
      <c r="BQ344" s="206"/>
      <c r="BR344" s="206"/>
      <c r="BS344" s="206"/>
      <c r="BT344" s="206"/>
      <c r="BU344" s="206"/>
      <c r="BV344" s="207"/>
      <c r="BW344" s="206"/>
      <c r="BX344" s="206"/>
      <c r="BY344" s="207"/>
      <c r="BZ344" s="207"/>
      <c r="CA344" s="207"/>
      <c r="CB344" s="180"/>
      <c r="CC344" s="178"/>
      <c r="CD344" s="178"/>
      <c r="CE344" s="180"/>
      <c r="CF344" s="180"/>
      <c r="CG344" s="180"/>
      <c r="CH344" s="180"/>
      <c r="CI344" s="178"/>
      <c r="CJ344" s="178"/>
      <c r="CK344" s="180"/>
      <c r="CL344" s="180"/>
      <c r="CM344" s="180"/>
      <c r="CN344" s="225"/>
      <c r="CO344" s="218" t="str">
        <f t="shared" si="137"/>
        <v>Incertidumbre (+/- %)</v>
      </c>
      <c r="CP344" s="100" t="e">
        <f t="shared" si="138"/>
        <v>#VALUE!</v>
      </c>
      <c r="CQ344" s="218" t="str">
        <f t="shared" si="139"/>
        <v>Incertidumbre (+/- %)</v>
      </c>
      <c r="DC344" s="116"/>
      <c r="DD344" s="116"/>
      <c r="DE344" s="116"/>
      <c r="DF344" s="116"/>
    </row>
    <row r="345" spans="61:116" s="101" customFormat="1" ht="15.75" hidden="1" thickBot="1" x14ac:dyDescent="0.3">
      <c r="BI345" s="1607"/>
      <c r="BJ345" s="184" t="s">
        <v>253</v>
      </c>
      <c r="BK345" s="1607"/>
      <c r="BL345" s="184" t="s">
        <v>251</v>
      </c>
      <c r="BM345" s="1607"/>
      <c r="BN345" s="1607"/>
      <c r="BO345" s="1607"/>
      <c r="BP345" s="206"/>
      <c r="BQ345" s="206"/>
      <c r="BR345" s="206"/>
      <c r="BS345" s="206"/>
      <c r="BT345" s="206"/>
      <c r="BU345" s="206"/>
      <c r="BV345" s="207"/>
      <c r="BW345" s="206"/>
      <c r="BX345" s="206"/>
      <c r="BY345" s="207"/>
      <c r="BZ345" s="207"/>
      <c r="CA345" s="207"/>
      <c r="CB345" s="180"/>
      <c r="CC345" s="178"/>
      <c r="CD345" s="178"/>
      <c r="CE345" s="180"/>
      <c r="CF345" s="180"/>
      <c r="CG345" s="180"/>
      <c r="CH345" s="180"/>
      <c r="CI345" s="178"/>
      <c r="CJ345" s="178"/>
      <c r="CK345" s="180"/>
      <c r="CL345" s="180"/>
      <c r="CM345" s="180"/>
      <c r="CN345" s="225"/>
      <c r="CO345" s="218">
        <f t="shared" si="137"/>
        <v>0</v>
      </c>
      <c r="CP345" s="100">
        <f t="shared" si="138"/>
        <v>0</v>
      </c>
      <c r="CQ345" s="218">
        <f t="shared" si="139"/>
        <v>0</v>
      </c>
      <c r="DC345" s="116"/>
      <c r="DD345" s="116"/>
      <c r="DE345" s="116"/>
      <c r="DF345" s="116"/>
    </row>
    <row r="346" spans="61:116" s="101" customFormat="1" ht="18.75" hidden="1" thickBot="1" x14ac:dyDescent="0.3">
      <c r="BI346" s="203" t="s">
        <v>443</v>
      </c>
      <c r="BJ346" s="190" t="s">
        <v>76</v>
      </c>
      <c r="BK346" s="196">
        <v>0.19900000000000001</v>
      </c>
      <c r="BL346" s="190" t="s">
        <v>421</v>
      </c>
      <c r="BM346" s="189">
        <v>0.05</v>
      </c>
      <c r="BN346" s="189">
        <v>0.1</v>
      </c>
      <c r="BO346" s="188" t="s">
        <v>262</v>
      </c>
      <c r="BP346" s="206"/>
      <c r="BQ346" s="206"/>
      <c r="BR346" s="206"/>
      <c r="BS346" s="206"/>
      <c r="BT346" s="206"/>
      <c r="BU346" s="206"/>
      <c r="BV346" s="207"/>
      <c r="BW346" s="206"/>
      <c r="BX346" s="206"/>
      <c r="BY346" s="207"/>
      <c r="BZ346" s="207"/>
      <c r="CA346" s="207"/>
      <c r="CB346" s="180"/>
      <c r="CC346" s="178"/>
      <c r="CD346" s="178"/>
      <c r="CE346" s="180"/>
      <c r="CF346" s="180"/>
      <c r="CG346" s="180"/>
      <c r="CH346" s="180"/>
      <c r="CI346" s="178"/>
      <c r="CJ346" s="178"/>
      <c r="CK346" s="180"/>
      <c r="CL346" s="180"/>
      <c r="CM346" s="180"/>
      <c r="CN346" s="225"/>
      <c r="CO346" s="218">
        <f t="shared" si="137"/>
        <v>0.05</v>
      </c>
      <c r="CP346" s="100">
        <f t="shared" si="138"/>
        <v>7.5000000000000011E-2</v>
      </c>
      <c r="CQ346" s="218">
        <f t="shared" si="139"/>
        <v>0.1</v>
      </c>
      <c r="CW346" s="123"/>
      <c r="CX346" s="122"/>
      <c r="CY346" s="122"/>
      <c r="CZ346" s="123"/>
      <c r="DA346" s="123"/>
      <c r="DB346" s="123"/>
      <c r="DC346" s="122"/>
      <c r="DD346" s="122"/>
      <c r="DE346" s="122"/>
      <c r="DF346" s="122"/>
      <c r="DG346" s="122"/>
      <c r="DH346" s="123"/>
      <c r="DI346" s="23"/>
      <c r="DJ346" s="150"/>
      <c r="DK346" s="150"/>
      <c r="DL346" s="116"/>
    </row>
    <row r="347" spans="61:116" s="101" customFormat="1" ht="18.75" hidden="1" thickBot="1" x14ac:dyDescent="0.3">
      <c r="BI347" s="203" t="s">
        <v>191</v>
      </c>
      <c r="BJ347" s="190" t="s">
        <v>76</v>
      </c>
      <c r="BK347" s="196">
        <v>0.19</v>
      </c>
      <c r="BL347" s="190" t="s">
        <v>421</v>
      </c>
      <c r="BM347" s="189">
        <v>0.05</v>
      </c>
      <c r="BN347" s="189">
        <v>0.1</v>
      </c>
      <c r="BO347" s="188" t="s">
        <v>262</v>
      </c>
      <c r="BP347" s="206"/>
      <c r="BQ347" s="206"/>
      <c r="BR347" s="206"/>
      <c r="BS347" s="206"/>
      <c r="BT347" s="206"/>
      <c r="BU347" s="206"/>
      <c r="BV347" s="207"/>
      <c r="BW347" s="206"/>
      <c r="BX347" s="206"/>
      <c r="BY347" s="207"/>
      <c r="BZ347" s="207"/>
      <c r="CA347" s="207"/>
      <c r="CB347" s="180"/>
      <c r="CC347" s="178"/>
      <c r="CD347" s="178"/>
      <c r="CE347" s="180"/>
      <c r="CF347" s="180"/>
      <c r="CG347" s="180"/>
      <c r="CH347" s="180"/>
      <c r="CI347" s="178"/>
      <c r="CJ347" s="178"/>
      <c r="CK347" s="180"/>
      <c r="CL347" s="180"/>
      <c r="CM347" s="180"/>
      <c r="CN347" s="225"/>
      <c r="CO347" s="218">
        <f t="shared" si="137"/>
        <v>0.05</v>
      </c>
      <c r="CP347" s="100">
        <f t="shared" si="138"/>
        <v>7.5000000000000011E-2</v>
      </c>
      <c r="CQ347" s="218">
        <f t="shared" si="139"/>
        <v>0.1</v>
      </c>
      <c r="CW347" s="123"/>
      <c r="CX347" s="122"/>
      <c r="CY347" s="122"/>
      <c r="CZ347" s="123"/>
      <c r="DA347" s="123"/>
      <c r="DB347" s="123"/>
      <c r="DC347" s="122"/>
      <c r="DD347" s="122"/>
      <c r="DE347" s="122"/>
      <c r="DF347" s="122"/>
      <c r="DG347" s="122"/>
      <c r="DH347" s="123"/>
      <c r="DI347" s="23"/>
      <c r="DJ347" s="150"/>
      <c r="DK347" s="150"/>
      <c r="DL347" s="116"/>
    </row>
    <row r="348" spans="61:116" s="101" customFormat="1" ht="18.75" hidden="1" thickBot="1" x14ac:dyDescent="0.3">
      <c r="BI348" s="203" t="s">
        <v>444</v>
      </c>
      <c r="BJ348" s="190" t="s">
        <v>76</v>
      </c>
      <c r="BK348" s="196">
        <v>0.2</v>
      </c>
      <c r="BL348" s="190" t="s">
        <v>421</v>
      </c>
      <c r="BM348" s="189">
        <v>0.05</v>
      </c>
      <c r="BN348" s="189">
        <v>0.1</v>
      </c>
      <c r="BO348" s="188" t="s">
        <v>262</v>
      </c>
      <c r="BP348" s="206"/>
      <c r="BQ348" s="206"/>
      <c r="BR348" s="206"/>
      <c r="BS348" s="206"/>
      <c r="BT348" s="206"/>
      <c r="BU348" s="206"/>
      <c r="BV348" s="207"/>
      <c r="BW348" s="206"/>
      <c r="BX348" s="206"/>
      <c r="BY348" s="207"/>
      <c r="BZ348" s="207"/>
      <c r="CA348" s="207"/>
      <c r="CB348" s="180"/>
      <c r="CC348" s="178"/>
      <c r="CD348" s="178"/>
      <c r="CE348" s="180"/>
      <c r="CF348" s="180"/>
      <c r="CG348" s="180"/>
      <c r="CH348" s="180"/>
      <c r="CI348" s="178"/>
      <c r="CJ348" s="178"/>
      <c r="CK348" s="180"/>
      <c r="CL348" s="180"/>
      <c r="CM348" s="180"/>
      <c r="CN348" s="225"/>
      <c r="CO348" s="218">
        <f t="shared" si="137"/>
        <v>0.05</v>
      </c>
      <c r="CP348" s="100">
        <f t="shared" si="138"/>
        <v>7.5000000000000011E-2</v>
      </c>
      <c r="CQ348" s="218">
        <f t="shared" si="139"/>
        <v>0.1</v>
      </c>
      <c r="CW348" s="123"/>
      <c r="CX348" s="122"/>
      <c r="CY348" s="122"/>
      <c r="CZ348" s="123"/>
      <c r="DA348" s="123"/>
      <c r="DB348" s="123"/>
      <c r="DC348" s="122"/>
      <c r="DD348" s="122"/>
      <c r="DE348" s="122"/>
      <c r="DF348" s="122"/>
      <c r="DG348" s="122"/>
      <c r="DH348" s="123"/>
      <c r="DI348" s="23"/>
      <c r="DJ348" s="150"/>
      <c r="DK348" s="150"/>
      <c r="DL348" s="116"/>
    </row>
    <row r="349" spans="61:116" s="101" customFormat="1" ht="18.75" hidden="1" thickBot="1" x14ac:dyDescent="0.3">
      <c r="BI349" s="203" t="s">
        <v>445</v>
      </c>
      <c r="BJ349" s="190" t="s">
        <v>76</v>
      </c>
      <c r="BK349" s="196">
        <v>0.15</v>
      </c>
      <c r="BL349" s="190" t="s">
        <v>421</v>
      </c>
      <c r="BM349" s="189">
        <v>0.05</v>
      </c>
      <c r="BN349" s="189">
        <v>0.1</v>
      </c>
      <c r="BO349" s="188" t="s">
        <v>262</v>
      </c>
      <c r="BP349" s="206"/>
      <c r="BQ349" s="206"/>
      <c r="BR349" s="206"/>
      <c r="BS349" s="206"/>
      <c r="BT349" s="206"/>
      <c r="BU349" s="206"/>
      <c r="BV349" s="207"/>
      <c r="BW349" s="206"/>
      <c r="BX349" s="206"/>
      <c r="BY349" s="207"/>
      <c r="BZ349" s="207"/>
      <c r="CA349" s="207"/>
      <c r="CB349" s="180"/>
      <c r="CC349" s="178"/>
      <c r="CD349" s="178"/>
      <c r="CE349" s="180"/>
      <c r="CF349" s="180"/>
      <c r="CG349" s="180"/>
      <c r="CH349" s="180"/>
      <c r="CI349" s="178"/>
      <c r="CJ349" s="178"/>
      <c r="CK349" s="180"/>
      <c r="CL349" s="180"/>
      <c r="CM349" s="180"/>
      <c r="CN349" s="225"/>
      <c r="CO349" s="218">
        <f t="shared" si="137"/>
        <v>0.05</v>
      </c>
      <c r="CP349" s="100">
        <f t="shared" si="138"/>
        <v>7.5000000000000011E-2</v>
      </c>
      <c r="CQ349" s="218">
        <f t="shared" si="139"/>
        <v>0.1</v>
      </c>
      <c r="CW349" s="123"/>
      <c r="CX349" s="122"/>
      <c r="CY349" s="122"/>
      <c r="CZ349" s="123"/>
      <c r="DA349" s="123"/>
      <c r="DB349" s="123"/>
      <c r="DC349" s="122"/>
      <c r="DD349" s="122"/>
      <c r="DE349" s="122"/>
      <c r="DF349" s="122"/>
      <c r="DG349" s="122"/>
      <c r="DH349" s="123"/>
      <c r="DI349" s="23"/>
      <c r="DJ349" s="150"/>
      <c r="DK349" s="150"/>
      <c r="DL349" s="116"/>
    </row>
    <row r="350" spans="61:116" s="101" customFormat="1" ht="18.75" hidden="1" thickBot="1" x14ac:dyDescent="0.3">
      <c r="BI350" s="203" t="s">
        <v>447</v>
      </c>
      <c r="BJ350" s="190" t="s">
        <v>76</v>
      </c>
      <c r="BK350" s="196">
        <v>0.22</v>
      </c>
      <c r="BL350" s="190" t="s">
        <v>421</v>
      </c>
      <c r="BM350" s="189">
        <v>0.05</v>
      </c>
      <c r="BN350" s="189">
        <v>0.1</v>
      </c>
      <c r="BO350" s="188" t="s">
        <v>262</v>
      </c>
      <c r="BP350" s="206"/>
      <c r="BQ350" s="206"/>
      <c r="BR350" s="206"/>
      <c r="BS350" s="206"/>
      <c r="BT350" s="206"/>
      <c r="BU350" s="206"/>
      <c r="BV350" s="207"/>
      <c r="BW350" s="206"/>
      <c r="BX350" s="206"/>
      <c r="BY350" s="207"/>
      <c r="BZ350" s="207"/>
      <c r="CA350" s="207"/>
      <c r="CB350" s="180"/>
      <c r="CC350" s="178"/>
      <c r="CD350" s="178"/>
      <c r="CE350" s="180"/>
      <c r="CF350" s="180"/>
      <c r="CG350" s="180"/>
      <c r="CH350" s="180"/>
      <c r="CI350" s="178"/>
      <c r="CJ350" s="178"/>
      <c r="CK350" s="180"/>
      <c r="CL350" s="180"/>
      <c r="CM350" s="180"/>
      <c r="CN350" s="225"/>
      <c r="CO350" s="218">
        <f t="shared" si="137"/>
        <v>0.05</v>
      </c>
      <c r="CP350" s="100">
        <f t="shared" si="138"/>
        <v>7.5000000000000011E-2</v>
      </c>
      <c r="CQ350" s="218">
        <f t="shared" si="139"/>
        <v>0.1</v>
      </c>
      <c r="CW350" s="123"/>
      <c r="CX350" s="122"/>
      <c r="CY350" s="122"/>
      <c r="CZ350" s="123"/>
      <c r="DA350" s="123"/>
      <c r="DB350" s="123"/>
      <c r="DC350" s="122"/>
      <c r="DD350" s="122"/>
      <c r="DE350" s="122"/>
      <c r="DF350" s="122"/>
      <c r="DG350" s="122"/>
      <c r="DH350" s="123"/>
      <c r="DI350" s="23"/>
      <c r="DJ350" s="150"/>
      <c r="DK350" s="150"/>
      <c r="DL350" s="116"/>
    </row>
    <row r="351" spans="61:116" s="101" customFormat="1" ht="18.75" hidden="1" thickBot="1" x14ac:dyDescent="0.3">
      <c r="BI351" s="203" t="s">
        <v>446</v>
      </c>
      <c r="BJ351" s="190" t="s">
        <v>76</v>
      </c>
      <c r="BK351" s="196">
        <v>0.19</v>
      </c>
      <c r="BL351" s="190" t="s">
        <v>421</v>
      </c>
      <c r="BM351" s="189">
        <v>0.05</v>
      </c>
      <c r="BN351" s="189">
        <v>0.1</v>
      </c>
      <c r="BO351" s="188" t="s">
        <v>262</v>
      </c>
      <c r="BP351" s="206"/>
      <c r="BQ351" s="206"/>
      <c r="BR351" s="206"/>
      <c r="BS351" s="206"/>
      <c r="BT351" s="206"/>
      <c r="BU351" s="206"/>
      <c r="BV351" s="207"/>
      <c r="BW351" s="206"/>
      <c r="BX351" s="206"/>
      <c r="BY351" s="207"/>
      <c r="BZ351" s="207"/>
      <c r="CA351" s="207"/>
      <c r="CB351" s="180"/>
      <c r="CC351" s="178"/>
      <c r="CD351" s="178"/>
      <c r="CE351" s="180"/>
      <c r="CF351" s="180"/>
      <c r="CG351" s="180"/>
      <c r="CH351" s="180"/>
      <c r="CI351" s="178"/>
      <c r="CJ351" s="178"/>
      <c r="CK351" s="180"/>
      <c r="CL351" s="180"/>
      <c r="CM351" s="180"/>
      <c r="CN351" s="225"/>
      <c r="CO351" s="218">
        <f t="shared" si="137"/>
        <v>0.05</v>
      </c>
      <c r="CP351" s="100">
        <f t="shared" si="138"/>
        <v>7.5000000000000011E-2</v>
      </c>
      <c r="CQ351" s="218">
        <f t="shared" si="139"/>
        <v>0.1</v>
      </c>
      <c r="CW351" s="123"/>
      <c r="CX351" s="122"/>
      <c r="CY351" s="122"/>
      <c r="CZ351" s="123"/>
      <c r="DA351" s="123"/>
      <c r="DB351" s="123"/>
      <c r="DC351" s="122"/>
      <c r="DD351" s="122"/>
      <c r="DE351" s="122"/>
      <c r="DF351" s="122"/>
      <c r="DG351" s="122"/>
      <c r="DH351" s="123"/>
      <c r="DI351" s="23"/>
      <c r="DJ351" s="150"/>
      <c r="DK351" s="150"/>
      <c r="DL351" s="116"/>
    </row>
    <row r="352" spans="61:116" s="101" customFormat="1" ht="18.75" hidden="1" thickBot="1" x14ac:dyDescent="0.3">
      <c r="BI352" s="203" t="s">
        <v>448</v>
      </c>
      <c r="BJ352" s="190" t="s">
        <v>76</v>
      </c>
      <c r="BK352" s="196">
        <v>0.19</v>
      </c>
      <c r="BL352" s="190" t="s">
        <v>421</v>
      </c>
      <c r="BM352" s="189">
        <v>0.05</v>
      </c>
      <c r="BN352" s="189">
        <v>0.1</v>
      </c>
      <c r="BO352" s="188" t="s">
        <v>262</v>
      </c>
      <c r="BP352" s="206"/>
      <c r="BQ352" s="206"/>
      <c r="BR352" s="206"/>
      <c r="BS352" s="206"/>
      <c r="BT352" s="206"/>
      <c r="BU352" s="206"/>
      <c r="BV352" s="207"/>
      <c r="BW352" s="206"/>
      <c r="BX352" s="206"/>
      <c r="BY352" s="207"/>
      <c r="BZ352" s="207"/>
      <c r="CA352" s="207"/>
      <c r="CB352" s="180"/>
      <c r="CC352" s="178"/>
      <c r="CD352" s="178"/>
      <c r="CE352" s="180"/>
      <c r="CF352" s="180"/>
      <c r="CG352" s="180"/>
      <c r="CH352" s="180"/>
      <c r="CI352" s="178"/>
      <c r="CJ352" s="178"/>
      <c r="CK352" s="180"/>
      <c r="CL352" s="180"/>
      <c r="CM352" s="180"/>
      <c r="CN352" s="225"/>
      <c r="CO352" s="218">
        <f t="shared" si="137"/>
        <v>0.05</v>
      </c>
      <c r="CP352" s="100">
        <f t="shared" si="138"/>
        <v>7.5000000000000011E-2</v>
      </c>
      <c r="CQ352" s="218">
        <f t="shared" si="139"/>
        <v>0.1</v>
      </c>
      <c r="CW352" s="123"/>
      <c r="CX352" s="122"/>
      <c r="CY352" s="122"/>
      <c r="CZ352" s="123"/>
      <c r="DA352" s="123"/>
      <c r="DB352" s="123"/>
      <c r="DC352" s="122"/>
      <c r="DD352" s="122"/>
      <c r="DE352" s="122"/>
      <c r="DF352" s="122"/>
      <c r="DG352" s="122"/>
      <c r="DH352" s="123"/>
      <c r="DI352" s="23"/>
      <c r="DJ352" s="150"/>
      <c r="DK352" s="150"/>
      <c r="DL352" s="116"/>
    </row>
    <row r="353" spans="61:116" s="101" customFormat="1" ht="18.75" hidden="1" thickBot="1" x14ac:dyDescent="0.3">
      <c r="BI353" s="203" t="s">
        <v>190</v>
      </c>
      <c r="BJ353" s="190" t="s">
        <v>76</v>
      </c>
      <c r="BK353" s="196">
        <v>0.153</v>
      </c>
      <c r="BL353" s="190" t="s">
        <v>421</v>
      </c>
      <c r="BM353" s="189">
        <v>0.05</v>
      </c>
      <c r="BN353" s="189">
        <v>0.1</v>
      </c>
      <c r="BO353" s="188" t="s">
        <v>263</v>
      </c>
      <c r="BP353" s="206"/>
      <c r="BQ353" s="206"/>
      <c r="BR353" s="206"/>
      <c r="BS353" s="206"/>
      <c r="BT353" s="206"/>
      <c r="BU353" s="206"/>
      <c r="BV353" s="207"/>
      <c r="BW353" s="206"/>
      <c r="BX353" s="206"/>
      <c r="BY353" s="207"/>
      <c r="BZ353" s="207"/>
      <c r="CA353" s="207"/>
      <c r="CB353" s="180"/>
      <c r="CC353" s="178"/>
      <c r="CD353" s="178"/>
      <c r="CE353" s="180"/>
      <c r="CF353" s="180"/>
      <c r="CG353" s="180"/>
      <c r="CH353" s="180"/>
      <c r="CI353" s="178"/>
      <c r="CJ353" s="178"/>
      <c r="CK353" s="180"/>
      <c r="CL353" s="180"/>
      <c r="CM353" s="180"/>
      <c r="CN353" s="225"/>
      <c r="CO353" s="218">
        <f t="shared" si="137"/>
        <v>0.05</v>
      </c>
      <c r="CP353" s="100">
        <f t="shared" si="138"/>
        <v>7.5000000000000011E-2</v>
      </c>
      <c r="CQ353" s="218">
        <f t="shared" si="139"/>
        <v>0.1</v>
      </c>
      <c r="CW353" s="123"/>
      <c r="CX353" s="122"/>
      <c r="CY353" s="122"/>
      <c r="CZ353" s="123"/>
      <c r="DA353" s="123"/>
      <c r="DB353" s="123"/>
      <c r="DC353" s="122"/>
      <c r="DD353" s="122"/>
      <c r="DE353" s="122"/>
      <c r="DF353" s="122"/>
      <c r="DG353" s="122"/>
      <c r="DH353" s="123"/>
      <c r="DI353" s="23"/>
      <c r="DJ353" s="150"/>
      <c r="DK353" s="150"/>
      <c r="DL353" s="116"/>
    </row>
    <row r="354" spans="61:116" s="101" customFormat="1" ht="18.75" hidden="1" thickBot="1" x14ac:dyDescent="0.3">
      <c r="BI354" s="203" t="s">
        <v>189</v>
      </c>
      <c r="BJ354" s="190" t="s">
        <v>76</v>
      </c>
      <c r="BK354" s="196">
        <v>0.13600000000000001</v>
      </c>
      <c r="BL354" s="190" t="s">
        <v>421</v>
      </c>
      <c r="BM354" s="189">
        <v>0.05</v>
      </c>
      <c r="BN354" s="189">
        <v>0.1</v>
      </c>
      <c r="BO354" s="188" t="s">
        <v>263</v>
      </c>
      <c r="BP354" s="206"/>
      <c r="BQ354" s="206"/>
      <c r="BR354" s="206"/>
      <c r="BS354" s="206"/>
      <c r="BT354" s="206"/>
      <c r="BU354" s="206"/>
      <c r="BV354" s="207"/>
      <c r="BW354" s="206"/>
      <c r="BX354" s="206"/>
      <c r="BY354" s="207"/>
      <c r="BZ354" s="207"/>
      <c r="CA354" s="207"/>
      <c r="CB354" s="180"/>
      <c r="CC354" s="178"/>
      <c r="CD354" s="178"/>
      <c r="CE354" s="180"/>
      <c r="CF354" s="180"/>
      <c r="CG354" s="180"/>
      <c r="CH354" s="180"/>
      <c r="CI354" s="178"/>
      <c r="CJ354" s="178"/>
      <c r="CK354" s="180"/>
      <c r="CL354" s="180"/>
      <c r="CM354" s="180"/>
      <c r="CN354" s="225"/>
      <c r="CO354" s="218">
        <f t="shared" si="137"/>
        <v>0.05</v>
      </c>
      <c r="CP354" s="100">
        <f t="shared" si="138"/>
        <v>7.5000000000000011E-2</v>
      </c>
      <c r="CQ354" s="218">
        <f t="shared" si="139"/>
        <v>0.1</v>
      </c>
      <c r="CW354" s="123"/>
      <c r="CX354" s="122"/>
      <c r="CY354" s="122"/>
      <c r="CZ354" s="123"/>
      <c r="DA354" s="123"/>
      <c r="DB354" s="123"/>
      <c r="DC354" s="122"/>
      <c r="DD354" s="122"/>
      <c r="DE354" s="122"/>
      <c r="DF354" s="122"/>
      <c r="DG354" s="122"/>
      <c r="DH354" s="123"/>
      <c r="DI354" s="23"/>
      <c r="DJ354" s="150"/>
      <c r="DK354" s="150"/>
      <c r="DL354" s="116"/>
    </row>
    <row r="355" spans="61:116" s="101" customFormat="1" ht="18.75" hidden="1" thickBot="1" x14ac:dyDescent="0.3">
      <c r="BI355" s="203" t="s">
        <v>175</v>
      </c>
      <c r="BJ355" s="190" t="s">
        <v>76</v>
      </c>
      <c r="BK355" s="196">
        <v>0.29039999999999999</v>
      </c>
      <c r="BL355" s="190" t="s">
        <v>421</v>
      </c>
      <c r="BM355" s="189">
        <v>0.05</v>
      </c>
      <c r="BN355" s="189">
        <v>0.1</v>
      </c>
      <c r="BO355" s="188" t="s">
        <v>262</v>
      </c>
      <c r="BP355" s="206"/>
      <c r="BQ355" s="206"/>
      <c r="BR355" s="206"/>
      <c r="BS355" s="206"/>
      <c r="BT355" s="206"/>
      <c r="BU355" s="206"/>
      <c r="BV355" s="207"/>
      <c r="BW355" s="206"/>
      <c r="BX355" s="206"/>
      <c r="BY355" s="207"/>
      <c r="BZ355" s="207"/>
      <c r="CA355" s="207"/>
      <c r="CB355" s="180"/>
      <c r="CC355" s="178"/>
      <c r="CD355" s="178"/>
      <c r="CE355" s="180"/>
      <c r="CF355" s="180"/>
      <c r="CG355" s="180"/>
      <c r="CH355" s="180"/>
      <c r="CI355" s="178"/>
      <c r="CJ355" s="178"/>
      <c r="CK355" s="180"/>
      <c r="CL355" s="180"/>
      <c r="CM355" s="180"/>
      <c r="CN355" s="225"/>
      <c r="CO355" s="218">
        <f t="shared" si="137"/>
        <v>0.05</v>
      </c>
      <c r="CP355" s="100">
        <f t="shared" si="138"/>
        <v>7.5000000000000011E-2</v>
      </c>
      <c r="CQ355" s="218">
        <f t="shared" si="139"/>
        <v>0.1</v>
      </c>
      <c r="CW355" s="123"/>
      <c r="CX355" s="122"/>
      <c r="CY355" s="122"/>
      <c r="CZ355" s="123"/>
      <c r="DA355" s="123"/>
      <c r="DB355" s="123"/>
      <c r="DC355" s="122"/>
      <c r="DD355" s="122"/>
      <c r="DE355" s="122"/>
      <c r="DF355" s="122"/>
      <c r="DG355" s="122"/>
      <c r="DH355" s="123"/>
      <c r="DI355" s="23"/>
      <c r="DJ355" s="150"/>
      <c r="DK355" s="150"/>
      <c r="DL355" s="116"/>
    </row>
    <row r="356" spans="61:116" s="101" customFormat="1" hidden="1" x14ac:dyDescent="0.25">
      <c r="BI356" s="102"/>
      <c r="BJ356" s="178"/>
      <c r="BK356" s="178"/>
      <c r="BL356" s="178"/>
      <c r="BM356" s="169"/>
      <c r="BN356" s="169"/>
      <c r="BO356" s="169"/>
      <c r="BP356" s="206"/>
      <c r="BQ356" s="206"/>
      <c r="BR356" s="206"/>
      <c r="BS356" s="206"/>
      <c r="BT356" s="206"/>
      <c r="BU356" s="206"/>
      <c r="BV356" s="207"/>
      <c r="BW356" s="206"/>
      <c r="BX356" s="206"/>
      <c r="BY356" s="207"/>
      <c r="BZ356" s="207"/>
      <c r="CA356" s="207"/>
      <c r="CB356" s="180"/>
      <c r="CC356" s="178"/>
      <c r="CD356" s="178"/>
      <c r="CE356" s="180"/>
      <c r="CF356" s="180"/>
      <c r="CG356" s="180"/>
      <c r="CH356" s="180"/>
      <c r="CI356" s="178"/>
      <c r="CJ356" s="178"/>
      <c r="CK356" s="180"/>
      <c r="CL356" s="180"/>
      <c r="CM356" s="180"/>
      <c r="CN356" s="225"/>
      <c r="CO356" s="218">
        <f t="shared" si="137"/>
        <v>0</v>
      </c>
      <c r="CP356" s="100">
        <f t="shared" si="138"/>
        <v>0</v>
      </c>
      <c r="CQ356" s="218">
        <f t="shared" si="139"/>
        <v>0</v>
      </c>
      <c r="CW356" s="123"/>
      <c r="CX356" s="122"/>
      <c r="CY356" s="122"/>
      <c r="CZ356" s="123"/>
      <c r="DA356" s="123"/>
      <c r="DB356" s="123"/>
      <c r="DC356" s="122"/>
      <c r="DD356" s="122"/>
      <c r="DE356" s="122"/>
      <c r="DF356" s="122"/>
      <c r="DG356" s="122"/>
      <c r="DH356" s="123"/>
      <c r="DI356" s="23"/>
      <c r="DJ356" s="150"/>
      <c r="DK356" s="150"/>
      <c r="DL356" s="116"/>
    </row>
    <row r="357" spans="61:116" s="101" customFormat="1" hidden="1" x14ac:dyDescent="0.25">
      <c r="BI357" s="102"/>
      <c r="BJ357" s="178"/>
      <c r="BK357" s="178"/>
      <c r="BL357" s="178"/>
      <c r="BM357" s="169"/>
      <c r="BN357" s="169"/>
      <c r="BO357" s="169"/>
      <c r="BP357" s="206"/>
      <c r="BQ357" s="206"/>
      <c r="BR357" s="206"/>
      <c r="BS357" s="206"/>
      <c r="BT357" s="206"/>
      <c r="BU357" s="206"/>
      <c r="BV357" s="207"/>
      <c r="BW357" s="206"/>
      <c r="BX357" s="206"/>
      <c r="BY357" s="207"/>
      <c r="BZ357" s="207"/>
      <c r="CA357" s="207"/>
      <c r="CB357" s="180"/>
      <c r="CC357" s="178"/>
      <c r="CD357" s="178"/>
      <c r="CE357" s="180"/>
      <c r="CF357" s="180"/>
      <c r="CG357" s="180"/>
      <c r="CH357" s="180"/>
      <c r="CI357" s="178"/>
      <c r="CJ357" s="178"/>
      <c r="CK357" s="180"/>
      <c r="CL357" s="180"/>
      <c r="CM357" s="180"/>
      <c r="CN357" s="225"/>
      <c r="CO357" s="218">
        <f t="shared" si="137"/>
        <v>0</v>
      </c>
      <c r="CP357" s="100">
        <f t="shared" si="138"/>
        <v>0</v>
      </c>
      <c r="CQ357" s="218">
        <f t="shared" si="139"/>
        <v>0</v>
      </c>
      <c r="CW357" s="123"/>
      <c r="CX357" s="122"/>
      <c r="CY357" s="122"/>
      <c r="CZ357" s="123"/>
      <c r="DA357" s="123"/>
      <c r="DB357" s="123"/>
      <c r="DC357" s="122"/>
      <c r="DD357" s="122"/>
      <c r="DE357" s="122"/>
      <c r="DF357" s="122"/>
      <c r="DG357" s="122"/>
      <c r="DH357" s="123"/>
      <c r="DI357" s="23"/>
      <c r="DJ357" s="150"/>
      <c r="DK357" s="150"/>
      <c r="DL357" s="116"/>
    </row>
    <row r="358" spans="61:116" s="101" customFormat="1" ht="15.75" hidden="1" thickBot="1" x14ac:dyDescent="0.3">
      <c r="BI358" s="102"/>
      <c r="BJ358" s="178"/>
      <c r="BK358" s="178"/>
      <c r="BL358" s="178"/>
      <c r="BM358" s="169"/>
      <c r="BN358" s="169"/>
      <c r="BO358" s="169"/>
      <c r="BP358" s="206"/>
      <c r="BQ358" s="206"/>
      <c r="BR358" s="206"/>
      <c r="BS358" s="206"/>
      <c r="BT358" s="206"/>
      <c r="BU358" s="206"/>
      <c r="BV358" s="207"/>
      <c r="BW358" s="206"/>
      <c r="BX358" s="206"/>
      <c r="BY358" s="207"/>
      <c r="BZ358" s="207"/>
      <c r="CA358" s="207"/>
      <c r="CB358" s="180"/>
      <c r="CC358" s="178"/>
      <c r="CD358" s="178"/>
      <c r="CE358" s="180"/>
      <c r="CF358" s="180"/>
      <c r="CG358" s="180"/>
      <c r="CH358" s="180"/>
      <c r="CI358" s="178"/>
      <c r="CJ358" s="178"/>
      <c r="CK358" s="180"/>
      <c r="CL358" s="180"/>
      <c r="CM358" s="180"/>
      <c r="CN358" s="225"/>
      <c r="CO358" s="218">
        <f t="shared" si="137"/>
        <v>0</v>
      </c>
      <c r="CP358" s="100">
        <f t="shared" si="138"/>
        <v>0</v>
      </c>
      <c r="CQ358" s="218">
        <f t="shared" si="139"/>
        <v>0</v>
      </c>
      <c r="CW358" s="123"/>
      <c r="CX358" s="122"/>
      <c r="CY358" s="122"/>
      <c r="CZ358" s="123"/>
      <c r="DA358" s="123"/>
      <c r="DB358" s="123"/>
      <c r="DC358" s="122"/>
      <c r="DD358" s="122"/>
      <c r="DE358" s="122"/>
      <c r="DF358" s="122"/>
      <c r="DG358" s="122"/>
      <c r="DH358" s="123"/>
      <c r="DI358" s="23"/>
      <c r="DJ358" s="150"/>
      <c r="DK358" s="150"/>
      <c r="DL358" s="116"/>
    </row>
    <row r="359" spans="61:116" s="101" customFormat="1" hidden="1" x14ac:dyDescent="0.25">
      <c r="BI359" s="1606" t="s">
        <v>300</v>
      </c>
      <c r="BJ359" s="183"/>
      <c r="BK359" s="1606" t="s">
        <v>302</v>
      </c>
      <c r="BL359" s="183"/>
      <c r="BM359" s="1606" t="s">
        <v>233</v>
      </c>
      <c r="BN359" s="1606" t="s">
        <v>233</v>
      </c>
      <c r="BO359" s="1606" t="s">
        <v>240</v>
      </c>
      <c r="BP359" s="206"/>
      <c r="BQ359" s="206"/>
      <c r="BR359" s="206"/>
      <c r="BS359" s="206"/>
      <c r="BT359" s="206"/>
      <c r="BU359" s="206"/>
      <c r="BV359" s="207"/>
      <c r="BW359" s="206"/>
      <c r="BX359" s="206"/>
      <c r="BY359" s="207"/>
      <c r="BZ359" s="207"/>
      <c r="CA359" s="207"/>
      <c r="CB359" s="180"/>
      <c r="CC359" s="178"/>
      <c r="CD359" s="178"/>
      <c r="CE359" s="180"/>
      <c r="CF359" s="180"/>
      <c r="CG359" s="180"/>
      <c r="CH359" s="180"/>
      <c r="CI359" s="178"/>
      <c r="CJ359" s="178"/>
      <c r="CK359" s="180"/>
      <c r="CL359" s="180"/>
      <c r="CM359" s="180"/>
      <c r="CN359" s="225"/>
      <c r="CO359" s="218" t="str">
        <f t="shared" si="137"/>
        <v>Incertidumbre (+/- %)</v>
      </c>
      <c r="CP359" s="100" t="e">
        <f t="shared" si="138"/>
        <v>#VALUE!</v>
      </c>
      <c r="CQ359" s="218" t="str">
        <f t="shared" si="139"/>
        <v>Incertidumbre (+/- %)</v>
      </c>
      <c r="CW359" s="123"/>
      <c r="CX359" s="122"/>
      <c r="CY359" s="122"/>
      <c r="CZ359" s="123"/>
      <c r="DA359" s="123"/>
      <c r="DB359" s="123"/>
      <c r="DC359" s="122"/>
      <c r="DD359" s="122"/>
      <c r="DE359" s="122"/>
      <c r="DF359" s="122"/>
      <c r="DG359" s="122"/>
      <c r="DH359" s="123"/>
      <c r="DI359" s="23"/>
      <c r="DJ359" s="150"/>
      <c r="DK359" s="150"/>
      <c r="DL359" s="116"/>
    </row>
    <row r="360" spans="61:116" s="101" customFormat="1" ht="15.75" hidden="1" thickBot="1" x14ac:dyDescent="0.3">
      <c r="BI360" s="1607"/>
      <c r="BJ360" s="184" t="s">
        <v>253</v>
      </c>
      <c r="BK360" s="1607"/>
      <c r="BL360" s="184" t="s">
        <v>251</v>
      </c>
      <c r="BM360" s="1607"/>
      <c r="BN360" s="1607"/>
      <c r="BO360" s="1607"/>
      <c r="BP360" s="206"/>
      <c r="BQ360" s="206"/>
      <c r="BR360" s="206"/>
      <c r="BS360" s="206"/>
      <c r="BT360" s="206"/>
      <c r="BU360" s="206"/>
      <c r="BV360" s="207"/>
      <c r="BW360" s="206"/>
      <c r="BX360" s="206"/>
      <c r="BY360" s="207"/>
      <c r="BZ360" s="207"/>
      <c r="CA360" s="207"/>
      <c r="CB360" s="180"/>
      <c r="CC360" s="178"/>
      <c r="CD360" s="178"/>
      <c r="CE360" s="180"/>
      <c r="CF360" s="180"/>
      <c r="CG360" s="180"/>
      <c r="CH360" s="180"/>
      <c r="CI360" s="178"/>
      <c r="CJ360" s="178"/>
      <c r="CK360" s="180"/>
      <c r="CL360" s="180"/>
      <c r="CM360" s="180"/>
      <c r="CN360" s="225"/>
      <c r="CO360" s="218">
        <f t="shared" si="137"/>
        <v>0</v>
      </c>
      <c r="CP360" s="100">
        <f t="shared" si="138"/>
        <v>0</v>
      </c>
      <c r="CQ360" s="218">
        <f t="shared" si="139"/>
        <v>0</v>
      </c>
      <c r="CW360" s="123"/>
      <c r="CX360" s="122"/>
      <c r="CY360" s="122"/>
      <c r="CZ360" s="123"/>
      <c r="DA360" s="123"/>
      <c r="DB360" s="123"/>
      <c r="DC360" s="122"/>
      <c r="DD360" s="122"/>
      <c r="DE360" s="122"/>
      <c r="DF360" s="122"/>
      <c r="DG360" s="122"/>
      <c r="DH360" s="123"/>
      <c r="DI360" s="23"/>
      <c r="DJ360" s="150"/>
      <c r="DK360" s="150"/>
      <c r="DL360" s="116"/>
    </row>
    <row r="361" spans="61:116" s="101" customFormat="1" ht="18.75" hidden="1" thickBot="1" x14ac:dyDescent="0.3">
      <c r="BI361" s="203" t="s">
        <v>74</v>
      </c>
      <c r="BJ361" s="190" t="s">
        <v>78</v>
      </c>
      <c r="BK361" s="196">
        <v>68.819999999999993</v>
      </c>
      <c r="BL361" s="190" t="s">
        <v>422</v>
      </c>
      <c r="BM361" s="189">
        <v>0.05</v>
      </c>
      <c r="BN361" s="189">
        <v>0.05</v>
      </c>
      <c r="BO361" s="188" t="s">
        <v>77</v>
      </c>
      <c r="BP361" s="206"/>
      <c r="BQ361" s="206"/>
      <c r="BR361" s="206"/>
      <c r="BS361" s="206"/>
      <c r="BT361" s="206"/>
      <c r="BU361" s="206"/>
      <c r="BV361" s="207"/>
      <c r="BW361" s="206"/>
      <c r="BX361" s="206"/>
      <c r="BY361" s="207"/>
      <c r="BZ361" s="207"/>
      <c r="CA361" s="207"/>
      <c r="CB361" s="180"/>
      <c r="CC361" s="178"/>
      <c r="CD361" s="178"/>
      <c r="CE361" s="180"/>
      <c r="CF361" s="180"/>
      <c r="CG361" s="180"/>
      <c r="CH361" s="180"/>
      <c r="CI361" s="178"/>
      <c r="CJ361" s="178"/>
      <c r="CK361" s="180"/>
      <c r="CL361" s="180"/>
      <c r="CM361" s="180"/>
      <c r="CN361" s="225"/>
      <c r="CO361" s="218">
        <f t="shared" si="137"/>
        <v>0.05</v>
      </c>
      <c r="CP361" s="100">
        <f t="shared" si="138"/>
        <v>0.05</v>
      </c>
      <c r="CQ361" s="218">
        <f t="shared" si="139"/>
        <v>0.05</v>
      </c>
      <c r="CW361" s="123"/>
      <c r="CX361" s="122"/>
      <c r="CY361" s="122"/>
      <c r="CZ361" s="123"/>
      <c r="DA361" s="123"/>
      <c r="DB361" s="123"/>
      <c r="DC361" s="122"/>
      <c r="DD361" s="122"/>
      <c r="DE361" s="122"/>
      <c r="DF361" s="122"/>
      <c r="DG361" s="122"/>
      <c r="DH361" s="123"/>
      <c r="DI361" s="23"/>
      <c r="DJ361" s="150"/>
      <c r="DK361" s="150"/>
      <c r="DL361" s="116"/>
    </row>
    <row r="362" spans="61:116" s="101" customFormat="1" ht="18.75" hidden="1" thickBot="1" x14ac:dyDescent="0.3">
      <c r="BI362" s="203" t="s">
        <v>73</v>
      </c>
      <c r="BJ362" s="190" t="s">
        <v>78</v>
      </c>
      <c r="BK362" s="196">
        <v>83.37</v>
      </c>
      <c r="BL362" s="190" t="s">
        <v>422</v>
      </c>
      <c r="BM362" s="189">
        <v>0.05</v>
      </c>
      <c r="BN362" s="189">
        <v>0.05</v>
      </c>
      <c r="BO362" s="188" t="s">
        <v>77</v>
      </c>
      <c r="BP362" s="206"/>
      <c r="BQ362" s="206"/>
      <c r="BR362" s="206"/>
      <c r="BS362" s="206"/>
      <c r="BT362" s="206"/>
      <c r="BU362" s="206"/>
      <c r="BV362" s="207"/>
      <c r="BW362" s="206"/>
      <c r="BX362" s="206"/>
      <c r="BY362" s="207"/>
      <c r="BZ362" s="207"/>
      <c r="CA362" s="207"/>
      <c r="CB362" s="180"/>
      <c r="CC362" s="178"/>
      <c r="CD362" s="178"/>
      <c r="CE362" s="180"/>
      <c r="CF362" s="180"/>
      <c r="CG362" s="180"/>
      <c r="CH362" s="180"/>
      <c r="CI362" s="178"/>
      <c r="CJ362" s="178"/>
      <c r="CK362" s="180"/>
      <c r="CL362" s="180"/>
      <c r="CM362" s="180"/>
      <c r="CN362" s="225"/>
      <c r="CO362" s="218">
        <f t="shared" si="137"/>
        <v>0.05</v>
      </c>
      <c r="CP362" s="100">
        <f t="shared" si="138"/>
        <v>0.05</v>
      </c>
      <c r="CQ362" s="218">
        <f t="shared" si="139"/>
        <v>0.05</v>
      </c>
      <c r="CW362" s="123"/>
      <c r="CX362" s="122"/>
      <c r="CY362" s="122"/>
      <c r="CZ362" s="123"/>
      <c r="DA362" s="123"/>
      <c r="DB362" s="123"/>
      <c r="DC362" s="122"/>
      <c r="DD362" s="122"/>
      <c r="DE362" s="122"/>
      <c r="DF362" s="122"/>
      <c r="DG362" s="122"/>
      <c r="DH362" s="123"/>
      <c r="DI362" s="23"/>
      <c r="DJ362" s="150"/>
      <c r="DK362" s="150"/>
      <c r="DL362" s="116"/>
    </row>
    <row r="363" spans="61:116" s="101" customFormat="1" ht="18.75" hidden="1" thickBot="1" x14ac:dyDescent="0.3">
      <c r="BI363" s="203" t="s">
        <v>79</v>
      </c>
      <c r="BJ363" s="190" t="s">
        <v>78</v>
      </c>
      <c r="BK363" s="196">
        <v>159.43</v>
      </c>
      <c r="BL363" s="190" t="s">
        <v>422</v>
      </c>
      <c r="BM363" s="189">
        <v>0.05</v>
      </c>
      <c r="BN363" s="189">
        <v>0.05</v>
      </c>
      <c r="BO363" s="188" t="s">
        <v>77</v>
      </c>
      <c r="BP363" s="206"/>
      <c r="BQ363" s="206"/>
      <c r="BR363" s="206"/>
      <c r="BS363" s="206"/>
      <c r="BT363" s="206"/>
      <c r="BU363" s="206"/>
      <c r="BV363" s="207"/>
      <c r="BW363" s="206"/>
      <c r="BX363" s="206"/>
      <c r="BY363" s="207"/>
      <c r="BZ363" s="207"/>
      <c r="CA363" s="207"/>
      <c r="CB363" s="180"/>
      <c r="CC363" s="178"/>
      <c r="CD363" s="178"/>
      <c r="CE363" s="180"/>
      <c r="CF363" s="180"/>
      <c r="CG363" s="180"/>
      <c r="CH363" s="180"/>
      <c r="CI363" s="178"/>
      <c r="CJ363" s="178"/>
      <c r="CK363" s="180"/>
      <c r="CL363" s="180"/>
      <c r="CM363" s="180"/>
      <c r="CN363" s="225"/>
      <c r="CO363" s="218">
        <f t="shared" si="137"/>
        <v>0.05</v>
      </c>
      <c r="CP363" s="100">
        <f t="shared" si="138"/>
        <v>0.05</v>
      </c>
      <c r="CQ363" s="218">
        <f t="shared" si="139"/>
        <v>0.05</v>
      </c>
      <c r="CW363" s="123"/>
      <c r="CX363" s="122"/>
      <c r="CY363" s="122"/>
      <c r="CZ363" s="123"/>
      <c r="DA363" s="123"/>
      <c r="DB363" s="123"/>
      <c r="DC363" s="122"/>
      <c r="DD363" s="122"/>
      <c r="DE363" s="122"/>
      <c r="DF363" s="122"/>
      <c r="DG363" s="122"/>
      <c r="DH363" s="123"/>
      <c r="DI363" s="23"/>
      <c r="DJ363" s="150"/>
      <c r="DK363" s="150"/>
      <c r="DL363" s="116"/>
    </row>
    <row r="364" spans="61:116" s="101" customFormat="1" ht="18.75" hidden="1" thickBot="1" x14ac:dyDescent="0.3">
      <c r="BI364" s="203" t="s">
        <v>70</v>
      </c>
      <c r="BJ364" s="190" t="s">
        <v>78</v>
      </c>
      <c r="BK364" s="196">
        <v>102.71</v>
      </c>
      <c r="BL364" s="190" t="s">
        <v>422</v>
      </c>
      <c r="BM364" s="189">
        <v>0.05</v>
      </c>
      <c r="BN364" s="189">
        <v>0.05</v>
      </c>
      <c r="BO364" s="188" t="s">
        <v>77</v>
      </c>
      <c r="BP364" s="206"/>
      <c r="BQ364" s="206"/>
      <c r="BR364" s="206"/>
      <c r="BS364" s="206"/>
      <c r="BT364" s="206"/>
      <c r="BU364" s="206"/>
      <c r="BV364" s="207"/>
      <c r="BW364" s="206"/>
      <c r="BX364" s="206"/>
      <c r="BY364" s="207"/>
      <c r="BZ364" s="207"/>
      <c r="CA364" s="207"/>
      <c r="CB364" s="180"/>
      <c r="CC364" s="178"/>
      <c r="CD364" s="178"/>
      <c r="CE364" s="180"/>
      <c r="CF364" s="180"/>
      <c r="CG364" s="180"/>
      <c r="CH364" s="180"/>
      <c r="CI364" s="178"/>
      <c r="CJ364" s="178"/>
      <c r="CK364" s="180"/>
      <c r="CL364" s="180"/>
      <c r="CM364" s="180"/>
      <c r="CN364" s="225"/>
      <c r="CO364" s="218">
        <f t="shared" si="137"/>
        <v>0.05</v>
      </c>
      <c r="CP364" s="100">
        <f t="shared" si="138"/>
        <v>0.05</v>
      </c>
      <c r="CQ364" s="218">
        <f t="shared" si="139"/>
        <v>0.05</v>
      </c>
      <c r="CW364" s="123"/>
      <c r="CX364" s="122"/>
      <c r="CY364" s="122"/>
      <c r="CZ364" s="123"/>
      <c r="DA364" s="123"/>
      <c r="DB364" s="123"/>
      <c r="DC364" s="122"/>
      <c r="DD364" s="122"/>
      <c r="DE364" s="122"/>
      <c r="DF364" s="122"/>
      <c r="DG364" s="122"/>
      <c r="DH364" s="123"/>
      <c r="DI364" s="23"/>
      <c r="DJ364" s="150"/>
      <c r="DK364" s="150"/>
      <c r="DL364" s="116"/>
    </row>
    <row r="365" spans="61:116" s="101" customFormat="1" ht="18.75" hidden="1" thickBot="1" x14ac:dyDescent="0.3">
      <c r="BI365" s="203" t="s">
        <v>80</v>
      </c>
      <c r="BJ365" s="190" t="s">
        <v>78</v>
      </c>
      <c r="BK365" s="196">
        <v>81.25</v>
      </c>
      <c r="BL365" s="190" t="s">
        <v>422</v>
      </c>
      <c r="BM365" s="189">
        <v>0.05</v>
      </c>
      <c r="BN365" s="189">
        <v>0.05</v>
      </c>
      <c r="BO365" s="188" t="s">
        <v>77</v>
      </c>
      <c r="BP365" s="206"/>
      <c r="BQ365" s="206"/>
      <c r="BR365" s="206"/>
      <c r="BS365" s="206"/>
      <c r="BT365" s="206"/>
      <c r="BU365" s="206"/>
      <c r="BV365" s="207"/>
      <c r="BW365" s="206"/>
      <c r="BX365" s="206"/>
      <c r="BY365" s="207"/>
      <c r="BZ365" s="207"/>
      <c r="CA365" s="207"/>
      <c r="CB365" s="180"/>
      <c r="CC365" s="178"/>
      <c r="CD365" s="178"/>
      <c r="CE365" s="180"/>
      <c r="CF365" s="180"/>
      <c r="CG365" s="180"/>
      <c r="CH365" s="180"/>
      <c r="CI365" s="178"/>
      <c r="CJ365" s="178"/>
      <c r="CK365" s="180"/>
      <c r="CL365" s="180"/>
      <c r="CM365" s="180"/>
      <c r="CN365" s="225"/>
      <c r="CO365" s="218">
        <f t="shared" si="137"/>
        <v>0.05</v>
      </c>
      <c r="CP365" s="100">
        <f t="shared" si="138"/>
        <v>0.05</v>
      </c>
      <c r="CQ365" s="218">
        <f t="shared" si="139"/>
        <v>0.05</v>
      </c>
      <c r="CW365" s="123"/>
      <c r="CX365" s="122"/>
      <c r="CY365" s="122"/>
      <c r="CZ365" s="123"/>
      <c r="DA365" s="123"/>
      <c r="DB365" s="123"/>
      <c r="DC365" s="122"/>
      <c r="DD365" s="122"/>
      <c r="DE365" s="122"/>
      <c r="DF365" s="122"/>
      <c r="DG365" s="122"/>
      <c r="DH365" s="123"/>
      <c r="DI365" s="23"/>
      <c r="DJ365" s="150"/>
      <c r="DK365" s="150"/>
      <c r="DL365" s="116"/>
    </row>
    <row r="366" spans="61:116" s="101" customFormat="1" ht="18.75" hidden="1" thickBot="1" x14ac:dyDescent="0.3">
      <c r="BI366" s="203" t="s">
        <v>71</v>
      </c>
      <c r="BJ366" s="190" t="s">
        <v>78</v>
      </c>
      <c r="BK366" s="196">
        <v>97.7</v>
      </c>
      <c r="BL366" s="190" t="s">
        <v>422</v>
      </c>
      <c r="BM366" s="189">
        <v>0.05</v>
      </c>
      <c r="BN366" s="189">
        <v>0.05</v>
      </c>
      <c r="BO366" s="188" t="s">
        <v>77</v>
      </c>
      <c r="BP366" s="206"/>
      <c r="BQ366" s="206"/>
      <c r="BR366" s="206"/>
      <c r="BS366" s="206"/>
      <c r="BT366" s="206"/>
      <c r="BU366" s="206"/>
      <c r="BV366" s="207"/>
      <c r="BW366" s="206"/>
      <c r="BX366" s="206"/>
      <c r="BY366" s="207"/>
      <c r="BZ366" s="207"/>
      <c r="CA366" s="207"/>
      <c r="CB366" s="180"/>
      <c r="CC366" s="178"/>
      <c r="CD366" s="178"/>
      <c r="CE366" s="180"/>
      <c r="CF366" s="180"/>
      <c r="CG366" s="180"/>
      <c r="CH366" s="180"/>
      <c r="CI366" s="178"/>
      <c r="CJ366" s="178"/>
      <c r="CK366" s="180"/>
      <c r="CL366" s="180"/>
      <c r="CM366" s="180"/>
      <c r="CN366" s="225"/>
      <c r="CO366" s="218">
        <f t="shared" si="137"/>
        <v>0.05</v>
      </c>
      <c r="CP366" s="100">
        <f t="shared" si="138"/>
        <v>0.05</v>
      </c>
      <c r="CQ366" s="218">
        <f t="shared" si="139"/>
        <v>0.05</v>
      </c>
      <c r="CW366" s="123"/>
      <c r="CX366" s="122"/>
      <c r="CY366" s="122"/>
      <c r="CZ366" s="123"/>
      <c r="DA366" s="123"/>
      <c r="DB366" s="123"/>
      <c r="DC366" s="122"/>
      <c r="DD366" s="122"/>
      <c r="DE366" s="122"/>
      <c r="DF366" s="122"/>
      <c r="DG366" s="122"/>
      <c r="DH366" s="123"/>
      <c r="DI366" s="23"/>
      <c r="DJ366" s="150"/>
      <c r="DK366" s="150"/>
      <c r="DL366" s="116"/>
    </row>
    <row r="367" spans="61:116" s="101" customFormat="1" ht="18.75" hidden="1" thickBot="1" x14ac:dyDescent="0.3">
      <c r="BI367" s="203" t="s">
        <v>72</v>
      </c>
      <c r="BJ367" s="190" t="s">
        <v>78</v>
      </c>
      <c r="BK367" s="196">
        <v>159.58000000000001</v>
      </c>
      <c r="BL367" s="190" t="s">
        <v>422</v>
      </c>
      <c r="BM367" s="189">
        <v>0.05</v>
      </c>
      <c r="BN367" s="189">
        <v>0.05</v>
      </c>
      <c r="BO367" s="188" t="s">
        <v>77</v>
      </c>
      <c r="BP367" s="206"/>
      <c r="BQ367" s="206"/>
      <c r="BR367" s="206"/>
      <c r="BS367" s="206"/>
      <c r="BT367" s="206"/>
      <c r="BU367" s="206"/>
      <c r="BV367" s="207"/>
      <c r="BW367" s="206"/>
      <c r="BX367" s="206"/>
      <c r="BY367" s="207"/>
      <c r="BZ367" s="207"/>
      <c r="CA367" s="207"/>
      <c r="CB367" s="180"/>
      <c r="CC367" s="178"/>
      <c r="CD367" s="178"/>
      <c r="CE367" s="180"/>
      <c r="CF367" s="180"/>
      <c r="CG367" s="180"/>
      <c r="CH367" s="180"/>
      <c r="CI367" s="178"/>
      <c r="CJ367" s="178"/>
      <c r="CK367" s="180"/>
      <c r="CL367" s="180"/>
      <c r="CM367" s="180"/>
      <c r="CN367" s="225"/>
      <c r="CO367" s="218">
        <f t="shared" si="137"/>
        <v>0.05</v>
      </c>
      <c r="CP367" s="100">
        <f t="shared" si="138"/>
        <v>0.05</v>
      </c>
      <c r="CQ367" s="218">
        <f t="shared" si="139"/>
        <v>0.05</v>
      </c>
      <c r="CW367" s="123"/>
      <c r="CX367" s="122"/>
      <c r="CY367" s="122"/>
      <c r="CZ367" s="123"/>
      <c r="DA367" s="123"/>
      <c r="DB367" s="123"/>
      <c r="DC367" s="122"/>
      <c r="DD367" s="122"/>
      <c r="DE367" s="122"/>
      <c r="DF367" s="122"/>
      <c r="DG367" s="122"/>
      <c r="DH367" s="123"/>
      <c r="DI367" s="23"/>
      <c r="DJ367" s="150"/>
      <c r="DK367" s="150"/>
      <c r="DL367" s="116"/>
    </row>
    <row r="368" spans="61:116" s="101" customFormat="1" ht="18.75" hidden="1" thickBot="1" x14ac:dyDescent="0.3">
      <c r="BI368" s="203" t="s">
        <v>81</v>
      </c>
      <c r="BJ368" s="190" t="s">
        <v>78</v>
      </c>
      <c r="BK368" s="196">
        <v>116.5</v>
      </c>
      <c r="BL368" s="190" t="s">
        <v>422</v>
      </c>
      <c r="BM368" s="189">
        <v>0.05</v>
      </c>
      <c r="BN368" s="189">
        <v>0.05</v>
      </c>
      <c r="BO368" s="188" t="s">
        <v>77</v>
      </c>
      <c r="BP368" s="206"/>
      <c r="BQ368" s="206"/>
      <c r="BR368" s="206"/>
      <c r="BS368" s="206"/>
      <c r="BT368" s="206"/>
      <c r="BU368" s="206"/>
      <c r="BV368" s="207"/>
      <c r="BW368" s="206"/>
      <c r="BX368" s="206"/>
      <c r="BY368" s="207"/>
      <c r="BZ368" s="207"/>
      <c r="CA368" s="207"/>
      <c r="CB368" s="180"/>
      <c r="CC368" s="178"/>
      <c r="CD368" s="178"/>
      <c r="CE368" s="180"/>
      <c r="CF368" s="180"/>
      <c r="CG368" s="180"/>
      <c r="CH368" s="180"/>
      <c r="CI368" s="178"/>
      <c r="CJ368" s="178"/>
      <c r="CK368" s="180"/>
      <c r="CL368" s="180"/>
      <c r="CM368" s="180"/>
      <c r="CN368" s="225"/>
      <c r="CO368" s="218">
        <f t="shared" si="137"/>
        <v>0.05</v>
      </c>
      <c r="CP368" s="100">
        <f t="shared" si="138"/>
        <v>0.05</v>
      </c>
      <c r="CQ368" s="218">
        <f t="shared" si="139"/>
        <v>0.05</v>
      </c>
      <c r="CW368" s="123"/>
      <c r="CX368" s="122"/>
      <c r="CY368" s="122"/>
      <c r="CZ368" s="123"/>
      <c r="DA368" s="123"/>
      <c r="DB368" s="123"/>
      <c r="DC368" s="122"/>
      <c r="DD368" s="122"/>
      <c r="DE368" s="122"/>
      <c r="DF368" s="122"/>
      <c r="DG368" s="122"/>
      <c r="DH368" s="123"/>
      <c r="DI368" s="23"/>
      <c r="DJ368" s="150"/>
      <c r="DK368" s="150"/>
      <c r="DL368" s="116"/>
    </row>
    <row r="369" spans="61:116" s="101" customFormat="1" ht="18.75" hidden="1" thickBot="1" x14ac:dyDescent="0.3">
      <c r="BI369" s="203" t="s">
        <v>82</v>
      </c>
      <c r="BJ369" s="190" t="s">
        <v>78</v>
      </c>
      <c r="BK369" s="196">
        <v>88.52</v>
      </c>
      <c r="BL369" s="190" t="s">
        <v>422</v>
      </c>
      <c r="BM369" s="189">
        <v>0.05</v>
      </c>
      <c r="BN369" s="189">
        <v>0.05</v>
      </c>
      <c r="BO369" s="188" t="s">
        <v>77</v>
      </c>
      <c r="BP369" s="206"/>
      <c r="BQ369" s="206"/>
      <c r="BR369" s="206"/>
      <c r="BS369" s="206"/>
      <c r="BT369" s="206"/>
      <c r="BU369" s="206"/>
      <c r="BV369" s="207"/>
      <c r="BW369" s="206"/>
      <c r="BX369" s="206"/>
      <c r="BY369" s="207"/>
      <c r="BZ369" s="207"/>
      <c r="CA369" s="207"/>
      <c r="CB369" s="180"/>
      <c r="CC369" s="178"/>
      <c r="CD369" s="178"/>
      <c r="CE369" s="180"/>
      <c r="CF369" s="180"/>
      <c r="CG369" s="180"/>
      <c r="CH369" s="180"/>
      <c r="CI369" s="178"/>
      <c r="CJ369" s="178"/>
      <c r="CK369" s="180"/>
      <c r="CL369" s="180"/>
      <c r="CM369" s="180"/>
      <c r="CN369" s="225"/>
      <c r="CO369" s="218">
        <f t="shared" si="137"/>
        <v>0.05</v>
      </c>
      <c r="CP369" s="100">
        <f t="shared" si="138"/>
        <v>0.05</v>
      </c>
      <c r="CQ369" s="218">
        <f t="shared" si="139"/>
        <v>0.05</v>
      </c>
      <c r="CW369" s="123"/>
      <c r="CX369" s="122"/>
      <c r="CY369" s="122"/>
      <c r="CZ369" s="123"/>
      <c r="DA369" s="123"/>
      <c r="DB369" s="123"/>
      <c r="DC369" s="122"/>
      <c r="DD369" s="122"/>
      <c r="DE369" s="122"/>
      <c r="DF369" s="122"/>
      <c r="DG369" s="122"/>
      <c r="DH369" s="123"/>
      <c r="DI369" s="23"/>
      <c r="DJ369" s="150"/>
      <c r="DK369" s="150"/>
      <c r="DL369" s="116"/>
    </row>
    <row r="370" spans="61:116" s="101" customFormat="1" ht="18.75" hidden="1" thickBot="1" x14ac:dyDescent="0.3">
      <c r="BI370" s="203" t="s">
        <v>83</v>
      </c>
      <c r="BJ370" s="190" t="s">
        <v>78</v>
      </c>
      <c r="BK370" s="196">
        <v>43.4</v>
      </c>
      <c r="BL370" s="190" t="s">
        <v>422</v>
      </c>
      <c r="BM370" s="189">
        <v>0.05</v>
      </c>
      <c r="BN370" s="189">
        <v>0.05</v>
      </c>
      <c r="BO370" s="188" t="s">
        <v>77</v>
      </c>
      <c r="BP370" s="206"/>
      <c r="BQ370" s="206"/>
      <c r="BR370" s="206"/>
      <c r="BS370" s="206"/>
      <c r="BT370" s="206"/>
      <c r="BU370" s="206"/>
      <c r="BV370" s="207"/>
      <c r="BW370" s="206"/>
      <c r="BX370" s="206"/>
      <c r="BY370" s="207"/>
      <c r="BZ370" s="207"/>
      <c r="CA370" s="207"/>
      <c r="CB370" s="180"/>
      <c r="CC370" s="178"/>
      <c r="CD370" s="178"/>
      <c r="CE370" s="180"/>
      <c r="CF370" s="180"/>
      <c r="CG370" s="180"/>
      <c r="CH370" s="180"/>
      <c r="CI370" s="178"/>
      <c r="CJ370" s="178"/>
      <c r="CK370" s="180"/>
      <c r="CL370" s="180"/>
      <c r="CM370" s="180"/>
      <c r="CN370" s="225"/>
      <c r="CO370" s="218">
        <f t="shared" si="137"/>
        <v>0.05</v>
      </c>
      <c r="CP370" s="100">
        <f t="shared" si="138"/>
        <v>0.05</v>
      </c>
      <c r="CQ370" s="218">
        <f t="shared" si="139"/>
        <v>0.05</v>
      </c>
      <c r="CW370" s="123"/>
      <c r="CX370" s="122"/>
      <c r="CY370" s="122"/>
      <c r="CZ370" s="123"/>
      <c r="DA370" s="123"/>
      <c r="DB370" s="123"/>
      <c r="DC370" s="122"/>
      <c r="DD370" s="122"/>
      <c r="DE370" s="122"/>
      <c r="DF370" s="122"/>
      <c r="DG370" s="122"/>
      <c r="DH370" s="123"/>
      <c r="DI370" s="23"/>
      <c r="DJ370" s="150"/>
      <c r="DK370" s="150"/>
      <c r="DL370" s="116"/>
    </row>
    <row r="371" spans="61:116" s="101" customFormat="1" ht="18.75" hidden="1" thickBot="1" x14ac:dyDescent="0.3">
      <c r="BI371" s="203" t="s">
        <v>84</v>
      </c>
      <c r="BJ371" s="190" t="s">
        <v>78</v>
      </c>
      <c r="BK371" s="196">
        <v>229.26</v>
      </c>
      <c r="BL371" s="190" t="s">
        <v>422</v>
      </c>
      <c r="BM371" s="189">
        <v>0.05</v>
      </c>
      <c r="BN371" s="189">
        <v>0.05</v>
      </c>
      <c r="BO371" s="188" t="s">
        <v>77</v>
      </c>
      <c r="BP371" s="206"/>
      <c r="BQ371" s="206"/>
      <c r="BR371" s="206"/>
      <c r="BS371" s="206"/>
      <c r="BT371" s="206"/>
      <c r="BU371" s="206"/>
      <c r="BV371" s="207"/>
      <c r="BW371" s="206"/>
      <c r="BX371" s="206"/>
      <c r="BY371" s="207"/>
      <c r="BZ371" s="207"/>
      <c r="CA371" s="207"/>
      <c r="CB371" s="180"/>
      <c r="CC371" s="178"/>
      <c r="CD371" s="178"/>
      <c r="CE371" s="180"/>
      <c r="CF371" s="180"/>
      <c r="CG371" s="180"/>
      <c r="CH371" s="180"/>
      <c r="CI371" s="178"/>
      <c r="CJ371" s="178"/>
      <c r="CK371" s="180"/>
      <c r="CL371" s="180"/>
      <c r="CM371" s="180"/>
      <c r="CN371" s="225"/>
      <c r="CO371" s="218">
        <f t="shared" si="137"/>
        <v>0.05</v>
      </c>
      <c r="CP371" s="100">
        <f t="shared" si="138"/>
        <v>0.05</v>
      </c>
      <c r="CQ371" s="218">
        <f t="shared" si="139"/>
        <v>0.05</v>
      </c>
      <c r="CW371" s="123"/>
      <c r="CX371" s="122"/>
      <c r="CY371" s="122"/>
      <c r="CZ371" s="123"/>
      <c r="DA371" s="123"/>
      <c r="DB371" s="123"/>
      <c r="DC371" s="122"/>
      <c r="DD371" s="122"/>
      <c r="DE371" s="122"/>
      <c r="DF371" s="122"/>
      <c r="DG371" s="122"/>
      <c r="DH371" s="123"/>
      <c r="DI371" s="23"/>
      <c r="DJ371" s="150"/>
      <c r="DK371" s="150"/>
      <c r="DL371" s="116"/>
    </row>
    <row r="372" spans="61:116" s="101" customFormat="1" ht="18.75" hidden="1" thickBot="1" x14ac:dyDescent="0.3">
      <c r="BI372" s="203" t="s">
        <v>85</v>
      </c>
      <c r="BJ372" s="190" t="s">
        <v>78</v>
      </c>
      <c r="BK372" s="196">
        <v>55.15</v>
      </c>
      <c r="BL372" s="190" t="s">
        <v>422</v>
      </c>
      <c r="BM372" s="189">
        <v>0.05</v>
      </c>
      <c r="BN372" s="189">
        <v>0.05</v>
      </c>
      <c r="BO372" s="188" t="s">
        <v>77</v>
      </c>
      <c r="BP372" s="206"/>
      <c r="BQ372" s="206"/>
      <c r="BR372" s="206"/>
      <c r="BS372" s="206"/>
      <c r="BT372" s="206"/>
      <c r="BU372" s="206"/>
      <c r="BV372" s="207"/>
      <c r="BW372" s="206"/>
      <c r="BX372" s="206"/>
      <c r="BY372" s="207"/>
      <c r="BZ372" s="207"/>
      <c r="CA372" s="207"/>
      <c r="CB372" s="180"/>
      <c r="CC372" s="178"/>
      <c r="CD372" s="178"/>
      <c r="CE372" s="180"/>
      <c r="CF372" s="180"/>
      <c r="CG372" s="180"/>
      <c r="CH372" s="180"/>
      <c r="CI372" s="178"/>
      <c r="CJ372" s="178"/>
      <c r="CK372" s="180"/>
      <c r="CL372" s="180"/>
      <c r="CM372" s="180"/>
      <c r="CN372" s="225"/>
      <c r="CO372" s="218">
        <f t="shared" si="137"/>
        <v>0.05</v>
      </c>
      <c r="CP372" s="100">
        <f t="shared" si="138"/>
        <v>0.05</v>
      </c>
      <c r="CQ372" s="218">
        <f t="shared" si="139"/>
        <v>0.05</v>
      </c>
      <c r="CW372" s="123"/>
      <c r="CX372" s="122"/>
      <c r="CY372" s="122"/>
      <c r="CZ372" s="123"/>
      <c r="DA372" s="123"/>
      <c r="DB372" s="123"/>
      <c r="DC372" s="122"/>
      <c r="DD372" s="122"/>
      <c r="DE372" s="122"/>
      <c r="DF372" s="122"/>
      <c r="DG372" s="122"/>
      <c r="DH372" s="123"/>
      <c r="DI372" s="23"/>
      <c r="DJ372" s="150"/>
      <c r="DK372" s="150"/>
      <c r="DL372" s="116"/>
    </row>
    <row r="373" spans="61:116" s="101" customFormat="1" ht="18.75" hidden="1" thickBot="1" x14ac:dyDescent="0.3">
      <c r="BI373" s="203" t="s">
        <v>86</v>
      </c>
      <c r="BJ373" s="190" t="s">
        <v>78</v>
      </c>
      <c r="BK373" s="196">
        <v>84.94</v>
      </c>
      <c r="BL373" s="190" t="s">
        <v>422</v>
      </c>
      <c r="BM373" s="189">
        <v>0.05</v>
      </c>
      <c r="BN373" s="189">
        <v>0.05</v>
      </c>
      <c r="BO373" s="188" t="s">
        <v>77</v>
      </c>
      <c r="BP373" s="206"/>
      <c r="BQ373" s="206"/>
      <c r="BR373" s="206"/>
      <c r="BS373" s="206"/>
      <c r="BT373" s="206"/>
      <c r="BU373" s="206"/>
      <c r="BV373" s="207"/>
      <c r="BW373" s="206"/>
      <c r="BX373" s="206"/>
      <c r="BY373" s="207"/>
      <c r="BZ373" s="207"/>
      <c r="CA373" s="207"/>
      <c r="CB373" s="180"/>
      <c r="CC373" s="178"/>
      <c r="CD373" s="178"/>
      <c r="CE373" s="180"/>
      <c r="CF373" s="180"/>
      <c r="CG373" s="180"/>
      <c r="CH373" s="180"/>
      <c r="CI373" s="178"/>
      <c r="CJ373" s="178"/>
      <c r="CK373" s="180"/>
      <c r="CL373" s="180"/>
      <c r="CM373" s="180"/>
      <c r="CN373" s="225"/>
      <c r="CO373" s="218">
        <f t="shared" si="137"/>
        <v>0.05</v>
      </c>
      <c r="CP373" s="100">
        <f t="shared" si="138"/>
        <v>0.05</v>
      </c>
      <c r="CQ373" s="218">
        <f t="shared" si="139"/>
        <v>0.05</v>
      </c>
      <c r="CW373" s="123"/>
      <c r="CX373" s="122"/>
      <c r="CY373" s="122"/>
      <c r="CZ373" s="123"/>
      <c r="DA373" s="123"/>
      <c r="DB373" s="123"/>
      <c r="DC373" s="122"/>
      <c r="DD373" s="122"/>
      <c r="DE373" s="122"/>
      <c r="DF373" s="122"/>
      <c r="DG373" s="122"/>
      <c r="DH373" s="123"/>
      <c r="DI373" s="23"/>
      <c r="DJ373" s="150"/>
      <c r="DK373" s="150"/>
      <c r="DL373" s="116"/>
    </row>
    <row r="374" spans="61:116" s="101" customFormat="1" ht="18.75" hidden="1" thickBot="1" x14ac:dyDescent="0.3">
      <c r="BI374" s="203" t="s">
        <v>87</v>
      </c>
      <c r="BJ374" s="190" t="s">
        <v>78</v>
      </c>
      <c r="BK374" s="196">
        <v>169.75</v>
      </c>
      <c r="BL374" s="190" t="s">
        <v>422</v>
      </c>
      <c r="BM374" s="189">
        <v>0.05</v>
      </c>
      <c r="BN374" s="189">
        <v>0.05</v>
      </c>
      <c r="BO374" s="188" t="s">
        <v>77</v>
      </c>
      <c r="BP374" s="206"/>
      <c r="BQ374" s="206"/>
      <c r="BR374" s="206"/>
      <c r="BS374" s="206"/>
      <c r="BT374" s="206"/>
      <c r="BU374" s="206"/>
      <c r="BV374" s="207"/>
      <c r="BW374" s="206"/>
      <c r="BX374" s="206"/>
      <c r="BY374" s="207"/>
      <c r="BZ374" s="207"/>
      <c r="CA374" s="207"/>
      <c r="CB374" s="180"/>
      <c r="CC374" s="178"/>
      <c r="CD374" s="178"/>
      <c r="CE374" s="180"/>
      <c r="CF374" s="180"/>
      <c r="CG374" s="180"/>
      <c r="CH374" s="180"/>
      <c r="CI374" s="178"/>
      <c r="CJ374" s="178"/>
      <c r="CK374" s="180"/>
      <c r="CL374" s="180"/>
      <c r="CM374" s="180"/>
      <c r="CN374" s="225"/>
      <c r="CO374" s="218">
        <f t="shared" si="137"/>
        <v>0.05</v>
      </c>
      <c r="CP374" s="100">
        <f t="shared" si="138"/>
        <v>0.05</v>
      </c>
      <c r="CQ374" s="218">
        <f t="shared" si="139"/>
        <v>0.05</v>
      </c>
      <c r="CW374" s="123"/>
      <c r="CX374" s="122"/>
      <c r="CY374" s="122"/>
      <c r="CZ374" s="123"/>
      <c r="DA374" s="123"/>
      <c r="DB374" s="123"/>
      <c r="DC374" s="122"/>
      <c r="DD374" s="122"/>
      <c r="DE374" s="122"/>
      <c r="DF374" s="122"/>
      <c r="DG374" s="122"/>
      <c r="DH374" s="123"/>
      <c r="DI374" s="23"/>
      <c r="DJ374" s="150"/>
      <c r="DK374" s="150"/>
      <c r="DL374" s="116"/>
    </row>
    <row r="375" spans="61:116" s="101" customFormat="1" ht="18.75" hidden="1" thickBot="1" x14ac:dyDescent="0.3">
      <c r="BI375" s="203" t="s">
        <v>340</v>
      </c>
      <c r="BJ375" s="190" t="s">
        <v>78</v>
      </c>
      <c r="BK375" s="196">
        <v>137.47</v>
      </c>
      <c r="BL375" s="190" t="s">
        <v>422</v>
      </c>
      <c r="BM375" s="189">
        <v>0.05</v>
      </c>
      <c r="BN375" s="189">
        <v>0.05</v>
      </c>
      <c r="BO375" s="188" t="s">
        <v>77</v>
      </c>
      <c r="BP375" s="206"/>
      <c r="BQ375" s="206"/>
      <c r="BR375" s="206"/>
      <c r="BS375" s="206"/>
      <c r="BT375" s="206"/>
      <c r="BU375" s="206"/>
      <c r="BV375" s="207"/>
      <c r="BW375" s="206"/>
      <c r="BX375" s="206"/>
      <c r="BY375" s="207"/>
      <c r="BZ375" s="207"/>
      <c r="CA375" s="207"/>
      <c r="CB375" s="180"/>
      <c r="CC375" s="178"/>
      <c r="CD375" s="178"/>
      <c r="CE375" s="180"/>
      <c r="CF375" s="180"/>
      <c r="CG375" s="180"/>
      <c r="CH375" s="180"/>
      <c r="CI375" s="178"/>
      <c r="CJ375" s="178"/>
      <c r="CK375" s="180"/>
      <c r="CL375" s="180"/>
      <c r="CM375" s="180"/>
      <c r="CN375" s="225"/>
      <c r="CO375" s="218">
        <f t="shared" si="137"/>
        <v>0.05</v>
      </c>
      <c r="CP375" s="100">
        <f t="shared" si="138"/>
        <v>0.05</v>
      </c>
      <c r="CQ375" s="218">
        <f t="shared" si="139"/>
        <v>0.05</v>
      </c>
      <c r="CW375" s="123"/>
      <c r="CX375" s="122"/>
      <c r="CY375" s="122"/>
      <c r="CZ375" s="123"/>
      <c r="DA375" s="123"/>
      <c r="DB375" s="123"/>
      <c r="DC375" s="122"/>
      <c r="DD375" s="122"/>
      <c r="DE375" s="122"/>
      <c r="DF375" s="122"/>
      <c r="DG375" s="122"/>
      <c r="DH375" s="123"/>
      <c r="DI375" s="23"/>
      <c r="DJ375" s="150"/>
      <c r="DK375" s="150"/>
      <c r="DL375" s="116"/>
    </row>
    <row r="376" spans="61:116" s="101" customFormat="1" ht="18.75" hidden="1" thickBot="1" x14ac:dyDescent="0.3">
      <c r="BI376" s="203" t="s">
        <v>88</v>
      </c>
      <c r="BJ376" s="190" t="s">
        <v>78</v>
      </c>
      <c r="BK376" s="196">
        <v>75.37</v>
      </c>
      <c r="BL376" s="190" t="s">
        <v>422</v>
      </c>
      <c r="BM376" s="189">
        <v>0.05</v>
      </c>
      <c r="BN376" s="189">
        <v>0.05</v>
      </c>
      <c r="BO376" s="188" t="s">
        <v>77</v>
      </c>
      <c r="BP376" s="206"/>
      <c r="BQ376" s="206"/>
      <c r="BR376" s="206"/>
      <c r="BS376" s="206"/>
      <c r="BT376" s="206"/>
      <c r="BU376" s="206"/>
      <c r="BV376" s="207"/>
      <c r="BW376" s="206"/>
      <c r="BX376" s="206"/>
      <c r="BY376" s="207"/>
      <c r="BZ376" s="207"/>
      <c r="CA376" s="207"/>
      <c r="CB376" s="180"/>
      <c r="CC376" s="178"/>
      <c r="CD376" s="178"/>
      <c r="CE376" s="180"/>
      <c r="CF376" s="180"/>
      <c r="CG376" s="180"/>
      <c r="CH376" s="180"/>
      <c r="CI376" s="178"/>
      <c r="CJ376" s="178"/>
      <c r="CK376" s="180"/>
      <c r="CL376" s="180"/>
      <c r="CM376" s="180"/>
      <c r="CN376" s="225"/>
      <c r="CO376" s="218">
        <f t="shared" si="137"/>
        <v>0.05</v>
      </c>
      <c r="CP376" s="100">
        <f t="shared" si="138"/>
        <v>0.05</v>
      </c>
      <c r="CQ376" s="218">
        <f t="shared" si="139"/>
        <v>0.05</v>
      </c>
      <c r="CW376" s="123"/>
      <c r="CX376" s="122"/>
      <c r="CY376" s="122"/>
      <c r="CZ376" s="123"/>
      <c r="DA376" s="123"/>
      <c r="DB376" s="123"/>
      <c r="DC376" s="122"/>
      <c r="DD376" s="122"/>
      <c r="DE376" s="122"/>
      <c r="DF376" s="122"/>
      <c r="DG376" s="122"/>
      <c r="DH376" s="123"/>
      <c r="DI376" s="23"/>
      <c r="DJ376" s="150"/>
      <c r="DK376" s="150"/>
      <c r="DL376" s="116"/>
    </row>
    <row r="377" spans="61:116" s="101" customFormat="1" ht="18.75" hidden="1" thickBot="1" x14ac:dyDescent="0.3">
      <c r="BI377" s="203" t="s">
        <v>89</v>
      </c>
      <c r="BJ377" s="190" t="s">
        <v>78</v>
      </c>
      <c r="BK377" s="196">
        <v>130.97999999999999</v>
      </c>
      <c r="BL377" s="190" t="s">
        <v>422</v>
      </c>
      <c r="BM377" s="189">
        <v>0.05</v>
      </c>
      <c r="BN377" s="189">
        <v>0.05</v>
      </c>
      <c r="BO377" s="188" t="s">
        <v>77</v>
      </c>
      <c r="BP377" s="206"/>
      <c r="BQ377" s="206"/>
      <c r="BR377" s="206"/>
      <c r="BS377" s="206"/>
      <c r="BT377" s="206"/>
      <c r="BU377" s="206"/>
      <c r="BV377" s="207"/>
      <c r="BW377" s="206"/>
      <c r="BX377" s="206"/>
      <c r="BY377" s="207"/>
      <c r="BZ377" s="207"/>
      <c r="CA377" s="207"/>
      <c r="CB377" s="180"/>
      <c r="CC377" s="178"/>
      <c r="CD377" s="178"/>
      <c r="CE377" s="180"/>
      <c r="CF377" s="180"/>
      <c r="CG377" s="180"/>
      <c r="CH377" s="180"/>
      <c r="CI377" s="178"/>
      <c r="CJ377" s="178"/>
      <c r="CK377" s="180"/>
      <c r="CL377" s="180"/>
      <c r="CM377" s="180"/>
      <c r="CN377" s="225"/>
      <c r="CO377" s="218">
        <f t="shared" si="137"/>
        <v>0.05</v>
      </c>
      <c r="CP377" s="100">
        <f t="shared" si="138"/>
        <v>0.05</v>
      </c>
      <c r="CQ377" s="218">
        <f t="shared" si="139"/>
        <v>0.05</v>
      </c>
      <c r="CW377" s="123"/>
      <c r="CX377" s="122"/>
      <c r="CY377" s="122"/>
      <c r="CZ377" s="123"/>
      <c r="DA377" s="123"/>
      <c r="DB377" s="123"/>
      <c r="DC377" s="122"/>
      <c r="DD377" s="122"/>
      <c r="DE377" s="122"/>
      <c r="DF377" s="122"/>
      <c r="DG377" s="122"/>
      <c r="DH377" s="123"/>
      <c r="DI377" s="23"/>
      <c r="DJ377" s="150"/>
      <c r="DK377" s="150"/>
      <c r="DL377" s="116"/>
    </row>
    <row r="378" spans="61:116" s="101" customFormat="1" ht="18.75" hidden="1" thickBot="1" x14ac:dyDescent="0.3">
      <c r="BI378" s="203" t="s">
        <v>90</v>
      </c>
      <c r="BJ378" s="190" t="s">
        <v>78</v>
      </c>
      <c r="BK378" s="196">
        <v>79.5</v>
      </c>
      <c r="BL378" s="190" t="s">
        <v>422</v>
      </c>
      <c r="BM378" s="189">
        <v>0.05</v>
      </c>
      <c r="BN378" s="189">
        <v>0.05</v>
      </c>
      <c r="BO378" s="188" t="s">
        <v>77</v>
      </c>
      <c r="BP378" s="206"/>
      <c r="BQ378" s="206"/>
      <c r="BR378" s="206"/>
      <c r="BS378" s="206"/>
      <c r="BT378" s="206"/>
      <c r="BU378" s="206"/>
      <c r="BV378" s="207"/>
      <c r="BW378" s="206"/>
      <c r="BX378" s="206"/>
      <c r="BY378" s="207"/>
      <c r="BZ378" s="207"/>
      <c r="CA378" s="207"/>
      <c r="CB378" s="180"/>
      <c r="CC378" s="178"/>
      <c r="CD378" s="178"/>
      <c r="CE378" s="180"/>
      <c r="CF378" s="180"/>
      <c r="CG378" s="180"/>
      <c r="CH378" s="180"/>
      <c r="CI378" s="178"/>
      <c r="CJ378" s="178"/>
      <c r="CK378" s="180"/>
      <c r="CL378" s="180"/>
      <c r="CM378" s="180"/>
      <c r="CN378" s="225"/>
      <c r="CO378" s="218">
        <f t="shared" si="137"/>
        <v>0.05</v>
      </c>
      <c r="CP378" s="100">
        <f t="shared" si="138"/>
        <v>0.05</v>
      </c>
      <c r="CQ378" s="218">
        <f t="shared" si="139"/>
        <v>0.05</v>
      </c>
      <c r="CW378" s="123"/>
      <c r="CX378" s="122"/>
      <c r="CY378" s="122"/>
      <c r="CZ378" s="123"/>
      <c r="DA378" s="123"/>
      <c r="DB378" s="123"/>
      <c r="DC378" s="122"/>
      <c r="DD378" s="122"/>
      <c r="DE378" s="122"/>
      <c r="DF378" s="122"/>
      <c r="DG378" s="122"/>
      <c r="DH378" s="123"/>
      <c r="DI378" s="23"/>
      <c r="DJ378" s="150"/>
      <c r="DK378" s="150"/>
      <c r="DL378" s="116"/>
    </row>
    <row r="379" spans="61:116" s="101" customFormat="1" ht="18.75" hidden="1" thickBot="1" x14ac:dyDescent="0.3">
      <c r="BI379" s="203" t="s">
        <v>91</v>
      </c>
      <c r="BJ379" s="190" t="s">
        <v>78</v>
      </c>
      <c r="BK379" s="196">
        <v>73.42</v>
      </c>
      <c r="BL379" s="190" t="s">
        <v>422</v>
      </c>
      <c r="BM379" s="189">
        <v>0.05</v>
      </c>
      <c r="BN379" s="189">
        <v>0.05</v>
      </c>
      <c r="BO379" s="188" t="s">
        <v>77</v>
      </c>
      <c r="BP379" s="206"/>
      <c r="BQ379" s="206"/>
      <c r="BR379" s="206"/>
      <c r="BS379" s="206"/>
      <c r="BT379" s="206"/>
      <c r="BU379" s="206"/>
      <c r="BV379" s="207"/>
      <c r="BW379" s="206"/>
      <c r="BX379" s="206"/>
      <c r="BY379" s="207"/>
      <c r="BZ379" s="207"/>
      <c r="CA379" s="207"/>
      <c r="CB379" s="180"/>
      <c r="CC379" s="178"/>
      <c r="CD379" s="178"/>
      <c r="CE379" s="180"/>
      <c r="CF379" s="180"/>
      <c r="CG379" s="180"/>
      <c r="CH379" s="180"/>
      <c r="CI379" s="178"/>
      <c r="CJ379" s="178"/>
      <c r="CK379" s="180"/>
      <c r="CL379" s="180"/>
      <c r="CM379" s="180"/>
      <c r="CN379" s="225"/>
      <c r="CO379" s="218">
        <f t="shared" si="137"/>
        <v>0.05</v>
      </c>
      <c r="CP379" s="100">
        <f t="shared" si="138"/>
        <v>0.05</v>
      </c>
      <c r="CQ379" s="218">
        <f t="shared" si="139"/>
        <v>0.05</v>
      </c>
      <c r="CW379" s="123"/>
      <c r="CX379" s="122"/>
      <c r="CY379" s="122"/>
      <c r="CZ379" s="123"/>
      <c r="DA379" s="123"/>
      <c r="DB379" s="123"/>
      <c r="DC379" s="122"/>
      <c r="DD379" s="122"/>
      <c r="DE379" s="122"/>
      <c r="DF379" s="122"/>
      <c r="DG379" s="122"/>
      <c r="DH379" s="123"/>
      <c r="DI379" s="23"/>
      <c r="DJ379" s="150"/>
      <c r="DK379" s="150"/>
      <c r="DL379" s="116"/>
    </row>
    <row r="380" spans="61:116" s="101" customFormat="1" ht="18.75" hidden="1" thickBot="1" x14ac:dyDescent="0.3">
      <c r="BI380" s="203" t="s">
        <v>332</v>
      </c>
      <c r="BJ380" s="190" t="s">
        <v>78</v>
      </c>
      <c r="BK380" s="196">
        <v>131.06</v>
      </c>
      <c r="BL380" s="190" t="s">
        <v>422</v>
      </c>
      <c r="BM380" s="189">
        <v>0.05</v>
      </c>
      <c r="BN380" s="189">
        <v>0.05</v>
      </c>
      <c r="BO380" s="188" t="s">
        <v>77</v>
      </c>
      <c r="BP380" s="206"/>
      <c r="BQ380" s="206"/>
      <c r="BR380" s="206"/>
      <c r="BS380" s="206"/>
      <c r="BT380" s="206"/>
      <c r="BU380" s="206"/>
      <c r="BV380" s="207"/>
      <c r="BW380" s="206"/>
      <c r="BX380" s="206"/>
      <c r="BY380" s="207"/>
      <c r="BZ380" s="207"/>
      <c r="CA380" s="207"/>
      <c r="CB380" s="180"/>
      <c r="CC380" s="178"/>
      <c r="CD380" s="178"/>
      <c r="CE380" s="180"/>
      <c r="CF380" s="180"/>
      <c r="CG380" s="180"/>
      <c r="CH380" s="180"/>
      <c r="CI380" s="178"/>
      <c r="CJ380" s="178"/>
      <c r="CK380" s="180"/>
      <c r="CL380" s="180"/>
      <c r="CM380" s="180"/>
      <c r="CN380" s="225"/>
      <c r="CO380" s="218">
        <f t="shared" si="137"/>
        <v>0.05</v>
      </c>
      <c r="CP380" s="100">
        <f t="shared" si="138"/>
        <v>0.05</v>
      </c>
      <c r="CQ380" s="218">
        <f t="shared" si="139"/>
        <v>0.05</v>
      </c>
      <c r="CW380" s="123"/>
      <c r="CX380" s="122"/>
      <c r="CY380" s="122"/>
      <c r="CZ380" s="123"/>
      <c r="DA380" s="123"/>
      <c r="DB380" s="123"/>
      <c r="DC380" s="122"/>
      <c r="DD380" s="122"/>
      <c r="DE380" s="122"/>
      <c r="DF380" s="122"/>
      <c r="DG380" s="122"/>
      <c r="DH380" s="123"/>
      <c r="DI380" s="23"/>
      <c r="DJ380" s="150"/>
      <c r="DK380" s="150"/>
      <c r="DL380" s="116"/>
    </row>
    <row r="381" spans="61:116" s="101" customFormat="1" ht="18.75" hidden="1" thickBot="1" x14ac:dyDescent="0.3">
      <c r="BI381" s="203" t="s">
        <v>92</v>
      </c>
      <c r="BJ381" s="190" t="s">
        <v>78</v>
      </c>
      <c r="BK381" s="196">
        <v>196.94</v>
      </c>
      <c r="BL381" s="190" t="s">
        <v>422</v>
      </c>
      <c r="BM381" s="189">
        <v>0.05</v>
      </c>
      <c r="BN381" s="189">
        <v>0.05</v>
      </c>
      <c r="BO381" s="188" t="s">
        <v>77</v>
      </c>
      <c r="BP381" s="206"/>
      <c r="BQ381" s="206"/>
      <c r="BR381" s="206"/>
      <c r="BS381" s="206"/>
      <c r="BT381" s="206"/>
      <c r="BU381" s="206"/>
      <c r="BV381" s="207"/>
      <c r="BW381" s="206"/>
      <c r="BX381" s="206"/>
      <c r="BY381" s="207"/>
      <c r="BZ381" s="207"/>
      <c r="CA381" s="207"/>
      <c r="CB381" s="180"/>
      <c r="CC381" s="178"/>
      <c r="CD381" s="178"/>
      <c r="CE381" s="180"/>
      <c r="CF381" s="180"/>
      <c r="CG381" s="180"/>
      <c r="CH381" s="180"/>
      <c r="CI381" s="178"/>
      <c r="CJ381" s="178"/>
      <c r="CK381" s="180"/>
      <c r="CL381" s="180"/>
      <c r="CM381" s="180"/>
      <c r="CN381" s="225"/>
      <c r="CO381" s="218">
        <f t="shared" si="137"/>
        <v>0.05</v>
      </c>
      <c r="CP381" s="100">
        <f t="shared" si="138"/>
        <v>0.05</v>
      </c>
      <c r="CQ381" s="218">
        <f t="shared" si="139"/>
        <v>0.05</v>
      </c>
      <c r="CW381" s="123"/>
      <c r="CX381" s="122"/>
      <c r="CY381" s="122"/>
      <c r="CZ381" s="123"/>
      <c r="DA381" s="123"/>
      <c r="DB381" s="123"/>
      <c r="DC381" s="122"/>
      <c r="DD381" s="122"/>
      <c r="DE381" s="122"/>
      <c r="DF381" s="122"/>
      <c r="DG381" s="122"/>
      <c r="DH381" s="123"/>
      <c r="DI381" s="23"/>
      <c r="DJ381" s="150"/>
      <c r="DK381" s="150"/>
      <c r="DL381" s="116"/>
    </row>
    <row r="382" spans="61:116" s="101" customFormat="1" ht="18.75" hidden="1" thickBot="1" x14ac:dyDescent="0.3">
      <c r="BI382" s="203" t="s">
        <v>331</v>
      </c>
      <c r="BJ382" s="190" t="s">
        <v>78</v>
      </c>
      <c r="BK382" s="196">
        <v>188.24</v>
      </c>
      <c r="BL382" s="190" t="s">
        <v>422</v>
      </c>
      <c r="BM382" s="189">
        <v>0.05</v>
      </c>
      <c r="BN382" s="189">
        <v>0.05</v>
      </c>
      <c r="BO382" s="188" t="s">
        <v>77</v>
      </c>
      <c r="BP382" s="206"/>
      <c r="BQ382" s="206"/>
      <c r="BR382" s="206"/>
      <c r="BS382" s="206"/>
      <c r="BT382" s="206"/>
      <c r="BU382" s="206"/>
      <c r="BV382" s="207"/>
      <c r="BW382" s="206"/>
      <c r="BX382" s="206"/>
      <c r="BY382" s="207"/>
      <c r="BZ382" s="207"/>
      <c r="CA382" s="207"/>
      <c r="CB382" s="180"/>
      <c r="CC382" s="178"/>
      <c r="CD382" s="178"/>
      <c r="CE382" s="180"/>
      <c r="CF382" s="180"/>
      <c r="CG382" s="180"/>
      <c r="CH382" s="180"/>
      <c r="CI382" s="178"/>
      <c r="CJ382" s="178"/>
      <c r="CK382" s="180"/>
      <c r="CL382" s="180"/>
      <c r="CM382" s="180"/>
      <c r="CN382" s="225"/>
      <c r="CO382" s="218">
        <f t="shared" si="137"/>
        <v>0.05</v>
      </c>
      <c r="CP382" s="100">
        <f t="shared" si="138"/>
        <v>0.05</v>
      </c>
      <c r="CQ382" s="218">
        <f t="shared" si="139"/>
        <v>0.05</v>
      </c>
      <c r="CW382" s="123"/>
      <c r="CX382" s="122"/>
      <c r="CY382" s="122"/>
      <c r="CZ382" s="123"/>
      <c r="DA382" s="123"/>
      <c r="DB382" s="123"/>
      <c r="DC382" s="122"/>
      <c r="DD382" s="122"/>
      <c r="DE382" s="122"/>
      <c r="DF382" s="122"/>
      <c r="DG382" s="122"/>
      <c r="DH382" s="123"/>
      <c r="DI382" s="23"/>
      <c r="DJ382" s="150"/>
      <c r="DK382" s="150"/>
      <c r="DL382" s="116"/>
    </row>
    <row r="383" spans="61:116" s="101" customFormat="1" ht="18.75" hidden="1" thickBot="1" x14ac:dyDescent="0.3">
      <c r="BI383" s="203" t="s">
        <v>305</v>
      </c>
      <c r="BJ383" s="190" t="s">
        <v>78</v>
      </c>
      <c r="BK383" s="196">
        <v>166.07</v>
      </c>
      <c r="BL383" s="190" t="s">
        <v>422</v>
      </c>
      <c r="BM383" s="189">
        <v>0.05</v>
      </c>
      <c r="BN383" s="189">
        <v>0.05</v>
      </c>
      <c r="BO383" s="188" t="s">
        <v>77</v>
      </c>
      <c r="BP383" s="206"/>
      <c r="BQ383" s="206"/>
      <c r="BR383" s="206"/>
      <c r="BS383" s="206"/>
      <c r="BT383" s="206"/>
      <c r="BU383" s="206"/>
      <c r="BV383" s="207"/>
      <c r="BW383" s="206"/>
      <c r="BX383" s="206"/>
      <c r="BY383" s="207"/>
      <c r="BZ383" s="207"/>
      <c r="CA383" s="207"/>
      <c r="CB383" s="180"/>
      <c r="CC383" s="178"/>
      <c r="CD383" s="178"/>
      <c r="CE383" s="180"/>
      <c r="CF383" s="180"/>
      <c r="CG383" s="180"/>
      <c r="CH383" s="180"/>
      <c r="CI383" s="178"/>
      <c r="CJ383" s="178"/>
      <c r="CK383" s="180"/>
      <c r="CL383" s="180"/>
      <c r="CM383" s="180"/>
      <c r="CN383" s="225"/>
      <c r="CO383" s="218">
        <f t="shared" si="137"/>
        <v>0.05</v>
      </c>
      <c r="CP383" s="100">
        <f t="shared" si="138"/>
        <v>0.05</v>
      </c>
      <c r="CQ383" s="218">
        <f t="shared" si="139"/>
        <v>0.05</v>
      </c>
      <c r="CW383" s="123"/>
      <c r="CX383" s="122"/>
      <c r="CY383" s="122"/>
      <c r="CZ383" s="123"/>
      <c r="DA383" s="123"/>
      <c r="DB383" s="123"/>
      <c r="DC383" s="122"/>
      <c r="DD383" s="122"/>
      <c r="DE383" s="122"/>
      <c r="DF383" s="122"/>
      <c r="DG383" s="122"/>
      <c r="DH383" s="123"/>
      <c r="DI383" s="23"/>
      <c r="DJ383" s="150"/>
      <c r="DK383" s="150"/>
      <c r="DL383" s="116"/>
    </row>
    <row r="384" spans="61:116" s="101" customFormat="1" ht="18.75" hidden="1" thickBot="1" x14ac:dyDescent="0.3">
      <c r="BI384" s="203" t="s">
        <v>93</v>
      </c>
      <c r="BJ384" s="190" t="s">
        <v>78</v>
      </c>
      <c r="BK384" s="196">
        <v>176.09</v>
      </c>
      <c r="BL384" s="190" t="s">
        <v>422</v>
      </c>
      <c r="BM384" s="189">
        <v>0.05</v>
      </c>
      <c r="BN384" s="189">
        <v>0.05</v>
      </c>
      <c r="BO384" s="188" t="s">
        <v>77</v>
      </c>
      <c r="BP384" s="206"/>
      <c r="BQ384" s="206"/>
      <c r="BR384" s="206"/>
      <c r="BS384" s="206"/>
      <c r="BT384" s="206"/>
      <c r="BU384" s="206"/>
      <c r="BV384" s="207"/>
      <c r="BW384" s="206"/>
      <c r="BX384" s="206"/>
      <c r="BY384" s="207"/>
      <c r="BZ384" s="207"/>
      <c r="CA384" s="207"/>
      <c r="CB384" s="180"/>
      <c r="CC384" s="178"/>
      <c r="CD384" s="178"/>
      <c r="CE384" s="180"/>
      <c r="CF384" s="180"/>
      <c r="CG384" s="180"/>
      <c r="CH384" s="180"/>
      <c r="CI384" s="178"/>
      <c r="CJ384" s="178"/>
      <c r="CK384" s="180"/>
      <c r="CL384" s="180"/>
      <c r="CM384" s="180"/>
      <c r="CN384" s="225"/>
      <c r="CO384" s="218">
        <f t="shared" si="137"/>
        <v>0.05</v>
      </c>
      <c r="CP384" s="100">
        <f t="shared" si="138"/>
        <v>0.05</v>
      </c>
      <c r="CQ384" s="218">
        <f t="shared" si="139"/>
        <v>0.05</v>
      </c>
      <c r="CW384" s="123"/>
      <c r="CX384" s="122"/>
      <c r="CY384" s="122"/>
      <c r="CZ384" s="123"/>
      <c r="DA384" s="123"/>
      <c r="DB384" s="123"/>
      <c r="DC384" s="122"/>
      <c r="DD384" s="122"/>
      <c r="DE384" s="122"/>
      <c r="DF384" s="122"/>
      <c r="DG384" s="122"/>
      <c r="DH384" s="123"/>
      <c r="DI384" s="23"/>
      <c r="DJ384" s="150"/>
      <c r="DK384" s="150"/>
      <c r="DL384" s="116"/>
    </row>
    <row r="385" spans="61:116" s="101" customFormat="1" ht="18.75" hidden="1" thickBot="1" x14ac:dyDescent="0.3">
      <c r="BI385" s="203" t="s">
        <v>94</v>
      </c>
      <c r="BJ385" s="190" t="s">
        <v>78</v>
      </c>
      <c r="BK385" s="196">
        <v>162.44</v>
      </c>
      <c r="BL385" s="190" t="s">
        <v>422</v>
      </c>
      <c r="BM385" s="189">
        <v>0.05</v>
      </c>
      <c r="BN385" s="189">
        <v>0.05</v>
      </c>
      <c r="BO385" s="188" t="s">
        <v>77</v>
      </c>
      <c r="BP385" s="206"/>
      <c r="BQ385" s="206"/>
      <c r="BR385" s="206"/>
      <c r="BS385" s="206"/>
      <c r="BT385" s="206"/>
      <c r="BU385" s="206"/>
      <c r="BV385" s="207"/>
      <c r="BW385" s="206"/>
      <c r="BX385" s="206"/>
      <c r="BY385" s="207"/>
      <c r="BZ385" s="207"/>
      <c r="CA385" s="207"/>
      <c r="CB385" s="180"/>
      <c r="CC385" s="178"/>
      <c r="CD385" s="178"/>
      <c r="CE385" s="180"/>
      <c r="CF385" s="180"/>
      <c r="CG385" s="180"/>
      <c r="CH385" s="180"/>
      <c r="CI385" s="178"/>
      <c r="CJ385" s="178"/>
      <c r="CK385" s="180"/>
      <c r="CL385" s="180"/>
      <c r="CM385" s="180"/>
      <c r="CN385" s="225"/>
      <c r="CO385" s="218">
        <f t="shared" si="137"/>
        <v>0.05</v>
      </c>
      <c r="CP385" s="100">
        <f t="shared" si="138"/>
        <v>0.05</v>
      </c>
      <c r="CQ385" s="218">
        <f t="shared" si="139"/>
        <v>0.05</v>
      </c>
      <c r="CW385" s="123"/>
      <c r="CX385" s="122"/>
      <c r="CY385" s="122"/>
      <c r="CZ385" s="123"/>
      <c r="DA385" s="123"/>
      <c r="DB385" s="123"/>
      <c r="DC385" s="122"/>
      <c r="DD385" s="122"/>
      <c r="DE385" s="122"/>
      <c r="DF385" s="122"/>
      <c r="DG385" s="122"/>
      <c r="DH385" s="123"/>
      <c r="DI385" s="23"/>
      <c r="DJ385" s="150"/>
      <c r="DK385" s="150"/>
      <c r="DL385" s="116"/>
    </row>
    <row r="386" spans="61:116" s="101" customFormat="1" ht="18.75" hidden="1" thickBot="1" x14ac:dyDescent="0.3">
      <c r="BI386" s="203" t="s">
        <v>95</v>
      </c>
      <c r="BJ386" s="190" t="s">
        <v>78</v>
      </c>
      <c r="BK386" s="196">
        <v>39.6</v>
      </c>
      <c r="BL386" s="190" t="s">
        <v>422</v>
      </c>
      <c r="BM386" s="189">
        <v>0.05</v>
      </c>
      <c r="BN386" s="189">
        <v>0.05</v>
      </c>
      <c r="BO386" s="188" t="s">
        <v>77</v>
      </c>
      <c r="BP386" s="206"/>
      <c r="BQ386" s="206"/>
      <c r="BR386" s="206"/>
      <c r="BS386" s="206"/>
      <c r="BT386" s="206"/>
      <c r="BU386" s="206"/>
      <c r="BV386" s="207"/>
      <c r="BW386" s="206"/>
      <c r="BX386" s="206"/>
      <c r="BY386" s="207"/>
      <c r="BZ386" s="207"/>
      <c r="CA386" s="207"/>
      <c r="CB386" s="180"/>
      <c r="CC386" s="178"/>
      <c r="CD386" s="178"/>
      <c r="CE386" s="180"/>
      <c r="CF386" s="180"/>
      <c r="CG386" s="180"/>
      <c r="CH386" s="180"/>
      <c r="CI386" s="178"/>
      <c r="CJ386" s="178"/>
      <c r="CK386" s="180"/>
      <c r="CL386" s="180"/>
      <c r="CM386" s="180"/>
      <c r="CN386" s="225"/>
      <c r="CO386" s="218">
        <f t="shared" si="137"/>
        <v>0.05</v>
      </c>
      <c r="CP386" s="100">
        <f t="shared" si="138"/>
        <v>0.05</v>
      </c>
      <c r="CQ386" s="218">
        <f t="shared" si="139"/>
        <v>0.05</v>
      </c>
      <c r="CW386" s="123"/>
      <c r="CX386" s="122"/>
      <c r="CY386" s="122"/>
      <c r="CZ386" s="123"/>
      <c r="DA386" s="123"/>
      <c r="DB386" s="123"/>
      <c r="DC386" s="122"/>
      <c r="DD386" s="122"/>
      <c r="DE386" s="122"/>
      <c r="DF386" s="122"/>
      <c r="DG386" s="122"/>
      <c r="DH386" s="123"/>
      <c r="DI386" s="23"/>
      <c r="DJ386" s="150"/>
      <c r="DK386" s="150"/>
      <c r="DL386" s="116"/>
    </row>
    <row r="387" spans="61:116" s="101" customFormat="1" ht="18.75" hidden="1" thickBot="1" x14ac:dyDescent="0.3">
      <c r="BI387" s="203" t="s">
        <v>96</v>
      </c>
      <c r="BJ387" s="190" t="s">
        <v>78</v>
      </c>
      <c r="BK387" s="196">
        <v>83.35</v>
      </c>
      <c r="BL387" s="190" t="s">
        <v>422</v>
      </c>
      <c r="BM387" s="189">
        <v>0.05</v>
      </c>
      <c r="BN387" s="189">
        <v>0.05</v>
      </c>
      <c r="BO387" s="188" t="s">
        <v>77</v>
      </c>
      <c r="BP387" s="206"/>
      <c r="BQ387" s="206"/>
      <c r="BR387" s="206"/>
      <c r="BS387" s="206"/>
      <c r="BT387" s="206"/>
      <c r="BU387" s="206"/>
      <c r="BV387" s="207"/>
      <c r="BW387" s="206"/>
      <c r="BX387" s="206"/>
      <c r="BY387" s="207"/>
      <c r="BZ387" s="207"/>
      <c r="CA387" s="207"/>
      <c r="CB387" s="180"/>
      <c r="CC387" s="178"/>
      <c r="CD387" s="178"/>
      <c r="CE387" s="180"/>
      <c r="CF387" s="180"/>
      <c r="CG387" s="180"/>
      <c r="CH387" s="180"/>
      <c r="CI387" s="178"/>
      <c r="CJ387" s="178"/>
      <c r="CK387" s="180"/>
      <c r="CL387" s="180"/>
      <c r="CM387" s="180"/>
      <c r="CN387" s="225"/>
      <c r="CO387" s="218">
        <f t="shared" si="137"/>
        <v>0.05</v>
      </c>
      <c r="CP387" s="100">
        <f t="shared" si="138"/>
        <v>0.05</v>
      </c>
      <c r="CQ387" s="218">
        <f t="shared" si="139"/>
        <v>0.05</v>
      </c>
      <c r="CW387" s="123"/>
      <c r="CX387" s="122"/>
      <c r="CY387" s="122"/>
      <c r="CZ387" s="123"/>
      <c r="DA387" s="123"/>
      <c r="DB387" s="123"/>
      <c r="DC387" s="122"/>
      <c r="DD387" s="122"/>
      <c r="DE387" s="122"/>
      <c r="DF387" s="122"/>
      <c r="DG387" s="122"/>
      <c r="DH387" s="123"/>
      <c r="DI387" s="23"/>
      <c r="DJ387" s="150"/>
      <c r="DK387" s="150"/>
      <c r="DL387" s="116"/>
    </row>
    <row r="388" spans="61:116" s="101" customFormat="1" ht="15.75" hidden="1" thickBot="1" x14ac:dyDescent="0.3">
      <c r="BI388" s="203" t="s">
        <v>350</v>
      </c>
      <c r="BJ388" s="203" t="s">
        <v>632</v>
      </c>
      <c r="BK388" s="196">
        <v>1.05</v>
      </c>
      <c r="BL388" s="203" t="s">
        <v>633</v>
      </c>
      <c r="BM388" s="208">
        <v>0.05</v>
      </c>
      <c r="BN388" s="208">
        <v>0.05</v>
      </c>
      <c r="BO388" s="203" t="s">
        <v>351</v>
      </c>
      <c r="BP388" s="206"/>
      <c r="BQ388" s="206"/>
      <c r="BR388" s="206"/>
      <c r="BS388" s="206"/>
      <c r="BT388" s="206"/>
      <c r="BU388" s="206"/>
      <c r="BV388" s="207"/>
      <c r="BW388" s="206"/>
      <c r="BX388" s="206"/>
      <c r="BY388" s="207"/>
      <c r="BZ388" s="207"/>
      <c r="CA388" s="207"/>
      <c r="CB388" s="180"/>
      <c r="CC388" s="178"/>
      <c r="CD388" s="178"/>
      <c r="CE388" s="180"/>
      <c r="CF388" s="180"/>
      <c r="CG388" s="180"/>
      <c r="CH388" s="180"/>
      <c r="CI388" s="178"/>
      <c r="CJ388" s="178"/>
      <c r="CK388" s="180"/>
      <c r="CL388" s="180"/>
      <c r="CM388" s="180"/>
      <c r="CN388" s="225"/>
      <c r="CO388" s="218">
        <f t="shared" si="137"/>
        <v>0.05</v>
      </c>
      <c r="CP388" s="100">
        <f t="shared" si="138"/>
        <v>0.05</v>
      </c>
      <c r="CQ388" s="218">
        <f t="shared" si="139"/>
        <v>0.05</v>
      </c>
      <c r="CW388" s="123"/>
      <c r="CX388" s="122"/>
      <c r="CY388" s="122"/>
      <c r="CZ388" s="123"/>
      <c r="DA388" s="123"/>
      <c r="DB388" s="123"/>
      <c r="DC388" s="122"/>
      <c r="DD388" s="122"/>
      <c r="DE388" s="122"/>
      <c r="DF388" s="122"/>
      <c r="DG388" s="122"/>
      <c r="DH388" s="123"/>
      <c r="DI388" s="23"/>
      <c r="DJ388" s="150"/>
      <c r="DK388" s="150"/>
      <c r="DL388" s="116"/>
    </row>
    <row r="389" spans="61:116" s="101" customFormat="1" ht="26.25" hidden="1" thickBot="1" x14ac:dyDescent="0.3">
      <c r="BI389" s="203" t="s">
        <v>352</v>
      </c>
      <c r="BJ389" s="203" t="s">
        <v>632</v>
      </c>
      <c r="BK389" s="196">
        <v>1.44E-2</v>
      </c>
      <c r="BL389" s="203" t="s">
        <v>633</v>
      </c>
      <c r="BM389" s="208">
        <v>0.05</v>
      </c>
      <c r="BN389" s="208">
        <v>0.05</v>
      </c>
      <c r="BO389" s="203" t="s">
        <v>353</v>
      </c>
      <c r="BP389" s="206"/>
      <c r="BQ389" s="206"/>
      <c r="BR389" s="206"/>
      <c r="BS389" s="206"/>
      <c r="BT389" s="206"/>
      <c r="BU389" s="206"/>
      <c r="BV389" s="207"/>
      <c r="BW389" s="206"/>
      <c r="BX389" s="206"/>
      <c r="BY389" s="207"/>
      <c r="BZ389" s="207"/>
      <c r="CA389" s="207"/>
      <c r="CB389" s="180"/>
      <c r="CC389" s="178"/>
      <c r="CD389" s="178"/>
      <c r="CE389" s="180"/>
      <c r="CF389" s="180"/>
      <c r="CG389" s="180"/>
      <c r="CH389" s="180"/>
      <c r="CI389" s="178"/>
      <c r="CJ389" s="178"/>
      <c r="CK389" s="180"/>
      <c r="CL389" s="180"/>
      <c r="CM389" s="180"/>
      <c r="CN389" s="225"/>
      <c r="CO389" s="218">
        <f t="shared" si="137"/>
        <v>0.05</v>
      </c>
      <c r="CP389" s="100">
        <f t="shared" si="138"/>
        <v>0.05</v>
      </c>
      <c r="CQ389" s="218">
        <f t="shared" si="139"/>
        <v>0.05</v>
      </c>
      <c r="CW389" s="123"/>
      <c r="CX389" s="122"/>
      <c r="CY389" s="122"/>
      <c r="CZ389" s="123"/>
      <c r="DA389" s="123"/>
      <c r="DB389" s="123"/>
      <c r="DC389" s="122"/>
      <c r="DD389" s="122"/>
      <c r="DE389" s="122"/>
      <c r="DF389" s="122"/>
      <c r="DG389" s="122"/>
      <c r="DH389" s="123"/>
      <c r="DI389" s="23"/>
      <c r="DJ389" s="150"/>
      <c r="DK389" s="150"/>
      <c r="DL389" s="116"/>
    </row>
    <row r="390" spans="61:116" s="101" customFormat="1" ht="15.75" hidden="1" thickBot="1" x14ac:dyDescent="0.3">
      <c r="BI390" s="203" t="s">
        <v>354</v>
      </c>
      <c r="BJ390" s="203" t="s">
        <v>632</v>
      </c>
      <c r="BK390" s="196">
        <v>7.8200000000000006E-2</v>
      </c>
      <c r="BL390" s="203" t="s">
        <v>633</v>
      </c>
      <c r="BM390" s="208">
        <v>0.05</v>
      </c>
      <c r="BN390" s="208">
        <v>0.05</v>
      </c>
      <c r="BO390" s="203" t="s">
        <v>355</v>
      </c>
      <c r="BP390" s="206"/>
      <c r="BQ390" s="206"/>
      <c r="BR390" s="206"/>
      <c r="BS390" s="206"/>
      <c r="BT390" s="206"/>
      <c r="BU390" s="206"/>
      <c r="BV390" s="207"/>
      <c r="BW390" s="206"/>
      <c r="BX390" s="206"/>
      <c r="BY390" s="207"/>
      <c r="BZ390" s="207"/>
      <c r="CA390" s="207"/>
      <c r="CB390" s="180"/>
      <c r="CC390" s="178"/>
      <c r="CD390" s="178"/>
      <c r="CE390" s="180"/>
      <c r="CF390" s="180"/>
      <c r="CG390" s="180"/>
      <c r="CH390" s="180"/>
      <c r="CI390" s="178"/>
      <c r="CJ390" s="178"/>
      <c r="CK390" s="180"/>
      <c r="CL390" s="180"/>
      <c r="CM390" s="180"/>
      <c r="CN390" s="225"/>
      <c r="CO390" s="218">
        <f t="shared" si="137"/>
        <v>0.05</v>
      </c>
      <c r="CP390" s="100">
        <f t="shared" si="138"/>
        <v>0.05</v>
      </c>
      <c r="CQ390" s="218">
        <f t="shared" si="139"/>
        <v>0.05</v>
      </c>
      <c r="CW390" s="123"/>
      <c r="CX390" s="122"/>
      <c r="CY390" s="122"/>
      <c r="CZ390" s="123"/>
      <c r="DA390" s="123"/>
      <c r="DB390" s="123"/>
      <c r="DC390" s="122"/>
      <c r="DD390" s="122"/>
      <c r="DE390" s="122"/>
      <c r="DF390" s="122"/>
      <c r="DG390" s="122"/>
      <c r="DH390" s="123"/>
      <c r="DI390" s="23"/>
      <c r="DJ390" s="150"/>
      <c r="DK390" s="150"/>
      <c r="DL390" s="116"/>
    </row>
    <row r="391" spans="61:116" s="101" customFormat="1" hidden="1" x14ac:dyDescent="0.25">
      <c r="BI391" s="102"/>
      <c r="BJ391" s="178"/>
      <c r="BK391" s="178"/>
      <c r="BL391" s="178"/>
      <c r="BM391" s="169"/>
      <c r="BN391" s="169"/>
      <c r="BO391" s="169"/>
      <c r="BP391" s="206"/>
      <c r="BQ391" s="206"/>
      <c r="BR391" s="206"/>
      <c r="BS391" s="206"/>
      <c r="BT391" s="206"/>
      <c r="BU391" s="206"/>
      <c r="BV391" s="207"/>
      <c r="BW391" s="206"/>
      <c r="BX391" s="206"/>
      <c r="BY391" s="207"/>
      <c r="BZ391" s="207"/>
      <c r="CA391" s="207"/>
      <c r="CB391" s="180"/>
      <c r="CC391" s="178"/>
      <c r="CD391" s="178"/>
      <c r="CE391" s="180"/>
      <c r="CF391" s="180"/>
      <c r="CG391" s="180"/>
      <c r="CH391" s="180"/>
      <c r="CI391" s="178"/>
      <c r="CJ391" s="178"/>
      <c r="CK391" s="180"/>
      <c r="CL391" s="180"/>
      <c r="CM391" s="180"/>
      <c r="CN391" s="225"/>
      <c r="CO391" s="218">
        <f t="shared" ref="CO391:CO451" si="140">BM391</f>
        <v>0</v>
      </c>
      <c r="CP391" s="100">
        <f t="shared" ref="CP391:CP451" si="141">(CO391+CQ391)/2</f>
        <v>0</v>
      </c>
      <c r="CQ391" s="218">
        <f t="shared" ref="CQ391:CQ451" si="142">BN391</f>
        <v>0</v>
      </c>
      <c r="CW391" s="123"/>
      <c r="CX391" s="122"/>
      <c r="CY391" s="122"/>
      <c r="CZ391" s="123"/>
      <c r="DA391" s="123"/>
      <c r="DB391" s="123"/>
      <c r="DC391" s="122"/>
      <c r="DD391" s="122"/>
      <c r="DE391" s="122"/>
      <c r="DF391" s="122"/>
      <c r="DG391" s="122"/>
      <c r="DH391" s="123"/>
      <c r="DI391" s="23"/>
      <c r="DJ391" s="150"/>
      <c r="DK391" s="150"/>
      <c r="DL391" s="116"/>
    </row>
    <row r="392" spans="61:116" s="101" customFormat="1" hidden="1" x14ac:dyDescent="0.25">
      <c r="BI392" s="102"/>
      <c r="BJ392" s="178"/>
      <c r="BK392" s="178"/>
      <c r="BL392" s="178"/>
      <c r="BM392" s="169"/>
      <c r="BN392" s="169"/>
      <c r="BO392" s="169"/>
      <c r="BP392" s="206"/>
      <c r="BQ392" s="206"/>
      <c r="BR392" s="206"/>
      <c r="BS392" s="206"/>
      <c r="BT392" s="206"/>
      <c r="BU392" s="206"/>
      <c r="BV392" s="207"/>
      <c r="BW392" s="206"/>
      <c r="BX392" s="206"/>
      <c r="BY392" s="207"/>
      <c r="BZ392" s="207"/>
      <c r="CA392" s="207"/>
      <c r="CB392" s="180"/>
      <c r="CC392" s="178"/>
      <c r="CD392" s="178"/>
      <c r="CE392" s="180"/>
      <c r="CF392" s="180"/>
      <c r="CG392" s="180"/>
      <c r="CH392" s="180"/>
      <c r="CI392" s="178"/>
      <c r="CJ392" s="178"/>
      <c r="CK392" s="180"/>
      <c r="CL392" s="180"/>
      <c r="CM392" s="180"/>
      <c r="CN392" s="225"/>
      <c r="CO392" s="218">
        <f t="shared" si="140"/>
        <v>0</v>
      </c>
      <c r="CP392" s="100">
        <f t="shared" si="141"/>
        <v>0</v>
      </c>
      <c r="CQ392" s="218">
        <f t="shared" si="142"/>
        <v>0</v>
      </c>
      <c r="CW392" s="123"/>
      <c r="CX392" s="122"/>
      <c r="CY392" s="122"/>
      <c r="CZ392" s="123"/>
      <c r="DA392" s="123"/>
      <c r="DB392" s="123"/>
      <c r="DC392" s="122"/>
      <c r="DD392" s="122"/>
      <c r="DE392" s="122"/>
      <c r="DF392" s="122"/>
      <c r="DG392" s="122"/>
      <c r="DH392" s="123"/>
      <c r="DI392" s="23"/>
      <c r="DJ392" s="150"/>
      <c r="DK392" s="150"/>
      <c r="DL392" s="116"/>
    </row>
    <row r="393" spans="61:116" s="101" customFormat="1" ht="15.75" hidden="1" thickBot="1" x14ac:dyDescent="0.3">
      <c r="BI393" s="102"/>
      <c r="BJ393" s="178"/>
      <c r="BK393" s="178"/>
      <c r="BL393" s="178"/>
      <c r="BM393" s="169"/>
      <c r="BN393" s="169"/>
      <c r="BO393" s="169"/>
      <c r="BP393" s="206"/>
      <c r="BQ393" s="206"/>
      <c r="BR393" s="206"/>
      <c r="BS393" s="206"/>
      <c r="BT393" s="206"/>
      <c r="BU393" s="206"/>
      <c r="BV393" s="207"/>
      <c r="BW393" s="206"/>
      <c r="BX393" s="206"/>
      <c r="BY393" s="207"/>
      <c r="BZ393" s="207"/>
      <c r="CA393" s="207"/>
      <c r="CB393" s="180"/>
      <c r="CC393" s="178"/>
      <c r="CD393" s="178"/>
      <c r="CE393" s="180"/>
      <c r="CF393" s="180"/>
      <c r="CG393" s="180"/>
      <c r="CH393" s="180"/>
      <c r="CI393" s="178"/>
      <c r="CJ393" s="178"/>
      <c r="CK393" s="180"/>
      <c r="CL393" s="180"/>
      <c r="CM393" s="180"/>
      <c r="CN393" s="225"/>
      <c r="CO393" s="218">
        <f t="shared" si="140"/>
        <v>0</v>
      </c>
      <c r="CP393" s="100">
        <f t="shared" si="141"/>
        <v>0</v>
      </c>
      <c r="CQ393" s="218">
        <f t="shared" si="142"/>
        <v>0</v>
      </c>
      <c r="CW393" s="123"/>
      <c r="CX393" s="122"/>
      <c r="CY393" s="122"/>
      <c r="CZ393" s="123"/>
      <c r="DA393" s="123"/>
      <c r="DB393" s="123"/>
      <c r="DC393" s="122"/>
      <c r="DD393" s="122"/>
      <c r="DE393" s="122"/>
      <c r="DF393" s="122"/>
      <c r="DG393" s="122"/>
      <c r="DH393" s="123"/>
      <c r="DI393" s="23"/>
      <c r="DJ393" s="150"/>
      <c r="DK393" s="150"/>
      <c r="DL393" s="116"/>
    </row>
    <row r="394" spans="61:116" s="101" customFormat="1" ht="15" hidden="1" customHeight="1" x14ac:dyDescent="0.25">
      <c r="BI394" s="1606" t="s">
        <v>301</v>
      </c>
      <c r="BJ394" s="183"/>
      <c r="BK394" s="1606" t="s">
        <v>302</v>
      </c>
      <c r="BL394" s="183"/>
      <c r="BM394" s="1606" t="s">
        <v>233</v>
      </c>
      <c r="BN394" s="1606" t="s">
        <v>233</v>
      </c>
      <c r="BO394" s="1606" t="s">
        <v>240</v>
      </c>
      <c r="BP394" s="206"/>
      <c r="BQ394" s="206"/>
      <c r="BR394" s="206"/>
      <c r="BS394" s="206"/>
      <c r="BT394" s="206"/>
      <c r="BU394" s="206"/>
      <c r="BV394" s="207"/>
      <c r="BW394" s="206"/>
      <c r="BX394" s="206"/>
      <c r="BY394" s="207"/>
      <c r="BZ394" s="207"/>
      <c r="CA394" s="207"/>
      <c r="CB394" s="180"/>
      <c r="CC394" s="178"/>
      <c r="CD394" s="178"/>
      <c r="CE394" s="180"/>
      <c r="CF394" s="180"/>
      <c r="CG394" s="180"/>
      <c r="CH394" s="180"/>
      <c r="CI394" s="178"/>
      <c r="CJ394" s="178"/>
      <c r="CK394" s="180"/>
      <c r="CL394" s="180"/>
      <c r="CM394" s="180"/>
      <c r="CN394" s="225"/>
      <c r="CO394" s="218" t="str">
        <f t="shared" si="140"/>
        <v>Incertidumbre (+/- %)</v>
      </c>
      <c r="CP394" s="100" t="e">
        <f t="shared" si="141"/>
        <v>#VALUE!</v>
      </c>
      <c r="CQ394" s="218" t="str">
        <f t="shared" si="142"/>
        <v>Incertidumbre (+/- %)</v>
      </c>
      <c r="CW394" s="123"/>
      <c r="CX394" s="122"/>
      <c r="CY394" s="122"/>
      <c r="CZ394" s="123"/>
      <c r="DA394" s="123"/>
      <c r="DB394" s="123"/>
      <c r="DC394" s="122"/>
      <c r="DD394" s="122"/>
      <c r="DE394" s="122"/>
      <c r="DF394" s="122"/>
      <c r="DG394" s="122"/>
      <c r="DH394" s="123"/>
      <c r="DI394" s="23"/>
      <c r="DJ394" s="150"/>
      <c r="DK394" s="150"/>
      <c r="DL394" s="116"/>
    </row>
    <row r="395" spans="61:116" s="101" customFormat="1" ht="15.75" hidden="1" thickBot="1" x14ac:dyDescent="0.3">
      <c r="BI395" s="1607"/>
      <c r="BJ395" s="184" t="s">
        <v>253</v>
      </c>
      <c r="BK395" s="1607"/>
      <c r="BL395" s="184" t="s">
        <v>251</v>
      </c>
      <c r="BM395" s="1607"/>
      <c r="BN395" s="1607"/>
      <c r="BO395" s="1607"/>
      <c r="BP395" s="206"/>
      <c r="BQ395" s="206"/>
      <c r="BR395" s="206"/>
      <c r="BS395" s="206"/>
      <c r="BT395" s="206"/>
      <c r="BU395" s="206"/>
      <c r="BV395" s="207"/>
      <c r="BW395" s="206"/>
      <c r="BX395" s="206"/>
      <c r="BY395" s="207"/>
      <c r="BZ395" s="207"/>
      <c r="CA395" s="207"/>
      <c r="CB395" s="180"/>
      <c r="CC395" s="178"/>
      <c r="CD395" s="178"/>
      <c r="CE395" s="180"/>
      <c r="CF395" s="180"/>
      <c r="CG395" s="180"/>
      <c r="CH395" s="180"/>
      <c r="CI395" s="178"/>
      <c r="CJ395" s="178"/>
      <c r="CK395" s="180"/>
      <c r="CL395" s="180"/>
      <c r="CM395" s="180"/>
      <c r="CN395" s="225"/>
      <c r="CO395" s="218">
        <f t="shared" si="140"/>
        <v>0</v>
      </c>
      <c r="CP395" s="100">
        <f t="shared" si="141"/>
        <v>0</v>
      </c>
      <c r="CQ395" s="218">
        <f t="shared" si="142"/>
        <v>0</v>
      </c>
      <c r="CW395" s="123"/>
      <c r="CX395" s="122"/>
      <c r="CY395" s="122"/>
      <c r="CZ395" s="123"/>
      <c r="DA395" s="123"/>
      <c r="DB395" s="123"/>
      <c r="DC395" s="122"/>
      <c r="DD395" s="122"/>
      <c r="DE395" s="122"/>
      <c r="DF395" s="122"/>
      <c r="DG395" s="122"/>
      <c r="DH395" s="123"/>
      <c r="DI395" s="23"/>
      <c r="DJ395" s="150"/>
      <c r="DK395" s="150"/>
      <c r="DL395" s="116"/>
    </row>
    <row r="396" spans="61:116" s="101" customFormat="1" ht="18.75" hidden="1" customHeight="1" thickBot="1" x14ac:dyDescent="0.3">
      <c r="BI396" s="203" t="s">
        <v>68</v>
      </c>
      <c r="BJ396" s="190" t="s">
        <v>49</v>
      </c>
      <c r="BK396" s="196">
        <v>1.05</v>
      </c>
      <c r="BL396" s="190" t="s">
        <v>418</v>
      </c>
      <c r="BM396" s="189">
        <v>0.01</v>
      </c>
      <c r="BN396" s="189">
        <v>0.5</v>
      </c>
      <c r="BO396" s="209" t="s">
        <v>341</v>
      </c>
      <c r="BP396" s="206"/>
      <c r="BQ396" s="206"/>
      <c r="BR396" s="206"/>
      <c r="BS396" s="206"/>
      <c r="BT396" s="206"/>
      <c r="BU396" s="206"/>
      <c r="BV396" s="207"/>
      <c r="BW396" s="206"/>
      <c r="BX396" s="206"/>
      <c r="BY396" s="207"/>
      <c r="BZ396" s="207"/>
      <c r="CA396" s="207"/>
      <c r="CB396" s="180"/>
      <c r="CC396" s="178"/>
      <c r="CD396" s="178"/>
      <c r="CE396" s="180"/>
      <c r="CF396" s="180"/>
      <c r="CG396" s="180"/>
      <c r="CH396" s="180"/>
      <c r="CI396" s="178"/>
      <c r="CJ396" s="178"/>
      <c r="CK396" s="180"/>
      <c r="CL396" s="180"/>
      <c r="CM396" s="180"/>
      <c r="CN396" s="225"/>
      <c r="CO396" s="218">
        <f t="shared" si="140"/>
        <v>0.01</v>
      </c>
      <c r="CP396" s="100">
        <f t="shared" si="141"/>
        <v>0.255</v>
      </c>
      <c r="CQ396" s="218">
        <f t="shared" si="142"/>
        <v>0.5</v>
      </c>
      <c r="CW396" s="123"/>
      <c r="CX396" s="122"/>
      <c r="CY396" s="122"/>
      <c r="CZ396" s="123"/>
      <c r="DA396" s="123"/>
      <c r="DB396" s="123"/>
      <c r="DC396" s="122"/>
      <c r="DD396" s="122"/>
      <c r="DE396" s="122"/>
      <c r="DF396" s="122"/>
      <c r="DG396" s="122"/>
      <c r="DH396" s="123"/>
      <c r="DI396" s="23"/>
      <c r="DJ396" s="150"/>
      <c r="DK396" s="150"/>
      <c r="DL396" s="116"/>
    </row>
    <row r="397" spans="61:116" s="101" customFormat="1" ht="18.75" hidden="1" customHeight="1" thickBot="1" x14ac:dyDescent="0.3">
      <c r="BI397" s="203" t="s">
        <v>69</v>
      </c>
      <c r="BJ397" s="190" t="s">
        <v>49</v>
      </c>
      <c r="BK397" s="196">
        <v>0.81</v>
      </c>
      <c r="BL397" s="190" t="s">
        <v>418</v>
      </c>
      <c r="BM397" s="189">
        <v>0.01</v>
      </c>
      <c r="BN397" s="189">
        <v>0.5</v>
      </c>
      <c r="BO397" s="210" t="s">
        <v>320</v>
      </c>
      <c r="BP397" s="206"/>
      <c r="BQ397" s="206"/>
      <c r="BR397" s="206"/>
      <c r="BS397" s="206"/>
      <c r="BT397" s="206"/>
      <c r="BU397" s="206"/>
      <c r="BV397" s="207"/>
      <c r="BW397" s="206"/>
      <c r="BX397" s="206"/>
      <c r="BY397" s="207"/>
      <c r="BZ397" s="207"/>
      <c r="CA397" s="207"/>
      <c r="CB397" s="180"/>
      <c r="CC397" s="178"/>
      <c r="CD397" s="178"/>
      <c r="CE397" s="180"/>
      <c r="CF397" s="180"/>
      <c r="CG397" s="180"/>
      <c r="CH397" s="180"/>
      <c r="CI397" s="178"/>
      <c r="CJ397" s="178"/>
      <c r="CK397" s="180"/>
      <c r="CL397" s="180"/>
      <c r="CM397" s="180"/>
      <c r="CN397" s="225"/>
      <c r="CO397" s="218">
        <f t="shared" si="140"/>
        <v>0.01</v>
      </c>
      <c r="CP397" s="100">
        <f t="shared" si="141"/>
        <v>0.255</v>
      </c>
      <c r="CQ397" s="218">
        <f t="shared" si="142"/>
        <v>0.5</v>
      </c>
      <c r="CW397" s="123"/>
      <c r="CX397" s="122"/>
      <c r="CY397" s="122"/>
      <c r="CZ397" s="123"/>
      <c r="DA397" s="123"/>
      <c r="DB397" s="123"/>
      <c r="DC397" s="122"/>
      <c r="DD397" s="122"/>
      <c r="DE397" s="122"/>
      <c r="DF397" s="122"/>
      <c r="DG397" s="122"/>
      <c r="DH397" s="123"/>
      <c r="DI397" s="23"/>
      <c r="DJ397" s="150"/>
      <c r="DK397" s="150"/>
      <c r="DL397" s="116"/>
    </row>
    <row r="398" spans="61:116" s="101" customFormat="1" ht="18.75" hidden="1" customHeight="1" thickBot="1" x14ac:dyDescent="0.3">
      <c r="BI398" s="203" t="s">
        <v>317</v>
      </c>
      <c r="BJ398" s="190" t="s">
        <v>49</v>
      </c>
      <c r="BK398" s="196">
        <v>0.83</v>
      </c>
      <c r="BL398" s="190" t="s">
        <v>418</v>
      </c>
      <c r="BM398" s="189">
        <v>0.01</v>
      </c>
      <c r="BN398" s="189">
        <v>0.5</v>
      </c>
      <c r="BO398" s="209" t="s">
        <v>342</v>
      </c>
      <c r="BP398" s="206"/>
      <c r="BQ398" s="206"/>
      <c r="BR398" s="206"/>
      <c r="BS398" s="206"/>
      <c r="BT398" s="206"/>
      <c r="BU398" s="206"/>
      <c r="BV398" s="207"/>
      <c r="BW398" s="206"/>
      <c r="BX398" s="206"/>
      <c r="BY398" s="207"/>
      <c r="BZ398" s="207"/>
      <c r="CA398" s="207"/>
      <c r="CB398" s="180"/>
      <c r="CC398" s="178"/>
      <c r="CD398" s="178"/>
      <c r="CE398" s="180"/>
      <c r="CF398" s="180"/>
      <c r="CG398" s="180"/>
      <c r="CH398" s="180"/>
      <c r="CI398" s="178"/>
      <c r="CJ398" s="178"/>
      <c r="CK398" s="180"/>
      <c r="CL398" s="180"/>
      <c r="CM398" s="180"/>
      <c r="CN398" s="225"/>
      <c r="CO398" s="218">
        <f t="shared" si="140"/>
        <v>0.01</v>
      </c>
      <c r="CP398" s="100">
        <f t="shared" si="141"/>
        <v>0.255</v>
      </c>
      <c r="CQ398" s="218">
        <f t="shared" si="142"/>
        <v>0.5</v>
      </c>
      <c r="CW398" s="123"/>
      <c r="CX398" s="122"/>
      <c r="CY398" s="122"/>
      <c r="CZ398" s="123"/>
      <c r="DA398" s="123"/>
      <c r="DB398" s="123"/>
      <c r="DC398" s="122"/>
      <c r="DD398" s="122"/>
      <c r="DE398" s="122"/>
      <c r="DF398" s="122"/>
      <c r="DG398" s="122"/>
      <c r="DH398" s="123"/>
      <c r="DI398" s="23"/>
      <c r="DJ398" s="150"/>
      <c r="DK398" s="150"/>
      <c r="DL398" s="116"/>
    </row>
    <row r="399" spans="61:116" s="101" customFormat="1" ht="18.75" hidden="1" customHeight="1" thickBot="1" x14ac:dyDescent="0.3">
      <c r="BI399" s="203" t="s">
        <v>318</v>
      </c>
      <c r="BJ399" s="190" t="s">
        <v>49</v>
      </c>
      <c r="BK399" s="196">
        <v>1.39</v>
      </c>
      <c r="BL399" s="190" t="s">
        <v>418</v>
      </c>
      <c r="BM399" s="189">
        <v>0.01</v>
      </c>
      <c r="BN399" s="189">
        <v>0.5</v>
      </c>
      <c r="BO399" s="209" t="s">
        <v>342</v>
      </c>
      <c r="BP399" s="206"/>
      <c r="BQ399" s="206"/>
      <c r="BR399" s="206"/>
      <c r="BS399" s="206"/>
      <c r="BT399" s="206"/>
      <c r="BU399" s="206"/>
      <c r="BV399" s="207"/>
      <c r="BW399" s="206"/>
      <c r="BX399" s="206"/>
      <c r="BY399" s="207"/>
      <c r="BZ399" s="207"/>
      <c r="CA399" s="207"/>
      <c r="CB399" s="180"/>
      <c r="CC399" s="178"/>
      <c r="CD399" s="178"/>
      <c r="CE399" s="180"/>
      <c r="CF399" s="180"/>
      <c r="CG399" s="180"/>
      <c r="CH399" s="180"/>
      <c r="CI399" s="178"/>
      <c r="CJ399" s="178"/>
      <c r="CK399" s="180"/>
      <c r="CL399" s="180"/>
      <c r="CM399" s="180"/>
      <c r="CN399" s="225"/>
      <c r="CO399" s="218">
        <f t="shared" si="140"/>
        <v>0.01</v>
      </c>
      <c r="CP399" s="100">
        <f t="shared" si="141"/>
        <v>0.255</v>
      </c>
      <c r="CQ399" s="218">
        <f t="shared" si="142"/>
        <v>0.5</v>
      </c>
      <c r="CW399" s="123"/>
      <c r="CX399" s="122"/>
      <c r="CY399" s="122"/>
      <c r="CZ399" s="123"/>
      <c r="DA399" s="123"/>
      <c r="DB399" s="123"/>
      <c r="DC399" s="122"/>
      <c r="DD399" s="122"/>
      <c r="DE399" s="122"/>
      <c r="DF399" s="122"/>
      <c r="DG399" s="122"/>
      <c r="DH399" s="123"/>
      <c r="DI399" s="23"/>
      <c r="DJ399" s="150"/>
      <c r="DK399" s="150"/>
      <c r="DL399" s="116"/>
    </row>
    <row r="400" spans="61:116" s="101" customFormat="1" ht="18.75" hidden="1" customHeight="1" thickBot="1" x14ac:dyDescent="0.3">
      <c r="BI400" s="203" t="s">
        <v>326</v>
      </c>
      <c r="BJ400" s="190" t="s">
        <v>49</v>
      </c>
      <c r="BK400" s="196">
        <v>2.87</v>
      </c>
      <c r="BL400" s="190" t="s">
        <v>418</v>
      </c>
      <c r="BM400" s="189">
        <v>0.01</v>
      </c>
      <c r="BN400" s="189">
        <v>0.5</v>
      </c>
      <c r="BO400" s="210" t="s">
        <v>319</v>
      </c>
      <c r="BP400" s="206"/>
      <c r="BQ400" s="206"/>
      <c r="BR400" s="206"/>
      <c r="BS400" s="206"/>
      <c r="BT400" s="206"/>
      <c r="BU400" s="206"/>
      <c r="BV400" s="207"/>
      <c r="BW400" s="206"/>
      <c r="BX400" s="206"/>
      <c r="BY400" s="207"/>
      <c r="BZ400" s="207"/>
      <c r="CA400" s="207"/>
      <c r="CB400" s="180"/>
      <c r="CC400" s="178"/>
      <c r="CD400" s="178"/>
      <c r="CE400" s="180"/>
      <c r="CF400" s="180"/>
      <c r="CG400" s="180"/>
      <c r="CH400" s="180"/>
      <c r="CI400" s="178"/>
      <c r="CJ400" s="178"/>
      <c r="CK400" s="180"/>
      <c r="CL400" s="180"/>
      <c r="CM400" s="180"/>
      <c r="CN400" s="225"/>
      <c r="CO400" s="218">
        <f t="shared" si="140"/>
        <v>0.01</v>
      </c>
      <c r="CP400" s="100">
        <f t="shared" si="141"/>
        <v>0.255</v>
      </c>
      <c r="CQ400" s="218">
        <f t="shared" si="142"/>
        <v>0.5</v>
      </c>
      <c r="CW400" s="123"/>
      <c r="CX400" s="122"/>
      <c r="CY400" s="122"/>
      <c r="CZ400" s="123"/>
      <c r="DA400" s="123"/>
      <c r="DB400" s="123"/>
      <c r="DC400" s="122"/>
      <c r="DD400" s="122"/>
      <c r="DE400" s="122"/>
      <c r="DF400" s="122"/>
      <c r="DG400" s="122"/>
      <c r="DH400" s="123"/>
      <c r="DI400" s="23"/>
      <c r="DJ400" s="150"/>
      <c r="DK400" s="150"/>
      <c r="DL400" s="116"/>
    </row>
    <row r="401" spans="61:116" s="101" customFormat="1" ht="18.75" hidden="1" customHeight="1" thickBot="1" x14ac:dyDescent="0.3">
      <c r="BI401" s="203" t="s">
        <v>327</v>
      </c>
      <c r="BJ401" s="190" t="s">
        <v>49</v>
      </c>
      <c r="BK401" s="196">
        <v>2.08</v>
      </c>
      <c r="BL401" s="190" t="s">
        <v>418</v>
      </c>
      <c r="BM401" s="189">
        <v>0.01</v>
      </c>
      <c r="BN401" s="189">
        <v>0.5</v>
      </c>
      <c r="BO401" s="210" t="s">
        <v>322</v>
      </c>
      <c r="BP401" s="206"/>
      <c r="BQ401" s="206"/>
      <c r="BR401" s="206"/>
      <c r="BS401" s="206"/>
      <c r="BT401" s="206"/>
      <c r="BU401" s="206"/>
      <c r="BV401" s="207"/>
      <c r="BW401" s="206"/>
      <c r="BX401" s="206"/>
      <c r="BY401" s="207"/>
      <c r="BZ401" s="207"/>
      <c r="CA401" s="207"/>
      <c r="CB401" s="180"/>
      <c r="CC401" s="178"/>
      <c r="CD401" s="178"/>
      <c r="CE401" s="180"/>
      <c r="CF401" s="180"/>
      <c r="CG401" s="180"/>
      <c r="CH401" s="180"/>
      <c r="CI401" s="178"/>
      <c r="CJ401" s="178"/>
      <c r="CK401" s="180"/>
      <c r="CL401" s="180"/>
      <c r="CM401" s="180"/>
      <c r="CN401" s="225"/>
      <c r="CO401" s="218">
        <f t="shared" si="140"/>
        <v>0.01</v>
      </c>
      <c r="CP401" s="100">
        <f t="shared" si="141"/>
        <v>0.255</v>
      </c>
      <c r="CQ401" s="218">
        <f t="shared" si="142"/>
        <v>0.5</v>
      </c>
      <c r="CW401" s="123"/>
      <c r="CX401" s="122"/>
      <c r="CY401" s="122"/>
      <c r="CZ401" s="123"/>
      <c r="DA401" s="123"/>
      <c r="DB401" s="123"/>
      <c r="DC401" s="122"/>
      <c r="DD401" s="122"/>
      <c r="DE401" s="122"/>
      <c r="DF401" s="122"/>
      <c r="DG401" s="122"/>
      <c r="DH401" s="123"/>
      <c r="DI401" s="23"/>
      <c r="DJ401" s="150"/>
      <c r="DK401" s="150"/>
      <c r="DL401" s="116"/>
    </row>
    <row r="402" spans="61:116" s="101" customFormat="1" ht="18.75" hidden="1" customHeight="1" thickBot="1" x14ac:dyDescent="0.3">
      <c r="BI402" s="203" t="s">
        <v>328</v>
      </c>
      <c r="BJ402" s="190" t="s">
        <v>49</v>
      </c>
      <c r="BK402" s="196">
        <v>2.89</v>
      </c>
      <c r="BL402" s="190" t="s">
        <v>418</v>
      </c>
      <c r="BM402" s="189">
        <v>0.01</v>
      </c>
      <c r="BN402" s="189">
        <v>0.5</v>
      </c>
      <c r="BO402" s="210" t="s">
        <v>321</v>
      </c>
      <c r="BP402" s="206"/>
      <c r="BQ402" s="206"/>
      <c r="BR402" s="206"/>
      <c r="BS402" s="206"/>
      <c r="BT402" s="206"/>
      <c r="BU402" s="206"/>
      <c r="BV402" s="207"/>
      <c r="BW402" s="206"/>
      <c r="BX402" s="206"/>
      <c r="BY402" s="207"/>
      <c r="BZ402" s="207"/>
      <c r="CA402" s="207"/>
      <c r="CB402" s="180"/>
      <c r="CC402" s="178"/>
      <c r="CD402" s="178"/>
      <c r="CE402" s="180"/>
      <c r="CF402" s="180"/>
      <c r="CG402" s="180"/>
      <c r="CH402" s="180"/>
      <c r="CI402" s="178"/>
      <c r="CJ402" s="178"/>
      <c r="CK402" s="180"/>
      <c r="CL402" s="180"/>
      <c r="CM402" s="180"/>
      <c r="CN402" s="225"/>
      <c r="CO402" s="218">
        <f t="shared" si="140"/>
        <v>0.01</v>
      </c>
      <c r="CP402" s="100">
        <f t="shared" si="141"/>
        <v>0.255</v>
      </c>
      <c r="CQ402" s="218">
        <f t="shared" si="142"/>
        <v>0.5</v>
      </c>
      <c r="CW402" s="123"/>
      <c r="CX402" s="122"/>
      <c r="CY402" s="122"/>
      <c r="CZ402" s="123"/>
      <c r="DA402" s="123"/>
      <c r="DB402" s="123"/>
      <c r="DC402" s="122"/>
      <c r="DD402" s="122"/>
      <c r="DE402" s="122"/>
      <c r="DF402" s="122"/>
      <c r="DG402" s="122"/>
      <c r="DH402" s="123"/>
      <c r="DI402" s="23"/>
      <c r="DJ402" s="150"/>
      <c r="DK402" s="150"/>
      <c r="DL402" s="116"/>
    </row>
    <row r="403" spans="61:116" s="101" customFormat="1" ht="18.75" hidden="1" customHeight="1" thickBot="1" x14ac:dyDescent="0.3">
      <c r="BI403" s="203" t="s">
        <v>323</v>
      </c>
      <c r="BJ403" s="190" t="s">
        <v>49</v>
      </c>
      <c r="BK403" s="196">
        <v>11.1</v>
      </c>
      <c r="BL403" s="190" t="s">
        <v>418</v>
      </c>
      <c r="BM403" s="189">
        <v>0.01</v>
      </c>
      <c r="BN403" s="189">
        <v>0.5</v>
      </c>
      <c r="BO403" s="210" t="s">
        <v>325</v>
      </c>
      <c r="BP403" s="206"/>
      <c r="BQ403" s="206"/>
      <c r="BR403" s="206"/>
      <c r="BS403" s="206"/>
      <c r="BT403" s="206"/>
      <c r="BU403" s="206"/>
      <c r="BV403" s="207"/>
      <c r="BW403" s="206"/>
      <c r="BX403" s="206"/>
      <c r="BY403" s="207"/>
      <c r="BZ403" s="207"/>
      <c r="CA403" s="207"/>
      <c r="CB403" s="180"/>
      <c r="CC403" s="178"/>
      <c r="CD403" s="178"/>
      <c r="CE403" s="180"/>
      <c r="CF403" s="180"/>
      <c r="CG403" s="180"/>
      <c r="CH403" s="180"/>
      <c r="CI403" s="178"/>
      <c r="CJ403" s="178"/>
      <c r="CK403" s="180"/>
      <c r="CL403" s="180"/>
      <c r="CM403" s="180"/>
      <c r="CN403" s="225"/>
      <c r="CO403" s="218">
        <f t="shared" si="140"/>
        <v>0.01</v>
      </c>
      <c r="CP403" s="100">
        <f t="shared" si="141"/>
        <v>0.255</v>
      </c>
      <c r="CQ403" s="218">
        <f t="shared" si="142"/>
        <v>0.5</v>
      </c>
      <c r="CW403" s="123"/>
      <c r="CX403" s="122"/>
      <c r="CY403" s="122"/>
      <c r="CZ403" s="123"/>
      <c r="DA403" s="123"/>
      <c r="DB403" s="123"/>
      <c r="DC403" s="122"/>
      <c r="DD403" s="122"/>
      <c r="DE403" s="122"/>
      <c r="DF403" s="122"/>
      <c r="DG403" s="122"/>
      <c r="DH403" s="123"/>
      <c r="DI403" s="23"/>
      <c r="DJ403" s="150"/>
      <c r="DK403" s="150"/>
      <c r="DL403" s="116"/>
    </row>
    <row r="404" spans="61:116" s="101" customFormat="1" ht="18.75" hidden="1" customHeight="1" thickBot="1" x14ac:dyDescent="0.3">
      <c r="BI404" s="203" t="s">
        <v>324</v>
      </c>
      <c r="BJ404" s="190" t="s">
        <v>49</v>
      </c>
      <c r="BK404" s="196">
        <v>2.33</v>
      </c>
      <c r="BL404" s="190" t="s">
        <v>418</v>
      </c>
      <c r="BM404" s="189">
        <v>0.01</v>
      </c>
      <c r="BN404" s="189">
        <v>0.5</v>
      </c>
      <c r="BO404" s="210" t="s">
        <v>329</v>
      </c>
      <c r="BP404" s="206"/>
      <c r="BQ404" s="206"/>
      <c r="BR404" s="206"/>
      <c r="BS404" s="206"/>
      <c r="BT404" s="206"/>
      <c r="BU404" s="206"/>
      <c r="BV404" s="207"/>
      <c r="BW404" s="206"/>
      <c r="BX404" s="206"/>
      <c r="BY404" s="207"/>
      <c r="BZ404" s="207"/>
      <c r="CA404" s="207"/>
      <c r="CB404" s="180"/>
      <c r="CC404" s="178"/>
      <c r="CD404" s="178"/>
      <c r="CE404" s="180"/>
      <c r="CF404" s="180"/>
      <c r="CG404" s="180"/>
      <c r="CH404" s="180"/>
      <c r="CI404" s="178"/>
      <c r="CJ404" s="178"/>
      <c r="CK404" s="180"/>
      <c r="CL404" s="180"/>
      <c r="CM404" s="180"/>
      <c r="CN404" s="225"/>
      <c r="CO404" s="218">
        <f t="shared" si="140"/>
        <v>0.01</v>
      </c>
      <c r="CP404" s="100">
        <f t="shared" si="141"/>
        <v>0.255</v>
      </c>
      <c r="CQ404" s="218">
        <f t="shared" si="142"/>
        <v>0.5</v>
      </c>
      <c r="CW404" s="123"/>
      <c r="CX404" s="122"/>
      <c r="CY404" s="122"/>
      <c r="CZ404" s="123"/>
      <c r="DA404" s="123"/>
      <c r="DB404" s="123"/>
      <c r="DC404" s="122"/>
      <c r="DD404" s="122"/>
      <c r="DE404" s="122"/>
      <c r="DF404" s="122"/>
      <c r="DG404" s="122"/>
      <c r="DH404" s="123"/>
      <c r="DI404" s="23"/>
      <c r="DJ404" s="150"/>
      <c r="DK404" s="150"/>
      <c r="DL404" s="116"/>
    </row>
    <row r="405" spans="61:116" s="101" customFormat="1" ht="18.75" hidden="1" customHeight="1" thickBot="1" x14ac:dyDescent="0.3">
      <c r="BI405" s="203"/>
      <c r="BJ405" s="190"/>
      <c r="BK405" s="196"/>
      <c r="BL405" s="190"/>
      <c r="BM405" s="189"/>
      <c r="BN405" s="189"/>
      <c r="BO405" s="210"/>
      <c r="BP405" s="206"/>
      <c r="BQ405" s="206"/>
      <c r="BR405" s="206"/>
      <c r="BS405" s="206"/>
      <c r="BT405" s="206"/>
      <c r="BU405" s="206"/>
      <c r="BV405" s="207"/>
      <c r="BW405" s="206"/>
      <c r="BX405" s="206"/>
      <c r="BY405" s="207"/>
      <c r="BZ405" s="207"/>
      <c r="CA405" s="207"/>
      <c r="CB405" s="180"/>
      <c r="CC405" s="178"/>
      <c r="CD405" s="178"/>
      <c r="CE405" s="180"/>
      <c r="CF405" s="180"/>
      <c r="CG405" s="180"/>
      <c r="CH405" s="180"/>
      <c r="CI405" s="178"/>
      <c r="CJ405" s="178"/>
      <c r="CK405" s="180"/>
      <c r="CL405" s="180"/>
      <c r="CM405" s="180"/>
      <c r="CN405" s="225"/>
      <c r="CO405" s="218">
        <f t="shared" si="140"/>
        <v>0</v>
      </c>
      <c r="CP405" s="100">
        <f t="shared" si="141"/>
        <v>0</v>
      </c>
      <c r="CQ405" s="218">
        <f t="shared" si="142"/>
        <v>0</v>
      </c>
      <c r="CW405" s="123"/>
      <c r="CX405" s="122"/>
      <c r="CY405" s="122"/>
      <c r="CZ405" s="123"/>
      <c r="DA405" s="123"/>
      <c r="DB405" s="123"/>
      <c r="DC405" s="122"/>
      <c r="DD405" s="122"/>
      <c r="DE405" s="122"/>
      <c r="DF405" s="122"/>
      <c r="DG405" s="122"/>
      <c r="DH405" s="123"/>
      <c r="DI405" s="23"/>
      <c r="DJ405" s="150"/>
      <c r="DK405" s="150"/>
      <c r="DL405" s="116"/>
    </row>
    <row r="406" spans="61:116" s="101" customFormat="1" hidden="1" x14ac:dyDescent="0.25">
      <c r="BI406" s="102"/>
      <c r="BJ406" s="178"/>
      <c r="BK406" s="178"/>
      <c r="BL406" s="178"/>
      <c r="BM406" s="169"/>
      <c r="BN406" s="169"/>
      <c r="BO406" s="169"/>
      <c r="BP406" s="206"/>
      <c r="BQ406" s="206"/>
      <c r="BR406" s="206"/>
      <c r="BS406" s="206"/>
      <c r="BT406" s="206"/>
      <c r="BU406" s="206"/>
      <c r="BV406" s="207"/>
      <c r="BW406" s="206"/>
      <c r="BX406" s="206"/>
      <c r="BY406" s="207"/>
      <c r="BZ406" s="207"/>
      <c r="CA406" s="207"/>
      <c r="CB406" s="180"/>
      <c r="CC406" s="178"/>
      <c r="CD406" s="178"/>
      <c r="CE406" s="180"/>
      <c r="CF406" s="180"/>
      <c r="CG406" s="180"/>
      <c r="CH406" s="180"/>
      <c r="CI406" s="178"/>
      <c r="CJ406" s="178"/>
      <c r="CK406" s="180"/>
      <c r="CL406" s="180"/>
      <c r="CM406" s="180"/>
      <c r="CN406" s="225"/>
      <c r="CO406" s="218">
        <f t="shared" si="140"/>
        <v>0</v>
      </c>
      <c r="CP406" s="100">
        <f t="shared" si="141"/>
        <v>0</v>
      </c>
      <c r="CQ406" s="218">
        <f t="shared" si="142"/>
        <v>0</v>
      </c>
      <c r="CW406" s="123"/>
      <c r="CX406" s="122"/>
      <c r="CY406" s="122"/>
      <c r="CZ406" s="123"/>
      <c r="DA406" s="123"/>
      <c r="DB406" s="123"/>
      <c r="DC406" s="122"/>
      <c r="DD406" s="122"/>
      <c r="DE406" s="122"/>
      <c r="DF406" s="122"/>
      <c r="DG406" s="122"/>
      <c r="DH406" s="123"/>
      <c r="DI406" s="23"/>
      <c r="DJ406" s="150"/>
      <c r="DK406" s="150"/>
      <c r="DL406" s="116"/>
    </row>
    <row r="407" spans="61:116" s="101" customFormat="1" hidden="1" x14ac:dyDescent="0.25">
      <c r="BI407" s="102"/>
      <c r="BJ407" s="178"/>
      <c r="BK407" s="178"/>
      <c r="BL407" s="178"/>
      <c r="BM407" s="169"/>
      <c r="BN407" s="169"/>
      <c r="BO407" s="169"/>
      <c r="BP407" s="206"/>
      <c r="BQ407" s="206"/>
      <c r="BR407" s="206"/>
      <c r="BS407" s="206"/>
      <c r="BT407" s="206"/>
      <c r="BU407" s="206"/>
      <c r="BV407" s="207"/>
      <c r="BW407" s="206"/>
      <c r="BX407" s="206"/>
      <c r="BY407" s="207"/>
      <c r="BZ407" s="207"/>
      <c r="CA407" s="207"/>
      <c r="CB407" s="180"/>
      <c r="CC407" s="178"/>
      <c r="CD407" s="178"/>
      <c r="CE407" s="180"/>
      <c r="CF407" s="180"/>
      <c r="CG407" s="180"/>
      <c r="CH407" s="180"/>
      <c r="CI407" s="178"/>
      <c r="CJ407" s="178"/>
      <c r="CK407" s="180"/>
      <c r="CL407" s="180"/>
      <c r="CM407" s="180"/>
      <c r="CN407" s="225"/>
      <c r="CO407" s="218">
        <f t="shared" si="140"/>
        <v>0</v>
      </c>
      <c r="CP407" s="100">
        <f t="shared" si="141"/>
        <v>0</v>
      </c>
      <c r="CQ407" s="218">
        <f t="shared" si="142"/>
        <v>0</v>
      </c>
      <c r="CW407" s="123"/>
      <c r="CX407" s="122"/>
      <c r="CY407" s="122"/>
      <c r="CZ407" s="123"/>
      <c r="DA407" s="123"/>
      <c r="DB407" s="123"/>
      <c r="DC407" s="122"/>
      <c r="DD407" s="122"/>
      <c r="DE407" s="122"/>
      <c r="DF407" s="122"/>
      <c r="DG407" s="122"/>
      <c r="DH407" s="123"/>
      <c r="DI407" s="23"/>
      <c r="DJ407" s="150"/>
      <c r="DK407" s="150"/>
      <c r="DL407" s="116"/>
    </row>
    <row r="408" spans="61:116" s="101" customFormat="1" hidden="1" x14ac:dyDescent="0.25">
      <c r="BI408" s="102"/>
      <c r="BJ408" s="178"/>
      <c r="BK408" s="178"/>
      <c r="BL408" s="178"/>
      <c r="BM408" s="169"/>
      <c r="BN408" s="169"/>
      <c r="BO408" s="169"/>
      <c r="BP408" s="206"/>
      <c r="BQ408" s="206"/>
      <c r="BR408" s="206"/>
      <c r="BS408" s="206"/>
      <c r="BT408" s="206"/>
      <c r="BU408" s="206"/>
      <c r="BV408" s="207"/>
      <c r="BW408" s="206"/>
      <c r="BX408" s="206"/>
      <c r="BY408" s="207"/>
      <c r="BZ408" s="207"/>
      <c r="CA408" s="207"/>
      <c r="CB408" s="180"/>
      <c r="CC408" s="178"/>
      <c r="CD408" s="178"/>
      <c r="CE408" s="180"/>
      <c r="CF408" s="180"/>
      <c r="CG408" s="180"/>
      <c r="CH408" s="180"/>
      <c r="CI408" s="178"/>
      <c r="CJ408" s="178"/>
      <c r="CK408" s="180"/>
      <c r="CL408" s="180"/>
      <c r="CM408" s="180"/>
      <c r="CN408" s="225"/>
      <c r="CO408" s="218">
        <f t="shared" si="140"/>
        <v>0</v>
      </c>
      <c r="CP408" s="100">
        <f t="shared" si="141"/>
        <v>0</v>
      </c>
      <c r="CQ408" s="218">
        <f t="shared" si="142"/>
        <v>0</v>
      </c>
      <c r="CW408" s="123"/>
      <c r="CX408" s="122"/>
      <c r="CY408" s="122"/>
      <c r="CZ408" s="123"/>
      <c r="DA408" s="123"/>
      <c r="DB408" s="123"/>
      <c r="DC408" s="122"/>
      <c r="DD408" s="122"/>
      <c r="DE408" s="122"/>
      <c r="DF408" s="122"/>
      <c r="DG408" s="122"/>
      <c r="DH408" s="123"/>
      <c r="DI408" s="23"/>
      <c r="DJ408" s="150"/>
      <c r="DK408" s="150"/>
      <c r="DL408" s="116"/>
    </row>
    <row r="409" spans="61:116" s="101" customFormat="1" hidden="1" x14ac:dyDescent="0.25">
      <c r="BI409" s="102"/>
      <c r="BJ409" s="178"/>
      <c r="BK409" s="178"/>
      <c r="BL409" s="178"/>
      <c r="BM409" s="169"/>
      <c r="BN409" s="169"/>
      <c r="BO409" s="169"/>
      <c r="BP409" s="206"/>
      <c r="BQ409" s="206"/>
      <c r="BR409" s="206"/>
      <c r="BS409" s="206"/>
      <c r="BT409" s="206"/>
      <c r="BU409" s="206"/>
      <c r="BV409" s="207"/>
      <c r="BW409" s="206"/>
      <c r="BX409" s="206"/>
      <c r="BY409" s="207"/>
      <c r="BZ409" s="207"/>
      <c r="CA409" s="207"/>
      <c r="CB409" s="180"/>
      <c r="CC409" s="178"/>
      <c r="CD409" s="178"/>
      <c r="CE409" s="180"/>
      <c r="CF409" s="180"/>
      <c r="CG409" s="180"/>
      <c r="CH409" s="180"/>
      <c r="CI409" s="178"/>
      <c r="CJ409" s="178"/>
      <c r="CK409" s="180"/>
      <c r="CL409" s="180"/>
      <c r="CM409" s="180"/>
      <c r="CN409" s="225"/>
      <c r="CO409" s="218">
        <f t="shared" si="140"/>
        <v>0</v>
      </c>
      <c r="CP409" s="100">
        <f t="shared" si="141"/>
        <v>0</v>
      </c>
      <c r="CQ409" s="218">
        <f t="shared" si="142"/>
        <v>0</v>
      </c>
      <c r="CW409" s="123"/>
      <c r="CX409" s="122"/>
      <c r="CY409" s="122"/>
      <c r="CZ409" s="123"/>
      <c r="DA409" s="123"/>
      <c r="DB409" s="123"/>
      <c r="DC409" s="122"/>
      <c r="DD409" s="122"/>
      <c r="DE409" s="122"/>
      <c r="DF409" s="122"/>
      <c r="DG409" s="122"/>
      <c r="DH409" s="123"/>
      <c r="DI409" s="23"/>
      <c r="DJ409" s="150"/>
      <c r="DK409" s="150"/>
      <c r="DL409" s="116"/>
    </row>
    <row r="410" spans="61:116" s="101" customFormat="1" hidden="1" x14ac:dyDescent="0.25">
      <c r="BI410" s="102"/>
      <c r="BJ410" s="178"/>
      <c r="BK410" s="178"/>
      <c r="BL410" s="178"/>
      <c r="BM410" s="169"/>
      <c r="BN410" s="169"/>
      <c r="BO410" s="169"/>
      <c r="BP410" s="206"/>
      <c r="BQ410" s="206"/>
      <c r="BR410" s="206"/>
      <c r="BS410" s="206"/>
      <c r="BT410" s="206"/>
      <c r="BU410" s="206"/>
      <c r="BV410" s="207"/>
      <c r="BW410" s="206"/>
      <c r="BX410" s="206"/>
      <c r="BY410" s="207"/>
      <c r="BZ410" s="207"/>
      <c r="CA410" s="207"/>
      <c r="CB410" s="180"/>
      <c r="CC410" s="178"/>
      <c r="CD410" s="178"/>
      <c r="CE410" s="180"/>
      <c r="CF410" s="180"/>
      <c r="CG410" s="180"/>
      <c r="CH410" s="180"/>
      <c r="CI410" s="178"/>
      <c r="CJ410" s="178"/>
      <c r="CK410" s="180"/>
      <c r="CL410" s="180"/>
      <c r="CM410" s="180"/>
      <c r="CN410" s="225"/>
      <c r="CO410" s="218">
        <f t="shared" si="140"/>
        <v>0</v>
      </c>
      <c r="CP410" s="100">
        <f t="shared" si="141"/>
        <v>0</v>
      </c>
      <c r="CQ410" s="218">
        <f t="shared" si="142"/>
        <v>0</v>
      </c>
      <c r="CW410" s="123"/>
      <c r="CX410" s="122"/>
      <c r="CY410" s="122"/>
      <c r="CZ410" s="123"/>
      <c r="DA410" s="123"/>
      <c r="DB410" s="123"/>
      <c r="DC410" s="122"/>
      <c r="DD410" s="122"/>
      <c r="DE410" s="122"/>
      <c r="DF410" s="122"/>
      <c r="DG410" s="122"/>
      <c r="DH410" s="123"/>
      <c r="DI410" s="23"/>
      <c r="DJ410" s="150"/>
      <c r="DK410" s="150"/>
      <c r="DL410" s="116"/>
    </row>
    <row r="411" spans="61:116" s="101" customFormat="1" hidden="1" x14ac:dyDescent="0.25">
      <c r="BI411" s="102"/>
      <c r="BJ411" s="178"/>
      <c r="BK411" s="178"/>
      <c r="BL411" s="178"/>
      <c r="BM411" s="169"/>
      <c r="BN411" s="169"/>
      <c r="BO411" s="169"/>
      <c r="BP411" s="206"/>
      <c r="BQ411" s="206"/>
      <c r="BR411" s="206"/>
      <c r="BS411" s="206"/>
      <c r="BT411" s="206"/>
      <c r="BU411" s="206"/>
      <c r="BV411" s="207"/>
      <c r="BW411" s="206"/>
      <c r="BX411" s="206"/>
      <c r="BY411" s="207"/>
      <c r="BZ411" s="207"/>
      <c r="CA411" s="207"/>
      <c r="CB411" s="180"/>
      <c r="CC411" s="178"/>
      <c r="CD411" s="178"/>
      <c r="CE411" s="180"/>
      <c r="CF411" s="180"/>
      <c r="CG411" s="180"/>
      <c r="CH411" s="180"/>
      <c r="CI411" s="178"/>
      <c r="CJ411" s="178"/>
      <c r="CK411" s="180"/>
      <c r="CL411" s="180"/>
      <c r="CM411" s="180"/>
      <c r="CN411" s="225"/>
      <c r="CO411" s="218">
        <f t="shared" si="140"/>
        <v>0</v>
      </c>
      <c r="CP411" s="100">
        <f t="shared" si="141"/>
        <v>0</v>
      </c>
      <c r="CQ411" s="218">
        <f t="shared" si="142"/>
        <v>0</v>
      </c>
      <c r="CW411" s="123"/>
      <c r="CX411" s="122"/>
      <c r="CY411" s="122"/>
      <c r="CZ411" s="123"/>
      <c r="DA411" s="123"/>
      <c r="DB411" s="123"/>
      <c r="DC411" s="122"/>
      <c r="DD411" s="122"/>
      <c r="DE411" s="122"/>
      <c r="DF411" s="122"/>
      <c r="DG411" s="122"/>
      <c r="DH411" s="123"/>
      <c r="DI411" s="23"/>
      <c r="DJ411" s="150"/>
      <c r="DK411" s="150"/>
      <c r="DL411" s="116"/>
    </row>
    <row r="412" spans="61:116" s="101" customFormat="1" ht="15.75" hidden="1" thickBot="1" x14ac:dyDescent="0.3">
      <c r="BI412" s="102"/>
      <c r="BJ412" s="178"/>
      <c r="BK412" s="178"/>
      <c r="BL412" s="178"/>
      <c r="BM412" s="169"/>
      <c r="BN412" s="169"/>
      <c r="BO412" s="169"/>
      <c r="BP412" s="206"/>
      <c r="BQ412" s="206"/>
      <c r="BR412" s="206"/>
      <c r="BS412" s="206"/>
      <c r="BT412" s="206"/>
      <c r="BU412" s="206"/>
      <c r="BV412" s="207"/>
      <c r="BW412" s="206"/>
      <c r="BX412" s="206"/>
      <c r="BY412" s="207"/>
      <c r="BZ412" s="207"/>
      <c r="CA412" s="207"/>
      <c r="CB412" s="180"/>
      <c r="CC412" s="178"/>
      <c r="CD412" s="178"/>
      <c r="CE412" s="180"/>
      <c r="CF412" s="180"/>
      <c r="CG412" s="180"/>
      <c r="CH412" s="180"/>
      <c r="CI412" s="178"/>
      <c r="CJ412" s="178"/>
      <c r="CK412" s="180"/>
      <c r="CL412" s="180"/>
      <c r="CM412" s="180"/>
      <c r="CN412" s="225"/>
      <c r="CO412" s="218">
        <f t="shared" si="140"/>
        <v>0</v>
      </c>
      <c r="CP412" s="100">
        <f t="shared" si="141"/>
        <v>0</v>
      </c>
      <c r="CQ412" s="218">
        <f t="shared" si="142"/>
        <v>0</v>
      </c>
      <c r="CW412" s="123"/>
      <c r="CX412" s="122"/>
      <c r="CY412" s="122"/>
      <c r="CZ412" s="123"/>
      <c r="DA412" s="123"/>
      <c r="DB412" s="123"/>
      <c r="DC412" s="122"/>
      <c r="DD412" s="122"/>
      <c r="DE412" s="122"/>
      <c r="DF412" s="122"/>
      <c r="DG412" s="122"/>
      <c r="DH412" s="123"/>
      <c r="DI412" s="23"/>
      <c r="DJ412" s="150"/>
      <c r="DK412" s="150"/>
      <c r="DL412" s="116"/>
    </row>
    <row r="413" spans="61:116" s="101" customFormat="1" ht="15.75" hidden="1" thickBot="1" x14ac:dyDescent="0.3">
      <c r="BI413" s="211" t="s">
        <v>116</v>
      </c>
      <c r="BJ413" s="212" t="s">
        <v>117</v>
      </c>
      <c r="BK413" s="178"/>
      <c r="BL413" s="178"/>
      <c r="BM413" s="169"/>
      <c r="BN413" s="169"/>
      <c r="BO413" s="169"/>
      <c r="BP413" s="206"/>
      <c r="BQ413" s="206"/>
      <c r="BR413" s="206"/>
      <c r="BS413" s="206"/>
      <c r="BT413" s="206"/>
      <c r="BU413" s="206"/>
      <c r="BV413" s="207"/>
      <c r="BW413" s="206"/>
      <c r="BX413" s="206"/>
      <c r="BY413" s="207"/>
      <c r="BZ413" s="207"/>
      <c r="CA413" s="207"/>
      <c r="CB413" s="180"/>
      <c r="CC413" s="178"/>
      <c r="CD413" s="178"/>
      <c r="CE413" s="180"/>
      <c r="CF413" s="180"/>
      <c r="CG413" s="180"/>
      <c r="CH413" s="180"/>
      <c r="CI413" s="178"/>
      <c r="CJ413" s="178"/>
      <c r="CK413" s="180"/>
      <c r="CL413" s="180"/>
      <c r="CM413" s="180"/>
      <c r="CN413" s="225"/>
      <c r="CO413" s="218">
        <f t="shared" si="140"/>
        <v>0</v>
      </c>
      <c r="CP413" s="100">
        <f t="shared" si="141"/>
        <v>0</v>
      </c>
      <c r="CQ413" s="218">
        <f t="shared" si="142"/>
        <v>0</v>
      </c>
      <c r="CW413" s="123"/>
      <c r="CX413" s="122"/>
      <c r="CY413" s="122"/>
      <c r="CZ413" s="123"/>
      <c r="DA413" s="123"/>
      <c r="DB413" s="123"/>
      <c r="DC413" s="122"/>
      <c r="DD413" s="122"/>
      <c r="DE413" s="122"/>
      <c r="DF413" s="122"/>
      <c r="DG413" s="122"/>
      <c r="DH413" s="123"/>
      <c r="DI413" s="23"/>
      <c r="DJ413" s="150"/>
      <c r="DK413" s="150"/>
      <c r="DL413" s="116"/>
    </row>
    <row r="414" spans="61:116" s="101" customFormat="1" ht="15.75" hidden="1" thickBot="1" x14ac:dyDescent="0.3">
      <c r="BI414" s="190">
        <v>0</v>
      </c>
      <c r="BJ414" s="203">
        <v>0</v>
      </c>
      <c r="BK414" s="178"/>
      <c r="BL414" s="178"/>
      <c r="BM414" s="169"/>
      <c r="BN414" s="169"/>
      <c r="BO414" s="169"/>
      <c r="BP414" s="206"/>
      <c r="BQ414" s="206"/>
      <c r="BR414" s="206"/>
      <c r="BS414" s="206"/>
      <c r="BT414" s="206"/>
      <c r="BU414" s="206"/>
      <c r="BV414" s="207"/>
      <c r="BW414" s="206"/>
      <c r="BX414" s="206"/>
      <c r="BY414" s="207"/>
      <c r="BZ414" s="207"/>
      <c r="CA414" s="207"/>
      <c r="CB414" s="180"/>
      <c r="CC414" s="178"/>
      <c r="CD414" s="178"/>
      <c r="CE414" s="180"/>
      <c r="CF414" s="180"/>
      <c r="CG414" s="180"/>
      <c r="CH414" s="180"/>
      <c r="CI414" s="178"/>
      <c r="CJ414" s="178"/>
      <c r="CK414" s="180"/>
      <c r="CL414" s="180"/>
      <c r="CM414" s="180"/>
      <c r="CN414" s="225"/>
      <c r="CO414" s="218">
        <f t="shared" si="140"/>
        <v>0</v>
      </c>
      <c r="CP414" s="100">
        <f t="shared" si="141"/>
        <v>0</v>
      </c>
      <c r="CQ414" s="218">
        <f t="shared" si="142"/>
        <v>0</v>
      </c>
      <c r="CW414" s="123"/>
      <c r="CX414" s="122"/>
      <c r="CY414" s="122"/>
      <c r="CZ414" s="123"/>
      <c r="DA414" s="123"/>
      <c r="DB414" s="123"/>
      <c r="DC414" s="122"/>
      <c r="DD414" s="122"/>
      <c r="DE414" s="122"/>
      <c r="DF414" s="122"/>
      <c r="DG414" s="122"/>
      <c r="DH414" s="123"/>
      <c r="DI414" s="23"/>
      <c r="DJ414" s="150"/>
      <c r="DK414" s="150"/>
      <c r="DL414" s="116"/>
    </row>
    <row r="415" spans="61:116" s="101" customFormat="1" ht="15.75" hidden="1" thickBot="1" x14ac:dyDescent="0.3">
      <c r="BI415" s="190">
        <v>2</v>
      </c>
      <c r="BJ415" s="203">
        <v>12.71</v>
      </c>
      <c r="BK415" s="178"/>
      <c r="BL415" s="178"/>
      <c r="BM415" s="169"/>
      <c r="BN415" s="169"/>
      <c r="BO415" s="169"/>
      <c r="BP415" s="180"/>
      <c r="BQ415" s="180"/>
      <c r="BR415" s="180"/>
      <c r="BS415" s="180"/>
      <c r="BT415" s="180"/>
      <c r="BU415" s="180"/>
      <c r="BV415" s="180"/>
      <c r="BW415" s="180"/>
      <c r="BX415" s="180"/>
      <c r="BY415" s="180"/>
      <c r="BZ415" s="180"/>
      <c r="CA415" s="180"/>
      <c r="CB415" s="180"/>
      <c r="CC415" s="178"/>
      <c r="CD415" s="178"/>
      <c r="CE415" s="180"/>
      <c r="CF415" s="180"/>
      <c r="CG415" s="180"/>
      <c r="CH415" s="180"/>
      <c r="CI415" s="178"/>
      <c r="CJ415" s="178"/>
      <c r="CK415" s="180"/>
      <c r="CL415" s="180"/>
      <c r="CM415" s="180"/>
      <c r="CN415" s="225"/>
      <c r="CO415" s="218">
        <f t="shared" si="140"/>
        <v>0</v>
      </c>
      <c r="CP415" s="100">
        <f t="shared" si="141"/>
        <v>0</v>
      </c>
      <c r="CQ415" s="218">
        <f t="shared" si="142"/>
        <v>0</v>
      </c>
      <c r="CW415" s="116"/>
      <c r="CX415" s="116"/>
      <c r="CY415" s="116"/>
      <c r="CZ415" s="116"/>
      <c r="DA415" s="116"/>
      <c r="DB415" s="116"/>
      <c r="DC415" s="116"/>
      <c r="DD415" s="116"/>
      <c r="DE415" s="116"/>
      <c r="DF415" s="116"/>
      <c r="DG415" s="116"/>
      <c r="DH415" s="116"/>
      <c r="DI415" s="116"/>
    </row>
    <row r="416" spans="61:116" s="101" customFormat="1" ht="15.75" hidden="1" thickBot="1" x14ac:dyDescent="0.3">
      <c r="BI416" s="190">
        <v>3</v>
      </c>
      <c r="BJ416" s="203">
        <v>4.3</v>
      </c>
      <c r="BK416" s="178"/>
      <c r="BL416" s="178"/>
      <c r="BM416" s="169"/>
      <c r="BN416" s="169"/>
      <c r="BO416" s="169"/>
      <c r="BP416" s="180"/>
      <c r="BQ416" s="180"/>
      <c r="BR416" s="180"/>
      <c r="BS416" s="180"/>
      <c r="BT416" s="180"/>
      <c r="BU416" s="180"/>
      <c r="BV416" s="180"/>
      <c r="BW416" s="180"/>
      <c r="BX416" s="180"/>
      <c r="BY416" s="180"/>
      <c r="BZ416" s="180"/>
      <c r="CA416" s="180"/>
      <c r="CB416" s="180"/>
      <c r="CC416" s="178"/>
      <c r="CD416" s="178"/>
      <c r="CE416" s="180"/>
      <c r="CF416" s="180"/>
      <c r="CG416" s="180"/>
      <c r="CH416" s="180"/>
      <c r="CI416" s="178"/>
      <c r="CJ416" s="178"/>
      <c r="CK416" s="180"/>
      <c r="CL416" s="180"/>
      <c r="CM416" s="180"/>
      <c r="CN416" s="225"/>
      <c r="CO416" s="218">
        <f t="shared" si="140"/>
        <v>0</v>
      </c>
      <c r="CP416" s="100">
        <f t="shared" si="141"/>
        <v>0</v>
      </c>
      <c r="CQ416" s="218">
        <f t="shared" si="142"/>
        <v>0</v>
      </c>
      <c r="CW416" s="116"/>
      <c r="CX416" s="116"/>
      <c r="CY416" s="116"/>
      <c r="CZ416" s="116"/>
      <c r="DA416" s="116"/>
      <c r="DB416" s="116"/>
      <c r="DC416" s="116"/>
      <c r="DD416" s="116"/>
      <c r="DE416" s="116"/>
      <c r="DF416" s="116"/>
      <c r="DG416" s="116"/>
      <c r="DH416" s="116"/>
      <c r="DI416" s="116"/>
      <c r="DJ416" s="116"/>
      <c r="DK416" s="116"/>
      <c r="DL416" s="116"/>
    </row>
    <row r="417" spans="1:117" s="101" customFormat="1" ht="15.75" hidden="1" thickBot="1" x14ac:dyDescent="0.3">
      <c r="BI417" s="190">
        <v>4</v>
      </c>
      <c r="BJ417" s="203">
        <v>3.18</v>
      </c>
      <c r="BK417" s="178"/>
      <c r="BL417" s="178"/>
      <c r="BM417" s="169"/>
      <c r="BN417" s="169"/>
      <c r="BO417" s="169"/>
      <c r="BP417" s="178"/>
      <c r="BQ417" s="178"/>
      <c r="BR417" s="178"/>
      <c r="BS417" s="178"/>
      <c r="BT417" s="178"/>
      <c r="BU417" s="178"/>
      <c r="BV417" s="180"/>
      <c r="BW417" s="178"/>
      <c r="BX417" s="178"/>
      <c r="BY417" s="180"/>
      <c r="BZ417" s="180"/>
      <c r="CA417" s="180"/>
      <c r="CB417" s="180"/>
      <c r="CC417" s="178"/>
      <c r="CD417" s="178"/>
      <c r="CE417" s="180"/>
      <c r="CF417" s="180"/>
      <c r="CG417" s="180"/>
      <c r="CH417" s="180"/>
      <c r="CI417" s="178"/>
      <c r="CJ417" s="178"/>
      <c r="CK417" s="180"/>
      <c r="CL417" s="180"/>
      <c r="CM417" s="180"/>
      <c r="CN417" s="225"/>
      <c r="CO417" s="218">
        <f t="shared" si="140"/>
        <v>0</v>
      </c>
      <c r="CP417" s="100">
        <f t="shared" si="141"/>
        <v>0</v>
      </c>
      <c r="CQ417" s="218">
        <f t="shared" si="142"/>
        <v>0</v>
      </c>
      <c r="CW417" s="116"/>
      <c r="CX417" s="115"/>
      <c r="CY417" s="115"/>
      <c r="CZ417" s="116"/>
      <c r="DA417" s="116"/>
      <c r="DB417" s="116"/>
      <c r="DC417" s="116"/>
      <c r="DD417" s="115"/>
      <c r="DE417" s="115"/>
      <c r="DF417" s="116"/>
      <c r="DG417" s="116"/>
      <c r="DH417" s="116"/>
      <c r="DI417" s="116"/>
      <c r="DJ417" s="116"/>
      <c r="DK417" s="116"/>
      <c r="DM417" s="116"/>
    </row>
    <row r="418" spans="1:117" s="101" customFormat="1" ht="15.75" hidden="1" thickBot="1" x14ac:dyDescent="0.3">
      <c r="BI418" s="190">
        <v>5</v>
      </c>
      <c r="BJ418" s="203">
        <v>2.78</v>
      </c>
      <c r="BK418" s="178"/>
      <c r="BL418" s="178"/>
      <c r="BM418" s="169"/>
      <c r="BN418" s="169"/>
      <c r="BO418" s="169"/>
      <c r="BP418" s="178"/>
      <c r="BQ418" s="178"/>
      <c r="BR418" s="178"/>
      <c r="BS418" s="178"/>
      <c r="BT418" s="178"/>
      <c r="BU418" s="178"/>
      <c r="BV418" s="178"/>
      <c r="BW418" s="178"/>
      <c r="BX418" s="178"/>
      <c r="BY418" s="178"/>
      <c r="BZ418" s="178"/>
      <c r="CA418" s="178"/>
      <c r="CB418" s="180"/>
      <c r="CC418" s="178"/>
      <c r="CD418" s="178"/>
      <c r="CE418" s="180"/>
      <c r="CF418" s="180"/>
      <c r="CG418" s="180"/>
      <c r="CH418" s="180"/>
      <c r="CI418" s="178"/>
      <c r="CJ418" s="178"/>
      <c r="CK418" s="180"/>
      <c r="CL418" s="180"/>
      <c r="CM418" s="180"/>
      <c r="CN418" s="225"/>
      <c r="CO418" s="218">
        <f t="shared" si="140"/>
        <v>0</v>
      </c>
      <c r="CP418" s="100">
        <f t="shared" si="141"/>
        <v>0</v>
      </c>
      <c r="CQ418" s="218">
        <f t="shared" si="142"/>
        <v>0</v>
      </c>
      <c r="CW418" s="116"/>
      <c r="CX418" s="115"/>
      <c r="CY418" s="115"/>
      <c r="CZ418" s="116"/>
      <c r="DA418" s="116"/>
      <c r="DB418" s="116"/>
      <c r="DC418" s="116"/>
      <c r="DD418" s="115"/>
      <c r="DE418" s="115"/>
      <c r="DF418" s="116"/>
      <c r="DG418" s="116"/>
      <c r="DH418" s="116"/>
      <c r="DI418" s="116"/>
    </row>
    <row r="419" spans="1:117" s="101" customFormat="1" ht="15.75" hidden="1" thickBot="1" x14ac:dyDescent="0.3">
      <c r="BI419" s="190">
        <v>6</v>
      </c>
      <c r="BJ419" s="203">
        <v>2.57</v>
      </c>
      <c r="BK419" s="178"/>
      <c r="BL419" s="178"/>
      <c r="BM419" s="169"/>
      <c r="BN419" s="169"/>
      <c r="BO419" s="169"/>
      <c r="BP419" s="178"/>
      <c r="BQ419" s="178"/>
      <c r="BR419" s="178"/>
      <c r="BS419" s="178"/>
      <c r="BT419" s="178"/>
      <c r="BU419" s="178"/>
      <c r="BV419" s="178"/>
      <c r="BW419" s="178"/>
      <c r="BX419" s="178"/>
      <c r="BY419" s="178"/>
      <c r="BZ419" s="178"/>
      <c r="CA419" s="178"/>
      <c r="CB419" s="180"/>
      <c r="CC419" s="178"/>
      <c r="CD419" s="178"/>
      <c r="CE419" s="180"/>
      <c r="CF419" s="180"/>
      <c r="CG419" s="180"/>
      <c r="CH419" s="180"/>
      <c r="CI419" s="178"/>
      <c r="CJ419" s="178"/>
      <c r="CK419" s="180"/>
      <c r="CL419" s="180"/>
      <c r="CM419" s="180"/>
      <c r="CN419" s="225"/>
      <c r="CO419" s="218">
        <f t="shared" si="140"/>
        <v>0</v>
      </c>
      <c r="CP419" s="100">
        <f t="shared" si="141"/>
        <v>0</v>
      </c>
      <c r="CQ419" s="218">
        <f t="shared" si="142"/>
        <v>0</v>
      </c>
    </row>
    <row r="420" spans="1:117" s="101" customFormat="1" ht="15.75" hidden="1" thickBot="1" x14ac:dyDescent="0.3">
      <c r="BI420" s="190">
        <v>7</v>
      </c>
      <c r="BJ420" s="203">
        <v>2.4500000000000002</v>
      </c>
      <c r="BK420" s="178"/>
      <c r="BL420" s="178"/>
      <c r="BM420" s="169"/>
      <c r="BN420" s="169"/>
      <c r="BO420" s="169"/>
      <c r="BP420" s="178"/>
      <c r="BQ420" s="178"/>
      <c r="BR420" s="178"/>
      <c r="BS420" s="178"/>
      <c r="BT420" s="178"/>
      <c r="BU420" s="178"/>
      <c r="BV420" s="178"/>
      <c r="BW420" s="178"/>
      <c r="BX420" s="178"/>
      <c r="BY420" s="178"/>
      <c r="BZ420" s="178"/>
      <c r="CA420" s="178"/>
      <c r="CB420" s="180"/>
      <c r="CC420" s="178"/>
      <c r="CD420" s="178"/>
      <c r="CE420" s="180"/>
      <c r="CF420" s="180"/>
      <c r="CG420" s="180"/>
      <c r="CH420" s="180"/>
      <c r="CI420" s="178"/>
      <c r="CJ420" s="178"/>
      <c r="CK420" s="180"/>
      <c r="CL420" s="180"/>
      <c r="CM420" s="180"/>
      <c r="CN420" s="225"/>
      <c r="CO420" s="218">
        <f t="shared" si="140"/>
        <v>0</v>
      </c>
      <c r="CP420" s="100">
        <f t="shared" si="141"/>
        <v>0</v>
      </c>
      <c r="CQ420" s="218">
        <f t="shared" si="142"/>
        <v>0</v>
      </c>
    </row>
    <row r="421" spans="1:117" s="101" customFormat="1" ht="15.75" hidden="1" thickBot="1" x14ac:dyDescent="0.3">
      <c r="BI421" s="190">
        <v>8</v>
      </c>
      <c r="BJ421" s="203">
        <v>2.36</v>
      </c>
      <c r="BK421" s="178"/>
      <c r="BL421" s="178"/>
      <c r="BM421" s="169"/>
      <c r="BN421" s="169"/>
      <c r="BO421" s="169"/>
      <c r="BP421" s="178"/>
      <c r="BQ421" s="178"/>
      <c r="BR421" s="178"/>
      <c r="BS421" s="178"/>
      <c r="BT421" s="178"/>
      <c r="BU421" s="178"/>
      <c r="BV421" s="178"/>
      <c r="BW421" s="178"/>
      <c r="BX421" s="178"/>
      <c r="BY421" s="178"/>
      <c r="BZ421" s="178"/>
      <c r="CA421" s="178"/>
      <c r="CB421" s="180"/>
      <c r="CC421" s="178"/>
      <c r="CD421" s="178"/>
      <c r="CE421" s="180"/>
      <c r="CF421" s="180"/>
      <c r="CG421" s="180"/>
      <c r="CH421" s="180"/>
      <c r="CI421" s="178"/>
      <c r="CJ421" s="178"/>
      <c r="CK421" s="180"/>
      <c r="CL421" s="180"/>
      <c r="CM421" s="180"/>
      <c r="CN421" s="225"/>
      <c r="CO421" s="218">
        <f t="shared" si="140"/>
        <v>0</v>
      </c>
      <c r="CP421" s="100">
        <f t="shared" si="141"/>
        <v>0</v>
      </c>
      <c r="CQ421" s="218">
        <f t="shared" si="142"/>
        <v>0</v>
      </c>
    </row>
    <row r="422" spans="1:117" s="101" customFormat="1" ht="15.75" hidden="1" thickBot="1" x14ac:dyDescent="0.3">
      <c r="BI422" s="190">
        <v>9</v>
      </c>
      <c r="BJ422" s="203">
        <v>2.31</v>
      </c>
      <c r="BK422" s="178"/>
      <c r="BL422" s="178"/>
      <c r="BM422" s="169"/>
      <c r="BN422" s="169"/>
      <c r="BO422" s="169"/>
      <c r="BP422" s="178"/>
      <c r="BQ422" s="178"/>
      <c r="BR422" s="178"/>
      <c r="BS422" s="178"/>
      <c r="BT422" s="178"/>
      <c r="BU422" s="178"/>
      <c r="BV422" s="178"/>
      <c r="BW422" s="178"/>
      <c r="BX422" s="178"/>
      <c r="BY422" s="178"/>
      <c r="BZ422" s="178"/>
      <c r="CA422" s="178"/>
      <c r="CB422" s="180"/>
      <c r="CC422" s="178"/>
      <c r="CD422" s="178"/>
      <c r="CE422" s="180"/>
      <c r="CF422" s="180"/>
      <c r="CG422" s="180"/>
      <c r="CH422" s="180"/>
      <c r="CI422" s="178"/>
      <c r="CJ422" s="178"/>
      <c r="CK422" s="180"/>
      <c r="CL422" s="180"/>
      <c r="CM422" s="180"/>
      <c r="CN422" s="225"/>
      <c r="CO422" s="218">
        <f t="shared" si="140"/>
        <v>0</v>
      </c>
      <c r="CP422" s="100">
        <f t="shared" si="141"/>
        <v>0</v>
      </c>
      <c r="CQ422" s="218">
        <f t="shared" si="142"/>
        <v>0</v>
      </c>
    </row>
    <row r="423" spans="1:117" s="101" customFormat="1" ht="15.75" hidden="1" thickBot="1" x14ac:dyDescent="0.3">
      <c r="BI423" s="190">
        <v>10</v>
      </c>
      <c r="BJ423" s="203">
        <v>2.2599999999999998</v>
      </c>
      <c r="BK423" s="178"/>
      <c r="BL423" s="178"/>
      <c r="BM423" s="169"/>
      <c r="BN423" s="169"/>
      <c r="BO423" s="169"/>
      <c r="BP423" s="178"/>
      <c r="BQ423" s="178"/>
      <c r="BR423" s="178"/>
      <c r="BS423" s="178"/>
      <c r="BT423" s="178"/>
      <c r="BU423" s="178"/>
      <c r="BV423" s="178"/>
      <c r="BW423" s="178"/>
      <c r="BX423" s="178"/>
      <c r="BY423" s="178"/>
      <c r="BZ423" s="178"/>
      <c r="CA423" s="178"/>
      <c r="CB423" s="180"/>
      <c r="CC423" s="178"/>
      <c r="CD423" s="178"/>
      <c r="CE423" s="180"/>
      <c r="CF423" s="180"/>
      <c r="CG423" s="180"/>
      <c r="CH423" s="180"/>
      <c r="CI423" s="178"/>
      <c r="CJ423" s="178"/>
      <c r="CK423" s="180"/>
      <c r="CL423" s="180"/>
      <c r="CM423" s="180"/>
      <c r="CN423" s="225"/>
      <c r="CO423" s="218">
        <f t="shared" si="140"/>
        <v>0</v>
      </c>
      <c r="CP423" s="100">
        <f t="shared" si="141"/>
        <v>0</v>
      </c>
      <c r="CQ423" s="218">
        <f t="shared" si="142"/>
        <v>0</v>
      </c>
    </row>
    <row r="424" spans="1:117" s="101" customFormat="1" ht="15.75" hidden="1" thickBot="1" x14ac:dyDescent="0.3">
      <c r="BI424" s="190">
        <v>11</v>
      </c>
      <c r="BJ424" s="203">
        <v>2.23</v>
      </c>
      <c r="BK424" s="178"/>
      <c r="BL424" s="178"/>
      <c r="BM424" s="169"/>
      <c r="BN424" s="169"/>
      <c r="BO424" s="169"/>
      <c r="BP424" s="178"/>
      <c r="BQ424" s="178"/>
      <c r="BR424" s="178"/>
      <c r="BS424" s="178"/>
      <c r="BT424" s="178"/>
      <c r="BU424" s="178"/>
      <c r="BV424" s="178"/>
      <c r="BW424" s="178"/>
      <c r="BX424" s="178"/>
      <c r="BY424" s="178"/>
      <c r="BZ424" s="178"/>
      <c r="CA424" s="178"/>
      <c r="CB424" s="180"/>
      <c r="CC424" s="178"/>
      <c r="CD424" s="178"/>
      <c r="CE424" s="180"/>
      <c r="CF424" s="180"/>
      <c r="CG424" s="180"/>
      <c r="CH424" s="180"/>
      <c r="CI424" s="178"/>
      <c r="CJ424" s="178"/>
      <c r="CK424" s="180"/>
      <c r="CL424" s="180"/>
      <c r="CM424" s="180"/>
      <c r="CN424" s="225"/>
      <c r="CO424" s="218">
        <f t="shared" si="140"/>
        <v>0</v>
      </c>
      <c r="CP424" s="100">
        <f t="shared" si="141"/>
        <v>0</v>
      </c>
      <c r="CQ424" s="218">
        <f t="shared" si="142"/>
        <v>0</v>
      </c>
    </row>
    <row r="425" spans="1:117" s="101" customFormat="1" ht="15.75" hidden="1" thickBot="1" x14ac:dyDescent="0.3">
      <c r="BI425" s="190">
        <v>12</v>
      </c>
      <c r="BJ425" s="203">
        <v>2.2000000000000002</v>
      </c>
      <c r="BK425" s="178"/>
      <c r="BL425" s="178"/>
      <c r="BM425" s="169"/>
      <c r="BN425" s="169"/>
      <c r="BO425" s="169"/>
      <c r="BP425" s="178"/>
      <c r="BQ425" s="178"/>
      <c r="BR425" s="178"/>
      <c r="BS425" s="178"/>
      <c r="BT425" s="178"/>
      <c r="BU425" s="178"/>
      <c r="BV425" s="178"/>
      <c r="BW425" s="178"/>
      <c r="BX425" s="178"/>
      <c r="BY425" s="178"/>
      <c r="BZ425" s="178"/>
      <c r="CA425" s="178"/>
      <c r="CB425" s="180"/>
      <c r="CC425" s="178"/>
      <c r="CD425" s="178"/>
      <c r="CE425" s="180"/>
      <c r="CF425" s="180"/>
      <c r="CG425" s="180"/>
      <c r="CH425" s="180"/>
      <c r="CI425" s="178"/>
      <c r="CJ425" s="178"/>
      <c r="CK425" s="180"/>
      <c r="CL425" s="180"/>
      <c r="CM425" s="180"/>
      <c r="CN425" s="225"/>
      <c r="CO425" s="218">
        <f t="shared" si="140"/>
        <v>0</v>
      </c>
      <c r="CP425" s="100">
        <f t="shared" si="141"/>
        <v>0</v>
      </c>
      <c r="CQ425" s="218">
        <f t="shared" si="142"/>
        <v>0</v>
      </c>
    </row>
    <row r="426" spans="1:117" s="101" customFormat="1" hidden="1" x14ac:dyDescent="0.25">
      <c r="BI426" s="102"/>
      <c r="BJ426" s="178"/>
      <c r="BK426" s="178"/>
      <c r="BL426" s="178"/>
      <c r="BM426" s="169"/>
      <c r="BN426" s="169"/>
      <c r="BO426" s="169"/>
      <c r="BP426" s="178"/>
      <c r="BQ426" s="178"/>
      <c r="BR426" s="178"/>
      <c r="BS426" s="178"/>
      <c r="BT426" s="178"/>
      <c r="BU426" s="178"/>
      <c r="BV426" s="178"/>
      <c r="BW426" s="178"/>
      <c r="BX426" s="178"/>
      <c r="BY426" s="178"/>
      <c r="BZ426" s="178"/>
      <c r="CA426" s="178"/>
      <c r="CB426" s="180"/>
      <c r="CC426" s="178"/>
      <c r="CD426" s="178"/>
      <c r="CE426" s="180"/>
      <c r="CF426" s="180"/>
      <c r="CG426" s="180"/>
      <c r="CH426" s="180"/>
      <c r="CI426" s="178"/>
      <c r="CJ426" s="178"/>
      <c r="CK426" s="180"/>
      <c r="CL426" s="180"/>
      <c r="CM426" s="180"/>
      <c r="CN426" s="225"/>
      <c r="CO426" s="218">
        <f t="shared" si="140"/>
        <v>0</v>
      </c>
      <c r="CP426" s="100">
        <f t="shared" si="141"/>
        <v>0</v>
      </c>
      <c r="CQ426" s="218">
        <f t="shared" si="142"/>
        <v>0</v>
      </c>
    </row>
    <row r="427" spans="1:117" s="101" customFormat="1" hidden="1" x14ac:dyDescent="0.25">
      <c r="A427" s="99"/>
      <c r="V427" s="103"/>
      <c r="AA427" s="104"/>
      <c r="AB427" s="104"/>
      <c r="AD427" s="104"/>
      <c r="AE427" s="105"/>
      <c r="AH427" s="106"/>
      <c r="AI427" s="106"/>
      <c r="AK427" s="104"/>
      <c r="AR427" s="104"/>
      <c r="AV427" s="104"/>
      <c r="AX427" s="104"/>
      <c r="BB427" s="104"/>
      <c r="BC427" s="104"/>
      <c r="BE427" s="104"/>
      <c r="BH427" s="99"/>
      <c r="BI427" s="102"/>
      <c r="BJ427" s="178"/>
      <c r="BK427" s="178"/>
      <c r="BL427" s="178"/>
      <c r="BM427" s="169"/>
      <c r="BN427" s="169"/>
      <c r="BO427" s="169"/>
      <c r="BP427" s="178"/>
      <c r="BQ427" s="178"/>
      <c r="BR427" s="178"/>
      <c r="BS427" s="178"/>
      <c r="BT427" s="178"/>
      <c r="BU427" s="178"/>
      <c r="BV427" s="178"/>
      <c r="BW427" s="178"/>
      <c r="BX427" s="178"/>
      <c r="BY427" s="178"/>
      <c r="BZ427" s="178"/>
      <c r="CA427" s="178"/>
      <c r="CB427" s="180"/>
      <c r="CC427" s="178"/>
      <c r="CD427" s="178"/>
      <c r="CE427" s="180"/>
      <c r="CF427" s="180"/>
      <c r="CG427" s="180"/>
      <c r="CH427" s="180"/>
      <c r="CI427" s="178"/>
      <c r="CJ427" s="178"/>
      <c r="CK427" s="180"/>
      <c r="CL427" s="180"/>
      <c r="CM427" s="180"/>
      <c r="CN427" s="225"/>
      <c r="CO427" s="218">
        <f t="shared" si="140"/>
        <v>0</v>
      </c>
      <c r="CP427" s="100">
        <f t="shared" si="141"/>
        <v>0</v>
      </c>
      <c r="CQ427" s="218">
        <f t="shared" si="142"/>
        <v>0</v>
      </c>
    </row>
    <row r="428" spans="1:117" s="101" customFormat="1" ht="15.75" hidden="1" thickBot="1" x14ac:dyDescent="0.3">
      <c r="A428" s="99"/>
      <c r="V428" s="103"/>
      <c r="AA428" s="104"/>
      <c r="AB428" s="104"/>
      <c r="AD428" s="104"/>
      <c r="AE428" s="105"/>
      <c r="AH428" s="106"/>
      <c r="AI428" s="106"/>
      <c r="AK428" s="104"/>
      <c r="AR428" s="104"/>
      <c r="AV428" s="104"/>
      <c r="AX428" s="104"/>
      <c r="BB428" s="104"/>
      <c r="BC428" s="104"/>
      <c r="BE428" s="104"/>
      <c r="BH428" s="99"/>
      <c r="BI428" s="102"/>
      <c r="BJ428" s="178"/>
      <c r="BK428" s="178"/>
      <c r="BL428" s="178"/>
      <c r="BM428" s="169"/>
      <c r="BN428" s="169"/>
      <c r="BO428" s="169"/>
      <c r="BP428" s="178"/>
      <c r="BQ428" s="178"/>
      <c r="BR428" s="178"/>
      <c r="BS428" s="178"/>
      <c r="BT428" s="178"/>
      <c r="BU428" s="178"/>
      <c r="BV428" s="178"/>
      <c r="BW428" s="178"/>
      <c r="BX428" s="178"/>
      <c r="BY428" s="178"/>
      <c r="BZ428" s="178"/>
      <c r="CA428" s="178"/>
      <c r="CB428" s="180"/>
      <c r="CC428" s="178"/>
      <c r="CD428" s="178"/>
      <c r="CE428" s="180"/>
      <c r="CF428" s="180"/>
      <c r="CG428" s="180"/>
      <c r="CH428" s="180"/>
      <c r="CI428" s="178"/>
      <c r="CJ428" s="178"/>
      <c r="CK428" s="180"/>
      <c r="CL428" s="180"/>
      <c r="CM428" s="180"/>
      <c r="CN428" s="225"/>
      <c r="CO428" s="218">
        <f t="shared" si="140"/>
        <v>0</v>
      </c>
      <c r="CP428" s="100">
        <f t="shared" si="141"/>
        <v>0</v>
      </c>
      <c r="CQ428" s="218">
        <f t="shared" si="142"/>
        <v>0</v>
      </c>
    </row>
    <row r="429" spans="1:117" s="101" customFormat="1" ht="15.75" hidden="1" thickBot="1" x14ac:dyDescent="0.3">
      <c r="A429" s="99"/>
      <c r="V429" s="103"/>
      <c r="AA429" s="104"/>
      <c r="AB429" s="104"/>
      <c r="AD429" s="104"/>
      <c r="AE429" s="105"/>
      <c r="AH429" s="106"/>
      <c r="AI429" s="106"/>
      <c r="AK429" s="104"/>
      <c r="AR429" s="104"/>
      <c r="AV429" s="104"/>
      <c r="AX429" s="104"/>
      <c r="BB429" s="104"/>
      <c r="BC429" s="104"/>
      <c r="BE429" s="104"/>
      <c r="BH429" s="99"/>
      <c r="BI429" s="211"/>
      <c r="BJ429" s="211" t="s">
        <v>309</v>
      </c>
      <c r="BK429" s="211" t="s">
        <v>310</v>
      </c>
      <c r="BL429" s="211" t="s">
        <v>567</v>
      </c>
      <c r="BM429" s="169"/>
      <c r="BN429" s="169"/>
      <c r="BO429" s="169"/>
      <c r="BP429" s="178"/>
      <c r="BQ429" s="178"/>
      <c r="BR429" s="178"/>
      <c r="BS429" s="178"/>
      <c r="BT429" s="178"/>
      <c r="BU429" s="178"/>
      <c r="BV429" s="178"/>
      <c r="BW429" s="178"/>
      <c r="BX429" s="178"/>
      <c r="BY429" s="178"/>
      <c r="BZ429" s="178"/>
      <c r="CA429" s="178"/>
      <c r="CB429" s="180"/>
      <c r="CC429" s="178"/>
      <c r="CD429" s="178"/>
      <c r="CE429" s="180"/>
      <c r="CF429" s="180"/>
      <c r="CG429" s="180"/>
      <c r="CH429" s="180"/>
      <c r="CI429" s="178"/>
      <c r="CJ429" s="178"/>
      <c r="CK429" s="180"/>
      <c r="CL429" s="180"/>
      <c r="CM429" s="180"/>
      <c r="CN429" s="225"/>
      <c r="CO429" s="218">
        <f t="shared" si="140"/>
        <v>0</v>
      </c>
      <c r="CP429" s="100">
        <f t="shared" si="141"/>
        <v>0</v>
      </c>
      <c r="CQ429" s="218">
        <f t="shared" si="142"/>
        <v>0</v>
      </c>
    </row>
    <row r="430" spans="1:117" s="101" customFormat="1" ht="25.5" hidden="1" customHeight="1" thickBot="1" x14ac:dyDescent="0.3">
      <c r="A430" s="99"/>
      <c r="V430" s="103"/>
      <c r="AA430" s="104"/>
      <c r="AB430" s="104"/>
      <c r="AD430" s="104"/>
      <c r="AE430" s="105"/>
      <c r="AH430" s="106"/>
      <c r="AI430" s="106"/>
      <c r="AK430" s="104"/>
      <c r="AR430" s="104"/>
      <c r="AV430" s="104"/>
      <c r="AX430" s="104"/>
      <c r="BB430" s="104"/>
      <c r="BC430" s="104"/>
      <c r="BE430" s="104"/>
      <c r="BH430" s="99"/>
      <c r="BI430" s="211" t="s">
        <v>307</v>
      </c>
      <c r="BJ430" s="211" t="s">
        <v>308</v>
      </c>
      <c r="BK430" s="211" t="s">
        <v>308</v>
      </c>
      <c r="BL430" s="211" t="s">
        <v>308</v>
      </c>
      <c r="BM430" s="169"/>
      <c r="BN430" s="169"/>
      <c r="BO430" s="169"/>
      <c r="BP430" s="178"/>
      <c r="BQ430" s="178"/>
      <c r="BR430" s="178"/>
      <c r="BS430" s="178"/>
      <c r="BT430" s="178"/>
      <c r="BU430" s="178"/>
      <c r="BV430" s="178"/>
      <c r="BW430" s="178"/>
      <c r="BX430" s="178"/>
      <c r="BY430" s="178"/>
      <c r="BZ430" s="178"/>
      <c r="CA430" s="178"/>
      <c r="CB430" s="180"/>
      <c r="CC430" s="178"/>
      <c r="CD430" s="178"/>
      <c r="CE430" s="180"/>
      <c r="CF430" s="180"/>
      <c r="CG430" s="180"/>
      <c r="CH430" s="180"/>
      <c r="CI430" s="178"/>
      <c r="CJ430" s="178"/>
      <c r="CK430" s="180"/>
      <c r="CL430" s="180"/>
      <c r="CM430" s="180"/>
      <c r="CN430" s="225"/>
      <c r="CO430" s="218">
        <f t="shared" si="140"/>
        <v>0</v>
      </c>
      <c r="CP430" s="100">
        <f t="shared" si="141"/>
        <v>0</v>
      </c>
      <c r="CQ430" s="218">
        <f t="shared" si="142"/>
        <v>0</v>
      </c>
    </row>
    <row r="431" spans="1:117" s="101" customFormat="1" ht="15.75" hidden="1" thickBot="1" x14ac:dyDescent="0.3">
      <c r="A431" s="99"/>
      <c r="V431" s="103"/>
      <c r="AA431" s="104"/>
      <c r="AB431" s="104"/>
      <c r="AD431" s="104"/>
      <c r="AE431" s="105"/>
      <c r="AH431" s="106"/>
      <c r="AI431" s="106"/>
      <c r="AK431" s="104"/>
      <c r="AR431" s="104"/>
      <c r="AV431" s="104"/>
      <c r="AX431" s="104"/>
      <c r="BB431" s="104"/>
      <c r="BC431" s="104"/>
      <c r="BE431" s="104"/>
      <c r="BH431" s="99"/>
      <c r="BI431" s="190" t="s">
        <v>170</v>
      </c>
      <c r="BJ431" s="190">
        <v>1</v>
      </c>
      <c r="BK431" s="190">
        <v>1</v>
      </c>
      <c r="BL431" s="190">
        <v>1</v>
      </c>
      <c r="BM431" s="169"/>
      <c r="BN431" s="169"/>
      <c r="BO431" s="169"/>
      <c r="BP431" s="178"/>
      <c r="BQ431" s="178"/>
      <c r="BR431" s="178"/>
      <c r="BS431" s="178"/>
      <c r="BT431" s="178"/>
      <c r="BU431" s="178"/>
      <c r="BV431" s="178"/>
      <c r="BW431" s="178"/>
      <c r="BX431" s="178"/>
      <c r="BY431" s="178"/>
      <c r="BZ431" s="178"/>
      <c r="CA431" s="178"/>
      <c r="CB431" s="180"/>
      <c r="CC431" s="178"/>
      <c r="CD431" s="178"/>
      <c r="CE431" s="180"/>
      <c r="CF431" s="180"/>
      <c r="CG431" s="180"/>
      <c r="CH431" s="180"/>
      <c r="CI431" s="178"/>
      <c r="CJ431" s="178"/>
      <c r="CK431" s="180"/>
      <c r="CL431" s="180"/>
      <c r="CM431" s="180"/>
      <c r="CN431" s="225"/>
      <c r="CO431" s="218">
        <f t="shared" si="140"/>
        <v>0</v>
      </c>
      <c r="CP431" s="100">
        <f t="shared" si="141"/>
        <v>0</v>
      </c>
      <c r="CQ431" s="218">
        <f t="shared" si="142"/>
        <v>0</v>
      </c>
    </row>
    <row r="432" spans="1:117" s="101" customFormat="1" ht="15.75" hidden="1" thickBot="1" x14ac:dyDescent="0.3">
      <c r="A432" s="99"/>
      <c r="V432" s="103"/>
      <c r="AA432" s="104"/>
      <c r="AB432" s="104"/>
      <c r="AD432" s="104"/>
      <c r="AE432" s="105"/>
      <c r="AH432" s="106"/>
      <c r="AI432" s="106"/>
      <c r="AK432" s="104"/>
      <c r="AR432" s="104"/>
      <c r="AV432" s="104"/>
      <c r="AX432" s="104"/>
      <c r="BB432" s="104"/>
      <c r="BC432" s="104"/>
      <c r="BE432" s="104"/>
      <c r="BH432" s="99"/>
      <c r="BI432" s="190" t="s">
        <v>106</v>
      </c>
      <c r="BJ432" s="190">
        <v>28</v>
      </c>
      <c r="BK432" s="190">
        <v>25</v>
      </c>
      <c r="BL432" s="190">
        <v>21</v>
      </c>
      <c r="BM432" s="169"/>
      <c r="BN432" s="169"/>
      <c r="BO432" s="169"/>
      <c r="BP432" s="178"/>
      <c r="BQ432" s="178"/>
      <c r="BR432" s="178"/>
      <c r="BS432" s="178"/>
      <c r="BT432" s="178"/>
      <c r="BU432" s="178"/>
      <c r="BV432" s="178"/>
      <c r="BW432" s="178"/>
      <c r="BX432" s="178"/>
      <c r="BY432" s="178"/>
      <c r="BZ432" s="178"/>
      <c r="CA432" s="178"/>
      <c r="CB432" s="180"/>
      <c r="CC432" s="178"/>
      <c r="CD432" s="178"/>
      <c r="CE432" s="180"/>
      <c r="CF432" s="180"/>
      <c r="CG432" s="180"/>
      <c r="CH432" s="180"/>
      <c r="CI432" s="178"/>
      <c r="CJ432" s="178"/>
      <c r="CK432" s="180"/>
      <c r="CL432" s="180"/>
      <c r="CM432" s="180"/>
      <c r="CN432" s="225"/>
      <c r="CO432" s="218">
        <f t="shared" si="140"/>
        <v>0</v>
      </c>
      <c r="CP432" s="100">
        <f t="shared" si="141"/>
        <v>0</v>
      </c>
      <c r="CQ432" s="218">
        <f t="shared" si="142"/>
        <v>0</v>
      </c>
    </row>
    <row r="433" spans="1:134" s="101" customFormat="1" ht="15.75" hidden="1" thickBot="1" x14ac:dyDescent="0.3">
      <c r="A433" s="99"/>
      <c r="V433" s="103"/>
      <c r="AA433" s="104"/>
      <c r="AB433" s="104"/>
      <c r="AD433" s="104"/>
      <c r="AE433" s="105"/>
      <c r="AH433" s="106"/>
      <c r="AI433" s="106"/>
      <c r="AK433" s="104"/>
      <c r="AR433" s="104"/>
      <c r="AV433" s="104"/>
      <c r="AX433" s="104"/>
      <c r="BB433" s="104"/>
      <c r="BC433" s="104"/>
      <c r="BE433" s="104"/>
      <c r="BH433" s="99"/>
      <c r="BI433" s="190" t="s">
        <v>110</v>
      </c>
      <c r="BJ433" s="190">
        <v>265</v>
      </c>
      <c r="BK433" s="190">
        <v>298</v>
      </c>
      <c r="BL433" s="190">
        <v>310</v>
      </c>
      <c r="BM433" s="169"/>
      <c r="BN433" s="169"/>
      <c r="BO433" s="169"/>
      <c r="BP433" s="178"/>
      <c r="BQ433" s="178"/>
      <c r="BR433" s="178"/>
      <c r="BS433" s="178"/>
      <c r="BT433" s="178"/>
      <c r="BU433" s="178"/>
      <c r="BV433" s="178"/>
      <c r="BW433" s="178"/>
      <c r="BX433" s="178"/>
      <c r="BY433" s="178"/>
      <c r="BZ433" s="178"/>
      <c r="CA433" s="178"/>
      <c r="CB433" s="180"/>
      <c r="CC433" s="178"/>
      <c r="CD433" s="178"/>
      <c r="CE433" s="180"/>
      <c r="CF433" s="180"/>
      <c r="CG433" s="180"/>
      <c r="CH433" s="180"/>
      <c r="CI433" s="178"/>
      <c r="CJ433" s="178"/>
      <c r="CK433" s="180"/>
      <c r="CL433" s="180"/>
      <c r="CM433" s="180"/>
      <c r="CN433" s="225"/>
      <c r="CO433" s="218">
        <f t="shared" si="140"/>
        <v>0</v>
      </c>
      <c r="CP433" s="100">
        <f t="shared" si="141"/>
        <v>0</v>
      </c>
      <c r="CQ433" s="218">
        <f t="shared" si="142"/>
        <v>0</v>
      </c>
    </row>
    <row r="434" spans="1:134" s="101" customFormat="1" ht="15.75" hidden="1" thickBot="1" x14ac:dyDescent="0.3">
      <c r="A434" s="99"/>
      <c r="V434" s="103"/>
      <c r="AA434" s="104"/>
      <c r="AB434" s="104"/>
      <c r="AD434" s="104"/>
      <c r="AE434" s="105"/>
      <c r="AH434" s="106"/>
      <c r="AI434" s="106"/>
      <c r="AK434" s="104"/>
      <c r="AR434" s="104"/>
      <c r="AV434" s="104"/>
      <c r="AX434" s="104"/>
      <c r="BB434" s="104"/>
      <c r="BC434" s="104"/>
      <c r="BE434" s="104"/>
      <c r="BH434" s="99"/>
      <c r="BI434" s="190" t="s">
        <v>8</v>
      </c>
      <c r="BJ434" s="190">
        <v>23500</v>
      </c>
      <c r="BK434" s="190">
        <v>22800</v>
      </c>
      <c r="BL434" s="190"/>
      <c r="BM434" s="169"/>
      <c r="BN434" s="169"/>
      <c r="BO434" s="169"/>
      <c r="BP434" s="178"/>
      <c r="BQ434" s="178"/>
      <c r="BR434" s="178"/>
      <c r="BS434" s="178"/>
      <c r="BT434" s="178"/>
      <c r="BU434" s="178"/>
      <c r="BV434" s="178"/>
      <c r="BW434" s="178"/>
      <c r="BX434" s="178"/>
      <c r="BY434" s="178"/>
      <c r="BZ434" s="178"/>
      <c r="CA434" s="178"/>
      <c r="CB434" s="180"/>
      <c r="CC434" s="178"/>
      <c r="CD434" s="178"/>
      <c r="CE434" s="180"/>
      <c r="CF434" s="180"/>
      <c r="CG434" s="180"/>
      <c r="CH434" s="180"/>
      <c r="CI434" s="178"/>
      <c r="CJ434" s="178"/>
      <c r="CK434" s="180"/>
      <c r="CL434" s="180"/>
      <c r="CM434" s="180"/>
      <c r="CN434" s="225"/>
      <c r="CO434" s="218">
        <f t="shared" si="140"/>
        <v>0</v>
      </c>
      <c r="CP434" s="100">
        <f t="shared" si="141"/>
        <v>0</v>
      </c>
      <c r="CQ434" s="218">
        <f t="shared" si="142"/>
        <v>0</v>
      </c>
    </row>
    <row r="435" spans="1:134" s="101" customFormat="1" ht="15.75" hidden="1" thickBot="1" x14ac:dyDescent="0.3">
      <c r="A435" s="99"/>
      <c r="V435" s="103"/>
      <c r="AA435" s="104"/>
      <c r="AB435" s="104"/>
      <c r="AD435" s="104"/>
      <c r="AE435" s="105"/>
      <c r="AH435" s="106"/>
      <c r="AI435" s="106"/>
      <c r="AK435" s="104"/>
      <c r="AR435" s="104"/>
      <c r="AV435" s="104"/>
      <c r="AX435" s="104"/>
      <c r="BB435" s="104"/>
      <c r="BC435" s="104"/>
      <c r="BE435" s="104"/>
      <c r="BH435" s="99"/>
      <c r="BI435" s="190" t="s">
        <v>313</v>
      </c>
      <c r="BJ435" s="190">
        <v>16100</v>
      </c>
      <c r="BK435" s="190">
        <v>17200</v>
      </c>
      <c r="BL435" s="190" t="s">
        <v>314</v>
      </c>
      <c r="BM435" s="169"/>
      <c r="BN435" s="169"/>
      <c r="BO435" s="169"/>
      <c r="BP435" s="178"/>
      <c r="BQ435" s="178"/>
      <c r="BR435" s="178"/>
      <c r="BS435" s="178"/>
      <c r="BT435" s="178"/>
      <c r="BU435" s="178"/>
      <c r="BV435" s="178"/>
      <c r="BW435" s="178"/>
      <c r="BX435" s="178"/>
      <c r="BY435" s="178"/>
      <c r="BZ435" s="178"/>
      <c r="CA435" s="178"/>
      <c r="CB435" s="180"/>
      <c r="CC435" s="178"/>
      <c r="CD435" s="178"/>
      <c r="CE435" s="180"/>
      <c r="CF435" s="180"/>
      <c r="CG435" s="180"/>
      <c r="CH435" s="180"/>
      <c r="CI435" s="178"/>
      <c r="CJ435" s="178"/>
      <c r="CK435" s="180"/>
      <c r="CL435" s="180"/>
      <c r="CM435" s="180"/>
      <c r="CN435" s="225"/>
      <c r="CO435" s="218">
        <f t="shared" si="140"/>
        <v>0</v>
      </c>
      <c r="CP435" s="100">
        <f t="shared" si="141"/>
        <v>0</v>
      </c>
      <c r="CQ435" s="218">
        <f t="shared" si="142"/>
        <v>0</v>
      </c>
    </row>
    <row r="436" spans="1:134" s="101" customFormat="1" ht="15.75" hidden="1" thickBot="1" x14ac:dyDescent="0.3">
      <c r="A436" s="99"/>
      <c r="V436" s="103"/>
      <c r="AA436" s="104"/>
      <c r="AB436" s="104"/>
      <c r="AD436" s="104"/>
      <c r="AE436" s="105"/>
      <c r="AH436" s="106"/>
      <c r="AI436" s="106"/>
      <c r="AK436" s="104"/>
      <c r="AR436" s="104"/>
      <c r="AV436" s="104"/>
      <c r="AX436" s="104"/>
      <c r="BB436" s="104"/>
      <c r="BC436" s="104"/>
      <c r="BE436" s="104"/>
      <c r="BH436" s="99"/>
      <c r="BI436" s="190"/>
      <c r="BJ436" s="190"/>
      <c r="BK436" s="190"/>
      <c r="BL436" s="190"/>
      <c r="BM436" s="169"/>
      <c r="BN436" s="169"/>
      <c r="BO436" s="169"/>
      <c r="BP436" s="178"/>
      <c r="BQ436" s="178"/>
      <c r="BR436" s="178"/>
      <c r="BS436" s="178"/>
      <c r="BT436" s="178"/>
      <c r="BU436" s="178"/>
      <c r="BV436" s="178"/>
      <c r="BW436" s="178"/>
      <c r="BX436" s="178"/>
      <c r="BY436" s="178"/>
      <c r="BZ436" s="178"/>
      <c r="CA436" s="178"/>
      <c r="CB436" s="180"/>
      <c r="CC436" s="178"/>
      <c r="CD436" s="178"/>
      <c r="CE436" s="180"/>
      <c r="CF436" s="180"/>
      <c r="CG436" s="180"/>
      <c r="CH436" s="180"/>
      <c r="CI436" s="178"/>
      <c r="CJ436" s="178"/>
      <c r="CK436" s="180"/>
      <c r="CL436" s="180"/>
      <c r="CM436" s="180"/>
      <c r="CN436" s="225"/>
      <c r="CO436" s="218">
        <f t="shared" si="140"/>
        <v>0</v>
      </c>
      <c r="CP436" s="100">
        <f t="shared" si="141"/>
        <v>0</v>
      </c>
      <c r="CQ436" s="218">
        <f t="shared" si="142"/>
        <v>0</v>
      </c>
    </row>
    <row r="437" spans="1:134" s="101" customFormat="1" ht="15.75" hidden="1" thickBot="1" x14ac:dyDescent="0.3">
      <c r="A437" s="99"/>
      <c r="V437" s="103"/>
      <c r="AA437" s="104"/>
      <c r="AB437" s="104"/>
      <c r="AD437" s="104"/>
      <c r="AE437" s="105"/>
      <c r="AH437" s="106"/>
      <c r="AI437" s="106"/>
      <c r="AK437" s="104"/>
      <c r="AR437" s="104"/>
      <c r="AV437" s="104"/>
      <c r="AX437" s="104"/>
      <c r="BB437" s="104"/>
      <c r="BC437" s="104"/>
      <c r="BE437" s="104"/>
      <c r="BH437" s="99"/>
      <c r="BI437" s="190"/>
      <c r="BJ437" s="190"/>
      <c r="BK437" s="190"/>
      <c r="BL437" s="190"/>
      <c r="BM437" s="169"/>
      <c r="BN437" s="169"/>
      <c r="BO437" s="169"/>
      <c r="BP437" s="178"/>
      <c r="BQ437" s="178"/>
      <c r="BR437" s="178"/>
      <c r="BS437" s="178"/>
      <c r="BT437" s="178"/>
      <c r="BU437" s="178"/>
      <c r="BV437" s="178"/>
      <c r="BW437" s="178"/>
      <c r="BX437" s="178"/>
      <c r="BY437" s="178"/>
      <c r="BZ437" s="178"/>
      <c r="CA437" s="178"/>
      <c r="CB437" s="180"/>
      <c r="CC437" s="178"/>
      <c r="CD437" s="178"/>
      <c r="CE437" s="180"/>
      <c r="CF437" s="180"/>
      <c r="CG437" s="180"/>
      <c r="CH437" s="180"/>
      <c r="CI437" s="178"/>
      <c r="CJ437" s="178"/>
      <c r="CK437" s="180"/>
      <c r="CL437" s="180"/>
      <c r="CM437" s="180"/>
      <c r="CN437" s="225"/>
      <c r="CO437" s="218">
        <f t="shared" si="140"/>
        <v>0</v>
      </c>
      <c r="CP437" s="100">
        <f t="shared" si="141"/>
        <v>0</v>
      </c>
      <c r="CQ437" s="218">
        <f t="shared" si="142"/>
        <v>0</v>
      </c>
    </row>
    <row r="438" spans="1:134" s="101" customFormat="1" ht="15.75" hidden="1" thickBot="1" x14ac:dyDescent="0.3">
      <c r="A438" s="99"/>
      <c r="V438" s="103"/>
      <c r="AA438" s="104"/>
      <c r="AB438" s="104"/>
      <c r="AD438" s="104"/>
      <c r="AE438" s="105"/>
      <c r="AH438" s="106"/>
      <c r="AI438" s="106"/>
      <c r="AK438" s="104"/>
      <c r="AR438" s="104"/>
      <c r="AV438" s="104"/>
      <c r="AX438" s="104"/>
      <c r="BB438" s="104"/>
      <c r="BC438" s="104"/>
      <c r="BE438" s="104"/>
      <c r="BH438" s="99"/>
      <c r="BI438" s="190"/>
      <c r="BJ438" s="190"/>
      <c r="BK438" s="190"/>
      <c r="BL438" s="190"/>
      <c r="BM438" s="169"/>
      <c r="BN438" s="169"/>
      <c r="BO438" s="169"/>
      <c r="BP438" s="178"/>
      <c r="BQ438" s="178"/>
      <c r="BR438" s="178"/>
      <c r="BS438" s="178"/>
      <c r="BT438" s="178"/>
      <c r="BU438" s="178"/>
      <c r="BV438" s="178"/>
      <c r="BW438" s="178"/>
      <c r="BX438" s="178"/>
      <c r="BY438" s="178"/>
      <c r="BZ438" s="178"/>
      <c r="CA438" s="178"/>
      <c r="CB438" s="180"/>
      <c r="CC438" s="178"/>
      <c r="CD438" s="178"/>
      <c r="CE438" s="180"/>
      <c r="CF438" s="180"/>
      <c r="CG438" s="180"/>
      <c r="CH438" s="180"/>
      <c r="CI438" s="178"/>
      <c r="CJ438" s="178"/>
      <c r="CK438" s="180"/>
      <c r="CL438" s="180"/>
      <c r="CM438" s="180"/>
      <c r="CN438" s="225"/>
      <c r="CO438" s="218">
        <f t="shared" si="140"/>
        <v>0</v>
      </c>
      <c r="CP438" s="100">
        <f t="shared" si="141"/>
        <v>0</v>
      </c>
      <c r="CQ438" s="218">
        <f t="shared" si="142"/>
        <v>0</v>
      </c>
    </row>
    <row r="439" spans="1:134" s="101" customFormat="1" hidden="1" x14ac:dyDescent="0.25">
      <c r="A439" s="99"/>
      <c r="V439" s="103"/>
      <c r="AA439" s="104"/>
      <c r="AB439" s="104"/>
      <c r="AD439" s="104"/>
      <c r="AE439" s="105"/>
      <c r="AH439" s="106"/>
      <c r="AI439" s="106"/>
      <c r="AK439" s="104"/>
      <c r="AR439" s="104"/>
      <c r="AV439" s="104"/>
      <c r="AX439" s="104"/>
      <c r="BB439" s="104"/>
      <c r="BC439" s="104"/>
      <c r="BE439" s="104"/>
      <c r="BH439" s="99"/>
      <c r="BI439" s="102"/>
      <c r="BJ439" s="178"/>
      <c r="BK439" s="178"/>
      <c r="BL439" s="178"/>
      <c r="BM439" s="169"/>
      <c r="BN439" s="169"/>
      <c r="BO439" s="169"/>
      <c r="BP439" s="178"/>
      <c r="BQ439" s="178"/>
      <c r="BR439" s="178"/>
      <c r="BS439" s="178"/>
      <c r="BT439" s="178"/>
      <c r="BU439" s="178"/>
      <c r="BV439" s="178"/>
      <c r="BW439" s="178"/>
      <c r="BX439" s="178"/>
      <c r="BY439" s="178"/>
      <c r="BZ439" s="178"/>
      <c r="CA439" s="178"/>
      <c r="CB439" s="180"/>
      <c r="CC439" s="178"/>
      <c r="CD439" s="178"/>
      <c r="CE439" s="180"/>
      <c r="CF439" s="180"/>
      <c r="CG439" s="180"/>
      <c r="CH439" s="180"/>
      <c r="CI439" s="178"/>
      <c r="CJ439" s="178"/>
      <c r="CK439" s="180"/>
      <c r="CL439" s="180"/>
      <c r="CM439" s="180"/>
      <c r="CN439" s="225"/>
      <c r="CO439" s="218">
        <f t="shared" si="140"/>
        <v>0</v>
      </c>
      <c r="CP439" s="100">
        <f t="shared" si="141"/>
        <v>0</v>
      </c>
      <c r="CQ439" s="218">
        <f t="shared" si="142"/>
        <v>0</v>
      </c>
    </row>
    <row r="440" spans="1:134" s="101" customFormat="1" hidden="1" x14ac:dyDescent="0.25">
      <c r="A440" s="99"/>
      <c r="V440" s="103"/>
      <c r="AA440" s="104"/>
      <c r="AB440" s="104"/>
      <c r="AD440" s="104"/>
      <c r="AE440" s="105"/>
      <c r="AH440" s="106"/>
      <c r="AI440" s="106"/>
      <c r="AK440" s="104"/>
      <c r="AR440" s="104"/>
      <c r="AV440" s="104"/>
      <c r="AX440" s="104"/>
      <c r="BB440" s="104"/>
      <c r="BC440" s="104"/>
      <c r="BE440" s="104"/>
      <c r="BH440" s="99"/>
      <c r="BI440" s="102"/>
      <c r="BJ440" s="178"/>
      <c r="BK440" s="178"/>
      <c r="BL440" s="178"/>
      <c r="BM440" s="169"/>
      <c r="BN440" s="169"/>
      <c r="BO440" s="169"/>
      <c r="BP440" s="178"/>
      <c r="BQ440" s="178"/>
      <c r="BR440" s="178"/>
      <c r="BS440" s="178"/>
      <c r="BT440" s="178"/>
      <c r="BU440" s="178"/>
      <c r="BV440" s="178"/>
      <c r="BW440" s="178"/>
      <c r="BX440" s="178"/>
      <c r="BY440" s="178"/>
      <c r="BZ440" s="178"/>
      <c r="CA440" s="178"/>
      <c r="CB440" s="180"/>
      <c r="CC440" s="178"/>
      <c r="CD440" s="178"/>
      <c r="CE440" s="180"/>
      <c r="CF440" s="180"/>
      <c r="CG440" s="180"/>
      <c r="CH440" s="180"/>
      <c r="CI440" s="178"/>
      <c r="CJ440" s="178"/>
      <c r="CK440" s="180"/>
      <c r="CL440" s="180"/>
      <c r="CM440" s="180"/>
      <c r="CN440" s="225"/>
      <c r="CO440" s="218">
        <f t="shared" si="140"/>
        <v>0</v>
      </c>
      <c r="CP440" s="100">
        <f t="shared" si="141"/>
        <v>0</v>
      </c>
      <c r="CQ440" s="218">
        <f t="shared" si="142"/>
        <v>0</v>
      </c>
    </row>
    <row r="441" spans="1:134" s="101" customFormat="1" hidden="1" x14ac:dyDescent="0.25">
      <c r="A441" s="99"/>
      <c r="V441" s="103"/>
      <c r="AA441" s="104"/>
      <c r="AB441" s="104"/>
      <c r="AD441" s="104"/>
      <c r="AE441" s="105"/>
      <c r="AH441" s="106"/>
      <c r="AI441" s="106"/>
      <c r="AK441" s="104"/>
      <c r="AR441" s="104"/>
      <c r="AV441" s="104"/>
      <c r="AX441" s="104"/>
      <c r="BB441" s="104"/>
      <c r="BC441" s="104"/>
      <c r="BE441" s="104"/>
      <c r="BH441" s="99"/>
      <c r="BI441" s="102"/>
      <c r="BJ441" s="178"/>
      <c r="BK441" s="178"/>
      <c r="BL441" s="178"/>
      <c r="BM441" s="169"/>
      <c r="BN441" s="169"/>
      <c r="BO441" s="169"/>
      <c r="BP441" s="178"/>
      <c r="BQ441" s="178"/>
      <c r="BR441" s="178"/>
      <c r="BS441" s="178"/>
      <c r="BT441" s="178"/>
      <c r="BU441" s="178"/>
      <c r="BV441" s="178"/>
      <c r="BW441" s="178"/>
      <c r="BX441" s="178"/>
      <c r="BY441" s="178"/>
      <c r="BZ441" s="178"/>
      <c r="CA441" s="178"/>
      <c r="CB441" s="180"/>
      <c r="CC441" s="178"/>
      <c r="CD441" s="178"/>
      <c r="CE441" s="180"/>
      <c r="CF441" s="180"/>
      <c r="CG441" s="180"/>
      <c r="CH441" s="180"/>
      <c r="CI441" s="178"/>
      <c r="CJ441" s="178"/>
      <c r="CK441" s="180"/>
      <c r="CL441" s="180"/>
      <c r="CM441" s="180"/>
      <c r="CN441" s="225"/>
      <c r="CO441" s="218">
        <f t="shared" si="140"/>
        <v>0</v>
      </c>
      <c r="CP441" s="100">
        <f t="shared" si="141"/>
        <v>0</v>
      </c>
      <c r="CQ441" s="218">
        <f t="shared" si="142"/>
        <v>0</v>
      </c>
    </row>
    <row r="442" spans="1:134" s="101" customFormat="1" hidden="1" x14ac:dyDescent="0.25">
      <c r="A442" s="99"/>
      <c r="V442" s="103"/>
      <c r="AA442" s="104"/>
      <c r="AB442" s="104"/>
      <c r="AD442" s="104"/>
      <c r="AE442" s="105"/>
      <c r="AH442" s="106"/>
      <c r="AI442" s="106"/>
      <c r="AK442" s="104"/>
      <c r="AR442" s="104"/>
      <c r="AV442" s="104"/>
      <c r="AX442" s="104"/>
      <c r="BB442" s="104"/>
      <c r="BC442" s="104"/>
      <c r="BE442" s="104"/>
      <c r="BH442" s="99"/>
      <c r="BI442" s="102"/>
      <c r="BJ442" s="178"/>
      <c r="BK442" s="178"/>
      <c r="BL442" s="178"/>
      <c r="BM442" s="169"/>
      <c r="BN442" s="169"/>
      <c r="BO442" s="169"/>
      <c r="BP442" s="178"/>
      <c r="BQ442" s="178"/>
      <c r="BR442" s="178"/>
      <c r="BS442" s="178"/>
      <c r="BT442" s="178"/>
      <c r="BU442" s="178"/>
      <c r="BV442" s="178"/>
      <c r="BW442" s="178"/>
      <c r="BX442" s="178"/>
      <c r="BY442" s="178"/>
      <c r="BZ442" s="178"/>
      <c r="CA442" s="178"/>
      <c r="CB442" s="180"/>
      <c r="CC442" s="178"/>
      <c r="CD442" s="178"/>
      <c r="CE442" s="180"/>
      <c r="CF442" s="180"/>
      <c r="CG442" s="180"/>
      <c r="CH442" s="180"/>
      <c r="CI442" s="178"/>
      <c r="CJ442" s="178"/>
      <c r="CK442" s="180"/>
      <c r="CL442" s="180"/>
      <c r="CM442" s="180"/>
      <c r="CN442" s="225"/>
      <c r="CO442" s="218">
        <f t="shared" si="140"/>
        <v>0</v>
      </c>
      <c r="CP442" s="100">
        <f t="shared" si="141"/>
        <v>0</v>
      </c>
      <c r="CQ442" s="218">
        <f t="shared" si="142"/>
        <v>0</v>
      </c>
    </row>
    <row r="443" spans="1:134" ht="15" hidden="1" customHeight="1" x14ac:dyDescent="0.25">
      <c r="BI443" s="102" t="s">
        <v>232</v>
      </c>
      <c r="BK443" s="178" t="s">
        <v>607</v>
      </c>
      <c r="BM443" s="169" t="s">
        <v>233</v>
      </c>
      <c r="BN443" s="169" t="s">
        <v>233</v>
      </c>
      <c r="BO443" s="169" t="s">
        <v>240</v>
      </c>
      <c r="BP443" s="178" t="s">
        <v>645</v>
      </c>
      <c r="CO443" s="218" t="str">
        <f t="shared" si="140"/>
        <v>Incertidumbre (+/- %)</v>
      </c>
      <c r="CP443" s="100" t="e">
        <f t="shared" si="141"/>
        <v>#VALUE!</v>
      </c>
      <c r="CQ443" s="218" t="str">
        <f t="shared" si="142"/>
        <v>Incertidumbre (+/- %)</v>
      </c>
      <c r="CR443" s="98"/>
      <c r="CS443" s="98"/>
      <c r="CT443" s="98"/>
      <c r="CU443" s="98"/>
      <c r="CV443" s="98"/>
      <c r="CW443" s="98"/>
      <c r="CX443" s="98"/>
      <c r="CY443" s="98"/>
      <c r="CZ443" s="98"/>
      <c r="DA443" s="98"/>
      <c r="DB443" s="98"/>
      <c r="DC443" s="98"/>
      <c r="DD443" s="98"/>
      <c r="DE443" s="98"/>
      <c r="DF443" s="98"/>
      <c r="DG443" s="98"/>
      <c r="DH443" s="98"/>
      <c r="DI443" s="98"/>
      <c r="DJ443" s="98"/>
      <c r="DK443" s="98"/>
      <c r="DL443" s="98"/>
      <c r="DM443" s="98"/>
      <c r="DN443" s="98"/>
      <c r="DO443" s="98"/>
      <c r="DP443" s="98"/>
      <c r="DQ443" s="98"/>
      <c r="DR443" s="98"/>
      <c r="DS443" s="98"/>
      <c r="DT443" s="98"/>
      <c r="DU443" s="98"/>
      <c r="DV443" s="98"/>
      <c r="DW443" s="98"/>
      <c r="DX443" s="98"/>
      <c r="DY443" s="98"/>
      <c r="DZ443" s="98"/>
      <c r="EA443" s="98"/>
      <c r="EB443" s="98"/>
      <c r="EC443" s="98"/>
      <c r="ED443" s="98"/>
    </row>
    <row r="444" spans="1:134" hidden="1" x14ac:dyDescent="0.25">
      <c r="BJ444" s="178" t="s">
        <v>253</v>
      </c>
      <c r="BL444" s="178" t="s">
        <v>251</v>
      </c>
      <c r="CO444" s="218">
        <f t="shared" si="140"/>
        <v>0</v>
      </c>
      <c r="CP444" s="100">
        <f t="shared" si="141"/>
        <v>0</v>
      </c>
      <c r="CQ444" s="218">
        <f t="shared" si="142"/>
        <v>0</v>
      </c>
      <c r="CR444" s="98"/>
      <c r="CS444" s="98"/>
      <c r="CT444" s="98"/>
      <c r="CU444" s="98"/>
      <c r="CV444" s="98"/>
      <c r="CW444" s="98"/>
      <c r="CX444" s="98"/>
      <c r="CY444" s="98"/>
      <c r="CZ444" s="98"/>
      <c r="DA444" s="98"/>
      <c r="DB444" s="98"/>
      <c r="DC444" s="98"/>
      <c r="DD444" s="98"/>
      <c r="DE444" s="98"/>
      <c r="DF444" s="98"/>
      <c r="DG444" s="98"/>
      <c r="DH444" s="98"/>
      <c r="DI444" s="98"/>
      <c r="DJ444" s="98"/>
      <c r="DK444" s="98"/>
      <c r="DL444" s="98"/>
      <c r="DM444" s="98"/>
      <c r="DN444" s="98"/>
      <c r="DO444" s="98"/>
      <c r="DP444" s="98"/>
      <c r="DQ444" s="98"/>
      <c r="DR444" s="98"/>
      <c r="DS444" s="98"/>
      <c r="DT444" s="98"/>
      <c r="DU444" s="98"/>
      <c r="DV444" s="98"/>
      <c r="DW444" s="98"/>
      <c r="DX444" s="98"/>
      <c r="DY444" s="98"/>
      <c r="DZ444" s="98"/>
      <c r="EA444" s="98"/>
      <c r="EB444" s="98"/>
      <c r="EC444" s="98"/>
      <c r="ED444" s="98"/>
    </row>
    <row r="445" spans="1:134" hidden="1" x14ac:dyDescent="0.25">
      <c r="BI445" s="102" t="s">
        <v>1</v>
      </c>
      <c r="BJ445" s="178" t="s">
        <v>615</v>
      </c>
      <c r="BK445" s="178">
        <v>1664.9169999999999</v>
      </c>
      <c r="BL445" s="178" t="s">
        <v>641</v>
      </c>
      <c r="BM445" s="169">
        <v>4.3E-3</v>
      </c>
      <c r="BN445" s="169">
        <v>4.3E-3</v>
      </c>
      <c r="BO445" s="169" t="s">
        <v>241</v>
      </c>
      <c r="BP445" s="263">
        <v>1</v>
      </c>
      <c r="CO445" s="218">
        <f t="shared" si="140"/>
        <v>4.3E-3</v>
      </c>
      <c r="CP445" s="100">
        <f t="shared" si="141"/>
        <v>4.3E-3</v>
      </c>
      <c r="CQ445" s="218">
        <f t="shared" si="142"/>
        <v>4.3E-3</v>
      </c>
      <c r="CR445" s="98"/>
      <c r="CS445" s="98"/>
      <c r="CT445" s="98"/>
      <c r="CU445" s="98"/>
      <c r="CV445" s="98"/>
      <c r="CW445" s="98"/>
      <c r="CX445" s="98"/>
      <c r="CY445" s="98"/>
      <c r="CZ445" s="98"/>
      <c r="DA445" s="98"/>
      <c r="DB445" s="98"/>
      <c r="DC445" s="98"/>
      <c r="DD445" s="98"/>
      <c r="DE445" s="98"/>
      <c r="DF445" s="98"/>
      <c r="DG445" s="98"/>
      <c r="DH445" s="98"/>
      <c r="DI445" s="98"/>
      <c r="DJ445" s="98"/>
      <c r="DK445" s="98"/>
      <c r="DL445" s="98"/>
      <c r="DM445" s="98"/>
      <c r="DN445" s="98"/>
      <c r="DO445" s="98"/>
      <c r="DP445" s="98"/>
      <c r="DQ445" s="98"/>
      <c r="DR445" s="98"/>
      <c r="DS445" s="98"/>
      <c r="DT445" s="98"/>
      <c r="DU445" s="98"/>
      <c r="DV445" s="98"/>
      <c r="DW445" s="98"/>
      <c r="DX445" s="98"/>
      <c r="DY445" s="98"/>
      <c r="DZ445" s="98"/>
      <c r="EA445" s="98"/>
      <c r="EB445" s="98"/>
      <c r="EC445" s="98"/>
      <c r="ED445" s="98"/>
    </row>
    <row r="446" spans="1:134" hidden="1" x14ac:dyDescent="0.25">
      <c r="BI446" s="102" t="s">
        <v>221</v>
      </c>
      <c r="BJ446" s="178" t="s">
        <v>615</v>
      </c>
      <c r="BK446" s="178">
        <v>1869.837</v>
      </c>
      <c r="BL446" s="178" t="s">
        <v>641</v>
      </c>
      <c r="BM446" s="169">
        <v>3.82E-3</v>
      </c>
      <c r="BN446" s="169">
        <v>3.82E-3</v>
      </c>
      <c r="BO446" s="169" t="s">
        <v>241</v>
      </c>
      <c r="BP446" s="263">
        <v>1</v>
      </c>
      <c r="CO446" s="218">
        <f t="shared" si="140"/>
        <v>3.82E-3</v>
      </c>
      <c r="CP446" s="100">
        <f t="shared" si="141"/>
        <v>3.82E-3</v>
      </c>
      <c r="CQ446" s="218">
        <f t="shared" si="142"/>
        <v>3.82E-3</v>
      </c>
      <c r="CR446" s="98"/>
      <c r="CS446" s="98"/>
      <c r="CT446" s="98"/>
      <c r="CU446" s="98"/>
      <c r="CV446" s="98"/>
      <c r="CW446" s="98"/>
      <c r="CX446" s="98"/>
      <c r="CY446" s="98"/>
      <c r="CZ446" s="98"/>
      <c r="DA446" s="98"/>
      <c r="DB446" s="98"/>
      <c r="DC446" s="98"/>
      <c r="DD446" s="98"/>
      <c r="DE446" s="98"/>
      <c r="DF446" s="98"/>
      <c r="DG446" s="98"/>
      <c r="DH446" s="98"/>
      <c r="DI446" s="98"/>
      <c r="DJ446" s="98"/>
      <c r="DK446" s="98"/>
      <c r="DL446" s="98"/>
      <c r="DM446" s="98"/>
      <c r="DN446" s="98"/>
      <c r="DO446" s="98"/>
      <c r="DP446" s="98"/>
      <c r="DQ446" s="98"/>
      <c r="DR446" s="98"/>
      <c r="DS446" s="98"/>
      <c r="DT446" s="98"/>
      <c r="DU446" s="98"/>
      <c r="DV446" s="98"/>
      <c r="DW446" s="98"/>
      <c r="DX446" s="98"/>
      <c r="DY446" s="98"/>
      <c r="DZ446" s="98"/>
      <c r="EA446" s="98"/>
      <c r="EB446" s="98"/>
      <c r="EC446" s="98"/>
      <c r="ED446" s="98"/>
    </row>
    <row r="447" spans="1:134" hidden="1" x14ac:dyDescent="0.25">
      <c r="BI447" s="102" t="s">
        <v>222</v>
      </c>
      <c r="BJ447" s="178" t="s">
        <v>615</v>
      </c>
      <c r="BK447" s="178">
        <v>1758.4449999999999</v>
      </c>
      <c r="BL447" s="178" t="s">
        <v>641</v>
      </c>
      <c r="BM447" s="169">
        <v>3.98E-3</v>
      </c>
      <c r="BN447" s="169">
        <v>3.98E-3</v>
      </c>
      <c r="BO447" s="169" t="s">
        <v>241</v>
      </c>
      <c r="BP447" s="263">
        <v>1</v>
      </c>
      <c r="CO447" s="218">
        <f t="shared" si="140"/>
        <v>3.98E-3</v>
      </c>
      <c r="CP447" s="100">
        <f t="shared" si="141"/>
        <v>3.98E-3</v>
      </c>
      <c r="CQ447" s="218">
        <f t="shared" si="142"/>
        <v>3.98E-3</v>
      </c>
      <c r="CR447" s="98"/>
      <c r="CS447" s="98"/>
      <c r="CT447" s="98"/>
      <c r="CU447" s="98"/>
      <c r="CV447" s="98"/>
      <c r="CW447" s="98"/>
      <c r="CX447" s="98"/>
      <c r="CY447" s="98"/>
      <c r="CZ447" s="98"/>
      <c r="DA447" s="98"/>
      <c r="DB447" s="98"/>
      <c r="DC447" s="98"/>
      <c r="DD447" s="98"/>
      <c r="DE447" s="98"/>
      <c r="DF447" s="98"/>
      <c r="DG447" s="98"/>
      <c r="DH447" s="98"/>
      <c r="DI447" s="98"/>
      <c r="DJ447" s="98"/>
      <c r="DK447" s="98"/>
      <c r="DL447" s="98"/>
      <c r="DM447" s="98"/>
      <c r="DN447" s="98"/>
      <c r="DO447" s="98"/>
      <c r="DP447" s="98"/>
      <c r="DQ447" s="98"/>
      <c r="DR447" s="98"/>
      <c r="DS447" s="98"/>
      <c r="DT447" s="98"/>
      <c r="DU447" s="98"/>
      <c r="DV447" s="98"/>
      <c r="DW447" s="98"/>
      <c r="DX447" s="98"/>
      <c r="DY447" s="98"/>
      <c r="DZ447" s="98"/>
      <c r="EA447" s="98"/>
      <c r="EB447" s="98"/>
      <c r="EC447" s="98"/>
      <c r="ED447" s="98"/>
    </row>
    <row r="448" spans="1:134" hidden="1" x14ac:dyDescent="0.25">
      <c r="BI448" s="102" t="s">
        <v>223</v>
      </c>
      <c r="BJ448" s="178" t="s">
        <v>615</v>
      </c>
      <c r="BK448" s="178" t="s">
        <v>403</v>
      </c>
      <c r="BL448" s="178" t="s">
        <v>641</v>
      </c>
      <c r="BM448" s="169">
        <v>3.5799999999999998E-3</v>
      </c>
      <c r="BN448" s="169">
        <v>3.5799999999999998E-3</v>
      </c>
      <c r="BO448" s="169" t="s">
        <v>241</v>
      </c>
      <c r="BP448" s="263">
        <v>1</v>
      </c>
      <c r="CO448" s="218">
        <f t="shared" si="140"/>
        <v>3.5799999999999998E-3</v>
      </c>
      <c r="CP448" s="100">
        <f t="shared" si="141"/>
        <v>3.5799999999999998E-3</v>
      </c>
      <c r="CQ448" s="218">
        <f t="shared" si="142"/>
        <v>3.5799999999999998E-3</v>
      </c>
      <c r="CR448" s="98"/>
      <c r="CS448" s="98"/>
      <c r="CT448" s="98"/>
      <c r="CU448" s="98"/>
      <c r="CV448" s="98"/>
      <c r="CW448" s="98"/>
      <c r="CX448" s="98"/>
      <c r="CY448" s="98"/>
      <c r="CZ448" s="98"/>
      <c r="DA448" s="98"/>
      <c r="DB448" s="98"/>
      <c r="DC448" s="98"/>
      <c r="DD448" s="98"/>
      <c r="DE448" s="98"/>
      <c r="DF448" s="98"/>
      <c r="DG448" s="98"/>
      <c r="DH448" s="98"/>
      <c r="DI448" s="98"/>
      <c r="DJ448" s="98"/>
      <c r="DK448" s="98"/>
      <c r="DL448" s="98"/>
      <c r="DM448" s="98"/>
      <c r="DN448" s="98"/>
      <c r="DO448" s="98"/>
      <c r="DP448" s="98"/>
      <c r="DQ448" s="98"/>
      <c r="DR448" s="98"/>
      <c r="DS448" s="98"/>
      <c r="DT448" s="98"/>
      <c r="DU448" s="98"/>
      <c r="DV448" s="98"/>
      <c r="DW448" s="98"/>
      <c r="DX448" s="98"/>
      <c r="DY448" s="98"/>
      <c r="DZ448" s="98"/>
      <c r="EA448" s="98"/>
      <c r="EB448" s="98"/>
      <c r="EC448" s="98"/>
      <c r="ED448" s="98"/>
    </row>
    <row r="449" spans="1:134" hidden="1" x14ac:dyDescent="0.25">
      <c r="BI449" s="102" t="s">
        <v>224</v>
      </c>
      <c r="BJ449" s="178" t="s">
        <v>615</v>
      </c>
      <c r="BK449" s="178">
        <v>1553.251</v>
      </c>
      <c r="BL449" s="178" t="s">
        <v>641</v>
      </c>
      <c r="BM449" s="169">
        <v>4.4900000000000001E-3</v>
      </c>
      <c r="BN449" s="169">
        <v>4.4900000000000001E-3</v>
      </c>
      <c r="BO449" s="169" t="s">
        <v>241</v>
      </c>
      <c r="BP449" s="263">
        <v>1</v>
      </c>
      <c r="CO449" s="218">
        <f t="shared" si="140"/>
        <v>4.4900000000000001E-3</v>
      </c>
      <c r="CP449" s="100">
        <f t="shared" si="141"/>
        <v>4.4900000000000001E-3</v>
      </c>
      <c r="CQ449" s="218">
        <f t="shared" si="142"/>
        <v>4.4900000000000001E-3</v>
      </c>
      <c r="CR449" s="98"/>
      <c r="CS449" s="98"/>
      <c r="CT449" s="98"/>
      <c r="CU449" s="98"/>
      <c r="CV449" s="98"/>
      <c r="CW449" s="98"/>
      <c r="CX449" s="98"/>
      <c r="CY449" s="98"/>
      <c r="CZ449" s="98"/>
      <c r="DA449" s="98"/>
      <c r="DB449" s="98"/>
      <c r="DC449" s="98"/>
      <c r="DD449" s="98"/>
      <c r="DE449" s="98"/>
      <c r="DF449" s="98"/>
      <c r="DG449" s="98"/>
      <c r="DH449" s="98"/>
      <c r="DI449" s="98"/>
      <c r="DJ449" s="98"/>
      <c r="DK449" s="98"/>
      <c r="DL449" s="98"/>
      <c r="DM449" s="98"/>
      <c r="DN449" s="98"/>
      <c r="DO449" s="98"/>
      <c r="DP449" s="98"/>
      <c r="DQ449" s="98"/>
      <c r="DR449" s="98"/>
      <c r="DS449" s="98"/>
      <c r="DT449" s="98"/>
      <c r="DU449" s="98"/>
      <c r="DV449" s="98"/>
      <c r="DW449" s="98"/>
      <c r="DX449" s="98"/>
      <c r="DY449" s="98"/>
      <c r="DZ449" s="98"/>
      <c r="EA449" s="98"/>
      <c r="EB449" s="98"/>
      <c r="EC449" s="98"/>
      <c r="ED449" s="98"/>
    </row>
    <row r="450" spans="1:134" hidden="1" x14ac:dyDescent="0.25">
      <c r="BI450" s="102" t="s">
        <v>225</v>
      </c>
      <c r="BJ450" s="178" t="s">
        <v>615</v>
      </c>
      <c r="BK450" s="178">
        <v>2222.1489999999999</v>
      </c>
      <c r="BL450" s="178" t="s">
        <v>641</v>
      </c>
      <c r="BM450" s="169">
        <v>3.0299999999999997E-3</v>
      </c>
      <c r="BN450" s="169">
        <v>3.0299999999999997E-3</v>
      </c>
      <c r="BO450" s="169" t="s">
        <v>241</v>
      </c>
      <c r="BP450" s="263">
        <v>1</v>
      </c>
      <c r="CO450" s="218">
        <f t="shared" si="140"/>
        <v>3.0299999999999997E-3</v>
      </c>
      <c r="CP450" s="100">
        <f t="shared" si="141"/>
        <v>3.0299999999999997E-3</v>
      </c>
      <c r="CQ450" s="218">
        <f t="shared" si="142"/>
        <v>3.0299999999999997E-3</v>
      </c>
      <c r="CR450" s="98"/>
      <c r="CS450" s="98"/>
      <c r="CT450" s="98"/>
      <c r="CU450" s="98"/>
      <c r="CV450" s="98"/>
      <c r="CW450" s="98"/>
      <c r="CX450" s="98"/>
      <c r="CY450" s="98"/>
      <c r="CZ450" s="98"/>
      <c r="DA450" s="98"/>
      <c r="DB450" s="98"/>
      <c r="DC450" s="98"/>
      <c r="DD450" s="98"/>
      <c r="DE450" s="98"/>
      <c r="DF450" s="98"/>
      <c r="DG450" s="98"/>
      <c r="DH450" s="98"/>
      <c r="DI450" s="98"/>
      <c r="DJ450" s="98"/>
      <c r="DK450" s="98"/>
      <c r="DL450" s="98"/>
      <c r="DM450" s="98"/>
      <c r="DN450" s="98"/>
      <c r="DO450" s="98"/>
      <c r="DP450" s="98"/>
      <c r="DQ450" s="98"/>
      <c r="DR450" s="98"/>
      <c r="DS450" s="98"/>
      <c r="DT450" s="98"/>
      <c r="DU450" s="98"/>
      <c r="DV450" s="98"/>
      <c r="DW450" s="98"/>
      <c r="DX450" s="98"/>
      <c r="DY450" s="98"/>
      <c r="DZ450" s="98"/>
      <c r="EA450" s="98"/>
      <c r="EB450" s="98"/>
      <c r="EC450" s="98"/>
      <c r="ED450" s="98"/>
    </row>
    <row r="451" spans="1:134" hidden="1" x14ac:dyDescent="0.25">
      <c r="BI451" s="102" t="s">
        <v>226</v>
      </c>
      <c r="BJ451" s="178" t="s">
        <v>615</v>
      </c>
      <c r="BK451" s="178">
        <v>1871.6690000000001</v>
      </c>
      <c r="BL451" s="178" t="s">
        <v>641</v>
      </c>
      <c r="BM451" s="169">
        <v>3.7299999999999998E-3</v>
      </c>
      <c r="BN451" s="169">
        <v>3.7299999999999998E-3</v>
      </c>
      <c r="BO451" s="169" t="s">
        <v>241</v>
      </c>
      <c r="BP451" s="263">
        <v>1</v>
      </c>
      <c r="CO451" s="218">
        <f t="shared" si="140"/>
        <v>3.7299999999999998E-3</v>
      </c>
      <c r="CP451" s="100">
        <f t="shared" si="141"/>
        <v>3.7299999999999998E-3</v>
      </c>
      <c r="CQ451" s="218">
        <f t="shared" si="142"/>
        <v>3.7299999999999998E-3</v>
      </c>
      <c r="CR451" s="98"/>
      <c r="CS451" s="98"/>
      <c r="CT451" s="98"/>
      <c r="CU451" s="98"/>
      <c r="CV451" s="98"/>
      <c r="CW451" s="98"/>
      <c r="CX451" s="98"/>
      <c r="CY451" s="98"/>
      <c r="CZ451" s="98"/>
      <c r="DA451" s="98"/>
      <c r="DB451" s="98"/>
      <c r="DC451" s="98"/>
      <c r="DD451" s="98"/>
      <c r="DE451" s="98"/>
      <c r="DF451" s="98"/>
      <c r="DG451" s="98"/>
      <c r="DH451" s="98"/>
      <c r="DI451" s="98"/>
      <c r="DJ451" s="98"/>
      <c r="DK451" s="98"/>
      <c r="DL451" s="98"/>
      <c r="DM451" s="98"/>
      <c r="DN451" s="98"/>
      <c r="DO451" s="98"/>
      <c r="DP451" s="98"/>
      <c r="DQ451" s="98"/>
      <c r="DR451" s="98"/>
      <c r="DS451" s="98"/>
      <c r="DT451" s="98"/>
      <c r="DU451" s="98"/>
      <c r="DV451" s="98"/>
      <c r="DW451" s="98"/>
      <c r="DX451" s="98"/>
      <c r="DY451" s="98"/>
      <c r="DZ451" s="98"/>
      <c r="EA451" s="98"/>
      <c r="EB451" s="98"/>
      <c r="EC451" s="98"/>
      <c r="ED451" s="98"/>
    </row>
    <row r="452" spans="1:134" hidden="1" x14ac:dyDescent="0.25">
      <c r="BI452" s="102" t="s">
        <v>3</v>
      </c>
      <c r="BJ452" s="178" t="s">
        <v>615</v>
      </c>
      <c r="BK452" s="178">
        <v>1521.3389999999999</v>
      </c>
      <c r="BL452" s="178" t="s">
        <v>641</v>
      </c>
      <c r="BM452" s="169">
        <v>4.4099999999999999E-3</v>
      </c>
      <c r="BN452" s="169">
        <v>4.4099999999999999E-3</v>
      </c>
      <c r="BO452" s="169" t="s">
        <v>241</v>
      </c>
      <c r="BP452" s="263">
        <v>1</v>
      </c>
      <c r="CQ452" s="98"/>
      <c r="CR452" s="98"/>
      <c r="CS452" s="98"/>
      <c r="CT452" s="98"/>
      <c r="CU452" s="98"/>
      <c r="CV452" s="98"/>
      <c r="CW452" s="98"/>
      <c r="CX452" s="98"/>
      <c r="CY452" s="98"/>
      <c r="CZ452" s="98"/>
      <c r="DA452" s="98"/>
      <c r="DB452" s="98"/>
      <c r="DC452" s="98"/>
      <c r="DD452" s="98"/>
      <c r="DE452" s="98"/>
      <c r="DF452" s="98"/>
      <c r="DG452" s="98"/>
      <c r="DH452" s="98"/>
      <c r="DI452" s="98"/>
      <c r="DJ452" s="98"/>
      <c r="DK452" s="98"/>
      <c r="DL452" s="98"/>
      <c r="DM452" s="98"/>
      <c r="DN452" s="98"/>
      <c r="DO452" s="98"/>
      <c r="DP452" s="98"/>
      <c r="DQ452" s="98"/>
      <c r="DR452" s="98"/>
      <c r="DS452" s="98"/>
      <c r="DT452" s="98"/>
      <c r="DU452" s="98"/>
      <c r="DV452" s="98"/>
      <c r="DW452" s="98"/>
      <c r="DX452" s="98"/>
      <c r="DY452" s="98"/>
      <c r="DZ452" s="98"/>
      <c r="EA452" s="98"/>
      <c r="EB452" s="98"/>
      <c r="EC452" s="98"/>
      <c r="ED452" s="98"/>
    </row>
    <row r="453" spans="1:134" hidden="1" x14ac:dyDescent="0.25">
      <c r="BI453" s="102" t="s">
        <v>227</v>
      </c>
      <c r="BJ453" s="178" t="s">
        <v>615</v>
      </c>
      <c r="BK453" s="178">
        <v>1958.4190000000001</v>
      </c>
      <c r="BL453" s="178" t="s">
        <v>641</v>
      </c>
      <c r="BM453" s="169">
        <v>3.6800000000000001E-3</v>
      </c>
      <c r="BN453" s="169">
        <v>3.6800000000000001E-3</v>
      </c>
      <c r="BO453" s="169" t="s">
        <v>241</v>
      </c>
      <c r="BP453" s="263">
        <v>1</v>
      </c>
      <c r="CQ453" s="98"/>
      <c r="CR453" s="98"/>
      <c r="CS453" s="98"/>
      <c r="CT453" s="98"/>
      <c r="CU453" s="98"/>
      <c r="CV453" s="98"/>
      <c r="CW453" s="98"/>
      <c r="CX453" s="98"/>
      <c r="CY453" s="98"/>
      <c r="CZ453" s="98"/>
      <c r="DA453" s="98"/>
      <c r="DB453" s="98"/>
      <c r="DC453" s="98"/>
      <c r="DD453" s="98"/>
      <c r="DE453" s="98"/>
      <c r="DF453" s="98"/>
      <c r="DG453" s="98"/>
      <c r="DH453" s="98"/>
      <c r="DI453" s="98"/>
      <c r="DJ453" s="98"/>
      <c r="DK453" s="98"/>
      <c r="DL453" s="98"/>
      <c r="DM453" s="98"/>
      <c r="DN453" s="98"/>
      <c r="DO453" s="98"/>
      <c r="DP453" s="98"/>
      <c r="DQ453" s="98"/>
      <c r="DR453" s="98"/>
      <c r="DS453" s="98"/>
      <c r="DT453" s="98"/>
      <c r="DU453" s="98"/>
      <c r="DV453" s="98"/>
      <c r="DW453" s="98"/>
      <c r="DX453" s="98"/>
      <c r="DY453" s="98"/>
      <c r="DZ453" s="98"/>
      <c r="EA453" s="98"/>
      <c r="EB453" s="98"/>
      <c r="EC453" s="98"/>
      <c r="ED453" s="98"/>
    </row>
    <row r="454" spans="1:134" hidden="1" x14ac:dyDescent="0.25">
      <c r="BI454" s="102" t="s">
        <v>228</v>
      </c>
      <c r="BJ454" s="178" t="s">
        <v>615</v>
      </c>
      <c r="BK454" s="178">
        <v>1953.38</v>
      </c>
      <c r="BL454" s="178" t="s">
        <v>641</v>
      </c>
      <c r="BM454" s="169">
        <v>3.5899999999999999E-3</v>
      </c>
      <c r="BN454" s="169">
        <v>3.5899999999999999E-3</v>
      </c>
      <c r="BO454" s="169" t="s">
        <v>241</v>
      </c>
      <c r="BP454" s="263">
        <v>1</v>
      </c>
      <c r="CQ454" s="98"/>
      <c r="CR454" s="98"/>
      <c r="CS454" s="98"/>
      <c r="CT454" s="98"/>
      <c r="CU454" s="98"/>
      <c r="CV454" s="98"/>
      <c r="CW454" s="98"/>
      <c r="CX454" s="98"/>
      <c r="CY454" s="98"/>
      <c r="CZ454" s="98"/>
      <c r="DA454" s="98"/>
      <c r="DB454" s="98"/>
      <c r="DC454" s="98"/>
      <c r="DD454" s="98"/>
      <c r="DE454" s="98"/>
      <c r="DF454" s="98"/>
      <c r="DG454" s="98"/>
      <c r="DH454" s="98"/>
      <c r="DI454" s="98"/>
      <c r="DJ454" s="98"/>
      <c r="DK454" s="98"/>
      <c r="DL454" s="98"/>
      <c r="DM454" s="98"/>
      <c r="DN454" s="98"/>
      <c r="DO454" s="98"/>
      <c r="DP454" s="98"/>
      <c r="DQ454" s="98"/>
      <c r="DR454" s="98"/>
      <c r="DS454" s="98"/>
      <c r="DT454" s="98"/>
      <c r="DU454" s="98"/>
      <c r="DV454" s="98"/>
      <c r="DW454" s="98"/>
      <c r="DX454" s="98"/>
      <c r="DY454" s="98"/>
      <c r="DZ454" s="98"/>
      <c r="EA454" s="98"/>
      <c r="EB454" s="98"/>
      <c r="EC454" s="98"/>
      <c r="ED454" s="98"/>
    </row>
    <row r="455" spans="1:134" hidden="1" x14ac:dyDescent="0.25">
      <c r="BI455" s="102" t="s">
        <v>229</v>
      </c>
      <c r="BJ455" s="178" t="s">
        <v>615</v>
      </c>
      <c r="BK455" s="178">
        <v>2005.412</v>
      </c>
      <c r="BL455" s="178" t="s">
        <v>641</v>
      </c>
      <c r="BM455" s="169">
        <v>3.4999999999999996E-3</v>
      </c>
      <c r="BN455" s="169">
        <v>3.4999999999999996E-3</v>
      </c>
      <c r="BO455" s="169" t="s">
        <v>241</v>
      </c>
      <c r="BP455" s="263">
        <v>1</v>
      </c>
      <c r="CQ455" s="98"/>
      <c r="CR455" s="98"/>
      <c r="CS455" s="98"/>
      <c r="CT455" s="98"/>
      <c r="CU455" s="98"/>
      <c r="CV455" s="98"/>
      <c r="CW455" s="98"/>
      <c r="CX455" s="98"/>
      <c r="CY455" s="98"/>
      <c r="CZ455" s="98"/>
      <c r="DA455" s="98"/>
      <c r="DB455" s="98"/>
      <c r="DC455" s="98"/>
      <c r="DD455" s="98"/>
      <c r="DE455" s="98"/>
      <c r="DF455" s="98"/>
      <c r="DG455" s="98"/>
      <c r="DH455" s="98"/>
      <c r="DI455" s="98"/>
      <c r="DJ455" s="98"/>
      <c r="DK455" s="98"/>
      <c r="DL455" s="98"/>
      <c r="DM455" s="98"/>
      <c r="DN455" s="98"/>
      <c r="DO455" s="98"/>
      <c r="DP455" s="98"/>
      <c r="DQ455" s="98"/>
      <c r="DR455" s="98"/>
      <c r="DS455" s="98"/>
      <c r="DT455" s="98"/>
      <c r="DU455" s="98"/>
      <c r="DV455" s="98"/>
      <c r="DW455" s="98"/>
      <c r="DX455" s="98"/>
      <c r="DY455" s="98"/>
      <c r="DZ455" s="98"/>
      <c r="EA455" s="98"/>
      <c r="EB455" s="98"/>
      <c r="EC455" s="98"/>
      <c r="ED455" s="98"/>
    </row>
    <row r="456" spans="1:134" hidden="1" x14ac:dyDescent="0.25">
      <c r="BI456" s="102" t="s">
        <v>230</v>
      </c>
      <c r="BJ456" s="178" t="s">
        <v>615</v>
      </c>
      <c r="BK456" s="178">
        <v>1942.7539999999999</v>
      </c>
      <c r="BL456" s="178" t="s">
        <v>641</v>
      </c>
      <c r="BM456" s="169">
        <v>3.5899999999999999E-3</v>
      </c>
      <c r="BN456" s="169">
        <v>3.5899999999999999E-3</v>
      </c>
      <c r="BO456" s="169" t="s">
        <v>241</v>
      </c>
      <c r="BP456" s="263">
        <v>1</v>
      </c>
      <c r="CQ456" s="98"/>
      <c r="CR456" s="98"/>
      <c r="CS456" s="98"/>
      <c r="CT456" s="98"/>
      <c r="CU456" s="98"/>
      <c r="CV456" s="98"/>
      <c r="CW456" s="98"/>
      <c r="CX456" s="98"/>
      <c r="CY456" s="98"/>
      <c r="CZ456" s="98"/>
      <c r="DA456" s="98"/>
      <c r="DB456" s="98"/>
      <c r="DC456" s="98"/>
      <c r="DD456" s="98"/>
      <c r="DE456" s="98"/>
      <c r="DF456" s="98"/>
      <c r="DG456" s="98"/>
      <c r="DH456" s="98"/>
      <c r="DI456" s="98"/>
      <c r="DJ456" s="98"/>
      <c r="DK456" s="98"/>
      <c r="DL456" s="98"/>
      <c r="DM456" s="98"/>
      <c r="DN456" s="98"/>
      <c r="DO456" s="98"/>
      <c r="DP456" s="98"/>
      <c r="DQ456" s="98"/>
      <c r="DR456" s="98"/>
      <c r="DS456" s="98"/>
      <c r="DT456" s="98"/>
      <c r="DU456" s="98"/>
      <c r="DV456" s="98"/>
      <c r="DW456" s="98"/>
      <c r="DX456" s="98"/>
      <c r="DY456" s="98"/>
      <c r="DZ456" s="98"/>
      <c r="EA456" s="98"/>
      <c r="EB456" s="98"/>
      <c r="EC456" s="98"/>
      <c r="ED456" s="98"/>
    </row>
    <row r="457" spans="1:134" hidden="1" x14ac:dyDescent="0.25">
      <c r="BI457" s="102" t="s">
        <v>231</v>
      </c>
      <c r="BJ457" s="178" t="s">
        <v>615</v>
      </c>
      <c r="BK457" s="178">
        <v>1932.1279999999999</v>
      </c>
      <c r="BL457" s="178" t="s">
        <v>641</v>
      </c>
      <c r="BM457" s="169">
        <v>3.6099999999999999E-3</v>
      </c>
      <c r="BN457" s="169">
        <v>3.6099999999999999E-3</v>
      </c>
      <c r="BO457" s="169" t="s">
        <v>241</v>
      </c>
      <c r="BP457" s="263">
        <v>1</v>
      </c>
      <c r="CQ457" s="98"/>
      <c r="CR457" s="98"/>
      <c r="CS457" s="98"/>
      <c r="CT457" s="98"/>
      <c r="CU457" s="98"/>
      <c r="CV457" s="98"/>
      <c r="CW457" s="98"/>
      <c r="CX457" s="98"/>
      <c r="CY457" s="98"/>
      <c r="CZ457" s="98"/>
      <c r="DA457" s="98"/>
      <c r="DB457" s="98"/>
      <c r="DC457" s="98"/>
      <c r="DD457" s="98"/>
      <c r="DE457" s="98"/>
      <c r="DF457" s="98"/>
      <c r="DG457" s="98"/>
      <c r="DH457" s="98"/>
      <c r="DI457" s="98"/>
      <c r="DJ457" s="98"/>
      <c r="DK457" s="98"/>
      <c r="DL457" s="98"/>
      <c r="DM457" s="98"/>
      <c r="DN457" s="98"/>
      <c r="DO457" s="98"/>
      <c r="DP457" s="98"/>
      <c r="DQ457" s="98"/>
      <c r="DR457" s="98"/>
      <c r="DS457" s="98"/>
      <c r="DT457" s="98"/>
      <c r="DU457" s="98"/>
      <c r="DV457" s="98"/>
      <c r="DW457" s="98"/>
      <c r="DX457" s="98"/>
      <c r="DY457" s="98"/>
      <c r="DZ457" s="98"/>
      <c r="EA457" s="98"/>
      <c r="EB457" s="98"/>
      <c r="EC457" s="98"/>
      <c r="ED457" s="98"/>
    </row>
    <row r="458" spans="1:134" hidden="1" x14ac:dyDescent="0.25">
      <c r="A458" s="98"/>
      <c r="V458" s="98"/>
      <c r="AA458" s="98"/>
      <c r="AB458" s="98"/>
      <c r="AD458" s="98"/>
      <c r="AE458" s="98"/>
      <c r="AH458" s="98"/>
      <c r="AI458" s="98"/>
      <c r="AK458" s="98"/>
      <c r="AR458" s="98"/>
      <c r="AV458" s="98"/>
      <c r="AX458" s="98"/>
      <c r="BB458" s="98"/>
      <c r="BC458" s="98"/>
      <c r="BE458" s="98"/>
      <c r="BH458" s="98"/>
      <c r="BI458" s="102" t="s">
        <v>602</v>
      </c>
      <c r="BJ458" s="178" t="s">
        <v>49</v>
      </c>
      <c r="BK458" s="178">
        <v>1.521339</v>
      </c>
      <c r="BL458" s="178" t="s">
        <v>259</v>
      </c>
      <c r="BM458" s="169">
        <v>4.4099999999999999E-3</v>
      </c>
      <c r="BN458" s="169">
        <v>4.4099999999999999E-3</v>
      </c>
      <c r="BO458" s="169" t="s">
        <v>241</v>
      </c>
      <c r="BP458" s="263">
        <v>1</v>
      </c>
      <c r="BQ458" s="98"/>
      <c r="BR458" s="98"/>
      <c r="BS458" s="98"/>
      <c r="BT458" s="98"/>
      <c r="BU458" s="98"/>
      <c r="BV458" s="98"/>
      <c r="BW458" s="98"/>
      <c r="BX458" s="98"/>
      <c r="BY458" s="98"/>
      <c r="BZ458" s="98"/>
      <c r="CA458" s="98"/>
      <c r="CB458" s="98"/>
      <c r="CC458" s="98"/>
      <c r="CD458" s="98"/>
      <c r="CE458" s="98"/>
      <c r="CF458" s="98"/>
      <c r="CG458" s="98"/>
      <c r="CH458" s="98"/>
      <c r="CI458" s="98"/>
      <c r="CJ458" s="98"/>
      <c r="CK458" s="98"/>
      <c r="CL458" s="98"/>
      <c r="CM458" s="98"/>
      <c r="CN458" s="100"/>
      <c r="CQ458" s="98"/>
      <c r="CR458" s="98"/>
      <c r="CS458" s="98"/>
      <c r="CT458" s="98"/>
      <c r="CU458" s="98"/>
      <c r="CV458" s="98"/>
      <c r="CW458" s="98"/>
      <c r="CX458" s="98"/>
      <c r="CY458" s="98"/>
      <c r="CZ458" s="98"/>
      <c r="DA458" s="98"/>
      <c r="DB458" s="98"/>
      <c r="DC458" s="98"/>
      <c r="DD458" s="98"/>
      <c r="DE458" s="98"/>
      <c r="DF458" s="98"/>
      <c r="DG458" s="98"/>
      <c r="DH458" s="98"/>
      <c r="DI458" s="98"/>
      <c r="DJ458" s="98"/>
      <c r="DK458" s="98"/>
      <c r="DL458" s="98"/>
      <c r="DM458" s="98"/>
      <c r="DN458" s="98"/>
      <c r="DO458" s="98"/>
      <c r="DP458" s="98"/>
      <c r="DQ458" s="98"/>
      <c r="DR458" s="98"/>
      <c r="DS458" s="98"/>
      <c r="DT458" s="98"/>
      <c r="DU458" s="98"/>
      <c r="DV458" s="98"/>
      <c r="DW458" s="98"/>
      <c r="DX458" s="98"/>
      <c r="DY458" s="98"/>
      <c r="DZ458" s="98"/>
      <c r="EA458" s="98"/>
      <c r="EB458" s="98"/>
      <c r="EC458" s="98"/>
      <c r="ED458" s="98"/>
    </row>
    <row r="459" spans="1:134" hidden="1" x14ac:dyDescent="0.25">
      <c r="A459" s="98"/>
      <c r="V459" s="98"/>
      <c r="AA459" s="98"/>
      <c r="AB459" s="98"/>
      <c r="AD459" s="98"/>
      <c r="AE459" s="98"/>
      <c r="AH459" s="98"/>
      <c r="AI459" s="98"/>
      <c r="AK459" s="98"/>
      <c r="AR459" s="98"/>
      <c r="AV459" s="98"/>
      <c r="AX459" s="98"/>
      <c r="BB459" s="98"/>
      <c r="BC459" s="98"/>
      <c r="BE459" s="98"/>
      <c r="BH459" s="98"/>
      <c r="BI459" s="102" t="s">
        <v>603</v>
      </c>
      <c r="BJ459" s="178" t="s">
        <v>49</v>
      </c>
      <c r="BK459" s="178">
        <v>1.521339</v>
      </c>
      <c r="BL459" s="178" t="s">
        <v>259</v>
      </c>
      <c r="BM459" s="169">
        <v>4.4099999999999999E-3</v>
      </c>
      <c r="BN459" s="169">
        <v>4.4099999999999999E-3</v>
      </c>
      <c r="BO459" s="169" t="s">
        <v>241</v>
      </c>
      <c r="BP459" s="263">
        <v>1</v>
      </c>
      <c r="BQ459" s="98"/>
      <c r="BR459" s="98"/>
      <c r="BS459" s="98"/>
      <c r="BT459" s="98"/>
      <c r="BU459" s="98"/>
      <c r="BV459" s="98"/>
      <c r="BW459" s="98"/>
      <c r="BX459" s="98"/>
      <c r="BY459" s="98"/>
      <c r="BZ459" s="98"/>
      <c r="CA459" s="98"/>
      <c r="CB459" s="98"/>
      <c r="CC459" s="98"/>
      <c r="CD459" s="98"/>
      <c r="CE459" s="98"/>
      <c r="CF459" s="98"/>
      <c r="CG459" s="98"/>
      <c r="CH459" s="98"/>
      <c r="CI459" s="98"/>
      <c r="CJ459" s="98"/>
      <c r="CK459" s="98"/>
      <c r="CL459" s="98"/>
      <c r="CM459" s="98"/>
      <c r="CN459" s="100"/>
      <c r="CQ459" s="98"/>
      <c r="CR459" s="98"/>
      <c r="CS459" s="98"/>
      <c r="CT459" s="98"/>
      <c r="CU459" s="98"/>
      <c r="CV459" s="98"/>
      <c r="CW459" s="98"/>
      <c r="CX459" s="98"/>
      <c r="CY459" s="98"/>
      <c r="CZ459" s="98"/>
      <c r="DA459" s="98"/>
      <c r="DB459" s="98"/>
      <c r="DC459" s="98"/>
      <c r="DD459" s="98"/>
      <c r="DE459" s="98"/>
      <c r="DF459" s="98"/>
      <c r="DG459" s="98"/>
      <c r="DH459" s="98"/>
      <c r="DI459" s="98"/>
      <c r="DJ459" s="98"/>
      <c r="DK459" s="98"/>
      <c r="DL459" s="98"/>
      <c r="DM459" s="98"/>
      <c r="DN459" s="98"/>
      <c r="DO459" s="98"/>
      <c r="DP459" s="98"/>
      <c r="DQ459" s="98"/>
      <c r="DR459" s="98"/>
      <c r="DS459" s="98"/>
      <c r="DT459" s="98"/>
      <c r="DU459" s="98"/>
      <c r="DV459" s="98"/>
      <c r="DW459" s="98"/>
      <c r="DX459" s="98"/>
      <c r="DY459" s="98"/>
      <c r="DZ459" s="98"/>
      <c r="EA459" s="98"/>
      <c r="EB459" s="98"/>
      <c r="EC459" s="98"/>
      <c r="ED459" s="98"/>
    </row>
    <row r="460" spans="1:134" hidden="1" x14ac:dyDescent="0.25">
      <c r="A460" s="98"/>
      <c r="V460" s="98"/>
      <c r="AA460" s="98"/>
      <c r="AB460" s="98"/>
      <c r="AD460" s="98"/>
      <c r="AE460" s="98"/>
      <c r="AH460" s="98"/>
      <c r="AI460" s="98"/>
      <c r="AK460" s="98"/>
      <c r="AR460" s="98"/>
      <c r="AV460" s="98"/>
      <c r="AX460" s="98"/>
      <c r="BB460" s="98"/>
      <c r="BC460" s="98"/>
      <c r="BE460" s="98"/>
      <c r="BH460" s="98"/>
      <c r="BI460" s="102">
        <v>0</v>
      </c>
      <c r="BJ460" s="178">
        <v>0</v>
      </c>
      <c r="BK460" s="178">
        <v>0</v>
      </c>
      <c r="BL460" s="178">
        <v>0</v>
      </c>
      <c r="BM460" s="169">
        <v>0</v>
      </c>
      <c r="BN460" s="169">
        <v>0</v>
      </c>
      <c r="BO460" s="169">
        <v>0</v>
      </c>
      <c r="BQ460" s="98"/>
      <c r="BR460" s="98"/>
      <c r="BS460" s="98"/>
      <c r="BT460" s="98"/>
      <c r="BU460" s="98"/>
      <c r="BV460" s="98"/>
      <c r="BW460" s="98"/>
      <c r="BX460" s="98"/>
      <c r="BY460" s="98"/>
      <c r="BZ460" s="98"/>
      <c r="CA460" s="98"/>
      <c r="CB460" s="98"/>
      <c r="CC460" s="98"/>
      <c r="CD460" s="98"/>
      <c r="CE460" s="98"/>
      <c r="CF460" s="98"/>
      <c r="CG460" s="98"/>
      <c r="CH460" s="98"/>
      <c r="CI460" s="98"/>
      <c r="CJ460" s="98"/>
      <c r="CK460" s="98"/>
      <c r="CL460" s="98"/>
      <c r="CM460" s="98"/>
      <c r="CN460" s="100"/>
      <c r="CQ460" s="98"/>
      <c r="CR460" s="98"/>
      <c r="CS460" s="98"/>
      <c r="CT460" s="98"/>
      <c r="CU460" s="98"/>
      <c r="CV460" s="98"/>
      <c r="CW460" s="98"/>
      <c r="CX460" s="98"/>
      <c r="CY460" s="98"/>
      <c r="CZ460" s="98"/>
      <c r="DA460" s="98"/>
      <c r="DB460" s="98"/>
      <c r="DC460" s="98"/>
      <c r="DD460" s="98"/>
      <c r="DE460" s="98"/>
      <c r="DF460" s="98"/>
      <c r="DG460" s="98"/>
      <c r="DH460" s="98"/>
      <c r="DI460" s="98"/>
      <c r="DJ460" s="98"/>
      <c r="DK460" s="98"/>
      <c r="DL460" s="98"/>
      <c r="DM460" s="98"/>
      <c r="DN460" s="98"/>
      <c r="DO460" s="98"/>
      <c r="DP460" s="98"/>
      <c r="DQ460" s="98"/>
      <c r="DR460" s="98"/>
      <c r="DS460" s="98"/>
      <c r="DT460" s="98"/>
      <c r="DU460" s="98"/>
      <c r="DV460" s="98"/>
      <c r="DW460" s="98"/>
      <c r="DX460" s="98"/>
      <c r="DY460" s="98"/>
      <c r="DZ460" s="98"/>
      <c r="EA460" s="98"/>
      <c r="EB460" s="98"/>
      <c r="EC460" s="98"/>
      <c r="ED460" s="98"/>
    </row>
    <row r="461" spans="1:134" hidden="1" x14ac:dyDescent="0.25">
      <c r="A461" s="98"/>
      <c r="V461" s="98"/>
      <c r="AA461" s="98"/>
      <c r="AB461" s="98"/>
      <c r="AD461" s="98"/>
      <c r="AE461" s="98"/>
      <c r="AH461" s="98"/>
      <c r="AI461" s="98"/>
      <c r="AK461" s="98"/>
      <c r="AR461" s="98"/>
      <c r="AV461" s="98"/>
      <c r="AX461" s="98"/>
      <c r="BB461" s="98"/>
      <c r="BC461" s="98"/>
      <c r="BE461" s="98"/>
      <c r="BH461" s="98"/>
      <c r="BQ461" s="98"/>
      <c r="BR461" s="98"/>
      <c r="BS461" s="98"/>
      <c r="BT461" s="98"/>
      <c r="BU461" s="98"/>
      <c r="BV461" s="98"/>
      <c r="BW461" s="98"/>
      <c r="BX461" s="98"/>
      <c r="BY461" s="98"/>
      <c r="BZ461" s="98"/>
      <c r="CA461" s="98"/>
      <c r="CB461" s="98"/>
      <c r="CC461" s="98"/>
      <c r="CD461" s="98"/>
      <c r="CE461" s="98"/>
      <c r="CF461" s="98"/>
      <c r="CG461" s="98"/>
      <c r="CH461" s="98"/>
      <c r="CI461" s="98"/>
      <c r="CJ461" s="98"/>
      <c r="CK461" s="98"/>
      <c r="CL461" s="98"/>
      <c r="CM461" s="98"/>
      <c r="CN461" s="100"/>
      <c r="CQ461" s="98"/>
      <c r="CR461" s="98"/>
      <c r="CS461" s="98"/>
      <c r="CT461" s="98"/>
      <c r="CU461" s="98"/>
      <c r="CV461" s="98"/>
      <c r="CW461" s="98"/>
      <c r="CX461" s="98"/>
      <c r="CY461" s="98"/>
      <c r="CZ461" s="98"/>
      <c r="DA461" s="98"/>
      <c r="DB461" s="98"/>
      <c r="DC461" s="98"/>
      <c r="DD461" s="98"/>
      <c r="DE461" s="98"/>
      <c r="DF461" s="98"/>
      <c r="DG461" s="98"/>
      <c r="DH461" s="98"/>
      <c r="DI461" s="98"/>
      <c r="DJ461" s="98"/>
      <c r="DK461" s="98"/>
      <c r="DL461" s="98"/>
      <c r="DM461" s="98"/>
      <c r="DN461" s="98"/>
      <c r="DO461" s="98"/>
      <c r="DP461" s="98"/>
      <c r="DQ461" s="98"/>
      <c r="DR461" s="98"/>
      <c r="DS461" s="98"/>
      <c r="DT461" s="98"/>
      <c r="DU461" s="98"/>
      <c r="DV461" s="98"/>
      <c r="DW461" s="98"/>
      <c r="DX461" s="98"/>
      <c r="DY461" s="98"/>
      <c r="DZ461" s="98"/>
      <c r="EA461" s="98"/>
      <c r="EB461" s="98"/>
      <c r="EC461" s="98"/>
      <c r="ED461" s="98"/>
    </row>
    <row r="462" spans="1:134" ht="15" hidden="1" customHeight="1" x14ac:dyDescent="0.25">
      <c r="A462" s="98"/>
      <c r="V462" s="98"/>
      <c r="AA462" s="98"/>
      <c r="AB462" s="98"/>
      <c r="AD462" s="98"/>
      <c r="AE462" s="98"/>
      <c r="AH462" s="98"/>
      <c r="AI462" s="98"/>
      <c r="AK462" s="98"/>
      <c r="AR462" s="98"/>
      <c r="AV462" s="98"/>
      <c r="AX462" s="98"/>
      <c r="BB462" s="98"/>
      <c r="BC462" s="98"/>
      <c r="BE462" s="98"/>
      <c r="BH462" s="98"/>
      <c r="BI462" s="102" t="s">
        <v>232</v>
      </c>
      <c r="BK462" s="178" t="s">
        <v>267</v>
      </c>
      <c r="BM462" s="169" t="s">
        <v>233</v>
      </c>
      <c r="BN462" s="169" t="s">
        <v>233</v>
      </c>
      <c r="BO462" s="169" t="s">
        <v>240</v>
      </c>
      <c r="BQ462" s="98"/>
      <c r="BR462" s="98"/>
      <c r="BS462" s="98"/>
      <c r="BT462" s="98"/>
      <c r="BU462" s="98"/>
      <c r="BV462" s="98"/>
      <c r="BW462" s="98"/>
      <c r="BX462" s="98"/>
      <c r="BY462" s="98"/>
      <c r="BZ462" s="98"/>
      <c r="CA462" s="98"/>
      <c r="CB462" s="98"/>
      <c r="CC462" s="98"/>
      <c r="CD462" s="98"/>
      <c r="CE462" s="98"/>
      <c r="CF462" s="98"/>
      <c r="CG462" s="98"/>
      <c r="CH462" s="98"/>
      <c r="CI462" s="98"/>
      <c r="CJ462" s="98"/>
      <c r="CK462" s="98"/>
      <c r="CL462" s="98"/>
      <c r="CM462" s="98"/>
      <c r="CN462" s="100"/>
      <c r="CQ462" s="98"/>
      <c r="CR462" s="98"/>
      <c r="CS462" s="98"/>
      <c r="CT462" s="98"/>
      <c r="CU462" s="98"/>
      <c r="CV462" s="98"/>
      <c r="CW462" s="98"/>
      <c r="CX462" s="98"/>
      <c r="CY462" s="98"/>
      <c r="CZ462" s="98"/>
      <c r="DA462" s="98"/>
      <c r="DB462" s="98"/>
      <c r="DC462" s="98"/>
      <c r="DD462" s="98"/>
      <c r="DE462" s="98"/>
      <c r="DF462" s="98"/>
      <c r="DG462" s="98"/>
      <c r="DH462" s="98"/>
      <c r="DI462" s="98"/>
      <c r="DJ462" s="98"/>
      <c r="DK462" s="98"/>
      <c r="DL462" s="98"/>
      <c r="DM462" s="98"/>
      <c r="DN462" s="98"/>
      <c r="DO462" s="98"/>
      <c r="DP462" s="98"/>
      <c r="DQ462" s="98"/>
      <c r="DR462" s="98"/>
      <c r="DS462" s="98"/>
      <c r="DT462" s="98"/>
      <c r="DU462" s="98"/>
      <c r="DV462" s="98"/>
      <c r="DW462" s="98"/>
      <c r="DX462" s="98"/>
      <c r="DY462" s="98"/>
      <c r="DZ462" s="98"/>
      <c r="EA462" s="98"/>
      <c r="EB462" s="98"/>
      <c r="EC462" s="98"/>
      <c r="ED462" s="98"/>
    </row>
    <row r="463" spans="1:134" hidden="1" x14ac:dyDescent="0.25">
      <c r="A463" s="98"/>
      <c r="V463" s="98"/>
      <c r="AA463" s="98"/>
      <c r="AB463" s="98"/>
      <c r="AD463" s="98"/>
      <c r="AE463" s="98"/>
      <c r="AH463" s="98"/>
      <c r="AI463" s="98"/>
      <c r="AK463" s="98"/>
      <c r="AR463" s="98"/>
      <c r="AV463" s="98"/>
      <c r="AX463" s="98"/>
      <c r="BB463" s="98"/>
      <c r="BC463" s="98"/>
      <c r="BE463" s="98"/>
      <c r="BH463" s="98"/>
      <c r="BJ463" s="178" t="s">
        <v>253</v>
      </c>
      <c r="BL463" s="178" t="s">
        <v>251</v>
      </c>
      <c r="BQ463" s="98"/>
      <c r="BR463" s="98"/>
      <c r="BS463" s="98"/>
      <c r="BT463" s="98"/>
      <c r="BU463" s="98"/>
      <c r="BV463" s="98"/>
      <c r="BW463" s="98"/>
      <c r="BX463" s="98"/>
      <c r="BY463" s="98"/>
      <c r="BZ463" s="98"/>
      <c r="CA463" s="98"/>
      <c r="CB463" s="98"/>
      <c r="CC463" s="98"/>
      <c r="CD463" s="98"/>
      <c r="CE463" s="98"/>
      <c r="CF463" s="98"/>
      <c r="CG463" s="98"/>
      <c r="CH463" s="98"/>
      <c r="CI463" s="98"/>
      <c r="CJ463" s="98"/>
      <c r="CK463" s="98"/>
      <c r="CL463" s="98"/>
      <c r="CM463" s="98"/>
      <c r="CN463" s="100"/>
      <c r="CQ463" s="98"/>
      <c r="CR463" s="98"/>
      <c r="CS463" s="98"/>
      <c r="CT463" s="98"/>
      <c r="CU463" s="98"/>
      <c r="CV463" s="98"/>
      <c r="CW463" s="98"/>
      <c r="CX463" s="98"/>
      <c r="CY463" s="98"/>
      <c r="CZ463" s="98"/>
      <c r="DA463" s="98"/>
      <c r="DB463" s="98"/>
      <c r="DC463" s="98"/>
      <c r="DD463" s="98"/>
      <c r="DE463" s="98"/>
      <c r="DF463" s="98"/>
      <c r="DG463" s="98"/>
      <c r="DH463" s="98"/>
      <c r="DI463" s="98"/>
      <c r="DJ463" s="98"/>
      <c r="DK463" s="98"/>
      <c r="DL463" s="98"/>
      <c r="DM463" s="98"/>
      <c r="DN463" s="98"/>
      <c r="DO463" s="98"/>
      <c r="DP463" s="98"/>
      <c r="DQ463" s="98"/>
      <c r="DR463" s="98"/>
      <c r="DS463" s="98"/>
      <c r="DT463" s="98"/>
      <c r="DU463" s="98"/>
      <c r="DV463" s="98"/>
      <c r="DW463" s="98"/>
      <c r="DX463" s="98"/>
      <c r="DY463" s="98"/>
      <c r="DZ463" s="98"/>
      <c r="EA463" s="98"/>
      <c r="EB463" s="98"/>
      <c r="EC463" s="98"/>
      <c r="ED463" s="98"/>
    </row>
    <row r="464" spans="1:134" hidden="1" x14ac:dyDescent="0.25">
      <c r="A464" s="98"/>
      <c r="V464" s="98"/>
      <c r="AA464" s="98"/>
      <c r="AB464" s="98"/>
      <c r="AD464" s="98"/>
      <c r="AE464" s="98"/>
      <c r="AH464" s="98"/>
      <c r="AI464" s="98"/>
      <c r="AK464" s="98"/>
      <c r="AR464" s="98"/>
      <c r="AV464" s="98"/>
      <c r="AX464" s="98"/>
      <c r="BB464" s="98"/>
      <c r="BC464" s="98"/>
      <c r="BE464" s="98"/>
      <c r="BH464" s="98"/>
      <c r="BI464" s="102" t="s">
        <v>237</v>
      </c>
      <c r="BJ464" s="178" t="s">
        <v>252</v>
      </c>
      <c r="BK464" s="178">
        <v>6.8822999999999999</v>
      </c>
      <c r="BL464" s="178" t="s">
        <v>642</v>
      </c>
      <c r="BM464" s="169">
        <v>2.98E-3</v>
      </c>
      <c r="BN464" s="169">
        <v>2.98E-3</v>
      </c>
      <c r="BO464" s="169" t="s">
        <v>241</v>
      </c>
      <c r="BP464" s="263">
        <v>1</v>
      </c>
      <c r="BQ464" s="98"/>
      <c r="BR464" s="98"/>
      <c r="BS464" s="98"/>
      <c r="BT464" s="98"/>
      <c r="BU464" s="98"/>
      <c r="BV464" s="98"/>
      <c r="BW464" s="98"/>
      <c r="BX464" s="98"/>
      <c r="BY464" s="98"/>
      <c r="BZ464" s="98"/>
      <c r="CA464" s="98"/>
      <c r="CB464" s="98"/>
      <c r="CC464" s="98"/>
      <c r="CD464" s="98"/>
      <c r="CE464" s="98"/>
      <c r="CF464" s="98"/>
      <c r="CG464" s="98"/>
      <c r="CH464" s="98"/>
      <c r="CI464" s="98"/>
      <c r="CJ464" s="98"/>
      <c r="CK464" s="98"/>
      <c r="CL464" s="98"/>
      <c r="CM464" s="98"/>
      <c r="CN464" s="100"/>
      <c r="CQ464" s="98"/>
      <c r="CR464" s="98"/>
      <c r="CS464" s="98"/>
      <c r="CT464" s="98"/>
      <c r="CU464" s="98"/>
      <c r="CV464" s="98"/>
      <c r="CW464" s="98"/>
      <c r="CX464" s="98"/>
      <c r="CY464" s="98"/>
      <c r="CZ464" s="98"/>
      <c r="DA464" s="98"/>
      <c r="DB464" s="98"/>
      <c r="DC464" s="98"/>
      <c r="DD464" s="98"/>
      <c r="DE464" s="98"/>
      <c r="DF464" s="98"/>
      <c r="DG464" s="98"/>
      <c r="DH464" s="98"/>
      <c r="DI464" s="98"/>
      <c r="DJ464" s="98"/>
      <c r="DK464" s="98"/>
      <c r="DL464" s="98"/>
      <c r="DM464" s="98"/>
      <c r="DN464" s="98"/>
      <c r="DO464" s="98"/>
      <c r="DP464" s="98"/>
      <c r="DQ464" s="98"/>
      <c r="DR464" s="98"/>
      <c r="DS464" s="98"/>
      <c r="DT464" s="98"/>
      <c r="DU464" s="98"/>
      <c r="DV464" s="98"/>
      <c r="DW464" s="98"/>
      <c r="DX464" s="98"/>
      <c r="DY464" s="98"/>
      <c r="DZ464" s="98"/>
      <c r="EA464" s="98"/>
      <c r="EB464" s="98"/>
      <c r="EC464" s="98"/>
      <c r="ED464" s="98"/>
    </row>
    <row r="465" spans="1:134" hidden="1" x14ac:dyDescent="0.25">
      <c r="A465" s="98"/>
      <c r="V465" s="98"/>
      <c r="AA465" s="98"/>
      <c r="AB465" s="98"/>
      <c r="AD465" s="98"/>
      <c r="AE465" s="98"/>
      <c r="AH465" s="98"/>
      <c r="AI465" s="98"/>
      <c r="AK465" s="98"/>
      <c r="AR465" s="98"/>
      <c r="AV465" s="98"/>
      <c r="AX465" s="98"/>
      <c r="BB465" s="98"/>
      <c r="BC465" s="98"/>
      <c r="BE465" s="98"/>
      <c r="BH465" s="98"/>
      <c r="BI465" s="102" t="s">
        <v>368</v>
      </c>
      <c r="BJ465" s="178" t="s">
        <v>252</v>
      </c>
      <c r="BK465" s="178">
        <v>5.9200999999999997</v>
      </c>
      <c r="BL465" s="178" t="s">
        <v>642</v>
      </c>
      <c r="BM465" s="169">
        <v>3.4799999999999996E-3</v>
      </c>
      <c r="BN465" s="169">
        <v>3.4799999999999996E-3</v>
      </c>
      <c r="BO465" s="169" t="s">
        <v>241</v>
      </c>
      <c r="BP465" s="263">
        <v>1</v>
      </c>
      <c r="BQ465" s="98"/>
      <c r="BR465" s="98"/>
      <c r="BS465" s="98"/>
      <c r="BT465" s="98"/>
      <c r="BU465" s="98"/>
      <c r="BV465" s="98"/>
      <c r="BW465" s="98"/>
      <c r="BX465" s="98"/>
      <c r="BY465" s="98"/>
      <c r="BZ465" s="98"/>
      <c r="CA465" s="98"/>
      <c r="CB465" s="98"/>
      <c r="CC465" s="98"/>
      <c r="CD465" s="98"/>
      <c r="CE465" s="98"/>
      <c r="CF465" s="98"/>
      <c r="CG465" s="98"/>
      <c r="CH465" s="98"/>
      <c r="CI465" s="98"/>
      <c r="CJ465" s="98"/>
      <c r="CK465" s="98"/>
      <c r="CL465" s="98"/>
      <c r="CM465" s="98"/>
      <c r="CN465" s="100"/>
      <c r="CQ465" s="98"/>
      <c r="CR465" s="98"/>
      <c r="CS465" s="98"/>
      <c r="CT465" s="98"/>
      <c r="CU465" s="98"/>
      <c r="CV465" s="98"/>
      <c r="CW465" s="98"/>
      <c r="CX465" s="98"/>
      <c r="CY465" s="98"/>
      <c r="CZ465" s="98"/>
      <c r="DA465" s="98"/>
      <c r="DB465" s="98"/>
      <c r="DC465" s="98"/>
      <c r="DD465" s="98"/>
      <c r="DE465" s="98"/>
      <c r="DF465" s="98"/>
      <c r="DG465" s="98"/>
      <c r="DH465" s="98"/>
      <c r="DI465" s="98"/>
      <c r="DJ465" s="98"/>
      <c r="DK465" s="98"/>
      <c r="DL465" s="98"/>
      <c r="DM465" s="98"/>
      <c r="DN465" s="98"/>
      <c r="DO465" s="98"/>
      <c r="DP465" s="98"/>
      <c r="DQ465" s="98"/>
      <c r="DR465" s="98"/>
      <c r="DS465" s="98"/>
      <c r="DT465" s="98"/>
      <c r="DU465" s="98"/>
      <c r="DV465" s="98"/>
      <c r="DW465" s="98"/>
      <c r="DX465" s="98"/>
      <c r="DY465" s="98"/>
      <c r="DZ465" s="98"/>
      <c r="EA465" s="98"/>
      <c r="EB465" s="98"/>
      <c r="EC465" s="98"/>
      <c r="ED465" s="98"/>
    </row>
    <row r="466" spans="1:134" hidden="1" x14ac:dyDescent="0.25">
      <c r="A466" s="98"/>
      <c r="V466" s="98"/>
      <c r="AA466" s="98"/>
      <c r="AB466" s="98"/>
      <c r="AD466" s="98"/>
      <c r="AE466" s="98"/>
      <c r="AH466" s="98"/>
      <c r="AI466" s="98"/>
      <c r="AK466" s="98"/>
      <c r="AR466" s="98"/>
      <c r="AV466" s="98"/>
      <c r="AX466" s="98"/>
      <c r="BB466" s="98"/>
      <c r="BC466" s="98"/>
      <c r="BE466" s="98"/>
      <c r="BH466" s="98"/>
      <c r="BQ466" s="98"/>
      <c r="BR466" s="98"/>
      <c r="BS466" s="98"/>
      <c r="BT466" s="98"/>
      <c r="BU466" s="98"/>
      <c r="BV466" s="98"/>
      <c r="BW466" s="98"/>
      <c r="BX466" s="98"/>
      <c r="BY466" s="98"/>
      <c r="BZ466" s="98"/>
      <c r="CA466" s="98"/>
      <c r="CB466" s="98"/>
      <c r="CC466" s="98"/>
      <c r="CD466" s="98"/>
      <c r="CE466" s="98"/>
      <c r="CF466" s="98"/>
      <c r="CG466" s="98"/>
      <c r="CH466" s="98"/>
      <c r="CI466" s="98"/>
      <c r="CJ466" s="98"/>
      <c r="CK466" s="98"/>
      <c r="CL466" s="98"/>
      <c r="CM466" s="98"/>
      <c r="CN466" s="100"/>
      <c r="CQ466" s="98"/>
      <c r="CR466" s="98"/>
      <c r="CS466" s="98"/>
      <c r="CT466" s="98"/>
      <c r="CU466" s="98"/>
      <c r="CV466" s="98"/>
      <c r="CW466" s="98"/>
      <c r="CX466" s="98"/>
      <c r="CY466" s="98"/>
      <c r="CZ466" s="98"/>
      <c r="DA466" s="98"/>
      <c r="DB466" s="98"/>
      <c r="DC466" s="98"/>
      <c r="DD466" s="98"/>
      <c r="DE466" s="98"/>
      <c r="DF466" s="98"/>
      <c r="DG466" s="98"/>
      <c r="DH466" s="98"/>
      <c r="DI466" s="98"/>
      <c r="DJ466" s="98"/>
      <c r="DK466" s="98"/>
      <c r="DL466" s="98"/>
      <c r="DM466" s="98"/>
      <c r="DN466" s="98"/>
      <c r="DO466" s="98"/>
      <c r="DP466" s="98"/>
      <c r="DQ466" s="98"/>
      <c r="DR466" s="98"/>
      <c r="DS466" s="98"/>
      <c r="DT466" s="98"/>
      <c r="DU466" s="98"/>
      <c r="DV466" s="98"/>
      <c r="DW466" s="98"/>
      <c r="DX466" s="98"/>
      <c r="DY466" s="98"/>
      <c r="DZ466" s="98"/>
      <c r="EA466" s="98"/>
      <c r="EB466" s="98"/>
      <c r="EC466" s="98"/>
      <c r="ED466" s="98"/>
    </row>
    <row r="467" spans="1:134" hidden="1" x14ac:dyDescent="0.25">
      <c r="A467" s="98"/>
      <c r="V467" s="98"/>
      <c r="AA467" s="98"/>
      <c r="AB467" s="98"/>
      <c r="AD467" s="98"/>
      <c r="AE467" s="98"/>
      <c r="AH467" s="98"/>
      <c r="AI467" s="98"/>
      <c r="AK467" s="98"/>
      <c r="AR467" s="98"/>
      <c r="AV467" s="98"/>
      <c r="AX467" s="98"/>
      <c r="BB467" s="98"/>
      <c r="BC467" s="98"/>
      <c r="BE467" s="98"/>
      <c r="BH467" s="98"/>
      <c r="BQ467" s="98"/>
      <c r="BR467" s="98"/>
      <c r="BS467" s="98"/>
      <c r="BT467" s="98"/>
      <c r="BU467" s="98"/>
      <c r="BV467" s="98"/>
      <c r="BW467" s="98"/>
      <c r="BX467" s="98"/>
      <c r="BY467" s="98"/>
      <c r="BZ467" s="98"/>
      <c r="CA467" s="98"/>
      <c r="CB467" s="98"/>
      <c r="CC467" s="98"/>
      <c r="CD467" s="98"/>
      <c r="CE467" s="98"/>
      <c r="CF467" s="98"/>
      <c r="CG467" s="98"/>
      <c r="CH467" s="98"/>
      <c r="CI467" s="98"/>
      <c r="CJ467" s="98"/>
      <c r="CK467" s="98"/>
      <c r="CL467" s="98"/>
      <c r="CM467" s="98"/>
      <c r="CN467" s="100"/>
      <c r="CQ467" s="98"/>
      <c r="CR467" s="98"/>
      <c r="CS467" s="98"/>
      <c r="CT467" s="98"/>
      <c r="CU467" s="98"/>
      <c r="CV467" s="98"/>
      <c r="CW467" s="98"/>
      <c r="CX467" s="98"/>
      <c r="CY467" s="98"/>
      <c r="CZ467" s="98"/>
      <c r="DA467" s="98"/>
      <c r="DB467" s="98"/>
      <c r="DC467" s="98"/>
      <c r="DD467" s="98"/>
      <c r="DE467" s="98"/>
      <c r="DF467" s="98"/>
      <c r="DG467" s="98"/>
      <c r="DH467" s="98"/>
      <c r="DI467" s="98"/>
      <c r="DJ467" s="98"/>
      <c r="DK467" s="98"/>
      <c r="DL467" s="98"/>
      <c r="DM467" s="98"/>
      <c r="DN467" s="98"/>
      <c r="DO467" s="98"/>
      <c r="DP467" s="98"/>
      <c r="DQ467" s="98"/>
      <c r="DR467" s="98"/>
      <c r="DS467" s="98"/>
      <c r="DT467" s="98"/>
      <c r="DU467" s="98"/>
      <c r="DV467" s="98"/>
      <c r="DW467" s="98"/>
      <c r="DX467" s="98"/>
      <c r="DY467" s="98"/>
      <c r="DZ467" s="98"/>
      <c r="EA467" s="98"/>
      <c r="EB467" s="98"/>
      <c r="EC467" s="98"/>
      <c r="ED467" s="98"/>
    </row>
    <row r="468" spans="1:134" ht="15" hidden="1" customHeight="1" x14ac:dyDescent="0.25">
      <c r="A468" s="98"/>
      <c r="V468" s="98"/>
      <c r="AA468" s="98"/>
      <c r="AB468" s="98"/>
      <c r="AD468" s="98"/>
      <c r="AE468" s="98"/>
      <c r="AH468" s="98"/>
      <c r="AI468" s="98"/>
      <c r="AK468" s="98"/>
      <c r="AR468" s="98"/>
      <c r="AV468" s="98"/>
      <c r="AX468" s="98"/>
      <c r="BB468" s="98"/>
      <c r="BC468" s="98"/>
      <c r="BE468" s="98"/>
      <c r="BH468" s="98"/>
      <c r="BI468" s="102" t="s">
        <v>232</v>
      </c>
      <c r="BK468" s="178" t="s">
        <v>267</v>
      </c>
      <c r="BM468" s="169" t="s">
        <v>233</v>
      </c>
      <c r="BN468" s="169" t="s">
        <v>233</v>
      </c>
      <c r="BO468" s="169" t="s">
        <v>240</v>
      </c>
      <c r="BQ468" s="98"/>
      <c r="BR468" s="98"/>
      <c r="BS468" s="98"/>
      <c r="BT468" s="98"/>
      <c r="BU468" s="98"/>
      <c r="BV468" s="98"/>
      <c r="BW468" s="98"/>
      <c r="BX468" s="98"/>
      <c r="BY468" s="98"/>
      <c r="BZ468" s="98"/>
      <c r="CA468" s="98"/>
      <c r="CB468" s="98"/>
      <c r="CC468" s="98"/>
      <c r="CD468" s="98"/>
      <c r="CE468" s="98"/>
      <c r="CF468" s="98"/>
      <c r="CG468" s="98"/>
      <c r="CH468" s="98"/>
      <c r="CI468" s="98"/>
      <c r="CJ468" s="98"/>
      <c r="CK468" s="98"/>
      <c r="CL468" s="98"/>
      <c r="CM468" s="98"/>
      <c r="CN468" s="100"/>
      <c r="CQ468" s="98"/>
      <c r="CR468" s="98"/>
      <c r="CS468" s="98"/>
      <c r="CT468" s="98"/>
      <c r="CU468" s="98"/>
      <c r="CV468" s="98"/>
      <c r="CW468" s="98"/>
      <c r="CX468" s="98"/>
      <c r="CY468" s="98"/>
      <c r="CZ468" s="98"/>
      <c r="DA468" s="98"/>
      <c r="DB468" s="98"/>
      <c r="DC468" s="98"/>
      <c r="DD468" s="98"/>
      <c r="DE468" s="98"/>
      <c r="DF468" s="98"/>
      <c r="DG468" s="98"/>
      <c r="DH468" s="98"/>
      <c r="DI468" s="98"/>
      <c r="DJ468" s="98"/>
      <c r="DK468" s="98"/>
      <c r="DL468" s="98"/>
      <c r="DM468" s="98"/>
      <c r="DN468" s="98"/>
      <c r="DO468" s="98"/>
      <c r="DP468" s="98"/>
      <c r="DQ468" s="98"/>
      <c r="DR468" s="98"/>
      <c r="DS468" s="98"/>
      <c r="DT468" s="98"/>
      <c r="DU468" s="98"/>
      <c r="DV468" s="98"/>
      <c r="DW468" s="98"/>
      <c r="DX468" s="98"/>
      <c r="DY468" s="98"/>
      <c r="DZ468" s="98"/>
      <c r="EA468" s="98"/>
      <c r="EB468" s="98"/>
      <c r="EC468" s="98"/>
      <c r="ED468" s="98"/>
    </row>
    <row r="469" spans="1:134" hidden="1" x14ac:dyDescent="0.25">
      <c r="A469" s="98"/>
      <c r="V469" s="98"/>
      <c r="AA469" s="98"/>
      <c r="AB469" s="98"/>
      <c r="AD469" s="98"/>
      <c r="AE469" s="98"/>
      <c r="AH469" s="98"/>
      <c r="AI469" s="98"/>
      <c r="AK469" s="98"/>
      <c r="AR469" s="98"/>
      <c r="AV469" s="98"/>
      <c r="AX469" s="98"/>
      <c r="BB469" s="98"/>
      <c r="BC469" s="98"/>
      <c r="BE469" s="98"/>
      <c r="BH469" s="98"/>
      <c r="BJ469" s="178" t="s">
        <v>253</v>
      </c>
      <c r="BL469" s="178" t="s">
        <v>251</v>
      </c>
      <c r="BQ469" s="98"/>
      <c r="BR469" s="98"/>
      <c r="BS469" s="98"/>
      <c r="BT469" s="98"/>
      <c r="BU469" s="98"/>
      <c r="BV469" s="98"/>
      <c r="BW469" s="98"/>
      <c r="BX469" s="98"/>
      <c r="BY469" s="98"/>
      <c r="BZ469" s="98"/>
      <c r="CA469" s="98"/>
      <c r="CB469" s="98"/>
      <c r="CC469" s="98"/>
      <c r="CD469" s="98"/>
      <c r="CE469" s="98"/>
      <c r="CF469" s="98"/>
      <c r="CG469" s="98"/>
      <c r="CH469" s="98"/>
      <c r="CI469" s="98"/>
      <c r="CJ469" s="98"/>
      <c r="CK469" s="98"/>
      <c r="CL469" s="98"/>
      <c r="CM469" s="98"/>
      <c r="CN469" s="100"/>
      <c r="CQ469" s="98"/>
      <c r="CR469" s="98"/>
      <c r="CS469" s="98"/>
      <c r="CT469" s="98"/>
      <c r="CU469" s="98"/>
      <c r="CV469" s="98"/>
      <c r="CW469" s="98"/>
      <c r="CX469" s="98"/>
      <c r="CY469" s="98"/>
      <c r="CZ469" s="98"/>
      <c r="DA469" s="98"/>
      <c r="DB469" s="98"/>
      <c r="DC469" s="98"/>
      <c r="DD469" s="98"/>
      <c r="DE469" s="98"/>
      <c r="DF469" s="98"/>
      <c r="DG469" s="98"/>
      <c r="DH469" s="98"/>
      <c r="DI469" s="98"/>
      <c r="DJ469" s="98"/>
      <c r="DK469" s="98"/>
      <c r="DL469" s="98"/>
      <c r="DM469" s="98"/>
      <c r="DN469" s="98"/>
      <c r="DO469" s="98"/>
      <c r="DP469" s="98"/>
      <c r="DQ469" s="98"/>
      <c r="DR469" s="98"/>
      <c r="DS469" s="98"/>
      <c r="DT469" s="98"/>
      <c r="DU469" s="98"/>
      <c r="DV469" s="98"/>
      <c r="DW469" s="98"/>
      <c r="DX469" s="98"/>
      <c r="DY469" s="98"/>
      <c r="DZ469" s="98"/>
      <c r="EA469" s="98"/>
      <c r="EB469" s="98"/>
      <c r="EC469" s="98"/>
      <c r="ED469" s="98"/>
    </row>
    <row r="470" spans="1:134" hidden="1" x14ac:dyDescent="0.25">
      <c r="A470" s="98"/>
      <c r="V470" s="98"/>
      <c r="AA470" s="98"/>
      <c r="AB470" s="98"/>
      <c r="AD470" s="98"/>
      <c r="AE470" s="98"/>
      <c r="AH470" s="98"/>
      <c r="AI470" s="98"/>
      <c r="AK470" s="98"/>
      <c r="AR470" s="98"/>
      <c r="AV470" s="98"/>
      <c r="AX470" s="98"/>
      <c r="BB470" s="98"/>
      <c r="BC470" s="98"/>
      <c r="BE470" s="98"/>
      <c r="BH470" s="98"/>
      <c r="BI470" s="102" t="s">
        <v>274</v>
      </c>
      <c r="BJ470" s="178" t="s">
        <v>643</v>
      </c>
      <c r="BK470" s="178">
        <v>1.8565</v>
      </c>
      <c r="BL470" s="178" t="s">
        <v>644</v>
      </c>
      <c r="BM470" s="169">
        <v>8.8870000000000005E-2</v>
      </c>
      <c r="BN470" s="169">
        <v>8.8870000000000005E-2</v>
      </c>
      <c r="BO470" s="169" t="s">
        <v>241</v>
      </c>
      <c r="BP470" s="263">
        <v>1</v>
      </c>
      <c r="BQ470" s="98"/>
      <c r="BR470" s="98"/>
      <c r="BS470" s="98"/>
      <c r="BT470" s="98"/>
      <c r="BU470" s="98"/>
      <c r="BV470" s="98"/>
      <c r="BW470" s="98"/>
      <c r="BX470" s="98"/>
      <c r="BY470" s="98"/>
      <c r="BZ470" s="98"/>
      <c r="CA470" s="98"/>
      <c r="CB470" s="98"/>
      <c r="CC470" s="98"/>
      <c r="CD470" s="98"/>
      <c r="CE470" s="98"/>
      <c r="CF470" s="98"/>
      <c r="CG470" s="98"/>
      <c r="CH470" s="98"/>
      <c r="CI470" s="98"/>
      <c r="CJ470" s="98"/>
      <c r="CK470" s="98"/>
      <c r="CL470" s="98"/>
      <c r="CM470" s="98"/>
      <c r="CN470" s="100"/>
      <c r="CQ470" s="98"/>
      <c r="CR470" s="98"/>
      <c r="CS470" s="98"/>
      <c r="CT470" s="98"/>
      <c r="CU470" s="98"/>
      <c r="CV470" s="98"/>
      <c r="CW470" s="98"/>
      <c r="CX470" s="98"/>
      <c r="CY470" s="98"/>
      <c r="CZ470" s="98"/>
      <c r="DA470" s="98"/>
      <c r="DB470" s="98"/>
      <c r="DC470" s="98"/>
      <c r="DD470" s="98"/>
      <c r="DE470" s="98"/>
      <c r="DF470" s="98"/>
      <c r="DG470" s="98"/>
      <c r="DH470" s="98"/>
      <c r="DI470" s="98"/>
      <c r="DJ470" s="98"/>
      <c r="DK470" s="98"/>
      <c r="DL470" s="98"/>
      <c r="DM470" s="98"/>
      <c r="DN470" s="98"/>
      <c r="DO470" s="98"/>
      <c r="DP470" s="98"/>
      <c r="DQ470" s="98"/>
      <c r="DR470" s="98"/>
      <c r="DS470" s="98"/>
      <c r="DT470" s="98"/>
      <c r="DU470" s="98"/>
      <c r="DV470" s="98"/>
      <c r="DW470" s="98"/>
      <c r="DX470" s="98"/>
      <c r="DY470" s="98"/>
      <c r="DZ470" s="98"/>
      <c r="EA470" s="98"/>
      <c r="EB470" s="98"/>
      <c r="EC470" s="98"/>
      <c r="ED470" s="98"/>
    </row>
    <row r="471" spans="1:134" hidden="1" x14ac:dyDescent="0.25">
      <c r="A471" s="98"/>
      <c r="V471" s="98"/>
      <c r="AA471" s="98"/>
      <c r="AB471" s="98"/>
      <c r="AD471" s="98"/>
      <c r="AE471" s="98"/>
      <c r="AH471" s="98"/>
      <c r="AI471" s="98"/>
      <c r="AK471" s="98"/>
      <c r="AR471" s="98"/>
      <c r="AV471" s="98"/>
      <c r="AX471" s="98"/>
      <c r="BB471" s="98"/>
      <c r="BC471" s="98"/>
      <c r="BE471" s="98"/>
      <c r="BH471" s="98"/>
      <c r="BQ471" s="98"/>
      <c r="BR471" s="98"/>
      <c r="BS471" s="98"/>
      <c r="BT471" s="98"/>
      <c r="BU471" s="98"/>
      <c r="BV471" s="98"/>
      <c r="BW471" s="98"/>
      <c r="BX471" s="98"/>
      <c r="BY471" s="98"/>
      <c r="BZ471" s="98"/>
      <c r="CA471" s="98"/>
      <c r="CB471" s="98"/>
      <c r="CC471" s="98"/>
      <c r="CD471" s="98"/>
      <c r="CE471" s="98"/>
      <c r="CF471" s="98"/>
      <c r="CG471" s="98"/>
      <c r="CH471" s="98"/>
      <c r="CI471" s="98"/>
      <c r="CJ471" s="98"/>
      <c r="CK471" s="98"/>
      <c r="CL471" s="98"/>
      <c r="CM471" s="98"/>
      <c r="CN471" s="100"/>
      <c r="CQ471" s="98"/>
      <c r="CR471" s="98"/>
      <c r="CS471" s="98"/>
      <c r="CT471" s="98"/>
      <c r="CU471" s="98"/>
      <c r="CV471" s="98"/>
      <c r="CW471" s="98"/>
      <c r="CX471" s="98"/>
      <c r="CY471" s="98"/>
      <c r="CZ471" s="98"/>
      <c r="DA471" s="98"/>
      <c r="DB471" s="98"/>
      <c r="DC471" s="98"/>
      <c r="DD471" s="98"/>
      <c r="DE471" s="98"/>
      <c r="DF471" s="98"/>
      <c r="DG471" s="98"/>
      <c r="DH471" s="98"/>
      <c r="DI471" s="98"/>
      <c r="DJ471" s="98"/>
      <c r="DK471" s="98"/>
      <c r="DL471" s="98"/>
      <c r="DM471" s="98"/>
      <c r="DN471" s="98"/>
      <c r="DO471" s="98"/>
      <c r="DP471" s="98"/>
      <c r="DQ471" s="98"/>
      <c r="DR471" s="98"/>
      <c r="DS471" s="98"/>
      <c r="DT471" s="98"/>
      <c r="DU471" s="98"/>
      <c r="DV471" s="98"/>
      <c r="DW471" s="98"/>
      <c r="DX471" s="98"/>
      <c r="DY471" s="98"/>
      <c r="DZ471" s="98"/>
      <c r="EA471" s="98"/>
      <c r="EB471" s="98"/>
      <c r="EC471" s="98"/>
      <c r="ED471" s="98"/>
    </row>
    <row r="472" spans="1:134" hidden="1" x14ac:dyDescent="0.25">
      <c r="A472" s="98"/>
      <c r="V472" s="98"/>
      <c r="AA472" s="98"/>
      <c r="AB472" s="98"/>
      <c r="AD472" s="98"/>
      <c r="AE472" s="98"/>
      <c r="AH472" s="98"/>
      <c r="AI472" s="98"/>
      <c r="AK472" s="98"/>
      <c r="AR472" s="98"/>
      <c r="AV472" s="98"/>
      <c r="AX472" s="98"/>
      <c r="BB472" s="98"/>
      <c r="BC472" s="98"/>
      <c r="BE472" s="98"/>
      <c r="BH472" s="98"/>
      <c r="BQ472" s="98"/>
      <c r="BR472" s="98"/>
      <c r="BS472" s="98"/>
      <c r="BT472" s="98"/>
      <c r="BU472" s="98"/>
      <c r="BV472" s="98"/>
      <c r="BW472" s="98"/>
      <c r="BX472" s="98"/>
      <c r="BY472" s="98"/>
      <c r="BZ472" s="98"/>
      <c r="CA472" s="98"/>
      <c r="CB472" s="98"/>
      <c r="CC472" s="98"/>
      <c r="CD472" s="98"/>
      <c r="CE472" s="98"/>
      <c r="CF472" s="98"/>
      <c r="CG472" s="98"/>
      <c r="CH472" s="98"/>
      <c r="CI472" s="98"/>
      <c r="CJ472" s="98"/>
      <c r="CK472" s="98"/>
      <c r="CL472" s="98"/>
      <c r="CM472" s="98"/>
      <c r="CN472" s="100"/>
      <c r="CQ472" s="98"/>
      <c r="CR472" s="98"/>
      <c r="CS472" s="98"/>
      <c r="CT472" s="98"/>
      <c r="CU472" s="98"/>
      <c r="CV472" s="98"/>
      <c r="CW472" s="98"/>
      <c r="CX472" s="98"/>
      <c r="CY472" s="98"/>
      <c r="CZ472" s="98"/>
      <c r="DA472" s="98"/>
      <c r="DB472" s="98"/>
      <c r="DC472" s="98"/>
      <c r="DD472" s="98"/>
      <c r="DE472" s="98"/>
      <c r="DF472" s="98"/>
      <c r="DG472" s="98"/>
      <c r="DH472" s="98"/>
      <c r="DI472" s="98"/>
      <c r="DJ472" s="98"/>
      <c r="DK472" s="98"/>
      <c r="DL472" s="98"/>
      <c r="DM472" s="98"/>
      <c r="DN472" s="98"/>
      <c r="DO472" s="98"/>
      <c r="DP472" s="98"/>
      <c r="DQ472" s="98"/>
      <c r="DR472" s="98"/>
      <c r="DS472" s="98"/>
      <c r="DT472" s="98"/>
      <c r="DU472" s="98"/>
      <c r="DV472" s="98"/>
      <c r="DW472" s="98"/>
      <c r="DX472" s="98"/>
      <c r="DY472" s="98"/>
      <c r="DZ472" s="98"/>
      <c r="EA472" s="98"/>
      <c r="EB472" s="98"/>
      <c r="EC472" s="98"/>
      <c r="ED472" s="98"/>
    </row>
  </sheetData>
  <sheetProtection password="C935" sheet="1" objects="1" scenarios="1" formatCells="0" formatColumns="0" formatRows="0" insertRows="0" deleteRows="0"/>
  <protectedRanges>
    <protectedRange algorithmName="SHA-512" hashValue="JkwGMkyN6uDZy9K3UnLYKHbONkTneyvcBkZbw832pf3/OvzPn47/tOjWWFkoHruJFqsDNzL3ZtFhUW1rxpiesQ==" saltValue="hiIEQ6ppq6xjmWFZjcvCAg==" spinCount="100000" sqref="BP106:BS107 BP91:BP105 BP123:BS124 BW106:BX107 BW123:BX124 CC106:CD107 CC123:CD124 CI106:CJ107 CI123:CJ124 BU106:BU107 BU123:BU124 BS105 BT105:BT107 BS92:BT104 BS110:BT121 BT122:BT124 BS122 CI110:CI122 CC110:CC122 BW110:BW122 BP110:BQ122" name="Rango1_10"/>
  </protectedRanges>
  <dataConsolidate/>
  <mergeCells count="161">
    <mergeCell ref="B65:AA65"/>
    <mergeCell ref="B55:B58"/>
    <mergeCell ref="B59:B60"/>
    <mergeCell ref="B61:B62"/>
    <mergeCell ref="B63:AA63"/>
    <mergeCell ref="B53:B54"/>
    <mergeCell ref="C53:C54"/>
    <mergeCell ref="D53:R53"/>
    <mergeCell ref="S53:W53"/>
    <mergeCell ref="X53:AD53"/>
    <mergeCell ref="B5:AL5"/>
    <mergeCell ref="Y6:AL6"/>
    <mergeCell ref="Y7:AL7"/>
    <mergeCell ref="Y8:AL8"/>
    <mergeCell ref="Y9:AL9"/>
    <mergeCell ref="Y10:AL10"/>
    <mergeCell ref="B14:BG14"/>
    <mergeCell ref="AE15:AK15"/>
    <mergeCell ref="X15:AD15"/>
    <mergeCell ref="B15:B16"/>
    <mergeCell ref="C15:C16"/>
    <mergeCell ref="BF15:BF16"/>
    <mergeCell ref="D15:R15"/>
    <mergeCell ref="S15:W15"/>
    <mergeCell ref="AS15:AX15"/>
    <mergeCell ref="AY15:BE15"/>
    <mergeCell ref="X16:Y16"/>
    <mergeCell ref="BI108:BI109"/>
    <mergeCell ref="BK108:BK109"/>
    <mergeCell ref="BM108:BM109"/>
    <mergeCell ref="BO108:BO109"/>
    <mergeCell ref="BP108:CA108"/>
    <mergeCell ref="BG15:BG16"/>
    <mergeCell ref="AE16:AF16"/>
    <mergeCell ref="AL16:AM16"/>
    <mergeCell ref="AS16:AT16"/>
    <mergeCell ref="AY16:AZ16"/>
    <mergeCell ref="AE53:AE54"/>
    <mergeCell ref="AF53:AF54"/>
    <mergeCell ref="BN331:BN332"/>
    <mergeCell ref="BO331:BO332"/>
    <mergeCell ref="BO178:BO179"/>
    <mergeCell ref="CB108:CM108"/>
    <mergeCell ref="BK79:BK80"/>
    <mergeCell ref="BM79:BM80"/>
    <mergeCell ref="BO79:BO80"/>
    <mergeCell ref="BP79:CA79"/>
    <mergeCell ref="BK146:BK147"/>
    <mergeCell ref="BM146:BM147"/>
    <mergeCell ref="BN146:BN147"/>
    <mergeCell ref="BO146:BO147"/>
    <mergeCell ref="CB79:CM79"/>
    <mergeCell ref="BK125:BK126"/>
    <mergeCell ref="BQ146:BQ147"/>
    <mergeCell ref="BS146:BS147"/>
    <mergeCell ref="BT146:BT147"/>
    <mergeCell ref="BU146:BU147"/>
    <mergeCell ref="BO172:BO173"/>
    <mergeCell ref="BN172:BN173"/>
    <mergeCell ref="BN178:BN179"/>
    <mergeCell ref="CB125:CM125"/>
    <mergeCell ref="BN79:BN80"/>
    <mergeCell ref="BN108:BN109"/>
    <mergeCell ref="DD284:DD285"/>
    <mergeCell ref="DE284:DE285"/>
    <mergeCell ref="DF284:DF285"/>
    <mergeCell ref="DG284:DH284"/>
    <mergeCell ref="BS320:BS321"/>
    <mergeCell ref="BP285:BP286"/>
    <mergeCell ref="BR285:BR286"/>
    <mergeCell ref="BS285:BS286"/>
    <mergeCell ref="BI263:BI264"/>
    <mergeCell ref="BK263:BK264"/>
    <mergeCell ref="BM263:BM264"/>
    <mergeCell ref="BN263:BN264"/>
    <mergeCell ref="BO263:BO264"/>
    <mergeCell ref="BJ263:BJ264"/>
    <mergeCell ref="BN344:BN345"/>
    <mergeCell ref="BI189:BI190"/>
    <mergeCell ref="BK189:BK190"/>
    <mergeCell ref="BM189:BM190"/>
    <mergeCell ref="BI285:BI286"/>
    <mergeCell ref="BK285:BK286"/>
    <mergeCell ref="BM285:BM286"/>
    <mergeCell ref="BN285:BN286"/>
    <mergeCell ref="DI284:DJ284"/>
    <mergeCell ref="BT320:BT321"/>
    <mergeCell ref="BP320:BP321"/>
    <mergeCell ref="BR320:BR321"/>
    <mergeCell ref="BP284:BT284"/>
    <mergeCell ref="BK284:BO284"/>
    <mergeCell ref="BI320:BI321"/>
    <mergeCell ref="BK320:BK321"/>
    <mergeCell ref="BM320:BM321"/>
    <mergeCell ref="BN320:BN321"/>
    <mergeCell ref="BO320:BO321"/>
    <mergeCell ref="BT285:BT286"/>
    <mergeCell ref="CY284:CY285"/>
    <mergeCell ref="CZ284:DA284"/>
    <mergeCell ref="DB284:DB285"/>
    <mergeCell ref="DC284:DC285"/>
    <mergeCell ref="BN394:BN395"/>
    <mergeCell ref="BO394:BO395"/>
    <mergeCell ref="BO344:BO345"/>
    <mergeCell ref="BO285:BO286"/>
    <mergeCell ref="BO184:BO185"/>
    <mergeCell ref="BI196:BI197"/>
    <mergeCell ref="BK196:BK197"/>
    <mergeCell ref="BM196:BM197"/>
    <mergeCell ref="BN196:BN197"/>
    <mergeCell ref="BO196:BO197"/>
    <mergeCell ref="BO189:BO190"/>
    <mergeCell ref="BN189:BN190"/>
    <mergeCell ref="BI184:BI185"/>
    <mergeCell ref="BK184:BK185"/>
    <mergeCell ref="BM184:BM185"/>
    <mergeCell ref="BN184:BN185"/>
    <mergeCell ref="BO359:BO360"/>
    <mergeCell ref="BI359:BI360"/>
    <mergeCell ref="BK359:BK360"/>
    <mergeCell ref="BM359:BM360"/>
    <mergeCell ref="BN359:BN360"/>
    <mergeCell ref="BI344:BI345"/>
    <mergeCell ref="BK344:BK345"/>
    <mergeCell ref="BM344:BM345"/>
    <mergeCell ref="BI394:BI395"/>
    <mergeCell ref="BK394:BK395"/>
    <mergeCell ref="BM394:BM395"/>
    <mergeCell ref="BI172:BI173"/>
    <mergeCell ref="BK172:BK173"/>
    <mergeCell ref="BM172:BM173"/>
    <mergeCell ref="BI331:BI332"/>
    <mergeCell ref="BK331:BK332"/>
    <mergeCell ref="BM331:BM332"/>
    <mergeCell ref="BM178:BM179"/>
    <mergeCell ref="BI178:BI179"/>
    <mergeCell ref="BK178:BK179"/>
    <mergeCell ref="B2:AL3"/>
    <mergeCell ref="BQ189:BQ190"/>
    <mergeCell ref="BQ172:BQ173"/>
    <mergeCell ref="BO125:BO126"/>
    <mergeCell ref="BP125:CA125"/>
    <mergeCell ref="AI285:AM285"/>
    <mergeCell ref="C6:K6"/>
    <mergeCell ref="C7:K7"/>
    <mergeCell ref="C8:K8"/>
    <mergeCell ref="C9:K9"/>
    <mergeCell ref="C10:K10"/>
    <mergeCell ref="BI146:BI147"/>
    <mergeCell ref="BI125:BI126"/>
    <mergeCell ref="BM125:BM126"/>
    <mergeCell ref="BS172:BS173"/>
    <mergeCell ref="BT172:BT173"/>
    <mergeCell ref="BU172:BU173"/>
    <mergeCell ref="B12:BG12"/>
    <mergeCell ref="B40:BG40"/>
    <mergeCell ref="AL15:AR15"/>
    <mergeCell ref="BS189:BS190"/>
    <mergeCell ref="BT189:BT190"/>
    <mergeCell ref="BU189:BU190"/>
    <mergeCell ref="BN125:BN126"/>
  </mergeCells>
  <dataValidations count="8">
    <dataValidation type="list" allowBlank="1" showInputMessage="1" showErrorMessage="1" sqref="C17:C20">
      <formula1>$BI$81:$BI$105</formula1>
    </dataValidation>
    <dataValidation type="list" allowBlank="1" showInputMessage="1" showErrorMessage="1" sqref="C21:C24">
      <formula1>$BI$110:$BI$122</formula1>
    </dataValidation>
    <dataValidation type="list" allowBlank="1" showInputMessage="1" showErrorMessage="1" sqref="C25:C27">
      <formula1>$BI$127:$BI$144</formula1>
    </dataValidation>
    <dataValidation type="list" allowBlank="1" showInputMessage="1" showErrorMessage="1" sqref="C41">
      <formula1>$BI$346:$BI$355</formula1>
    </dataValidation>
    <dataValidation type="list" allowBlank="1" showInputMessage="1" showErrorMessage="1" sqref="C29:C34">
      <formula1>$BI$148:$BI$169</formula1>
    </dataValidation>
    <dataValidation type="list" allowBlank="1" showInputMessage="1" showErrorMessage="1" sqref="C59:C60">
      <formula1>$BI$464:$BI$465</formula1>
    </dataValidation>
    <dataValidation type="list" allowBlank="1" showInputMessage="1" showErrorMessage="1" sqref="C61:C62">
      <formula1>$BI$470:$BI$471</formula1>
    </dataValidation>
    <dataValidation type="list" allowBlank="1" showInputMessage="1" showErrorMessage="1" sqref="C55:C58">
      <formula1>$BI$445:$BI$457</formula1>
    </dataValidation>
  </dataValidations>
  <hyperlinks>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F15:BF16" location="'INSTRUCCIONES INCERTIDUMBRE'!C32" display="'INSTRUCCIONES INCERTIDUMBRE'!C32"/>
    <hyperlink ref="BG15:BG16" location="'INSTRUCCIONES INCERTIDUMBRE'!C34" display="INCERTIDUMBRE DE LA FUENTE"/>
    <hyperlink ref="D16" location="'INSTRUCCIONES INCERTIDUMBRE'!C19" display="UNIDAD"/>
    <hyperlink ref="E16" location="'HC CORPORATIVA-INCERTIDUMBRE'!C20" display="DATO 1"/>
    <hyperlink ref="BU160" r:id="rId1"/>
    <hyperlink ref="BO166" r:id="rId2"/>
    <hyperlink ref="Q54" location="'INSTRUCCIONES INCERTIDUMBRE'!C21" display="TOTAL"/>
    <hyperlink ref="R54" location="'INSTRUCCIONES INCERTIDUMBRE'!C22" display="No. DATOS"/>
    <hyperlink ref="S54" location="'INSTRUCCIONES INCERTIDUMBRE'!C23" display="PROMEDIO"/>
    <hyperlink ref="T54" location="'INSTRUCCIONES INCERTIDUMBRE'!C24" display="DESVIACION ESTÁNDAR"/>
    <hyperlink ref="U54" location="'INSTRUCCIONES INCERTIDUMBRE'!C25" display="FACTOR T"/>
    <hyperlink ref="W54" location="'INSTRUCCIONES INCERTIDUMBRE'!C26" display="INCERTIDUMBRE"/>
    <hyperlink ref="AE53:AE54" location="'INSTRUCCIONES INCERTIDUMBRE'!C32" display="'INSTRUCCIONES INCERTIDUMBRE'!C32"/>
    <hyperlink ref="AF53:AF54" location="'INSTRUCCIONES INCERTIDUMBRE'!C34" display="INCERTIDUMBRE DE LA FUENTE"/>
    <hyperlink ref="D54" location="'INSTRUCCIONES INCERTIDUMBRE'!C19" display="UNIDAD"/>
    <hyperlink ref="E54" location="'HC CORPORATIVA-INCERTIDUMBRE'!C20" display="DATO 1"/>
  </hyperlinks>
  <pageMargins left="0.7" right="0.7" top="0.75" bottom="0.75" header="0.3" footer="0.3"/>
  <pageSetup orientation="portrait"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topLeftCell="A19" workbookViewId="0">
      <selection activeCell="E16" sqref="E16"/>
    </sheetView>
  </sheetViews>
  <sheetFormatPr baseColWidth="10" defaultRowHeight="15" x14ac:dyDescent="0.25"/>
  <cols>
    <col min="1" max="1" width="60.28515625" bestFit="1" customWidth="1"/>
    <col min="2" max="2" width="13" customWidth="1"/>
    <col min="3" max="3" width="15.42578125" customWidth="1"/>
    <col min="5" max="5" width="11.5703125" bestFit="1" customWidth="1"/>
    <col min="7" max="7" width="14.42578125" customWidth="1"/>
  </cols>
  <sheetData>
    <row r="1" spans="1:13" ht="26.25" customHeight="1" x14ac:dyDescent="0.25">
      <c r="A1" s="5" t="s">
        <v>124</v>
      </c>
      <c r="B1" s="1646" t="s">
        <v>158</v>
      </c>
      <c r="C1" s="1646"/>
      <c r="D1" s="1646"/>
      <c r="E1" s="1646" t="s">
        <v>166</v>
      </c>
      <c r="F1" s="1646"/>
      <c r="G1" s="1646"/>
      <c r="H1" s="1646"/>
      <c r="I1" s="1646"/>
      <c r="J1" s="1646"/>
      <c r="K1" s="1646"/>
      <c r="M1" s="7"/>
    </row>
    <row r="2" spans="1:13" s="3" customFormat="1" ht="26.25" customHeight="1" x14ac:dyDescent="0.25">
      <c r="A2" s="5"/>
      <c r="B2" s="5"/>
      <c r="C2" s="5"/>
      <c r="D2" s="5"/>
      <c r="G2" s="4" t="s">
        <v>163</v>
      </c>
      <c r="H2"/>
      <c r="I2" s="4" t="s">
        <v>165</v>
      </c>
      <c r="L2" s="7"/>
      <c r="M2" s="7"/>
    </row>
    <row r="3" spans="1:13" ht="33" customHeight="1" x14ac:dyDescent="0.25">
      <c r="A3" s="4" t="s">
        <v>155</v>
      </c>
      <c r="B3" s="1645" t="s">
        <v>156</v>
      </c>
      <c r="C3" s="1645" t="s">
        <v>157</v>
      </c>
      <c r="D3" s="1645"/>
      <c r="E3" s="1647" t="s">
        <v>159</v>
      </c>
      <c r="F3" s="1645" t="s">
        <v>160</v>
      </c>
      <c r="G3" s="1645" t="s">
        <v>162</v>
      </c>
      <c r="H3" s="1645" t="s">
        <v>161</v>
      </c>
      <c r="I3" s="1645" t="s">
        <v>164</v>
      </c>
      <c r="J3" s="1645" t="s">
        <v>157</v>
      </c>
      <c r="K3" s="1645"/>
      <c r="L3" s="1645" t="s">
        <v>167</v>
      </c>
      <c r="M3" s="1645"/>
    </row>
    <row r="4" spans="1:13" s="3" customFormat="1" x14ac:dyDescent="0.25">
      <c r="A4" s="4"/>
      <c r="B4" s="1645"/>
      <c r="C4" s="6">
        <v>1995</v>
      </c>
      <c r="D4" s="4">
        <v>2007</v>
      </c>
      <c r="E4" s="1647"/>
      <c r="F4" s="1645"/>
      <c r="G4" s="1645"/>
      <c r="H4" s="1645"/>
      <c r="I4" s="1645"/>
      <c r="J4" s="4">
        <v>1995</v>
      </c>
      <c r="K4" s="4">
        <v>2007</v>
      </c>
      <c r="L4" s="4">
        <v>1995</v>
      </c>
      <c r="M4" s="4">
        <v>2007</v>
      </c>
    </row>
    <row r="5" spans="1:13" s="3" customFormat="1" x14ac:dyDescent="0.25">
      <c r="A5" s="4">
        <v>0</v>
      </c>
      <c r="B5" s="6">
        <v>0</v>
      </c>
      <c r="C5" s="6">
        <v>0</v>
      </c>
      <c r="D5" s="4">
        <v>0</v>
      </c>
      <c r="E5" s="4">
        <v>0</v>
      </c>
      <c r="F5" s="6">
        <v>0</v>
      </c>
      <c r="G5" s="6">
        <v>0</v>
      </c>
      <c r="H5" s="6">
        <v>0</v>
      </c>
      <c r="I5" s="6">
        <v>0</v>
      </c>
      <c r="J5" s="4">
        <v>0</v>
      </c>
      <c r="K5" s="4">
        <v>0</v>
      </c>
      <c r="L5" s="4">
        <v>0</v>
      </c>
      <c r="M5" s="4">
        <v>0</v>
      </c>
    </row>
    <row r="6" spans="1:13" x14ac:dyDescent="0.25">
      <c r="A6" s="3" t="s">
        <v>125</v>
      </c>
      <c r="B6">
        <v>1</v>
      </c>
      <c r="C6" s="8">
        <f>+B6*21</f>
        <v>21</v>
      </c>
      <c r="D6" s="8">
        <f>+B6*25</f>
        <v>25</v>
      </c>
      <c r="E6">
        <v>40</v>
      </c>
      <c r="F6">
        <v>0.99</v>
      </c>
      <c r="G6" s="8">
        <f>+E6*F6</f>
        <v>39.6</v>
      </c>
      <c r="H6">
        <v>0.02</v>
      </c>
      <c r="I6" s="9">
        <f>+G6*H6*44/28</f>
        <v>1.2445714285714284</v>
      </c>
      <c r="J6" s="9">
        <f>+I6*310</f>
        <v>385.81714285714281</v>
      </c>
      <c r="K6" s="9">
        <f>+I6*298</f>
        <v>370.88228571428567</v>
      </c>
      <c r="L6" s="10">
        <f>+C6+J6</f>
        <v>406.81714285714281</v>
      </c>
      <c r="M6" s="10">
        <f>+D6+K6</f>
        <v>395.88228571428567</v>
      </c>
    </row>
    <row r="7" spans="1:13" x14ac:dyDescent="0.25">
      <c r="A7" s="3" t="s">
        <v>126</v>
      </c>
      <c r="B7">
        <v>1</v>
      </c>
      <c r="C7" s="8">
        <f t="shared" ref="C7:C35" si="0">+B7*21</f>
        <v>21</v>
      </c>
      <c r="D7" s="8">
        <f t="shared" ref="D7:D35" si="1">+B7*25</f>
        <v>25</v>
      </c>
      <c r="E7">
        <v>40</v>
      </c>
      <c r="F7">
        <v>0.99</v>
      </c>
      <c r="G7" s="8">
        <f t="shared" ref="G7:G35" si="2">+E7*F7</f>
        <v>39.6</v>
      </c>
      <c r="H7">
        <v>0.02</v>
      </c>
      <c r="I7" s="9">
        <f t="shared" ref="I7:I35" si="3">+G7*H7*44/28</f>
        <v>1.2445714285714284</v>
      </c>
      <c r="J7" s="9">
        <f t="shared" ref="J7:J35" si="4">+I7*310</f>
        <v>385.81714285714281</v>
      </c>
      <c r="K7" s="9">
        <f t="shared" ref="K7:K35" si="5">+I7*298</f>
        <v>370.88228571428567</v>
      </c>
      <c r="L7" s="10">
        <f t="shared" ref="L7:L35" si="6">+C7+J7</f>
        <v>406.81714285714281</v>
      </c>
      <c r="M7" s="10">
        <f t="shared" ref="M7:M35" si="7">+D7+K7</f>
        <v>395.88228571428567</v>
      </c>
    </row>
    <row r="8" spans="1:13" x14ac:dyDescent="0.25">
      <c r="A8" s="3" t="s">
        <v>127</v>
      </c>
      <c r="B8">
        <v>1</v>
      </c>
      <c r="C8" s="8">
        <f t="shared" si="0"/>
        <v>21</v>
      </c>
      <c r="D8" s="8">
        <f t="shared" si="1"/>
        <v>25</v>
      </c>
      <c r="E8">
        <v>40</v>
      </c>
      <c r="F8">
        <v>0.99</v>
      </c>
      <c r="G8" s="8">
        <f t="shared" si="2"/>
        <v>39.6</v>
      </c>
      <c r="H8">
        <v>0.02</v>
      </c>
      <c r="I8" s="9">
        <f t="shared" si="3"/>
        <v>1.2445714285714284</v>
      </c>
      <c r="J8" s="9">
        <f t="shared" si="4"/>
        <v>385.81714285714281</v>
      </c>
      <c r="K8" s="9">
        <f t="shared" si="5"/>
        <v>370.88228571428567</v>
      </c>
      <c r="L8" s="10">
        <f t="shared" si="6"/>
        <v>406.81714285714281</v>
      </c>
      <c r="M8" s="10">
        <f t="shared" si="7"/>
        <v>395.88228571428567</v>
      </c>
    </row>
    <row r="9" spans="1:13" x14ac:dyDescent="0.25">
      <c r="A9" s="3" t="s">
        <v>128</v>
      </c>
      <c r="B9">
        <v>0</v>
      </c>
      <c r="C9" s="8">
        <f t="shared" si="0"/>
        <v>0</v>
      </c>
      <c r="D9" s="8">
        <f t="shared" si="1"/>
        <v>0</v>
      </c>
      <c r="E9">
        <v>70</v>
      </c>
      <c r="F9">
        <v>0.36</v>
      </c>
      <c r="G9" s="8">
        <f t="shared" si="2"/>
        <v>25.2</v>
      </c>
      <c r="H9">
        <v>0.02</v>
      </c>
      <c r="I9" s="9">
        <f t="shared" si="3"/>
        <v>0.79200000000000004</v>
      </c>
      <c r="J9" s="9">
        <f t="shared" si="4"/>
        <v>245.52</v>
      </c>
      <c r="K9" s="9">
        <f t="shared" si="5"/>
        <v>236.01600000000002</v>
      </c>
      <c r="L9" s="10">
        <f t="shared" si="6"/>
        <v>245.52</v>
      </c>
      <c r="M9" s="10">
        <f t="shared" si="7"/>
        <v>236.01600000000002</v>
      </c>
    </row>
    <row r="10" spans="1:13" x14ac:dyDescent="0.25">
      <c r="A10" s="3" t="s">
        <v>129</v>
      </c>
      <c r="B10">
        <v>1</v>
      </c>
      <c r="C10" s="8">
        <f t="shared" si="0"/>
        <v>21</v>
      </c>
      <c r="D10" s="8">
        <f t="shared" si="1"/>
        <v>25</v>
      </c>
      <c r="E10">
        <v>70</v>
      </c>
      <c r="F10">
        <v>0.36</v>
      </c>
      <c r="G10" s="8">
        <f t="shared" si="2"/>
        <v>25.2</v>
      </c>
      <c r="H10">
        <v>0.02</v>
      </c>
      <c r="I10" s="9">
        <f t="shared" si="3"/>
        <v>0.79200000000000004</v>
      </c>
      <c r="J10" s="9">
        <f t="shared" si="4"/>
        <v>245.52</v>
      </c>
      <c r="K10" s="9">
        <f t="shared" si="5"/>
        <v>236.01600000000002</v>
      </c>
      <c r="L10" s="10">
        <f t="shared" si="6"/>
        <v>266.52</v>
      </c>
      <c r="M10" s="10">
        <f t="shared" si="7"/>
        <v>261.01600000000002</v>
      </c>
    </row>
    <row r="11" spans="1:13" x14ac:dyDescent="0.25">
      <c r="A11" s="3" t="s">
        <v>130</v>
      </c>
      <c r="B11">
        <v>2</v>
      </c>
      <c r="C11" s="8">
        <f t="shared" si="0"/>
        <v>42</v>
      </c>
      <c r="D11" s="8">
        <f t="shared" si="1"/>
        <v>50</v>
      </c>
      <c r="E11">
        <v>70</v>
      </c>
      <c r="F11">
        <v>0.36</v>
      </c>
      <c r="G11" s="8">
        <f t="shared" si="2"/>
        <v>25.2</v>
      </c>
      <c r="H11">
        <v>0.02</v>
      </c>
      <c r="I11" s="9">
        <f t="shared" si="3"/>
        <v>0.79200000000000004</v>
      </c>
      <c r="J11" s="9">
        <f t="shared" si="4"/>
        <v>245.52</v>
      </c>
      <c r="K11" s="9">
        <f t="shared" si="5"/>
        <v>236.01600000000002</v>
      </c>
      <c r="L11" s="10">
        <f t="shared" si="6"/>
        <v>287.52</v>
      </c>
      <c r="M11" s="10">
        <f t="shared" si="7"/>
        <v>286.01600000000002</v>
      </c>
    </row>
    <row r="12" spans="1:13" x14ac:dyDescent="0.25">
      <c r="A12" s="3" t="s">
        <v>131</v>
      </c>
      <c r="B12">
        <v>1.2E-2</v>
      </c>
      <c r="C12" s="8">
        <f t="shared" si="0"/>
        <v>0.252</v>
      </c>
      <c r="D12" s="8">
        <f t="shared" si="1"/>
        <v>0.3</v>
      </c>
      <c r="E12">
        <v>0.6</v>
      </c>
      <c r="F12">
        <v>0.42</v>
      </c>
      <c r="G12" s="8">
        <f t="shared" si="2"/>
        <v>0.252</v>
      </c>
      <c r="H12">
        <v>0.02</v>
      </c>
      <c r="I12" s="9">
        <f t="shared" si="3"/>
        <v>7.92E-3</v>
      </c>
      <c r="J12" s="9">
        <f t="shared" si="4"/>
        <v>2.4552</v>
      </c>
      <c r="K12" s="9">
        <f t="shared" si="5"/>
        <v>2.36016</v>
      </c>
      <c r="L12" s="10">
        <f t="shared" si="6"/>
        <v>2.7072000000000003</v>
      </c>
      <c r="M12" s="10">
        <f t="shared" si="7"/>
        <v>2.6601599999999999</v>
      </c>
    </row>
    <row r="13" spans="1:13" x14ac:dyDescent="0.25">
      <c r="A13" s="3" t="s">
        <v>132</v>
      </c>
      <c r="B13">
        <v>1.7999999999999999E-2</v>
      </c>
      <c r="C13" s="8">
        <f t="shared" si="0"/>
        <v>0.37799999999999995</v>
      </c>
      <c r="D13" s="8">
        <f t="shared" si="1"/>
        <v>0.44999999999999996</v>
      </c>
      <c r="E13">
        <v>0.6</v>
      </c>
      <c r="F13">
        <v>0.42</v>
      </c>
      <c r="G13" s="8">
        <f t="shared" si="2"/>
        <v>0.252</v>
      </c>
      <c r="H13">
        <v>0.02</v>
      </c>
      <c r="I13" s="9">
        <f t="shared" si="3"/>
        <v>7.92E-3</v>
      </c>
      <c r="J13" s="9">
        <f t="shared" si="4"/>
        <v>2.4552</v>
      </c>
      <c r="K13" s="9">
        <f t="shared" si="5"/>
        <v>2.36016</v>
      </c>
      <c r="L13" s="10">
        <f t="shared" si="6"/>
        <v>2.8332000000000002</v>
      </c>
      <c r="M13" s="10">
        <f t="shared" si="7"/>
        <v>2.8101599999999998</v>
      </c>
    </row>
    <row r="14" spans="1:13" x14ac:dyDescent="0.25">
      <c r="A14" s="3" t="s">
        <v>133</v>
      </c>
      <c r="B14">
        <v>2.3E-2</v>
      </c>
      <c r="C14" s="8">
        <f t="shared" si="0"/>
        <v>0.48299999999999998</v>
      </c>
      <c r="D14" s="8">
        <f t="shared" si="1"/>
        <v>0.57499999999999996</v>
      </c>
      <c r="E14">
        <v>0.6</v>
      </c>
      <c r="F14">
        <v>0.42</v>
      </c>
      <c r="G14" s="8">
        <f t="shared" si="2"/>
        <v>0.252</v>
      </c>
      <c r="H14">
        <v>0.02</v>
      </c>
      <c r="I14" s="9">
        <f t="shared" si="3"/>
        <v>7.92E-3</v>
      </c>
      <c r="J14" s="9">
        <f t="shared" si="4"/>
        <v>2.4552</v>
      </c>
      <c r="K14" s="9">
        <f t="shared" si="5"/>
        <v>2.36016</v>
      </c>
      <c r="L14" s="10">
        <f t="shared" si="6"/>
        <v>2.9382000000000001</v>
      </c>
      <c r="M14" s="10">
        <f t="shared" si="7"/>
        <v>2.9351599999999998</v>
      </c>
    </row>
    <row r="15" spans="1:13" x14ac:dyDescent="0.25">
      <c r="A15" s="3" t="s">
        <v>134</v>
      </c>
      <c r="B15">
        <v>0.1</v>
      </c>
      <c r="C15" s="8">
        <f t="shared" si="0"/>
        <v>2.1</v>
      </c>
      <c r="D15" s="8">
        <f t="shared" si="1"/>
        <v>2.5</v>
      </c>
      <c r="E15">
        <v>12</v>
      </c>
      <c r="F15">
        <v>1</v>
      </c>
      <c r="G15" s="8">
        <f t="shared" si="2"/>
        <v>12</v>
      </c>
      <c r="H15">
        <v>0.02</v>
      </c>
      <c r="I15" s="9">
        <f t="shared" si="3"/>
        <v>0.37714285714285711</v>
      </c>
      <c r="J15" s="9">
        <f t="shared" si="4"/>
        <v>116.91428571428571</v>
      </c>
      <c r="K15" s="9">
        <f t="shared" si="5"/>
        <v>112.38857142857142</v>
      </c>
      <c r="L15" s="10">
        <f t="shared" si="6"/>
        <v>119.01428571428571</v>
      </c>
      <c r="M15" s="10">
        <f t="shared" si="7"/>
        <v>114.88857142857142</v>
      </c>
    </row>
    <row r="16" spans="1:13" x14ac:dyDescent="0.25">
      <c r="A16" s="3" t="s">
        <v>135</v>
      </c>
      <c r="B16">
        <v>0.16</v>
      </c>
      <c r="C16" s="8">
        <f t="shared" si="0"/>
        <v>3.36</v>
      </c>
      <c r="D16" s="8">
        <f t="shared" si="1"/>
        <v>4</v>
      </c>
      <c r="E16">
        <v>12</v>
      </c>
      <c r="F16">
        <v>1</v>
      </c>
      <c r="G16" s="8">
        <f t="shared" si="2"/>
        <v>12</v>
      </c>
      <c r="H16">
        <v>0.02</v>
      </c>
      <c r="I16" s="9">
        <f t="shared" si="3"/>
        <v>0.37714285714285711</v>
      </c>
      <c r="J16" s="9">
        <f t="shared" si="4"/>
        <v>116.91428571428571</v>
      </c>
      <c r="K16" s="9">
        <f t="shared" si="5"/>
        <v>112.38857142857142</v>
      </c>
      <c r="L16" s="10">
        <f t="shared" si="6"/>
        <v>120.27428571428571</v>
      </c>
      <c r="M16" s="10">
        <f t="shared" si="7"/>
        <v>116.38857142857142</v>
      </c>
    </row>
    <row r="17" spans="1:13" x14ac:dyDescent="0.25">
      <c r="A17" s="3" t="s">
        <v>136</v>
      </c>
      <c r="B17">
        <v>0.21</v>
      </c>
      <c r="C17" s="8">
        <f t="shared" si="0"/>
        <v>4.41</v>
      </c>
      <c r="D17" s="8">
        <f t="shared" si="1"/>
        <v>5.25</v>
      </c>
      <c r="E17">
        <v>12</v>
      </c>
      <c r="F17">
        <v>1</v>
      </c>
      <c r="G17" s="8">
        <f t="shared" si="2"/>
        <v>12</v>
      </c>
      <c r="H17">
        <v>0.02</v>
      </c>
      <c r="I17" s="9">
        <f t="shared" si="3"/>
        <v>0.37714285714285711</v>
      </c>
      <c r="J17" s="9">
        <f t="shared" si="4"/>
        <v>116.91428571428571</v>
      </c>
      <c r="K17" s="9">
        <f t="shared" si="5"/>
        <v>112.38857142857142</v>
      </c>
      <c r="L17" s="10">
        <f t="shared" si="6"/>
        <v>121.32428571428571</v>
      </c>
      <c r="M17" s="10">
        <f t="shared" si="7"/>
        <v>117.63857142857142</v>
      </c>
    </row>
    <row r="18" spans="1:13" x14ac:dyDescent="0.25">
      <c r="A18" s="3" t="s">
        <v>137</v>
      </c>
      <c r="B18">
        <v>0</v>
      </c>
      <c r="C18" s="8">
        <f t="shared" si="0"/>
        <v>0</v>
      </c>
      <c r="D18" s="8">
        <f t="shared" si="1"/>
        <v>0</v>
      </c>
      <c r="E18">
        <v>16</v>
      </c>
      <c r="F18">
        <v>0.51</v>
      </c>
      <c r="G18" s="8">
        <f t="shared" si="2"/>
        <v>8.16</v>
      </c>
      <c r="H18">
        <v>0.02</v>
      </c>
      <c r="I18" s="9">
        <f t="shared" si="3"/>
        <v>0.25645714285714288</v>
      </c>
      <c r="J18" s="9">
        <f t="shared" si="4"/>
        <v>79.5017142857143</v>
      </c>
      <c r="K18" s="9">
        <f t="shared" si="5"/>
        <v>76.424228571428586</v>
      </c>
      <c r="L18" s="10">
        <f t="shared" si="6"/>
        <v>79.5017142857143</v>
      </c>
      <c r="M18" s="10">
        <f t="shared" si="7"/>
        <v>76.424228571428586</v>
      </c>
    </row>
    <row r="19" spans="1:13" x14ac:dyDescent="0.25">
      <c r="A19" s="3" t="s">
        <v>138</v>
      </c>
      <c r="B19">
        <v>1</v>
      </c>
      <c r="C19" s="8">
        <f t="shared" si="0"/>
        <v>21</v>
      </c>
      <c r="D19" s="8">
        <f t="shared" si="1"/>
        <v>25</v>
      </c>
      <c r="E19">
        <v>16</v>
      </c>
      <c r="F19">
        <v>0.51</v>
      </c>
      <c r="G19" s="8">
        <f t="shared" si="2"/>
        <v>8.16</v>
      </c>
      <c r="H19">
        <v>0.02</v>
      </c>
      <c r="I19" s="9">
        <f t="shared" si="3"/>
        <v>0.25645714285714288</v>
      </c>
      <c r="J19" s="9">
        <f t="shared" si="4"/>
        <v>79.5017142857143</v>
      </c>
      <c r="K19" s="9">
        <f t="shared" si="5"/>
        <v>76.424228571428586</v>
      </c>
      <c r="L19" s="10">
        <f t="shared" si="6"/>
        <v>100.5017142857143</v>
      </c>
      <c r="M19" s="10">
        <f t="shared" si="7"/>
        <v>101.42422857142859</v>
      </c>
    </row>
    <row r="20" spans="1:13" x14ac:dyDescent="0.25">
      <c r="A20" s="3" t="s">
        <v>139</v>
      </c>
      <c r="B20">
        <v>2</v>
      </c>
      <c r="C20" s="8">
        <f t="shared" si="0"/>
        <v>42</v>
      </c>
      <c r="D20" s="8">
        <f t="shared" si="1"/>
        <v>50</v>
      </c>
      <c r="E20">
        <v>16</v>
      </c>
      <c r="F20">
        <v>0.51</v>
      </c>
      <c r="G20" s="8">
        <f t="shared" si="2"/>
        <v>8.16</v>
      </c>
      <c r="H20">
        <v>0.02</v>
      </c>
      <c r="I20" s="9">
        <f t="shared" si="3"/>
        <v>0.25645714285714288</v>
      </c>
      <c r="J20" s="9">
        <f t="shared" si="4"/>
        <v>79.5017142857143</v>
      </c>
      <c r="K20" s="9">
        <f t="shared" si="5"/>
        <v>76.424228571428586</v>
      </c>
      <c r="L20" s="10">
        <f t="shared" si="6"/>
        <v>121.5017142857143</v>
      </c>
      <c r="M20" s="10">
        <f t="shared" si="7"/>
        <v>126.42422857142859</v>
      </c>
    </row>
    <row r="21" spans="1:13" x14ac:dyDescent="0.25">
      <c r="A21" s="3" t="s">
        <v>140</v>
      </c>
      <c r="B21">
        <v>0</v>
      </c>
      <c r="C21" s="8">
        <f t="shared" si="0"/>
        <v>0</v>
      </c>
      <c r="D21" s="8">
        <f t="shared" si="1"/>
        <v>0</v>
      </c>
      <c r="E21">
        <v>16</v>
      </c>
      <c r="F21">
        <v>0.4</v>
      </c>
      <c r="G21" s="8">
        <f t="shared" si="2"/>
        <v>6.4</v>
      </c>
      <c r="H21">
        <v>5.0000000000000001E-3</v>
      </c>
      <c r="I21" s="9">
        <f t="shared" si="3"/>
        <v>5.0285714285714281E-2</v>
      </c>
      <c r="J21" s="9">
        <f t="shared" si="4"/>
        <v>15.588571428571427</v>
      </c>
      <c r="K21" s="9">
        <f t="shared" si="5"/>
        <v>14.985142857142856</v>
      </c>
      <c r="L21" s="10">
        <f t="shared" si="6"/>
        <v>15.588571428571427</v>
      </c>
      <c r="M21" s="10">
        <f t="shared" si="7"/>
        <v>14.985142857142856</v>
      </c>
    </row>
    <row r="22" spans="1:13" x14ac:dyDescent="0.25">
      <c r="A22" s="3" t="s">
        <v>141</v>
      </c>
      <c r="B22">
        <v>1</v>
      </c>
      <c r="C22" s="8">
        <f t="shared" si="0"/>
        <v>21</v>
      </c>
      <c r="D22" s="8">
        <f t="shared" si="1"/>
        <v>25</v>
      </c>
      <c r="E22">
        <v>16</v>
      </c>
      <c r="F22">
        <v>0.4</v>
      </c>
      <c r="G22" s="8">
        <f t="shared" si="2"/>
        <v>6.4</v>
      </c>
      <c r="H22">
        <v>5.0000000000000001E-3</v>
      </c>
      <c r="I22" s="9">
        <f t="shared" si="3"/>
        <v>5.0285714285714281E-2</v>
      </c>
      <c r="J22" s="9">
        <f t="shared" si="4"/>
        <v>15.588571428571427</v>
      </c>
      <c r="K22" s="9">
        <f t="shared" si="5"/>
        <v>14.985142857142856</v>
      </c>
      <c r="L22" s="10">
        <f t="shared" si="6"/>
        <v>36.588571428571427</v>
      </c>
      <c r="M22" s="10">
        <f t="shared" si="7"/>
        <v>39.985142857142854</v>
      </c>
    </row>
    <row r="23" spans="1:13" x14ac:dyDescent="0.25">
      <c r="A23" s="3" t="s">
        <v>142</v>
      </c>
      <c r="B23">
        <v>2</v>
      </c>
      <c r="C23" s="8">
        <f t="shared" si="0"/>
        <v>42</v>
      </c>
      <c r="D23" s="8">
        <f t="shared" si="1"/>
        <v>50</v>
      </c>
      <c r="E23">
        <v>16</v>
      </c>
      <c r="F23">
        <v>0.4</v>
      </c>
      <c r="G23" s="8">
        <f t="shared" si="2"/>
        <v>6.4</v>
      </c>
      <c r="H23">
        <v>5.0000000000000001E-3</v>
      </c>
      <c r="I23" s="9">
        <f t="shared" si="3"/>
        <v>5.0285714285714281E-2</v>
      </c>
      <c r="J23" s="9">
        <f t="shared" si="4"/>
        <v>15.588571428571427</v>
      </c>
      <c r="K23" s="9">
        <f t="shared" si="5"/>
        <v>14.985142857142856</v>
      </c>
      <c r="L23" s="10">
        <f t="shared" si="6"/>
        <v>57.588571428571427</v>
      </c>
      <c r="M23" s="10">
        <f t="shared" si="7"/>
        <v>64.985142857142861</v>
      </c>
    </row>
    <row r="24" spans="1:13" x14ac:dyDescent="0.25">
      <c r="A24" s="3" t="s">
        <v>143</v>
      </c>
      <c r="B24">
        <v>1</v>
      </c>
      <c r="C24" s="8">
        <f t="shared" si="0"/>
        <v>21</v>
      </c>
      <c r="D24" s="8">
        <f t="shared" si="1"/>
        <v>25</v>
      </c>
      <c r="E24">
        <v>40</v>
      </c>
      <c r="F24">
        <v>0.99</v>
      </c>
      <c r="G24" s="8">
        <f t="shared" si="2"/>
        <v>39.6</v>
      </c>
      <c r="H24">
        <v>0.02</v>
      </c>
      <c r="I24" s="9">
        <f t="shared" si="3"/>
        <v>1.2445714285714284</v>
      </c>
      <c r="J24" s="9">
        <f t="shared" si="4"/>
        <v>385.81714285714281</v>
      </c>
      <c r="K24" s="9">
        <f t="shared" si="5"/>
        <v>370.88228571428567</v>
      </c>
      <c r="L24" s="10">
        <f t="shared" si="6"/>
        <v>406.81714285714281</v>
      </c>
      <c r="M24" s="10">
        <f t="shared" si="7"/>
        <v>395.88228571428567</v>
      </c>
    </row>
    <row r="25" spans="1:13" x14ac:dyDescent="0.25">
      <c r="A25" s="3" t="s">
        <v>144</v>
      </c>
      <c r="B25">
        <v>1</v>
      </c>
      <c r="C25" s="8">
        <f t="shared" si="0"/>
        <v>21</v>
      </c>
      <c r="D25" s="8">
        <f t="shared" si="1"/>
        <v>25</v>
      </c>
      <c r="E25">
        <v>40</v>
      </c>
      <c r="F25">
        <v>0.99</v>
      </c>
      <c r="G25" s="8">
        <f t="shared" si="2"/>
        <v>39.6</v>
      </c>
      <c r="H25" s="3">
        <v>0.02</v>
      </c>
      <c r="I25" s="9">
        <f t="shared" si="3"/>
        <v>1.2445714285714284</v>
      </c>
      <c r="J25" s="9">
        <f t="shared" si="4"/>
        <v>385.81714285714281</v>
      </c>
      <c r="K25" s="9">
        <f t="shared" si="5"/>
        <v>370.88228571428567</v>
      </c>
      <c r="L25" s="10">
        <f t="shared" si="6"/>
        <v>406.81714285714281</v>
      </c>
      <c r="M25" s="10">
        <f t="shared" si="7"/>
        <v>395.88228571428567</v>
      </c>
    </row>
    <row r="26" spans="1:13" x14ac:dyDescent="0.25">
      <c r="A26" s="3" t="s">
        <v>145</v>
      </c>
      <c r="B26">
        <v>2</v>
      </c>
      <c r="C26" s="8">
        <f t="shared" si="0"/>
        <v>42</v>
      </c>
      <c r="D26" s="8">
        <f t="shared" si="1"/>
        <v>50</v>
      </c>
      <c r="E26">
        <v>40</v>
      </c>
      <c r="F26">
        <v>0.99</v>
      </c>
      <c r="G26" s="8">
        <f t="shared" si="2"/>
        <v>39.6</v>
      </c>
      <c r="H26" s="3">
        <v>0.02</v>
      </c>
      <c r="I26" s="9">
        <f t="shared" si="3"/>
        <v>1.2445714285714284</v>
      </c>
      <c r="J26" s="9">
        <f t="shared" si="4"/>
        <v>385.81714285714281</v>
      </c>
      <c r="K26" s="9">
        <f t="shared" si="5"/>
        <v>370.88228571428567</v>
      </c>
      <c r="L26" s="10">
        <f t="shared" si="6"/>
        <v>427.81714285714281</v>
      </c>
      <c r="M26" s="10">
        <f t="shared" si="7"/>
        <v>420.88228571428567</v>
      </c>
    </row>
    <row r="27" spans="1:13" x14ac:dyDescent="0.25">
      <c r="A27" s="3" t="s">
        <v>146</v>
      </c>
      <c r="B27">
        <v>0.11</v>
      </c>
      <c r="C27" s="8">
        <f t="shared" si="0"/>
        <v>2.31</v>
      </c>
      <c r="D27" s="8">
        <f t="shared" si="1"/>
        <v>2.75</v>
      </c>
      <c r="E27">
        <v>40</v>
      </c>
      <c r="F27" s="3">
        <v>0.99</v>
      </c>
      <c r="G27" s="8">
        <f t="shared" si="2"/>
        <v>39.6</v>
      </c>
      <c r="H27" s="3">
        <v>0.02</v>
      </c>
      <c r="I27" s="9">
        <f t="shared" si="3"/>
        <v>1.2445714285714284</v>
      </c>
      <c r="J27" s="9">
        <f t="shared" si="4"/>
        <v>385.81714285714281</v>
      </c>
      <c r="K27" s="9">
        <f t="shared" si="5"/>
        <v>370.88228571428567</v>
      </c>
      <c r="L27" s="10">
        <f t="shared" si="6"/>
        <v>388.12714285714281</v>
      </c>
      <c r="M27" s="10">
        <f t="shared" si="7"/>
        <v>373.63228571428567</v>
      </c>
    </row>
    <row r="28" spans="1:13" x14ac:dyDescent="0.25">
      <c r="A28" s="3" t="s">
        <v>147</v>
      </c>
      <c r="B28">
        <v>0.17</v>
      </c>
      <c r="C28" s="8">
        <f t="shared" si="0"/>
        <v>3.5700000000000003</v>
      </c>
      <c r="D28" s="8">
        <f t="shared" si="1"/>
        <v>4.25</v>
      </c>
      <c r="E28">
        <v>40</v>
      </c>
      <c r="F28" s="3">
        <v>0.99</v>
      </c>
      <c r="G28" s="8">
        <f t="shared" si="2"/>
        <v>39.6</v>
      </c>
      <c r="H28" s="3">
        <v>0.02</v>
      </c>
      <c r="I28" s="9">
        <f t="shared" si="3"/>
        <v>1.2445714285714284</v>
      </c>
      <c r="J28" s="9">
        <f t="shared" si="4"/>
        <v>385.81714285714281</v>
      </c>
      <c r="K28" s="9">
        <f t="shared" si="5"/>
        <v>370.88228571428567</v>
      </c>
      <c r="L28" s="10">
        <f t="shared" si="6"/>
        <v>389.38714285714281</v>
      </c>
      <c r="M28" s="10">
        <f t="shared" si="7"/>
        <v>375.13228571428567</v>
      </c>
    </row>
    <row r="29" spans="1:13" x14ac:dyDescent="0.25">
      <c r="A29" s="3" t="s">
        <v>148</v>
      </c>
      <c r="B29">
        <v>0.22</v>
      </c>
      <c r="C29" s="8">
        <f t="shared" si="0"/>
        <v>4.62</v>
      </c>
      <c r="D29" s="8">
        <f t="shared" si="1"/>
        <v>5.5</v>
      </c>
      <c r="E29">
        <v>40</v>
      </c>
      <c r="F29" s="3">
        <v>0.99</v>
      </c>
      <c r="G29" s="8">
        <f t="shared" si="2"/>
        <v>39.6</v>
      </c>
      <c r="H29" s="3">
        <v>0.02</v>
      </c>
      <c r="I29" s="9">
        <f t="shared" si="3"/>
        <v>1.2445714285714284</v>
      </c>
      <c r="J29" s="9">
        <f t="shared" si="4"/>
        <v>385.81714285714281</v>
      </c>
      <c r="K29" s="9">
        <f t="shared" si="5"/>
        <v>370.88228571428567</v>
      </c>
      <c r="L29" s="10">
        <f t="shared" si="6"/>
        <v>390.43714285714282</v>
      </c>
      <c r="M29" s="10">
        <f t="shared" si="7"/>
        <v>376.38228571428567</v>
      </c>
    </row>
    <row r="30" spans="1:13" x14ac:dyDescent="0.25">
      <c r="A30" s="3" t="s">
        <v>149</v>
      </c>
      <c r="B30">
        <v>1.0900000000000001</v>
      </c>
      <c r="C30" s="8">
        <f t="shared" si="0"/>
        <v>22.89</v>
      </c>
      <c r="D30" s="8">
        <f t="shared" si="1"/>
        <v>27.250000000000004</v>
      </c>
      <c r="E30">
        <v>40</v>
      </c>
      <c r="F30" s="3">
        <v>0.99</v>
      </c>
      <c r="G30" s="8">
        <f t="shared" si="2"/>
        <v>39.6</v>
      </c>
      <c r="H30" s="3">
        <v>0.02</v>
      </c>
      <c r="I30" s="9">
        <f t="shared" si="3"/>
        <v>1.2445714285714284</v>
      </c>
      <c r="J30" s="9">
        <f t="shared" si="4"/>
        <v>385.81714285714281</v>
      </c>
      <c r="K30" s="9">
        <f t="shared" si="5"/>
        <v>370.88228571428567</v>
      </c>
      <c r="L30" s="10">
        <f t="shared" si="6"/>
        <v>408.7071428571428</v>
      </c>
      <c r="M30" s="10">
        <f t="shared" si="7"/>
        <v>398.13228571428567</v>
      </c>
    </row>
    <row r="31" spans="1:13" x14ac:dyDescent="0.25">
      <c r="A31" s="3" t="s">
        <v>150</v>
      </c>
      <c r="B31">
        <v>1.64</v>
      </c>
      <c r="C31" s="8">
        <f t="shared" si="0"/>
        <v>34.44</v>
      </c>
      <c r="D31" s="8">
        <f t="shared" si="1"/>
        <v>41</v>
      </c>
      <c r="E31">
        <v>40</v>
      </c>
      <c r="F31" s="3">
        <v>0.99</v>
      </c>
      <c r="G31" s="8">
        <f t="shared" si="2"/>
        <v>39.6</v>
      </c>
      <c r="H31" s="3">
        <v>0.02</v>
      </c>
      <c r="I31" s="9">
        <f t="shared" si="3"/>
        <v>1.2445714285714284</v>
      </c>
      <c r="J31" s="9">
        <f t="shared" si="4"/>
        <v>385.81714285714281</v>
      </c>
      <c r="K31" s="9">
        <f t="shared" si="5"/>
        <v>370.88228571428567</v>
      </c>
      <c r="L31" s="10">
        <f t="shared" si="6"/>
        <v>420.25714285714281</v>
      </c>
      <c r="M31" s="10">
        <f t="shared" si="7"/>
        <v>411.88228571428567</v>
      </c>
    </row>
    <row r="32" spans="1:13" x14ac:dyDescent="0.25">
      <c r="A32" s="3" t="s">
        <v>151</v>
      </c>
      <c r="B32">
        <v>2.1800000000000002</v>
      </c>
      <c r="C32" s="8">
        <f t="shared" si="0"/>
        <v>45.78</v>
      </c>
      <c r="D32" s="8">
        <f t="shared" si="1"/>
        <v>54.500000000000007</v>
      </c>
      <c r="E32">
        <v>40</v>
      </c>
      <c r="F32" s="3">
        <v>0.99</v>
      </c>
      <c r="G32" s="8">
        <f t="shared" si="2"/>
        <v>39.6</v>
      </c>
      <c r="H32" s="3">
        <v>0.02</v>
      </c>
      <c r="I32" s="9">
        <f t="shared" si="3"/>
        <v>1.2445714285714284</v>
      </c>
      <c r="J32" s="9">
        <f t="shared" si="4"/>
        <v>385.81714285714281</v>
      </c>
      <c r="K32" s="9">
        <f t="shared" si="5"/>
        <v>370.88228571428567</v>
      </c>
      <c r="L32" s="10">
        <f t="shared" si="6"/>
        <v>431.59714285714279</v>
      </c>
      <c r="M32" s="10">
        <f t="shared" si="7"/>
        <v>425.38228571428567</v>
      </c>
    </row>
    <row r="33" spans="1:13" x14ac:dyDescent="0.25">
      <c r="A33" s="3" t="s">
        <v>152</v>
      </c>
      <c r="B33">
        <v>0.6</v>
      </c>
      <c r="C33" s="8">
        <f t="shared" si="0"/>
        <v>12.6</v>
      </c>
      <c r="D33" s="8">
        <f t="shared" si="1"/>
        <v>15</v>
      </c>
      <c r="E33">
        <v>40</v>
      </c>
      <c r="F33" s="3">
        <v>0.99</v>
      </c>
      <c r="G33" s="8">
        <f t="shared" si="2"/>
        <v>39.6</v>
      </c>
      <c r="H33" s="3">
        <v>0.02</v>
      </c>
      <c r="I33" s="9">
        <f t="shared" si="3"/>
        <v>1.2445714285714284</v>
      </c>
      <c r="J33" s="9">
        <f t="shared" si="4"/>
        <v>385.81714285714281</v>
      </c>
      <c r="K33" s="9">
        <f t="shared" si="5"/>
        <v>370.88228571428567</v>
      </c>
      <c r="L33" s="10">
        <f t="shared" si="6"/>
        <v>398.41714285714284</v>
      </c>
      <c r="M33" s="10">
        <f t="shared" si="7"/>
        <v>385.88228571428567</v>
      </c>
    </row>
    <row r="34" spans="1:13" x14ac:dyDescent="0.25">
      <c r="A34" s="3" t="s">
        <v>153</v>
      </c>
      <c r="B34">
        <v>0.9</v>
      </c>
      <c r="C34" s="8">
        <f t="shared" si="0"/>
        <v>18.900000000000002</v>
      </c>
      <c r="D34" s="8">
        <f t="shared" si="1"/>
        <v>22.5</v>
      </c>
      <c r="E34">
        <v>40</v>
      </c>
      <c r="F34" s="3">
        <v>0.99</v>
      </c>
      <c r="G34" s="8">
        <f t="shared" si="2"/>
        <v>39.6</v>
      </c>
      <c r="H34" s="3">
        <v>0.02</v>
      </c>
      <c r="I34" s="9">
        <f t="shared" si="3"/>
        <v>1.2445714285714284</v>
      </c>
      <c r="J34" s="9">
        <f t="shared" si="4"/>
        <v>385.81714285714281</v>
      </c>
      <c r="K34" s="9">
        <f t="shared" si="5"/>
        <v>370.88228571428567</v>
      </c>
      <c r="L34" s="10">
        <f t="shared" si="6"/>
        <v>404.71714285714279</v>
      </c>
      <c r="M34" s="10">
        <f t="shared" si="7"/>
        <v>393.38228571428567</v>
      </c>
    </row>
    <row r="35" spans="1:13" x14ac:dyDescent="0.25">
      <c r="A35" s="3" t="s">
        <v>154</v>
      </c>
      <c r="B35">
        <v>1.19</v>
      </c>
      <c r="C35" s="8">
        <f t="shared" si="0"/>
        <v>24.99</v>
      </c>
      <c r="D35" s="8">
        <f t="shared" si="1"/>
        <v>29.75</v>
      </c>
      <c r="E35">
        <v>40</v>
      </c>
      <c r="F35" s="3">
        <v>0.99</v>
      </c>
      <c r="G35" s="8">
        <f t="shared" si="2"/>
        <v>39.6</v>
      </c>
      <c r="H35" s="3">
        <v>0.02</v>
      </c>
      <c r="I35" s="9">
        <f t="shared" si="3"/>
        <v>1.2445714285714284</v>
      </c>
      <c r="J35" s="9">
        <f t="shared" si="4"/>
        <v>385.81714285714281</v>
      </c>
      <c r="K35" s="9">
        <f t="shared" si="5"/>
        <v>370.88228571428567</v>
      </c>
      <c r="L35" s="10">
        <f t="shared" si="6"/>
        <v>410.80714285714282</v>
      </c>
      <c r="M35" s="10">
        <f t="shared" si="7"/>
        <v>400.63228571428567</v>
      </c>
    </row>
  </sheetData>
  <mergeCells count="11">
    <mergeCell ref="B3:B4"/>
    <mergeCell ref="C3:D3"/>
    <mergeCell ref="B1:D1"/>
    <mergeCell ref="E3:E4"/>
    <mergeCell ref="F3:F4"/>
    <mergeCell ref="L3:M3"/>
    <mergeCell ref="H3:H4"/>
    <mergeCell ref="G3:G4"/>
    <mergeCell ref="I3:I4"/>
    <mergeCell ref="E1:K1"/>
    <mergeCell ref="J3:K3"/>
  </mergeCell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EG471"/>
  <sheetViews>
    <sheetView zoomScale="70" zoomScaleNormal="70" workbookViewId="0">
      <selection activeCell="B2" sqref="B2:AL3"/>
    </sheetView>
  </sheetViews>
  <sheetFormatPr baseColWidth="10" defaultColWidth="11.42578125" defaultRowHeight="15" x14ac:dyDescent="0.25"/>
  <cols>
    <col min="1" max="1" width="5.5703125" style="97" customWidth="1"/>
    <col min="2" max="2" width="37.85546875" style="98" customWidth="1"/>
    <col min="3" max="3" width="59.42578125" style="98" customWidth="1"/>
    <col min="4" max="4" width="16.42578125" style="98" customWidth="1"/>
    <col min="5" max="5" width="20.7109375" style="98" customWidth="1"/>
    <col min="6" max="16" width="14.42578125" style="98" hidden="1" customWidth="1"/>
    <col min="17" max="17" width="16.7109375" style="98" hidden="1" customWidth="1"/>
    <col min="18" max="18" width="10" style="98" hidden="1" customWidth="1"/>
    <col min="19" max="19" width="13.42578125" style="98" hidden="1" customWidth="1"/>
    <col min="20" max="20" width="13" style="98" hidden="1" customWidth="1"/>
    <col min="21" max="21" width="11.42578125" style="98" hidden="1" customWidth="1"/>
    <col min="22" max="22" width="16.140625" style="93" hidden="1" customWidth="1"/>
    <col min="23" max="23" width="17" style="98" hidden="1" customWidth="1"/>
    <col min="24" max="24" width="15.85546875" style="98" customWidth="1"/>
    <col min="25" max="25" width="15.7109375" style="98" customWidth="1"/>
    <col min="26" max="26" width="16.140625" style="98" hidden="1" customWidth="1"/>
    <col min="27" max="27" width="13.85546875" style="94" customWidth="1"/>
    <col min="28" max="28" width="14" style="94" customWidth="1"/>
    <col min="29" max="29" width="15.85546875" style="98" hidden="1" customWidth="1"/>
    <col min="30" max="30" width="12.85546875" style="94" hidden="1" customWidth="1"/>
    <col min="31" max="31" width="18.85546875" style="95" customWidth="1"/>
    <col min="32" max="32" width="20.5703125" style="98" customWidth="1"/>
    <col min="33" max="33" width="17.140625" style="98" hidden="1" customWidth="1"/>
    <col min="34" max="35" width="12.85546875" style="96" customWidth="1"/>
    <col min="36" max="36" width="16.7109375" style="98" hidden="1" customWidth="1"/>
    <col min="37" max="37" width="12.85546875" style="94" hidden="1" customWidth="1"/>
    <col min="38" max="38" width="11.42578125" style="98" customWidth="1"/>
    <col min="39" max="39" width="20.5703125" style="98" customWidth="1"/>
    <col min="40" max="40" width="17" style="98" hidden="1" customWidth="1"/>
    <col min="41" max="42" width="12.85546875" style="98" customWidth="1"/>
    <col min="43" max="43" width="16.140625" style="98" hidden="1" customWidth="1"/>
    <col min="44" max="44" width="15.140625" style="94" hidden="1" customWidth="1"/>
    <col min="45" max="45" width="11.42578125" style="98" customWidth="1"/>
    <col min="46" max="46" width="20.5703125" style="98" customWidth="1"/>
    <col min="47" max="47" width="16.140625" style="98" hidden="1" customWidth="1"/>
    <col min="48" max="48" width="12.85546875" style="94" customWidth="1"/>
    <col min="49" max="49" width="17.28515625" style="98" hidden="1" customWidth="1"/>
    <col min="50" max="50" width="12.85546875" style="94" hidden="1" customWidth="1"/>
    <col min="51" max="51" width="11.42578125" style="98" customWidth="1"/>
    <col min="52" max="52" width="20.5703125" style="98" customWidth="1"/>
    <col min="53" max="53" width="16.5703125" style="98" hidden="1" customWidth="1"/>
    <col min="54" max="54" width="12.85546875" style="94" customWidth="1"/>
    <col min="55" max="55" width="16" style="94" customWidth="1"/>
    <col min="56" max="56" width="17" style="98" hidden="1" customWidth="1"/>
    <col min="57" max="57" width="12.85546875" style="94" hidden="1" customWidth="1"/>
    <col min="58" max="58" width="21.5703125" style="98" customWidth="1"/>
    <col min="59" max="59" width="20" style="98" customWidth="1"/>
    <col min="60" max="60" width="16.5703125" style="99" customWidth="1"/>
    <col min="61" max="61" width="52.85546875" style="102" customWidth="1"/>
    <col min="62" max="62" width="18.5703125" style="178" customWidth="1"/>
    <col min="63" max="64" width="16.7109375" style="178" customWidth="1"/>
    <col min="65" max="66" width="11.7109375" style="169" customWidth="1"/>
    <col min="67" max="67" width="18.42578125" style="169" customWidth="1"/>
    <col min="68" max="68" width="16.28515625" style="178" customWidth="1"/>
    <col min="69" max="69" width="16" style="178" customWidth="1"/>
    <col min="70" max="70" width="13.42578125" style="178" customWidth="1"/>
    <col min="71" max="72" width="11.7109375" style="178" customWidth="1"/>
    <col min="73" max="73" width="14.85546875" style="178" bestFit="1" customWidth="1"/>
    <col min="74" max="78" width="11.7109375" style="178" customWidth="1"/>
    <col min="79" max="79" width="14.85546875" style="178" bestFit="1" customWidth="1"/>
    <col min="80" max="80" width="11.7109375" style="180" customWidth="1"/>
    <col min="81" max="82" width="11.7109375" style="178" customWidth="1"/>
    <col min="83" max="84" width="11.7109375" style="180" customWidth="1"/>
    <col min="85" max="85" width="14.85546875" style="180" bestFit="1" customWidth="1"/>
    <col min="86" max="86" width="11.7109375" style="180" customWidth="1"/>
    <col min="87" max="88" width="11.7109375" style="178" customWidth="1"/>
    <col min="89" max="90" width="11.7109375" style="180" customWidth="1"/>
    <col min="91" max="91" width="14.85546875" style="180" bestFit="1" customWidth="1"/>
    <col min="92" max="92" width="11.7109375" style="116" customWidth="1"/>
    <col min="93" max="95" width="11.7109375" style="100" customWidth="1"/>
    <col min="96" max="102" width="11.7109375" style="101" customWidth="1"/>
    <col min="103" max="103" width="11.42578125" style="101" customWidth="1"/>
    <col min="104" max="104" width="13.42578125" style="101" customWidth="1"/>
    <col min="105" max="105" width="14.85546875" style="101" customWidth="1"/>
    <col min="106" max="106" width="11.5703125" style="101" customWidth="1"/>
    <col min="107" max="114" width="11.42578125" style="101" customWidth="1"/>
    <col min="115" max="129" width="11.42578125" style="101"/>
    <col min="130" max="137" width="11.42578125" style="100"/>
    <col min="138" max="16384" width="11.42578125" style="98"/>
  </cols>
  <sheetData>
    <row r="2" spans="1:137" s="27" customFormat="1" ht="18.75" customHeight="1" x14ac:dyDescent="0.25">
      <c r="A2" s="26"/>
      <c r="B2" s="1648" t="s">
        <v>1339</v>
      </c>
      <c r="C2" s="1648"/>
      <c r="D2" s="1648"/>
      <c r="E2" s="1648"/>
      <c r="F2" s="1648"/>
      <c r="G2" s="1648"/>
      <c r="H2" s="1648"/>
      <c r="I2" s="1648"/>
      <c r="J2" s="1648"/>
      <c r="K2" s="1648"/>
      <c r="L2" s="1648"/>
      <c r="M2" s="1648"/>
      <c r="N2" s="1648"/>
      <c r="O2" s="1648"/>
      <c r="P2" s="1648"/>
      <c r="Q2" s="1648"/>
      <c r="R2" s="1648"/>
      <c r="S2" s="1648"/>
      <c r="T2" s="1648"/>
      <c r="U2" s="1648"/>
      <c r="V2" s="1648"/>
      <c r="W2" s="1648"/>
      <c r="X2" s="1648"/>
      <c r="Y2" s="1648"/>
      <c r="Z2" s="1648"/>
      <c r="AA2" s="1648"/>
      <c r="AB2" s="1648"/>
      <c r="AC2" s="1648"/>
      <c r="AD2" s="1648"/>
      <c r="AE2" s="1648"/>
      <c r="AF2" s="1648"/>
      <c r="AG2" s="1648"/>
      <c r="AH2" s="1648"/>
      <c r="AI2" s="1648"/>
      <c r="AJ2" s="1648"/>
      <c r="AK2" s="1648"/>
      <c r="AL2" s="1648"/>
      <c r="AM2" s="31"/>
      <c r="AN2" s="32"/>
      <c r="AO2" s="32"/>
      <c r="AP2" s="32"/>
      <c r="AQ2" s="32"/>
      <c r="AR2" s="33"/>
      <c r="AS2" s="30"/>
      <c r="AT2" s="31"/>
      <c r="AU2" s="32"/>
      <c r="AV2" s="33"/>
      <c r="AW2" s="32"/>
      <c r="AX2" s="33"/>
      <c r="AY2" s="30"/>
      <c r="AZ2" s="31"/>
      <c r="BA2" s="32"/>
      <c r="BB2" s="33"/>
      <c r="BC2" s="33"/>
      <c r="BD2" s="32"/>
      <c r="BE2" s="33"/>
      <c r="BF2" s="34"/>
      <c r="BG2" s="35"/>
      <c r="BH2" s="28"/>
      <c r="BI2" s="64"/>
      <c r="BJ2" s="168"/>
      <c r="BK2" s="168"/>
      <c r="BL2" s="168"/>
      <c r="BM2" s="169"/>
      <c r="BN2" s="169"/>
      <c r="BO2" s="169"/>
      <c r="BP2" s="168"/>
      <c r="BQ2" s="168"/>
      <c r="BR2" s="168"/>
      <c r="BS2" s="168"/>
      <c r="BT2" s="168"/>
      <c r="BU2" s="168"/>
      <c r="BV2" s="168"/>
      <c r="BW2" s="168"/>
      <c r="BX2" s="168"/>
      <c r="BY2" s="168"/>
      <c r="BZ2" s="168"/>
      <c r="CA2" s="168"/>
      <c r="CB2" s="170"/>
      <c r="CC2" s="168"/>
      <c r="CD2" s="168"/>
      <c r="CE2" s="170"/>
      <c r="CF2" s="170"/>
      <c r="CG2" s="170"/>
      <c r="CH2" s="170"/>
      <c r="CI2" s="168"/>
      <c r="CJ2" s="168"/>
      <c r="CK2" s="170"/>
      <c r="CL2" s="170"/>
      <c r="CM2" s="170"/>
      <c r="CN2" s="113"/>
      <c r="CO2" s="36"/>
      <c r="CP2" s="36"/>
      <c r="CQ2" s="36"/>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6"/>
      <c r="EA2" s="36"/>
      <c r="EB2" s="36"/>
      <c r="EC2" s="36"/>
      <c r="ED2" s="36"/>
      <c r="EE2" s="36"/>
      <c r="EF2" s="36"/>
      <c r="EG2" s="36"/>
    </row>
    <row r="3" spans="1:137" s="27" customFormat="1" ht="43.5" customHeight="1" x14ac:dyDescent="0.25">
      <c r="A3" s="26"/>
      <c r="B3" s="1648"/>
      <c r="C3" s="1648"/>
      <c r="D3" s="1648"/>
      <c r="E3" s="1648"/>
      <c r="F3" s="1648"/>
      <c r="G3" s="1648"/>
      <c r="H3" s="1648"/>
      <c r="I3" s="1648"/>
      <c r="J3" s="1648"/>
      <c r="K3" s="1648"/>
      <c r="L3" s="1648"/>
      <c r="M3" s="1648"/>
      <c r="N3" s="1648"/>
      <c r="O3" s="1648"/>
      <c r="P3" s="1648"/>
      <c r="Q3" s="1648"/>
      <c r="R3" s="1648"/>
      <c r="S3" s="1648"/>
      <c r="T3" s="1648"/>
      <c r="U3" s="1648"/>
      <c r="V3" s="1648"/>
      <c r="W3" s="1648"/>
      <c r="X3" s="1648"/>
      <c r="Y3" s="1648"/>
      <c r="Z3" s="1648"/>
      <c r="AA3" s="1648"/>
      <c r="AB3" s="1648"/>
      <c r="AC3" s="1648"/>
      <c r="AD3" s="1648"/>
      <c r="AE3" s="1648"/>
      <c r="AF3" s="1648"/>
      <c r="AG3" s="1648"/>
      <c r="AH3" s="1648"/>
      <c r="AI3" s="1648"/>
      <c r="AJ3" s="1648"/>
      <c r="AK3" s="1648"/>
      <c r="AL3" s="1648"/>
      <c r="AM3" s="39"/>
      <c r="AN3" s="40"/>
      <c r="AO3" s="40"/>
      <c r="AP3" s="40"/>
      <c r="AQ3" s="40"/>
      <c r="AR3" s="41"/>
      <c r="AS3" s="38"/>
      <c r="AT3" s="39"/>
      <c r="AU3" s="40"/>
      <c r="AV3" s="41"/>
      <c r="AW3" s="40"/>
      <c r="AX3" s="41"/>
      <c r="AY3" s="38"/>
      <c r="AZ3" s="39"/>
      <c r="BA3" s="40"/>
      <c r="BB3" s="41"/>
      <c r="BC3" s="41"/>
      <c r="BD3" s="40"/>
      <c r="BE3" s="41"/>
      <c r="BF3" s="42"/>
      <c r="BG3" s="32"/>
      <c r="BH3" s="28"/>
      <c r="BI3" s="64"/>
      <c r="BJ3" s="168"/>
      <c r="BK3" s="168"/>
      <c r="BL3" s="168"/>
      <c r="BM3" s="169"/>
      <c r="BN3" s="169"/>
      <c r="BO3" s="169"/>
      <c r="BP3" s="168"/>
      <c r="BQ3" s="168"/>
      <c r="BR3" s="168"/>
      <c r="BS3" s="168"/>
      <c r="BT3" s="168"/>
      <c r="BU3" s="168"/>
      <c r="BV3" s="168"/>
      <c r="BW3" s="168"/>
      <c r="BX3" s="168"/>
      <c r="BY3" s="168"/>
      <c r="BZ3" s="168"/>
      <c r="CA3" s="168"/>
      <c r="CB3" s="170"/>
      <c r="CC3" s="168"/>
      <c r="CD3" s="168"/>
      <c r="CE3" s="170"/>
      <c r="CF3" s="170"/>
      <c r="CG3" s="170"/>
      <c r="CH3" s="170"/>
      <c r="CI3" s="168"/>
      <c r="CJ3" s="168"/>
      <c r="CK3" s="170"/>
      <c r="CL3" s="170"/>
      <c r="CM3" s="170"/>
      <c r="CN3" s="113"/>
      <c r="CO3" s="36"/>
      <c r="CP3" s="36"/>
      <c r="CQ3" s="36"/>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6"/>
      <c r="EA3" s="36"/>
      <c r="EB3" s="36"/>
      <c r="EC3" s="36"/>
      <c r="ED3" s="36"/>
      <c r="EE3" s="36"/>
      <c r="EF3" s="36"/>
      <c r="EG3" s="36"/>
    </row>
    <row r="4" spans="1:137" s="26" customFormat="1" ht="18.75" customHeight="1" x14ac:dyDescent="0.25">
      <c r="A4" s="43"/>
      <c r="B4" s="31"/>
      <c r="C4" s="267"/>
      <c r="D4" s="43"/>
      <c r="E4" s="44"/>
      <c r="F4" s="44"/>
      <c r="G4" s="44"/>
      <c r="H4" s="44"/>
      <c r="I4" s="44"/>
      <c r="J4" s="44"/>
      <c r="K4" s="44"/>
      <c r="L4" s="44"/>
      <c r="M4" s="44"/>
      <c r="N4" s="44"/>
      <c r="O4" s="44"/>
      <c r="P4" s="44"/>
      <c r="Q4" s="44"/>
      <c r="R4" s="45"/>
      <c r="S4" s="44"/>
      <c r="T4" s="44"/>
      <c r="U4" s="44"/>
      <c r="V4" s="46"/>
      <c r="W4" s="46"/>
      <c r="X4" s="43"/>
      <c r="Y4" s="43"/>
      <c r="Z4" s="46"/>
      <c r="AA4" s="47"/>
      <c r="AB4" s="47"/>
      <c r="AC4" s="46"/>
      <c r="AD4" s="47"/>
      <c r="AE4" s="48"/>
      <c r="AF4" s="43"/>
      <c r="AG4" s="46"/>
      <c r="AH4" s="49"/>
      <c r="AI4" s="49"/>
      <c r="AJ4" s="46"/>
      <c r="AK4" s="47"/>
      <c r="AL4" s="43"/>
      <c r="AM4" s="43"/>
      <c r="AN4" s="46"/>
      <c r="AO4" s="46"/>
      <c r="AP4" s="46"/>
      <c r="AQ4" s="46"/>
      <c r="AR4" s="47"/>
      <c r="AS4" s="43"/>
      <c r="AT4" s="43"/>
      <c r="AU4" s="46"/>
      <c r="AV4" s="47"/>
      <c r="AW4" s="46"/>
      <c r="AX4" s="47"/>
      <c r="AY4" s="43"/>
      <c r="AZ4" s="43"/>
      <c r="BA4" s="46"/>
      <c r="BB4" s="47"/>
      <c r="BC4" s="47"/>
      <c r="BD4" s="46"/>
      <c r="BE4" s="47"/>
      <c r="BF4" s="50"/>
      <c r="BG4" s="51"/>
      <c r="BH4" s="28"/>
      <c r="BI4" s="164"/>
      <c r="BJ4" s="165"/>
      <c r="BK4" s="165"/>
      <c r="BL4" s="165"/>
      <c r="BM4" s="166"/>
      <c r="BN4" s="166"/>
      <c r="BO4" s="166"/>
      <c r="BP4" s="165"/>
      <c r="BQ4" s="165"/>
      <c r="BR4" s="165"/>
      <c r="BS4" s="165"/>
      <c r="BT4" s="165"/>
      <c r="BU4" s="165"/>
      <c r="BV4" s="165"/>
      <c r="BW4" s="165"/>
      <c r="BX4" s="165"/>
      <c r="BY4" s="165"/>
      <c r="BZ4" s="165"/>
      <c r="CA4" s="165"/>
      <c r="CB4" s="167"/>
      <c r="CC4" s="165"/>
      <c r="CD4" s="165"/>
      <c r="CE4" s="167"/>
      <c r="CF4" s="167"/>
      <c r="CG4" s="167"/>
      <c r="CH4" s="167"/>
      <c r="CI4" s="165"/>
      <c r="CJ4" s="165"/>
      <c r="CK4" s="167"/>
      <c r="CL4" s="167"/>
      <c r="CM4" s="167"/>
      <c r="CN4" s="112"/>
      <c r="CO4" s="29"/>
      <c r="CP4" s="29"/>
      <c r="CQ4" s="29"/>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9"/>
      <c r="EA4" s="29"/>
      <c r="EB4" s="29"/>
      <c r="EC4" s="29"/>
      <c r="ED4" s="29"/>
      <c r="EE4" s="29"/>
      <c r="EF4" s="29"/>
      <c r="EG4" s="29"/>
    </row>
    <row r="5" spans="1:137" s="27" customFormat="1" ht="18.75" customHeight="1" x14ac:dyDescent="0.25">
      <c r="A5" s="26"/>
      <c r="B5" s="1655" t="s">
        <v>647</v>
      </c>
      <c r="C5" s="1655"/>
      <c r="D5" s="1655"/>
      <c r="E5" s="1655"/>
      <c r="F5" s="1655"/>
      <c r="G5" s="1655"/>
      <c r="H5" s="1655"/>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BH5" s="28"/>
      <c r="BI5" s="64"/>
      <c r="BJ5" s="168"/>
      <c r="BK5" s="168"/>
      <c r="BL5" s="168"/>
      <c r="BM5" s="169"/>
      <c r="BN5" s="169"/>
      <c r="BO5" s="169"/>
      <c r="BP5" s="168"/>
      <c r="BQ5" s="168"/>
      <c r="BR5" s="168"/>
      <c r="BS5" s="168"/>
      <c r="BT5" s="168"/>
      <c r="BU5" s="168"/>
      <c r="BV5" s="168"/>
      <c r="BW5" s="168"/>
      <c r="BX5" s="168"/>
      <c r="BY5" s="168"/>
      <c r="BZ5" s="168"/>
      <c r="CA5" s="168"/>
      <c r="CB5" s="170"/>
      <c r="CC5" s="168"/>
      <c r="CD5" s="168"/>
      <c r="CE5" s="170"/>
      <c r="CF5" s="170"/>
      <c r="CG5" s="170"/>
      <c r="CH5" s="170"/>
      <c r="CI5" s="168"/>
      <c r="CJ5" s="168"/>
      <c r="CK5" s="170"/>
      <c r="CL5" s="170"/>
      <c r="CM5" s="170"/>
      <c r="CN5" s="113"/>
      <c r="CO5" s="36"/>
      <c r="CP5" s="36"/>
      <c r="CQ5" s="36"/>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6"/>
      <c r="EA5" s="36"/>
      <c r="EB5" s="36"/>
      <c r="EC5" s="36"/>
      <c r="ED5" s="36"/>
      <c r="EE5" s="36"/>
      <c r="EF5" s="36"/>
      <c r="EG5" s="36"/>
    </row>
    <row r="6" spans="1:137" s="27" customFormat="1" x14ac:dyDescent="0.25">
      <c r="A6" s="26"/>
      <c r="B6" s="415" t="s">
        <v>17</v>
      </c>
      <c r="C6" s="1650" t="str">
        <f>RESIDENCIAL!C6</f>
        <v>Chía</v>
      </c>
      <c r="D6" s="1651"/>
      <c r="E6" s="1651"/>
      <c r="F6" s="1651"/>
      <c r="G6" s="1651"/>
      <c r="H6" s="1651"/>
      <c r="I6" s="1651"/>
      <c r="J6" s="1651"/>
      <c r="K6" s="1652"/>
      <c r="L6" s="264" t="s">
        <v>16</v>
      </c>
      <c r="M6" s="265"/>
      <c r="N6" s="265"/>
      <c r="O6" s="265"/>
      <c r="P6" s="265"/>
      <c r="Q6" s="265"/>
      <c r="R6" s="265"/>
      <c r="S6" s="265"/>
      <c r="T6" s="265"/>
      <c r="U6" s="265"/>
      <c r="V6" s="265"/>
      <c r="W6" s="265"/>
      <c r="X6" s="415" t="s">
        <v>649</v>
      </c>
      <c r="Y6" s="1653" t="str">
        <f>RESIDENCIAL!Y6</f>
        <v>Cra 11 # 17 - 50</v>
      </c>
      <c r="Z6" s="1653"/>
      <c r="AA6" s="1653"/>
      <c r="AB6" s="1653"/>
      <c r="AC6" s="1653"/>
      <c r="AD6" s="1653"/>
      <c r="AE6" s="1653"/>
      <c r="AF6" s="1653"/>
      <c r="AG6" s="1653"/>
      <c r="AH6" s="1653"/>
      <c r="AI6" s="1653"/>
      <c r="AJ6" s="1653"/>
      <c r="AK6" s="1653"/>
      <c r="AL6" s="1653"/>
      <c r="BH6" s="28"/>
      <c r="BI6" s="64"/>
      <c r="BJ6" s="168"/>
      <c r="BK6" s="168"/>
      <c r="BL6" s="168"/>
      <c r="BM6" s="169"/>
      <c r="BN6" s="169"/>
      <c r="BO6" s="169"/>
      <c r="BP6" s="168"/>
      <c r="BQ6" s="168"/>
      <c r="BR6" s="168"/>
      <c r="BS6" s="168"/>
      <c r="BT6" s="168"/>
      <c r="BU6" s="168"/>
      <c r="BV6" s="168"/>
      <c r="BW6" s="168"/>
      <c r="BX6" s="168"/>
      <c r="BY6" s="168"/>
      <c r="BZ6" s="168"/>
      <c r="CA6" s="168"/>
      <c r="CB6" s="170"/>
      <c r="CC6" s="168"/>
      <c r="CD6" s="168"/>
      <c r="CE6" s="170"/>
      <c r="CF6" s="170"/>
      <c r="CG6" s="170"/>
      <c r="CH6" s="170"/>
      <c r="CI6" s="168"/>
      <c r="CJ6" s="168"/>
      <c r="CK6" s="170"/>
      <c r="CL6" s="170"/>
      <c r="CM6" s="170"/>
      <c r="CN6" s="113"/>
      <c r="CO6" s="36"/>
      <c r="CP6" s="36"/>
      <c r="CQ6" s="36"/>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6"/>
      <c r="EA6" s="36"/>
      <c r="EB6" s="36"/>
      <c r="EC6" s="36"/>
      <c r="ED6" s="36"/>
      <c r="EE6" s="36"/>
      <c r="EF6" s="36"/>
      <c r="EG6" s="36"/>
    </row>
    <row r="7" spans="1:137" s="27" customFormat="1" x14ac:dyDescent="0.25">
      <c r="A7" s="26"/>
      <c r="B7" s="415" t="s">
        <v>648</v>
      </c>
      <c r="C7" s="1650" t="str">
        <f>RESIDENCIAL!C7</f>
        <v>Secretaría de Medio Ambiente</v>
      </c>
      <c r="D7" s="1651"/>
      <c r="E7" s="1651"/>
      <c r="F7" s="1651"/>
      <c r="G7" s="1651"/>
      <c r="H7" s="1651"/>
      <c r="I7" s="1651"/>
      <c r="J7" s="1651"/>
      <c r="K7" s="1652"/>
      <c r="L7" s="264" t="s">
        <v>17</v>
      </c>
      <c r="M7" s="265"/>
      <c r="N7" s="265"/>
      <c r="O7" s="265"/>
      <c r="P7" s="265"/>
      <c r="Q7" s="265"/>
      <c r="R7" s="265"/>
      <c r="S7" s="265"/>
      <c r="T7" s="265"/>
      <c r="U7" s="265"/>
      <c r="V7" s="265"/>
      <c r="W7" s="265"/>
      <c r="X7" s="415" t="s">
        <v>16</v>
      </c>
      <c r="Y7" s="1653" t="str">
        <f>RESIDENCIAL!Y7</f>
        <v>8844444 - 3200</v>
      </c>
      <c r="Z7" s="1653"/>
      <c r="AA7" s="1653"/>
      <c r="AB7" s="1653"/>
      <c r="AC7" s="1653"/>
      <c r="AD7" s="1653"/>
      <c r="AE7" s="1653"/>
      <c r="AF7" s="1653"/>
      <c r="AG7" s="1653"/>
      <c r="AH7" s="1653"/>
      <c r="AI7" s="1653"/>
      <c r="AJ7" s="1653"/>
      <c r="AK7" s="1653"/>
      <c r="AL7" s="1653"/>
      <c r="BH7" s="28"/>
      <c r="BI7" s="64"/>
      <c r="BJ7" s="168"/>
      <c r="BK7" s="168"/>
      <c r="BL7" s="168"/>
      <c r="BM7" s="169"/>
      <c r="BN7" s="169"/>
      <c r="BO7" s="169"/>
      <c r="BP7" s="168"/>
      <c r="BQ7" s="168"/>
      <c r="BR7" s="168"/>
      <c r="BS7" s="168"/>
      <c r="BT7" s="168"/>
      <c r="BU7" s="168"/>
      <c r="BV7" s="168"/>
      <c r="BW7" s="168"/>
      <c r="BX7" s="168"/>
      <c r="BY7" s="168"/>
      <c r="BZ7" s="168"/>
      <c r="CA7" s="168"/>
      <c r="CB7" s="170"/>
      <c r="CC7" s="168"/>
      <c r="CD7" s="168"/>
      <c r="CE7" s="170"/>
      <c r="CF7" s="170"/>
      <c r="CG7" s="170"/>
      <c r="CH7" s="170"/>
      <c r="CI7" s="168"/>
      <c r="CJ7" s="168"/>
      <c r="CK7" s="170"/>
      <c r="CL7" s="170"/>
      <c r="CM7" s="170"/>
      <c r="CN7" s="113"/>
      <c r="CO7" s="36"/>
      <c r="CP7" s="36"/>
      <c r="CQ7" s="36"/>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6"/>
      <c r="EA7" s="36"/>
      <c r="EB7" s="36"/>
      <c r="EC7" s="36"/>
      <c r="ED7" s="36"/>
      <c r="EE7" s="36"/>
      <c r="EF7" s="36"/>
      <c r="EG7" s="36"/>
    </row>
    <row r="8" spans="1:137" s="27" customFormat="1" x14ac:dyDescent="0.25">
      <c r="A8" s="26"/>
      <c r="B8" s="415" t="s">
        <v>18</v>
      </c>
      <c r="C8" s="1650" t="str">
        <f>RESIDENCIAL!C8</f>
        <v>David Ricardo Murcia Cortés - Viviana Elisa Garzón</v>
      </c>
      <c r="D8" s="1651"/>
      <c r="E8" s="1651"/>
      <c r="F8" s="1651"/>
      <c r="G8" s="1651"/>
      <c r="H8" s="1651"/>
      <c r="I8" s="1651"/>
      <c r="J8" s="1651"/>
      <c r="K8" s="1652"/>
      <c r="L8" s="264" t="s">
        <v>19</v>
      </c>
      <c r="M8" s="265"/>
      <c r="N8" s="265"/>
      <c r="O8" s="265"/>
      <c r="P8" s="265"/>
      <c r="Q8" s="265"/>
      <c r="R8" s="265"/>
      <c r="S8" s="265"/>
      <c r="T8" s="265"/>
      <c r="U8" s="265"/>
      <c r="V8" s="265"/>
      <c r="W8" s="265"/>
      <c r="X8" s="415" t="s">
        <v>19</v>
      </c>
      <c r="Y8" s="1653">
        <f>RESIDENCIAL!Y8</f>
        <v>3174291112</v>
      </c>
      <c r="Z8" s="1653"/>
      <c r="AA8" s="1653"/>
      <c r="AB8" s="1653"/>
      <c r="AC8" s="1653"/>
      <c r="AD8" s="1653"/>
      <c r="AE8" s="1653"/>
      <c r="AF8" s="1653"/>
      <c r="AG8" s="1653"/>
      <c r="AH8" s="1653"/>
      <c r="AI8" s="1653"/>
      <c r="AJ8" s="1653"/>
      <c r="AK8" s="1653"/>
      <c r="AL8" s="1653"/>
      <c r="BH8" s="28"/>
      <c r="BI8" s="64"/>
      <c r="BJ8" s="168"/>
      <c r="BK8" s="168"/>
      <c r="BL8" s="168"/>
      <c r="BM8" s="169"/>
      <c r="BN8" s="169"/>
      <c r="BO8" s="169"/>
      <c r="BP8" s="168"/>
      <c r="BQ8" s="168"/>
      <c r="BR8" s="168"/>
      <c r="BS8" s="168"/>
      <c r="BT8" s="168"/>
      <c r="BU8" s="168"/>
      <c r="BV8" s="168"/>
      <c r="BW8" s="168"/>
      <c r="BX8" s="168"/>
      <c r="BY8" s="168"/>
      <c r="BZ8" s="168"/>
      <c r="CA8" s="168"/>
      <c r="CB8" s="170"/>
      <c r="CC8" s="168"/>
      <c r="CD8" s="168"/>
      <c r="CE8" s="170"/>
      <c r="CF8" s="170"/>
      <c r="CG8" s="170"/>
      <c r="CH8" s="170"/>
      <c r="CI8" s="168"/>
      <c r="CJ8" s="168"/>
      <c r="CK8" s="170"/>
      <c r="CL8" s="170"/>
      <c r="CM8" s="170"/>
      <c r="CN8" s="113"/>
      <c r="CO8" s="36"/>
      <c r="CP8" s="36"/>
      <c r="CQ8" s="36"/>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6"/>
      <c r="EA8" s="36"/>
      <c r="EB8" s="36"/>
      <c r="EC8" s="36"/>
      <c r="ED8" s="36"/>
      <c r="EE8" s="36"/>
      <c r="EF8" s="36"/>
      <c r="EG8" s="36"/>
    </row>
    <row r="9" spans="1:137" s="27" customFormat="1" x14ac:dyDescent="0.25">
      <c r="A9" s="26"/>
      <c r="B9" s="415" t="s">
        <v>20</v>
      </c>
      <c r="C9" s="1650" t="str">
        <f>RESIDENCIAL!C9</f>
        <v>Profesional Universitario - Profesional Universitario</v>
      </c>
      <c r="D9" s="1651"/>
      <c r="E9" s="1651"/>
      <c r="F9" s="1651"/>
      <c r="G9" s="1651"/>
      <c r="H9" s="1651"/>
      <c r="I9" s="1651"/>
      <c r="J9" s="1651"/>
      <c r="K9" s="1652"/>
      <c r="L9" s="264" t="s">
        <v>21</v>
      </c>
      <c r="M9" s="265"/>
      <c r="N9" s="265"/>
      <c r="O9" s="265"/>
      <c r="P9" s="265"/>
      <c r="Q9" s="265"/>
      <c r="R9" s="265"/>
      <c r="S9" s="265"/>
      <c r="T9" s="265"/>
      <c r="U9" s="265"/>
      <c r="V9" s="265"/>
      <c r="W9" s="265"/>
      <c r="X9" s="415" t="s">
        <v>21</v>
      </c>
      <c r="Y9" s="1653">
        <f>RESIDENCIAL!Y9</f>
        <v>2019</v>
      </c>
      <c r="Z9" s="1653"/>
      <c r="AA9" s="1653"/>
      <c r="AB9" s="1653"/>
      <c r="AC9" s="1653"/>
      <c r="AD9" s="1653"/>
      <c r="AE9" s="1653"/>
      <c r="AF9" s="1653"/>
      <c r="AG9" s="1653"/>
      <c r="AH9" s="1653"/>
      <c r="AI9" s="1653"/>
      <c r="AJ9" s="1653"/>
      <c r="AK9" s="1653"/>
      <c r="AL9" s="1653"/>
      <c r="BH9" s="28"/>
      <c r="BI9" s="64"/>
      <c r="BJ9" s="168"/>
      <c r="BK9" s="168"/>
      <c r="BL9" s="168"/>
      <c r="BM9" s="169"/>
      <c r="BN9" s="169"/>
      <c r="BO9" s="169"/>
      <c r="BP9" s="168"/>
      <c r="BQ9" s="168"/>
      <c r="BR9" s="168"/>
      <c r="BS9" s="168"/>
      <c r="BT9" s="168"/>
      <c r="BU9" s="168"/>
      <c r="BV9" s="168"/>
      <c r="BW9" s="168"/>
      <c r="BX9" s="168"/>
      <c r="BY9" s="168"/>
      <c r="BZ9" s="168"/>
      <c r="CA9" s="168"/>
      <c r="CB9" s="170"/>
      <c r="CC9" s="168"/>
      <c r="CD9" s="168"/>
      <c r="CE9" s="170"/>
      <c r="CF9" s="170"/>
      <c r="CG9" s="170"/>
      <c r="CH9" s="170"/>
      <c r="CI9" s="168"/>
      <c r="CJ9" s="168"/>
      <c r="CK9" s="170"/>
      <c r="CL9" s="170"/>
      <c r="CM9" s="170"/>
      <c r="CN9" s="113"/>
      <c r="CO9" s="36"/>
      <c r="CP9" s="36"/>
      <c r="CQ9" s="36"/>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6"/>
      <c r="EA9" s="36"/>
      <c r="EB9" s="36"/>
      <c r="EC9" s="36"/>
      <c r="ED9" s="36"/>
      <c r="EE9" s="36"/>
      <c r="EF9" s="36"/>
      <c r="EG9" s="36"/>
    </row>
    <row r="10" spans="1:137" s="27" customFormat="1" x14ac:dyDescent="0.25">
      <c r="A10" s="26"/>
      <c r="B10" s="415" t="s">
        <v>121</v>
      </c>
      <c r="C10" s="1650" t="str">
        <f>RESIDENCIAL!C10</f>
        <v>david.murcia@chia.gov.co, viviana.garzon@chia.gov.co</v>
      </c>
      <c r="D10" s="1651"/>
      <c r="E10" s="1651"/>
      <c r="F10" s="1651"/>
      <c r="G10" s="1651"/>
      <c r="H10" s="1651"/>
      <c r="I10" s="1651"/>
      <c r="J10" s="1651"/>
      <c r="K10" s="1652"/>
      <c r="L10" s="264" t="s">
        <v>22</v>
      </c>
      <c r="M10" s="266"/>
      <c r="N10" s="265"/>
      <c r="O10" s="265"/>
      <c r="P10" s="265"/>
      <c r="Q10" s="265"/>
      <c r="R10" s="265"/>
      <c r="S10" s="265"/>
      <c r="T10" s="265"/>
      <c r="U10" s="265"/>
      <c r="V10" s="265"/>
      <c r="W10" s="265"/>
      <c r="X10" s="415" t="s">
        <v>22</v>
      </c>
      <c r="Y10" s="1654">
        <f>RESIDENCIAL!Y10</f>
        <v>44386</v>
      </c>
      <c r="Z10" s="1654"/>
      <c r="AA10" s="1654"/>
      <c r="AB10" s="1654"/>
      <c r="AC10" s="1654"/>
      <c r="AD10" s="1654"/>
      <c r="AE10" s="1654"/>
      <c r="AF10" s="1654"/>
      <c r="AG10" s="1654"/>
      <c r="AH10" s="1654"/>
      <c r="AI10" s="1654"/>
      <c r="AJ10" s="1654"/>
      <c r="AK10" s="1654"/>
      <c r="AL10" s="1654"/>
      <c r="BH10" s="28"/>
      <c r="BI10" s="64"/>
      <c r="BJ10" s="168"/>
      <c r="BK10" s="168"/>
      <c r="BL10" s="168"/>
      <c r="BM10" s="169"/>
      <c r="BN10" s="169"/>
      <c r="BO10" s="169"/>
      <c r="BP10" s="171"/>
      <c r="BQ10" s="171"/>
      <c r="BR10" s="171"/>
      <c r="BS10" s="171"/>
      <c r="BT10" s="171"/>
      <c r="BU10" s="171"/>
      <c r="BV10" s="168"/>
      <c r="BW10" s="171"/>
      <c r="BX10" s="171"/>
      <c r="BY10" s="168"/>
      <c r="BZ10" s="168"/>
      <c r="CA10" s="168"/>
      <c r="CB10" s="170"/>
      <c r="CC10" s="171"/>
      <c r="CD10" s="171"/>
      <c r="CE10" s="170"/>
      <c r="CF10" s="170"/>
      <c r="CG10" s="170"/>
      <c r="CH10" s="170"/>
      <c r="CI10" s="171"/>
      <c r="CJ10" s="171"/>
      <c r="CK10" s="170"/>
      <c r="CL10" s="170"/>
      <c r="CM10" s="170"/>
      <c r="CN10" s="113"/>
      <c r="CO10" s="36"/>
      <c r="CP10" s="36"/>
      <c r="CQ10" s="36"/>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6"/>
      <c r="EA10" s="36"/>
      <c r="EB10" s="36"/>
      <c r="EC10" s="36"/>
      <c r="ED10" s="36"/>
      <c r="EE10" s="36"/>
      <c r="EF10" s="36"/>
      <c r="EG10" s="36"/>
    </row>
    <row r="11" spans="1:137" s="26" customFormat="1" x14ac:dyDescent="0.25">
      <c r="B11" s="52"/>
      <c r="C11" s="53"/>
      <c r="D11" s="53"/>
      <c r="E11" s="54"/>
      <c r="F11" s="54"/>
      <c r="G11" s="54"/>
      <c r="H11" s="54"/>
      <c r="I11" s="54"/>
      <c r="J11" s="54"/>
      <c r="K11" s="54"/>
      <c r="L11" s="54"/>
      <c r="M11" s="54"/>
      <c r="N11" s="54"/>
      <c r="O11" s="54"/>
      <c r="P11" s="54"/>
      <c r="Q11" s="54"/>
      <c r="R11" s="55"/>
      <c r="S11" s="54"/>
      <c r="T11" s="54"/>
      <c r="U11" s="54"/>
      <c r="V11" s="56"/>
      <c r="W11" s="56"/>
      <c r="X11" s="53"/>
      <c r="Y11" s="57"/>
      <c r="Z11" s="58"/>
      <c r="AA11" s="59"/>
      <c r="AB11" s="59"/>
      <c r="AC11" s="58"/>
      <c r="AD11" s="59"/>
      <c r="AE11" s="60"/>
      <c r="AF11" s="57"/>
      <c r="AG11" s="58"/>
      <c r="AH11" s="61"/>
      <c r="AI11" s="61"/>
      <c r="AJ11" s="58"/>
      <c r="AK11" s="59"/>
      <c r="AL11" s="53"/>
      <c r="AM11" s="57"/>
      <c r="AN11" s="58"/>
      <c r="AO11" s="58"/>
      <c r="AP11" s="58"/>
      <c r="AQ11" s="58"/>
      <c r="AR11" s="59"/>
      <c r="AS11" s="53"/>
      <c r="AT11" s="57"/>
      <c r="AU11" s="58"/>
      <c r="AV11" s="59"/>
      <c r="AW11" s="58"/>
      <c r="AX11" s="59"/>
      <c r="AY11" s="53"/>
      <c r="AZ11" s="57"/>
      <c r="BA11" s="58"/>
      <c r="BB11" s="59"/>
      <c r="BC11" s="59"/>
      <c r="BD11" s="58"/>
      <c r="BE11" s="59"/>
      <c r="BF11" s="62"/>
      <c r="BG11" s="63"/>
      <c r="BH11" s="28"/>
      <c r="BI11" s="164"/>
      <c r="BJ11" s="165"/>
      <c r="BK11" s="165"/>
      <c r="BL11" s="165"/>
      <c r="BM11" s="166"/>
      <c r="BN11" s="166"/>
      <c r="BO11" s="166"/>
      <c r="BP11" s="172"/>
      <c r="BQ11" s="172"/>
      <c r="BR11" s="172"/>
      <c r="BS11" s="172"/>
      <c r="BT11" s="172"/>
      <c r="BU11" s="172"/>
      <c r="BV11" s="165"/>
      <c r="BW11" s="172"/>
      <c r="BX11" s="172"/>
      <c r="BY11" s="165"/>
      <c r="BZ11" s="165"/>
      <c r="CA11" s="165"/>
      <c r="CB11" s="167"/>
      <c r="CC11" s="172"/>
      <c r="CD11" s="172"/>
      <c r="CE11" s="167"/>
      <c r="CF11" s="167"/>
      <c r="CG11" s="167"/>
      <c r="CH11" s="167"/>
      <c r="CI11" s="172"/>
      <c r="CJ11" s="172"/>
      <c r="CK11" s="167"/>
      <c r="CL11" s="167"/>
      <c r="CM11" s="167"/>
      <c r="CN11" s="112"/>
      <c r="CO11" s="29"/>
      <c r="CP11" s="29"/>
      <c r="CQ11" s="29"/>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9"/>
      <c r="EA11" s="29"/>
      <c r="EB11" s="29"/>
      <c r="EC11" s="29"/>
      <c r="ED11" s="29"/>
      <c r="EE11" s="29"/>
      <c r="EF11" s="29"/>
      <c r="EG11" s="29"/>
    </row>
    <row r="12" spans="1:137" s="64" customFormat="1" ht="30.75" customHeight="1" x14ac:dyDescent="0.25">
      <c r="A12" s="26"/>
      <c r="B12" s="1656" t="s">
        <v>23</v>
      </c>
      <c r="C12" s="1656"/>
      <c r="D12" s="1656"/>
      <c r="E12" s="1656"/>
      <c r="F12" s="1656"/>
      <c r="G12" s="1656"/>
      <c r="H12" s="1656"/>
      <c r="I12" s="1656"/>
      <c r="J12" s="1656"/>
      <c r="K12" s="1656"/>
      <c r="L12" s="1656"/>
      <c r="M12" s="1656"/>
      <c r="N12" s="1656"/>
      <c r="O12" s="1656"/>
      <c r="P12" s="1656"/>
      <c r="Q12" s="1656"/>
      <c r="R12" s="1656"/>
      <c r="S12" s="1656"/>
      <c r="T12" s="1656"/>
      <c r="U12" s="1656"/>
      <c r="V12" s="1656"/>
      <c r="W12" s="1656"/>
      <c r="X12" s="1656"/>
      <c r="Y12" s="1656"/>
      <c r="Z12" s="1656"/>
      <c r="AA12" s="1656"/>
      <c r="AB12" s="1656"/>
      <c r="AC12" s="1656"/>
      <c r="AD12" s="1656"/>
      <c r="AE12" s="1656"/>
      <c r="AF12" s="1656"/>
      <c r="AG12" s="1656"/>
      <c r="AH12" s="1656"/>
      <c r="AI12" s="1656"/>
      <c r="AJ12" s="1656"/>
      <c r="AK12" s="1656"/>
      <c r="AL12" s="1656"/>
      <c r="AM12" s="1656"/>
      <c r="AN12" s="1656"/>
      <c r="AO12" s="1656"/>
      <c r="AP12" s="1656"/>
      <c r="AQ12" s="1656"/>
      <c r="AR12" s="1656"/>
      <c r="AS12" s="1656"/>
      <c r="AT12" s="1656"/>
      <c r="AU12" s="1656"/>
      <c r="AV12" s="1656"/>
      <c r="AW12" s="1656"/>
      <c r="AX12" s="1656"/>
      <c r="AY12" s="1656"/>
      <c r="AZ12" s="1656"/>
      <c r="BA12" s="1656"/>
      <c r="BB12" s="1656"/>
      <c r="BC12" s="1656"/>
      <c r="BD12" s="1656"/>
      <c r="BE12" s="1656"/>
      <c r="BF12" s="1656"/>
      <c r="BG12" s="1656"/>
      <c r="BH12" s="28"/>
      <c r="BJ12" s="168"/>
      <c r="BK12" s="168"/>
      <c r="BL12" s="168"/>
      <c r="BM12" s="169"/>
      <c r="BN12" s="169"/>
      <c r="BO12" s="169"/>
      <c r="BP12" s="168"/>
      <c r="BQ12" s="168"/>
      <c r="BR12" s="168"/>
      <c r="BS12" s="168"/>
      <c r="BT12" s="168"/>
      <c r="BU12" s="168"/>
      <c r="BV12" s="168"/>
      <c r="BW12" s="168"/>
      <c r="BX12" s="168"/>
      <c r="BY12" s="168"/>
      <c r="BZ12" s="168"/>
      <c r="CA12" s="168"/>
      <c r="CB12" s="170"/>
      <c r="CC12" s="168"/>
      <c r="CD12" s="168"/>
      <c r="CE12" s="170"/>
      <c r="CF12" s="170"/>
      <c r="CG12" s="170"/>
      <c r="CH12" s="170"/>
      <c r="CI12" s="168"/>
      <c r="CJ12" s="168"/>
      <c r="CK12" s="170"/>
      <c r="CL12" s="170"/>
      <c r="CM12" s="170"/>
      <c r="CN12" s="113"/>
      <c r="CO12" s="36"/>
      <c r="CP12" s="36"/>
      <c r="CQ12" s="36"/>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6"/>
      <c r="EA12" s="36"/>
      <c r="EB12" s="36"/>
      <c r="EC12" s="36"/>
      <c r="ED12" s="36"/>
      <c r="EE12" s="36"/>
      <c r="EF12" s="36"/>
      <c r="EG12" s="36"/>
    </row>
    <row r="13" spans="1:137" s="27" customFormat="1" ht="15.75" x14ac:dyDescent="0.25">
      <c r="A13" s="26"/>
      <c r="B13" s="503"/>
      <c r="C13" s="504"/>
      <c r="D13" s="504"/>
      <c r="E13" s="504"/>
      <c r="F13" s="504"/>
      <c r="G13" s="504"/>
      <c r="H13" s="504"/>
      <c r="I13" s="504"/>
      <c r="J13" s="504"/>
      <c r="K13" s="504"/>
      <c r="L13" s="504"/>
      <c r="M13" s="504"/>
      <c r="N13" s="504"/>
      <c r="O13" s="504"/>
      <c r="P13" s="504"/>
      <c r="Q13" s="504"/>
      <c r="R13" s="504"/>
      <c r="S13" s="504"/>
      <c r="T13" s="504"/>
      <c r="U13" s="504"/>
      <c r="V13" s="504"/>
      <c r="W13" s="504"/>
      <c r="X13" s="504"/>
      <c r="Y13" s="504"/>
      <c r="Z13" s="504"/>
      <c r="AA13" s="505"/>
      <c r="AB13" s="506"/>
      <c r="AC13" s="507"/>
      <c r="AD13" s="506"/>
      <c r="AE13" s="508"/>
      <c r="AF13" s="504"/>
      <c r="AG13" s="504"/>
      <c r="AH13" s="509"/>
      <c r="AI13" s="506"/>
      <c r="AJ13" s="507"/>
      <c r="AK13" s="506"/>
      <c r="AL13" s="504"/>
      <c r="AM13" s="504"/>
      <c r="AN13" s="504"/>
      <c r="AO13" s="504"/>
      <c r="AP13" s="506"/>
      <c r="AQ13" s="507"/>
      <c r="AR13" s="506"/>
      <c r="AS13" s="504"/>
      <c r="AT13" s="504"/>
      <c r="AU13" s="504"/>
      <c r="AV13" s="506"/>
      <c r="AW13" s="507"/>
      <c r="AX13" s="506"/>
      <c r="AY13" s="504"/>
      <c r="AZ13" s="504"/>
      <c r="BA13" s="510"/>
      <c r="BB13" s="511"/>
      <c r="BC13" s="506"/>
      <c r="BD13" s="507"/>
      <c r="BE13" s="506"/>
      <c r="BF13" s="506"/>
      <c r="BG13" s="512"/>
      <c r="BH13" s="28"/>
      <c r="BI13" s="64"/>
      <c r="BJ13" s="168"/>
      <c r="BK13" s="168"/>
      <c r="BL13" s="168"/>
      <c r="BM13" s="169"/>
      <c r="BN13" s="169"/>
      <c r="BO13" s="169"/>
      <c r="BP13" s="168"/>
      <c r="BQ13" s="168"/>
      <c r="BR13" s="168"/>
      <c r="BS13" s="168"/>
      <c r="BT13" s="168"/>
      <c r="BU13" s="168"/>
      <c r="BV13" s="168"/>
      <c r="BW13" s="168"/>
      <c r="BX13" s="168"/>
      <c r="BY13" s="168"/>
      <c r="BZ13" s="168"/>
      <c r="CA13" s="168"/>
      <c r="CB13" s="170"/>
      <c r="CC13" s="168"/>
      <c r="CD13" s="168"/>
      <c r="CE13" s="170"/>
      <c r="CF13" s="170"/>
      <c r="CG13" s="170"/>
      <c r="CH13" s="170"/>
      <c r="CI13" s="168"/>
      <c r="CJ13" s="168"/>
      <c r="CK13" s="170"/>
      <c r="CL13" s="170"/>
      <c r="CM13" s="170"/>
      <c r="CN13" s="113"/>
      <c r="CO13" s="36"/>
      <c r="CP13" s="36"/>
      <c r="CQ13" s="36"/>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6"/>
      <c r="EA13" s="36"/>
      <c r="EB13" s="36"/>
      <c r="EC13" s="36"/>
      <c r="ED13" s="36"/>
      <c r="EE13" s="36"/>
      <c r="EF13" s="36"/>
      <c r="EG13" s="36"/>
    </row>
    <row r="14" spans="1:137" s="64" customFormat="1" ht="21.75" customHeight="1" x14ac:dyDescent="0.25">
      <c r="A14" s="26"/>
      <c r="B14" s="1657" t="s">
        <v>48</v>
      </c>
      <c r="C14" s="1657"/>
      <c r="D14" s="1657"/>
      <c r="E14" s="1657"/>
      <c r="F14" s="1657"/>
      <c r="G14" s="1657"/>
      <c r="H14" s="1657"/>
      <c r="I14" s="1657"/>
      <c r="J14" s="1657"/>
      <c r="K14" s="1657"/>
      <c r="L14" s="1657"/>
      <c r="M14" s="1657"/>
      <c r="N14" s="1657"/>
      <c r="O14" s="1657"/>
      <c r="P14" s="1657"/>
      <c r="Q14" s="1657"/>
      <c r="R14" s="1657"/>
      <c r="S14" s="1657"/>
      <c r="T14" s="1657"/>
      <c r="U14" s="1657"/>
      <c r="V14" s="1657"/>
      <c r="W14" s="1657"/>
      <c r="X14" s="1657"/>
      <c r="Y14" s="1657"/>
      <c r="Z14" s="1657"/>
      <c r="AA14" s="1657"/>
      <c r="AB14" s="1657"/>
      <c r="AC14" s="1657"/>
      <c r="AD14" s="1657"/>
      <c r="AE14" s="1657"/>
      <c r="AF14" s="1657"/>
      <c r="AG14" s="1657"/>
      <c r="AH14" s="1657"/>
      <c r="AI14" s="1657"/>
      <c r="AJ14" s="1657"/>
      <c r="AK14" s="1657"/>
      <c r="AL14" s="1657"/>
      <c r="AM14" s="1657"/>
      <c r="AN14" s="1657"/>
      <c r="AO14" s="1657"/>
      <c r="AP14" s="1657"/>
      <c r="AQ14" s="1657"/>
      <c r="AR14" s="1657"/>
      <c r="AS14" s="1657"/>
      <c r="AT14" s="1657"/>
      <c r="AU14" s="1657"/>
      <c r="AV14" s="1657"/>
      <c r="AW14" s="1657"/>
      <c r="AX14" s="1657"/>
      <c r="AY14" s="1657"/>
      <c r="AZ14" s="1657"/>
      <c r="BA14" s="1657"/>
      <c r="BB14" s="1657"/>
      <c r="BC14" s="1657"/>
      <c r="BD14" s="1657"/>
      <c r="BE14" s="1657"/>
      <c r="BF14" s="1657"/>
      <c r="BG14" s="1657"/>
      <c r="BH14" s="28"/>
      <c r="BJ14" s="168"/>
      <c r="BK14" s="168"/>
      <c r="BL14" s="168"/>
      <c r="BM14" s="169"/>
      <c r="BN14" s="169"/>
      <c r="BO14" s="169"/>
      <c r="BP14" s="168"/>
      <c r="BQ14" s="168"/>
      <c r="BR14" s="168"/>
      <c r="BS14" s="168"/>
      <c r="BT14" s="168"/>
      <c r="BU14" s="168"/>
      <c r="BV14" s="168"/>
      <c r="BW14" s="168"/>
      <c r="BX14" s="168"/>
      <c r="BY14" s="168"/>
      <c r="BZ14" s="168"/>
      <c r="CA14" s="168"/>
      <c r="CB14" s="170"/>
      <c r="CC14" s="168"/>
      <c r="CD14" s="168"/>
      <c r="CE14" s="170"/>
      <c r="CF14" s="170"/>
      <c r="CG14" s="170"/>
      <c r="CH14" s="170"/>
      <c r="CI14" s="168"/>
      <c r="CJ14" s="168"/>
      <c r="CK14" s="170"/>
      <c r="CL14" s="170"/>
      <c r="CM14" s="170"/>
      <c r="CN14" s="113"/>
      <c r="CO14" s="36"/>
      <c r="CP14" s="36"/>
      <c r="CQ14" s="36"/>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6"/>
      <c r="EA14" s="36"/>
      <c r="EB14" s="36"/>
      <c r="EC14" s="36"/>
      <c r="ED14" s="36"/>
      <c r="EE14" s="36"/>
      <c r="EF14" s="36"/>
      <c r="EG14" s="36"/>
    </row>
    <row r="15" spans="1:137" s="64" customFormat="1" ht="15" customHeight="1" x14ac:dyDescent="0.25">
      <c r="A15" s="26"/>
      <c r="B15" s="1666" t="s">
        <v>283</v>
      </c>
      <c r="C15" s="1666" t="s">
        <v>287</v>
      </c>
      <c r="D15" s="1663" t="s">
        <v>25</v>
      </c>
      <c r="E15" s="1664"/>
      <c r="F15" s="415"/>
      <c r="G15" s="415"/>
      <c r="H15" s="415"/>
      <c r="I15" s="415"/>
      <c r="J15" s="415"/>
      <c r="K15" s="415"/>
      <c r="L15" s="415"/>
      <c r="M15" s="415"/>
      <c r="N15" s="415"/>
      <c r="O15" s="415"/>
      <c r="P15" s="415"/>
      <c r="Q15" s="415"/>
      <c r="R15" s="415"/>
      <c r="S15" s="415" t="s">
        <v>193</v>
      </c>
      <c r="T15" s="415"/>
      <c r="U15" s="415"/>
      <c r="V15" s="415"/>
      <c r="W15" s="415"/>
      <c r="X15" s="1663" t="s">
        <v>201</v>
      </c>
      <c r="Y15" s="1665"/>
      <c r="Z15" s="1665"/>
      <c r="AA15" s="1665"/>
      <c r="AB15" s="1664"/>
      <c r="AC15" s="415"/>
      <c r="AD15" s="415"/>
      <c r="AE15" s="1663" t="s">
        <v>200</v>
      </c>
      <c r="AF15" s="1665"/>
      <c r="AG15" s="1665"/>
      <c r="AH15" s="1665"/>
      <c r="AI15" s="1664"/>
      <c r="AJ15" s="415"/>
      <c r="AK15" s="415"/>
      <c r="AL15" s="1663" t="s">
        <v>199</v>
      </c>
      <c r="AM15" s="1665"/>
      <c r="AN15" s="1665"/>
      <c r="AO15" s="1665"/>
      <c r="AP15" s="1664"/>
      <c r="AQ15" s="415"/>
      <c r="AR15" s="415"/>
      <c r="AS15" s="1663" t="s">
        <v>363</v>
      </c>
      <c r="AT15" s="1665"/>
      <c r="AU15" s="1665"/>
      <c r="AV15" s="1664"/>
      <c r="AW15" s="415"/>
      <c r="AX15" s="415"/>
      <c r="AY15" s="1663" t="s">
        <v>198</v>
      </c>
      <c r="AZ15" s="1665"/>
      <c r="BA15" s="1665"/>
      <c r="BB15" s="1665"/>
      <c r="BC15" s="1664"/>
      <c r="BD15" s="415"/>
      <c r="BE15" s="415"/>
      <c r="BF15" s="1666" t="s">
        <v>606</v>
      </c>
      <c r="BG15" s="1666" t="s">
        <v>26</v>
      </c>
      <c r="BH15" s="28"/>
      <c r="BJ15" s="168"/>
      <c r="BK15" s="168"/>
      <c r="BL15" s="168"/>
      <c r="BM15" s="169"/>
      <c r="BN15" s="169"/>
      <c r="BO15" s="169"/>
      <c r="BP15" s="168"/>
      <c r="BQ15" s="168"/>
      <c r="BR15" s="168"/>
      <c r="BS15" s="168"/>
      <c r="BT15" s="168"/>
      <c r="BU15" s="168"/>
      <c r="BV15" s="168"/>
      <c r="BW15" s="168"/>
      <c r="BX15" s="168"/>
      <c r="BY15" s="168"/>
      <c r="BZ15" s="168"/>
      <c r="CA15" s="168"/>
      <c r="CB15" s="170"/>
      <c r="CC15" s="168"/>
      <c r="CD15" s="168"/>
      <c r="CE15" s="170"/>
      <c r="CF15" s="170"/>
      <c r="CG15" s="170"/>
      <c r="CH15" s="170"/>
      <c r="CI15" s="168"/>
      <c r="CJ15" s="168"/>
      <c r="CK15" s="170"/>
      <c r="CL15" s="170"/>
      <c r="CM15" s="170"/>
      <c r="CN15" s="113"/>
      <c r="CO15" s="36"/>
      <c r="CP15" s="36"/>
      <c r="CQ15" s="36"/>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6"/>
      <c r="EA15" s="36"/>
      <c r="EB15" s="36"/>
      <c r="EC15" s="36"/>
      <c r="ED15" s="36"/>
      <c r="EE15" s="36"/>
      <c r="EF15" s="36"/>
      <c r="EG15" s="36"/>
    </row>
    <row r="16" spans="1:137" s="64" customFormat="1" ht="48" x14ac:dyDescent="0.25">
      <c r="A16" s="26"/>
      <c r="B16" s="1667"/>
      <c r="C16" s="1667"/>
      <c r="D16" s="415" t="s">
        <v>27</v>
      </c>
      <c r="E16" s="415" t="s">
        <v>659</v>
      </c>
      <c r="F16" s="415" t="s">
        <v>29</v>
      </c>
      <c r="G16" s="415" t="s">
        <v>30</v>
      </c>
      <c r="H16" s="415" t="s">
        <v>31</v>
      </c>
      <c r="I16" s="415" t="s">
        <v>32</v>
      </c>
      <c r="J16" s="415" t="s">
        <v>33</v>
      </c>
      <c r="K16" s="415" t="s">
        <v>34</v>
      </c>
      <c r="L16" s="415" t="s">
        <v>35</v>
      </c>
      <c r="M16" s="415" t="s">
        <v>36</v>
      </c>
      <c r="N16" s="415" t="s">
        <v>37</v>
      </c>
      <c r="O16" s="415" t="s">
        <v>38</v>
      </c>
      <c r="P16" s="415" t="s">
        <v>39</v>
      </c>
      <c r="Q16" s="415" t="s">
        <v>40</v>
      </c>
      <c r="R16" s="415" t="s">
        <v>41</v>
      </c>
      <c r="S16" s="415" t="s">
        <v>42</v>
      </c>
      <c r="T16" s="415" t="s">
        <v>43</v>
      </c>
      <c r="U16" s="415" t="s">
        <v>44</v>
      </c>
      <c r="V16" s="415" t="s">
        <v>210</v>
      </c>
      <c r="W16" s="415" t="s">
        <v>193</v>
      </c>
      <c r="X16" s="415" t="s">
        <v>194</v>
      </c>
      <c r="Y16" s="415" t="s">
        <v>1202</v>
      </c>
      <c r="Z16" s="415" t="s">
        <v>202</v>
      </c>
      <c r="AA16" s="415" t="s">
        <v>605</v>
      </c>
      <c r="AB16" s="415" t="s">
        <v>617</v>
      </c>
      <c r="AC16" s="415" t="s">
        <v>203</v>
      </c>
      <c r="AD16" s="415" t="s">
        <v>294</v>
      </c>
      <c r="AE16" s="415" t="s">
        <v>195</v>
      </c>
      <c r="AF16" s="415" t="s">
        <v>1202</v>
      </c>
      <c r="AG16" s="415" t="s">
        <v>204</v>
      </c>
      <c r="AH16" s="415" t="s">
        <v>618</v>
      </c>
      <c r="AI16" s="415" t="s">
        <v>619</v>
      </c>
      <c r="AJ16" s="415" t="s">
        <v>205</v>
      </c>
      <c r="AK16" s="415" t="s">
        <v>294</v>
      </c>
      <c r="AL16" s="415" t="s">
        <v>196</v>
      </c>
      <c r="AM16" s="415" t="s">
        <v>1202</v>
      </c>
      <c r="AN16" s="415" t="s">
        <v>206</v>
      </c>
      <c r="AO16" s="415" t="s">
        <v>620</v>
      </c>
      <c r="AP16" s="415" t="s">
        <v>621</v>
      </c>
      <c r="AQ16" s="415" t="s">
        <v>207</v>
      </c>
      <c r="AR16" s="415" t="s">
        <v>294</v>
      </c>
      <c r="AS16" s="415" t="s">
        <v>622</v>
      </c>
      <c r="AT16" s="415" t="s">
        <v>1202</v>
      </c>
      <c r="AU16" s="415" t="s">
        <v>365</v>
      </c>
      <c r="AV16" s="415" t="s">
        <v>623</v>
      </c>
      <c r="AW16" s="415" t="s">
        <v>364</v>
      </c>
      <c r="AX16" s="415" t="s">
        <v>294</v>
      </c>
      <c r="AY16" s="415" t="s">
        <v>197</v>
      </c>
      <c r="AZ16" s="415" t="s">
        <v>1202</v>
      </c>
      <c r="BA16" s="415" t="s">
        <v>208</v>
      </c>
      <c r="BB16" s="415" t="s">
        <v>624</v>
      </c>
      <c r="BC16" s="415" t="s">
        <v>625</v>
      </c>
      <c r="BD16" s="415" t="s">
        <v>209</v>
      </c>
      <c r="BE16" s="415" t="s">
        <v>294</v>
      </c>
      <c r="BF16" s="1667"/>
      <c r="BG16" s="1667"/>
      <c r="BH16" s="28"/>
      <c r="BJ16" s="168"/>
      <c r="BK16" s="168"/>
      <c r="BL16" s="168"/>
      <c r="BM16" s="169"/>
      <c r="BN16" s="169"/>
      <c r="BO16" s="169"/>
      <c r="BP16" s="168"/>
      <c r="BQ16" s="168"/>
      <c r="BR16" s="168"/>
      <c r="BS16" s="168"/>
      <c r="BT16" s="168"/>
      <c r="BU16" s="168"/>
      <c r="BV16" s="168"/>
      <c r="BW16" s="168"/>
      <c r="BX16" s="168"/>
      <c r="BY16" s="168"/>
      <c r="BZ16" s="168"/>
      <c r="CA16" s="168"/>
      <c r="CB16" s="170"/>
      <c r="CC16" s="168"/>
      <c r="CD16" s="168"/>
      <c r="CE16" s="170"/>
      <c r="CF16" s="170"/>
      <c r="CG16" s="170"/>
      <c r="CH16" s="170"/>
      <c r="CI16" s="168"/>
      <c r="CJ16" s="168"/>
      <c r="CK16" s="170"/>
      <c r="CL16" s="170"/>
      <c r="CM16" s="170"/>
      <c r="CN16" s="113"/>
      <c r="CO16" s="36"/>
      <c r="CP16" s="36"/>
      <c r="CQ16" s="36"/>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6"/>
      <c r="EA16" s="36"/>
      <c r="EB16" s="36"/>
      <c r="EC16" s="36"/>
      <c r="ED16" s="36"/>
      <c r="EE16" s="36"/>
      <c r="EF16" s="36"/>
      <c r="EG16" s="36"/>
    </row>
    <row r="17" spans="1:137" s="27" customFormat="1" ht="15" customHeight="1" x14ac:dyDescent="0.25">
      <c r="A17" s="26"/>
      <c r="B17" s="416" t="s">
        <v>397</v>
      </c>
      <c r="C17" s="1394" t="s">
        <v>2</v>
      </c>
      <c r="D17" s="420" t="str">
        <f t="shared" ref="D17:D27" si="0">VLOOKUP($C17,$BI$78:$CM$460,2,FALSE)</f>
        <v xml:space="preserve">t </v>
      </c>
      <c r="E17" s="421">
        <v>0</v>
      </c>
      <c r="F17" s="421"/>
      <c r="G17" s="421"/>
      <c r="H17" s="421"/>
      <c r="I17" s="421"/>
      <c r="J17" s="421"/>
      <c r="K17" s="421"/>
      <c r="L17" s="421"/>
      <c r="M17" s="421"/>
      <c r="N17" s="421"/>
      <c r="O17" s="421"/>
      <c r="P17" s="421"/>
      <c r="Q17" s="422">
        <f t="shared" ref="Q17:Q27" si="1">SUM(E17:P17)</f>
        <v>0</v>
      </c>
      <c r="R17" s="423">
        <f t="shared" ref="R17:R27" si="2">COUNT(E17:P17)</f>
        <v>1</v>
      </c>
      <c r="S17" s="422">
        <f t="shared" ref="S17:S27" si="3">IF(R17&gt;1,AVERAGE(E17:P17),0)</f>
        <v>0</v>
      </c>
      <c r="T17" s="422">
        <f t="shared" ref="T17:T27" si="4">IF(R17&gt;1,STDEV(E17:P17),0)</f>
        <v>0</v>
      </c>
      <c r="U17" s="422">
        <f t="shared" ref="U17:U27" si="5">IF(R17&gt;1,VLOOKUP($R17,$BI$412:$BJ$424,2,FALSE),0)</f>
        <v>0</v>
      </c>
      <c r="V17" s="424"/>
      <c r="W17" s="425">
        <f t="shared" ref="W17:W27" si="6">IF(R17&gt;1,1-((S17-((T17*U17)/(SQRT(R17))))/S17),VLOOKUP($C17,$BI$78:$CS$460,34,FALSE))</f>
        <v>0.17499999999999999</v>
      </c>
      <c r="X17" s="463">
        <f t="shared" ref="X17:X27" si="7">VLOOKUP($C17,$BI$78:$CM$460,3,FALSE)</f>
        <v>2534.8130000000001</v>
      </c>
      <c r="Y17" s="464" t="str">
        <f t="shared" ref="Y17:Y27" si="8">VLOOKUP($C17,$BI$78:$CM$460,4,FALSE)</f>
        <v>kg CO2/t</v>
      </c>
      <c r="Z17" s="465">
        <f t="shared" ref="Z17:Z27" si="9">IF($Q17&gt;0,VLOOKUP($C17,$BI$78:$CM$460,6,FALSE),0)</f>
        <v>0</v>
      </c>
      <c r="AA17" s="466">
        <f t="shared" ref="AA17:AA27" si="10">($Q17*X17)/1000</f>
        <v>0</v>
      </c>
      <c r="AB17" s="466">
        <f t="shared" ref="AB17:AB27" si="11">AA17*$BJ$430</f>
        <v>0</v>
      </c>
      <c r="AC17" s="465">
        <f t="shared" ref="AC17:AC27" si="12">IF(AA17&gt;0,SQRT(($W17*$W17)+(Z17*Z17)+($V17*$V17)),0)</f>
        <v>0</v>
      </c>
      <c r="AD17" s="466">
        <f t="shared" ref="AD17:AD27" si="13">(AB17*AC17)^2</f>
        <v>0</v>
      </c>
      <c r="AE17" s="467">
        <f t="shared" ref="AE17:AE27" si="14">VLOOKUP($C17,$BI$78:$CM$460,9,FALSE)</f>
        <v>2.87602E-2</v>
      </c>
      <c r="AF17" s="464" t="str">
        <f t="shared" ref="AF17:AF27" si="15">VLOOKUP($C17,$BI$78:$CM$460,10,FALSE)</f>
        <v>kg CH4/t</v>
      </c>
      <c r="AG17" s="465">
        <f t="shared" ref="AG17:AG27" si="16">IF($Q17&gt;0,VLOOKUP($C17,$BI$78:$CM$460,24,FALSE),0)</f>
        <v>0</v>
      </c>
      <c r="AH17" s="468">
        <f t="shared" ref="AH17:AH27" si="17">($Q17*AE17)/1000</f>
        <v>0</v>
      </c>
      <c r="AI17" s="468">
        <f t="shared" ref="AI17:AI27" si="18">AH17*$BJ$431</f>
        <v>0</v>
      </c>
      <c r="AJ17" s="465">
        <f t="shared" ref="AJ17:AJ27" si="19">IF(AH17&gt;0,SQRT(($W17*$W17)+(AG17*AG17)+($V17*$V17)),0)</f>
        <v>0</v>
      </c>
      <c r="AK17" s="466">
        <f t="shared" ref="AK17:AK27" si="20">(AI17*AJ17)^2</f>
        <v>0</v>
      </c>
      <c r="AL17" s="467">
        <f t="shared" ref="AL17:AL27" si="21">VLOOKUP($C17,$BI$78:$CM$460,15,FALSE)</f>
        <v>4.3140400000000002E-2</v>
      </c>
      <c r="AM17" s="464" t="str">
        <f t="shared" ref="AM17:AM27" si="22">VLOOKUP($C17,$BI$78:$CM$460,16,FALSE)</f>
        <v>kg N2O/t</v>
      </c>
      <c r="AN17" s="465">
        <f t="shared" ref="AN17:AN27" si="23">IF($Q17&gt;0,VLOOKUP($C17,$BI$78:$CM$460,30,FALSE),0)</f>
        <v>0</v>
      </c>
      <c r="AO17" s="468">
        <f t="shared" ref="AO17:AO27" si="24">($Q17*AL17)/1000</f>
        <v>0</v>
      </c>
      <c r="AP17" s="468">
        <f t="shared" ref="AP17:AP27" si="25">AO17*$BJ$432</f>
        <v>0</v>
      </c>
      <c r="AQ17" s="465">
        <f t="shared" ref="AQ17:AQ27" si="26">IF(AO17&gt;0,SQRT(($W17*$W17)+(AN17*AN17)+($V17*$V17)),0)</f>
        <v>0</v>
      </c>
      <c r="AR17" s="466">
        <f t="shared" ref="AR17:AR27" si="27">(AP17*AQ17)^2</f>
        <v>0</v>
      </c>
      <c r="AS17" s="469">
        <v>0</v>
      </c>
      <c r="AT17" s="464">
        <v>0</v>
      </c>
      <c r="AU17" s="465">
        <v>0</v>
      </c>
      <c r="AV17" s="468">
        <f t="shared" ref="AV17:AV27" si="28">($Q17*AS17)/1000</f>
        <v>0</v>
      </c>
      <c r="AW17" s="465">
        <f t="shared" ref="AW17:AW27" si="29">IF(AV17&gt;0,SQRT(($W17*$W17)+(AU17*AU17)+($V17*$V17)),0)</f>
        <v>0</v>
      </c>
      <c r="AX17" s="466">
        <f t="shared" ref="AX17:AX27" si="30">(AV17*AW17)^2</f>
        <v>0</v>
      </c>
      <c r="AY17" s="469">
        <v>0</v>
      </c>
      <c r="AZ17" s="464">
        <v>0</v>
      </c>
      <c r="BA17" s="465">
        <v>0</v>
      </c>
      <c r="BB17" s="468">
        <f t="shared" ref="BB17:BB27" si="31">($Q17*AY17)/1000</f>
        <v>0</v>
      </c>
      <c r="BC17" s="468">
        <f t="shared" ref="BC17:BC27" si="32">BB17*$BJ$433</f>
        <v>0</v>
      </c>
      <c r="BD17" s="465">
        <f t="shared" ref="BD17:BD27" si="33">IF(BB17&gt;0,SQRT(($W17*$W17)+(BA17*BA17)+($V17*$V17)),0)</f>
        <v>0</v>
      </c>
      <c r="BE17" s="466">
        <f t="shared" ref="BE17:BE27" si="34">(BC17*BD17)^2</f>
        <v>0</v>
      </c>
      <c r="BF17" s="470">
        <f t="shared" ref="BF17:BF27" si="35">AB17+AI17+AP17+AV17+BC17</f>
        <v>0</v>
      </c>
      <c r="BG17" s="435">
        <f t="shared" ref="BG17:BG27" si="36">IF(BF17&gt;0,SQRT(AD17+AK17+AR17+AX17+BE17)/BF17,0)</f>
        <v>0</v>
      </c>
      <c r="BH17" s="28">
        <f t="shared" ref="BH17:BH36" si="37">(BF17*BG17)^2</f>
        <v>0</v>
      </c>
      <c r="BI17" s="64"/>
      <c r="BJ17" s="168"/>
      <c r="BK17" s="168"/>
      <c r="BL17" s="168"/>
      <c r="BM17" s="169"/>
      <c r="BN17" s="169"/>
      <c r="BO17" s="169"/>
      <c r="BP17" s="168"/>
      <c r="BQ17" s="168"/>
      <c r="BR17" s="168"/>
      <c r="BS17" s="168"/>
      <c r="BT17" s="168"/>
      <c r="BU17" s="168"/>
      <c r="BV17" s="168"/>
      <c r="BW17" s="168"/>
      <c r="BX17" s="168"/>
      <c r="BY17" s="168"/>
      <c r="BZ17" s="168"/>
      <c r="CA17" s="168"/>
      <c r="CB17" s="170"/>
      <c r="CC17" s="168"/>
      <c r="CD17" s="168"/>
      <c r="CE17" s="170"/>
      <c r="CF17" s="170"/>
      <c r="CG17" s="170"/>
      <c r="CH17" s="170"/>
      <c r="CI17" s="168"/>
      <c r="CJ17" s="168"/>
      <c r="CK17" s="170"/>
      <c r="CL17" s="170"/>
      <c r="CM17" s="170"/>
      <c r="CN17" s="113"/>
      <c r="CO17" s="36"/>
      <c r="CP17" s="36"/>
      <c r="CQ17" s="36"/>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6"/>
      <c r="EA17" s="36"/>
      <c r="EB17" s="36"/>
      <c r="EC17" s="36"/>
      <c r="ED17" s="36"/>
      <c r="EE17" s="36"/>
      <c r="EF17" s="36"/>
      <c r="EG17" s="36"/>
    </row>
    <row r="18" spans="1:137" s="27" customFormat="1" x14ac:dyDescent="0.25">
      <c r="A18" s="26"/>
      <c r="B18" s="417" t="s">
        <v>396</v>
      </c>
      <c r="C18" s="1394" t="s">
        <v>3</v>
      </c>
      <c r="D18" s="420" t="str">
        <f t="shared" si="0"/>
        <v>t</v>
      </c>
      <c r="E18" s="421">
        <v>0</v>
      </c>
      <c r="F18" s="421"/>
      <c r="G18" s="421"/>
      <c r="H18" s="421"/>
      <c r="I18" s="421"/>
      <c r="J18" s="421"/>
      <c r="K18" s="421"/>
      <c r="L18" s="421"/>
      <c r="M18" s="421"/>
      <c r="N18" s="421"/>
      <c r="O18" s="421"/>
      <c r="P18" s="421"/>
      <c r="Q18" s="422">
        <f t="shared" si="1"/>
        <v>0</v>
      </c>
      <c r="R18" s="423">
        <f t="shared" si="2"/>
        <v>1</v>
      </c>
      <c r="S18" s="422">
        <f t="shared" si="3"/>
        <v>0</v>
      </c>
      <c r="T18" s="422">
        <f t="shared" si="4"/>
        <v>0</v>
      </c>
      <c r="U18" s="422">
        <f t="shared" si="5"/>
        <v>0</v>
      </c>
      <c r="V18" s="424"/>
      <c r="W18" s="425">
        <f t="shared" si="6"/>
        <v>0.8</v>
      </c>
      <c r="X18" s="463">
        <f t="shared" si="7"/>
        <v>0</v>
      </c>
      <c r="Y18" s="464" t="str">
        <f t="shared" si="8"/>
        <v>kg CO2/t</v>
      </c>
      <c r="Z18" s="465">
        <f t="shared" si="9"/>
        <v>0</v>
      </c>
      <c r="AA18" s="466">
        <f t="shared" si="10"/>
        <v>0</v>
      </c>
      <c r="AB18" s="466">
        <f t="shared" si="11"/>
        <v>0</v>
      </c>
      <c r="AC18" s="465">
        <f t="shared" si="12"/>
        <v>0</v>
      </c>
      <c r="AD18" s="466">
        <f t="shared" si="13"/>
        <v>0</v>
      </c>
      <c r="AE18" s="467">
        <f t="shared" si="14"/>
        <v>0.50980349999999997</v>
      </c>
      <c r="AF18" s="464" t="str">
        <f t="shared" si="15"/>
        <v>kg CH4/t</v>
      </c>
      <c r="AG18" s="465">
        <f t="shared" si="16"/>
        <v>0</v>
      </c>
      <c r="AH18" s="468">
        <f t="shared" si="17"/>
        <v>0</v>
      </c>
      <c r="AI18" s="468">
        <f t="shared" si="18"/>
        <v>0</v>
      </c>
      <c r="AJ18" s="465">
        <f t="shared" si="19"/>
        <v>0</v>
      </c>
      <c r="AK18" s="466">
        <f t="shared" si="20"/>
        <v>0</v>
      </c>
      <c r="AL18" s="467">
        <f t="shared" si="21"/>
        <v>6.7973800000000001E-2</v>
      </c>
      <c r="AM18" s="464" t="str">
        <f t="shared" si="22"/>
        <v>kg N2O/t</v>
      </c>
      <c r="AN18" s="465">
        <f t="shared" si="23"/>
        <v>0</v>
      </c>
      <c r="AO18" s="468">
        <f t="shared" si="24"/>
        <v>0</v>
      </c>
      <c r="AP18" s="468">
        <f t="shared" si="25"/>
        <v>0</v>
      </c>
      <c r="AQ18" s="465">
        <f t="shared" si="26"/>
        <v>0</v>
      </c>
      <c r="AR18" s="466">
        <f t="shared" si="27"/>
        <v>0</v>
      </c>
      <c r="AS18" s="469">
        <v>0</v>
      </c>
      <c r="AT18" s="464">
        <v>0</v>
      </c>
      <c r="AU18" s="465">
        <v>0</v>
      </c>
      <c r="AV18" s="468">
        <f t="shared" si="28"/>
        <v>0</v>
      </c>
      <c r="AW18" s="465">
        <f t="shared" si="29"/>
        <v>0</v>
      </c>
      <c r="AX18" s="466">
        <f t="shared" si="30"/>
        <v>0</v>
      </c>
      <c r="AY18" s="469">
        <v>0</v>
      </c>
      <c r="AZ18" s="464">
        <v>0</v>
      </c>
      <c r="BA18" s="465">
        <v>0</v>
      </c>
      <c r="BB18" s="468">
        <f t="shared" si="31"/>
        <v>0</v>
      </c>
      <c r="BC18" s="468">
        <f t="shared" si="32"/>
        <v>0</v>
      </c>
      <c r="BD18" s="465">
        <f t="shared" si="33"/>
        <v>0</v>
      </c>
      <c r="BE18" s="466">
        <f t="shared" si="34"/>
        <v>0</v>
      </c>
      <c r="BF18" s="470">
        <f t="shared" si="35"/>
        <v>0</v>
      </c>
      <c r="BG18" s="435">
        <f t="shared" si="36"/>
        <v>0</v>
      </c>
      <c r="BH18" s="28">
        <f t="shared" si="37"/>
        <v>0</v>
      </c>
      <c r="BI18" s="64"/>
      <c r="BJ18" s="168"/>
      <c r="BK18" s="168"/>
      <c r="BL18" s="168"/>
      <c r="BM18" s="169"/>
      <c r="BN18" s="169"/>
      <c r="BO18" s="169"/>
      <c r="BP18" s="168"/>
      <c r="BQ18" s="168"/>
      <c r="BR18" s="168"/>
      <c r="BS18" s="168"/>
      <c r="BT18" s="168"/>
      <c r="BU18" s="168"/>
      <c r="BV18" s="168"/>
      <c r="BW18" s="168"/>
      <c r="BX18" s="168"/>
      <c r="BY18" s="168"/>
      <c r="BZ18" s="168"/>
      <c r="CA18" s="168"/>
      <c r="CB18" s="170"/>
      <c r="CC18" s="168"/>
      <c r="CD18" s="168"/>
      <c r="CE18" s="170"/>
      <c r="CF18" s="170"/>
      <c r="CG18" s="170"/>
      <c r="CH18" s="170"/>
      <c r="CI18" s="168"/>
      <c r="CJ18" s="168"/>
      <c r="CK18" s="170"/>
      <c r="CL18" s="170"/>
      <c r="CM18" s="170"/>
      <c r="CN18" s="113"/>
      <c r="CO18" s="36"/>
      <c r="CP18" s="36"/>
      <c r="CQ18" s="36"/>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6"/>
      <c r="EA18" s="36"/>
      <c r="EB18" s="36"/>
      <c r="EC18" s="36"/>
      <c r="ED18" s="36"/>
      <c r="EE18" s="36"/>
      <c r="EF18" s="36"/>
      <c r="EG18" s="36"/>
    </row>
    <row r="19" spans="1:137" s="27" customFormat="1" x14ac:dyDescent="0.25">
      <c r="A19" s="26"/>
      <c r="B19" s="417"/>
      <c r="C19" s="1394"/>
      <c r="D19" s="420">
        <f t="shared" si="0"/>
        <v>0</v>
      </c>
      <c r="E19" s="421"/>
      <c r="F19" s="421"/>
      <c r="G19" s="421"/>
      <c r="H19" s="421"/>
      <c r="I19" s="421"/>
      <c r="J19" s="421"/>
      <c r="K19" s="421"/>
      <c r="L19" s="421"/>
      <c r="M19" s="421"/>
      <c r="N19" s="421"/>
      <c r="O19" s="421"/>
      <c r="P19" s="421"/>
      <c r="Q19" s="422">
        <f t="shared" si="1"/>
        <v>0</v>
      </c>
      <c r="R19" s="423">
        <f t="shared" si="2"/>
        <v>0</v>
      </c>
      <c r="S19" s="422">
        <f t="shared" si="3"/>
        <v>0</v>
      </c>
      <c r="T19" s="422">
        <f t="shared" si="4"/>
        <v>0</v>
      </c>
      <c r="U19" s="422">
        <f t="shared" si="5"/>
        <v>0</v>
      </c>
      <c r="V19" s="424"/>
      <c r="W19" s="425">
        <f t="shared" si="6"/>
        <v>0</v>
      </c>
      <c r="X19" s="463">
        <f t="shared" si="7"/>
        <v>0</v>
      </c>
      <c r="Y19" s="464">
        <f t="shared" si="8"/>
        <v>0</v>
      </c>
      <c r="Z19" s="465">
        <f t="shared" si="9"/>
        <v>0</v>
      </c>
      <c r="AA19" s="466">
        <f t="shared" si="10"/>
        <v>0</v>
      </c>
      <c r="AB19" s="466">
        <f t="shared" si="11"/>
        <v>0</v>
      </c>
      <c r="AC19" s="465">
        <f t="shared" si="12"/>
        <v>0</v>
      </c>
      <c r="AD19" s="466">
        <f t="shared" si="13"/>
        <v>0</v>
      </c>
      <c r="AE19" s="467">
        <f t="shared" si="14"/>
        <v>0</v>
      </c>
      <c r="AF19" s="464">
        <f t="shared" si="15"/>
        <v>0</v>
      </c>
      <c r="AG19" s="465">
        <f t="shared" si="16"/>
        <v>0</v>
      </c>
      <c r="AH19" s="468">
        <f t="shared" si="17"/>
        <v>0</v>
      </c>
      <c r="AI19" s="468">
        <f t="shared" si="18"/>
        <v>0</v>
      </c>
      <c r="AJ19" s="465">
        <f t="shared" si="19"/>
        <v>0</v>
      </c>
      <c r="AK19" s="466">
        <f t="shared" si="20"/>
        <v>0</v>
      </c>
      <c r="AL19" s="467">
        <f t="shared" si="21"/>
        <v>0</v>
      </c>
      <c r="AM19" s="464">
        <f t="shared" si="22"/>
        <v>0</v>
      </c>
      <c r="AN19" s="465">
        <f t="shared" si="23"/>
        <v>0</v>
      </c>
      <c r="AO19" s="468">
        <f t="shared" si="24"/>
        <v>0</v>
      </c>
      <c r="AP19" s="468">
        <f t="shared" si="25"/>
        <v>0</v>
      </c>
      <c r="AQ19" s="465">
        <f t="shared" si="26"/>
        <v>0</v>
      </c>
      <c r="AR19" s="466">
        <f t="shared" si="27"/>
        <v>0</v>
      </c>
      <c r="AS19" s="469">
        <v>0</v>
      </c>
      <c r="AT19" s="464">
        <v>0</v>
      </c>
      <c r="AU19" s="465">
        <v>0</v>
      </c>
      <c r="AV19" s="468">
        <f t="shared" si="28"/>
        <v>0</v>
      </c>
      <c r="AW19" s="465">
        <f t="shared" si="29"/>
        <v>0</v>
      </c>
      <c r="AX19" s="466">
        <f t="shared" si="30"/>
        <v>0</v>
      </c>
      <c r="AY19" s="469">
        <v>0</v>
      </c>
      <c r="AZ19" s="464">
        <v>0</v>
      </c>
      <c r="BA19" s="465">
        <v>0</v>
      </c>
      <c r="BB19" s="468">
        <f t="shared" si="31"/>
        <v>0</v>
      </c>
      <c r="BC19" s="468">
        <f t="shared" si="32"/>
        <v>0</v>
      </c>
      <c r="BD19" s="465">
        <f t="shared" si="33"/>
        <v>0</v>
      </c>
      <c r="BE19" s="466">
        <f t="shared" si="34"/>
        <v>0</v>
      </c>
      <c r="BF19" s="470">
        <f t="shared" si="35"/>
        <v>0</v>
      </c>
      <c r="BG19" s="435">
        <f t="shared" si="36"/>
        <v>0</v>
      </c>
      <c r="BH19" s="28">
        <f t="shared" si="37"/>
        <v>0</v>
      </c>
      <c r="BI19" s="64"/>
      <c r="BJ19" s="168"/>
      <c r="BK19" s="168"/>
      <c r="BL19" s="168"/>
      <c r="BM19" s="169"/>
      <c r="BN19" s="169"/>
      <c r="BO19" s="169"/>
      <c r="BP19" s="168"/>
      <c r="BQ19" s="168"/>
      <c r="BR19" s="168"/>
      <c r="BS19" s="168"/>
      <c r="BT19" s="168"/>
      <c r="BU19" s="168"/>
      <c r="BV19" s="168"/>
      <c r="BW19" s="168"/>
      <c r="BX19" s="168"/>
      <c r="BY19" s="168"/>
      <c r="BZ19" s="168"/>
      <c r="CA19" s="168"/>
      <c r="CB19" s="170"/>
      <c r="CC19" s="168"/>
      <c r="CD19" s="168"/>
      <c r="CE19" s="170"/>
      <c r="CF19" s="170"/>
      <c r="CG19" s="170"/>
      <c r="CH19" s="170"/>
      <c r="CI19" s="168"/>
      <c r="CJ19" s="168"/>
      <c r="CK19" s="170"/>
      <c r="CL19" s="170"/>
      <c r="CM19" s="170"/>
      <c r="CN19" s="113"/>
      <c r="CO19" s="36"/>
      <c r="CP19" s="36"/>
      <c r="CQ19" s="36"/>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6"/>
      <c r="EA19" s="36"/>
      <c r="EB19" s="36"/>
      <c r="EC19" s="36"/>
      <c r="ED19" s="36"/>
      <c r="EE19" s="36"/>
      <c r="EF19" s="36"/>
      <c r="EG19" s="36"/>
    </row>
    <row r="20" spans="1:137" s="27" customFormat="1" x14ac:dyDescent="0.25">
      <c r="A20" s="26"/>
      <c r="B20" s="418"/>
      <c r="C20" s="1394"/>
      <c r="D20" s="420">
        <f t="shared" si="0"/>
        <v>0</v>
      </c>
      <c r="E20" s="421"/>
      <c r="F20" s="421"/>
      <c r="G20" s="421"/>
      <c r="H20" s="421"/>
      <c r="I20" s="421"/>
      <c r="J20" s="421"/>
      <c r="K20" s="421"/>
      <c r="L20" s="421"/>
      <c r="M20" s="421"/>
      <c r="N20" s="421"/>
      <c r="O20" s="421"/>
      <c r="P20" s="421"/>
      <c r="Q20" s="422">
        <f t="shared" si="1"/>
        <v>0</v>
      </c>
      <c r="R20" s="423">
        <f t="shared" si="2"/>
        <v>0</v>
      </c>
      <c r="S20" s="422">
        <f t="shared" si="3"/>
        <v>0</v>
      </c>
      <c r="T20" s="422">
        <f t="shared" si="4"/>
        <v>0</v>
      </c>
      <c r="U20" s="422">
        <f t="shared" si="5"/>
        <v>0</v>
      </c>
      <c r="V20" s="424"/>
      <c r="W20" s="425">
        <f t="shared" si="6"/>
        <v>0</v>
      </c>
      <c r="X20" s="463">
        <f t="shared" si="7"/>
        <v>0</v>
      </c>
      <c r="Y20" s="464">
        <f t="shared" si="8"/>
        <v>0</v>
      </c>
      <c r="Z20" s="465">
        <f t="shared" si="9"/>
        <v>0</v>
      </c>
      <c r="AA20" s="466">
        <f t="shared" si="10"/>
        <v>0</v>
      </c>
      <c r="AB20" s="466">
        <f t="shared" si="11"/>
        <v>0</v>
      </c>
      <c r="AC20" s="465">
        <f t="shared" si="12"/>
        <v>0</v>
      </c>
      <c r="AD20" s="466">
        <f t="shared" si="13"/>
        <v>0</v>
      </c>
      <c r="AE20" s="467">
        <f t="shared" si="14"/>
        <v>0</v>
      </c>
      <c r="AF20" s="464">
        <f t="shared" si="15"/>
        <v>0</v>
      </c>
      <c r="AG20" s="465">
        <f t="shared" si="16"/>
        <v>0</v>
      </c>
      <c r="AH20" s="468">
        <f t="shared" si="17"/>
        <v>0</v>
      </c>
      <c r="AI20" s="468">
        <f t="shared" si="18"/>
        <v>0</v>
      </c>
      <c r="AJ20" s="465">
        <f t="shared" si="19"/>
        <v>0</v>
      </c>
      <c r="AK20" s="466">
        <f t="shared" si="20"/>
        <v>0</v>
      </c>
      <c r="AL20" s="467">
        <f t="shared" si="21"/>
        <v>0</v>
      </c>
      <c r="AM20" s="464">
        <f t="shared" si="22"/>
        <v>0</v>
      </c>
      <c r="AN20" s="465">
        <f t="shared" si="23"/>
        <v>0</v>
      </c>
      <c r="AO20" s="468">
        <f t="shared" si="24"/>
        <v>0</v>
      </c>
      <c r="AP20" s="468">
        <f t="shared" si="25"/>
        <v>0</v>
      </c>
      <c r="AQ20" s="465">
        <f t="shared" si="26"/>
        <v>0</v>
      </c>
      <c r="AR20" s="466">
        <f t="shared" si="27"/>
        <v>0</v>
      </c>
      <c r="AS20" s="469">
        <v>0</v>
      </c>
      <c r="AT20" s="464">
        <v>0</v>
      </c>
      <c r="AU20" s="465">
        <v>0</v>
      </c>
      <c r="AV20" s="468">
        <f t="shared" si="28"/>
        <v>0</v>
      </c>
      <c r="AW20" s="465">
        <f t="shared" si="29"/>
        <v>0</v>
      </c>
      <c r="AX20" s="466">
        <f t="shared" si="30"/>
        <v>0</v>
      </c>
      <c r="AY20" s="469">
        <v>0</v>
      </c>
      <c r="AZ20" s="464">
        <v>0</v>
      </c>
      <c r="BA20" s="465">
        <v>0</v>
      </c>
      <c r="BB20" s="468">
        <f t="shared" si="31"/>
        <v>0</v>
      </c>
      <c r="BC20" s="468">
        <f t="shared" si="32"/>
        <v>0</v>
      </c>
      <c r="BD20" s="465">
        <f t="shared" si="33"/>
        <v>0</v>
      </c>
      <c r="BE20" s="466">
        <f t="shared" si="34"/>
        <v>0</v>
      </c>
      <c r="BF20" s="470">
        <f t="shared" si="35"/>
        <v>0</v>
      </c>
      <c r="BG20" s="435">
        <f t="shared" si="36"/>
        <v>0</v>
      </c>
      <c r="BH20" s="28">
        <f t="shared" si="37"/>
        <v>0</v>
      </c>
      <c r="BI20" s="64"/>
      <c r="BJ20" s="168"/>
      <c r="BK20" s="168"/>
      <c r="BL20" s="168"/>
      <c r="BM20" s="169"/>
      <c r="BN20" s="169"/>
      <c r="BO20" s="169"/>
      <c r="BP20" s="168"/>
      <c r="BQ20" s="168"/>
      <c r="BR20" s="168"/>
      <c r="BS20" s="168"/>
      <c r="BT20" s="168"/>
      <c r="BU20" s="168"/>
      <c r="BV20" s="168"/>
      <c r="BW20" s="168"/>
      <c r="BX20" s="168"/>
      <c r="BY20" s="168"/>
      <c r="BZ20" s="168"/>
      <c r="CA20" s="168"/>
      <c r="CB20" s="170"/>
      <c r="CC20" s="168"/>
      <c r="CD20" s="168"/>
      <c r="CE20" s="170"/>
      <c r="CF20" s="170"/>
      <c r="CG20" s="170"/>
      <c r="CH20" s="170"/>
      <c r="CI20" s="168"/>
      <c r="CJ20" s="168"/>
      <c r="CK20" s="170"/>
      <c r="CL20" s="170"/>
      <c r="CM20" s="170"/>
      <c r="CN20" s="113"/>
      <c r="CO20" s="36"/>
      <c r="CP20" s="36"/>
      <c r="CQ20" s="36"/>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6"/>
      <c r="EA20" s="36"/>
      <c r="EB20" s="36"/>
      <c r="EC20" s="36"/>
      <c r="ED20" s="36"/>
      <c r="EE20" s="36"/>
      <c r="EF20" s="36"/>
      <c r="EG20" s="36"/>
    </row>
    <row r="21" spans="1:137" s="27" customFormat="1" ht="15" customHeight="1" x14ac:dyDescent="0.25">
      <c r="A21" s="26"/>
      <c r="B21" s="416" t="s">
        <v>402</v>
      </c>
      <c r="C21" s="1394" t="s">
        <v>234</v>
      </c>
      <c r="D21" s="420" t="str">
        <f t="shared" si="0"/>
        <v>Gal</v>
      </c>
      <c r="E21" s="426">
        <v>0</v>
      </c>
      <c r="F21" s="426"/>
      <c r="G21" s="421"/>
      <c r="H21" s="421"/>
      <c r="I21" s="421"/>
      <c r="J21" s="421"/>
      <c r="K21" s="421"/>
      <c r="L21" s="421"/>
      <c r="M21" s="421"/>
      <c r="N21" s="421"/>
      <c r="O21" s="421"/>
      <c r="P21" s="421"/>
      <c r="Q21" s="422">
        <f t="shared" si="1"/>
        <v>0</v>
      </c>
      <c r="R21" s="423">
        <f t="shared" si="2"/>
        <v>1</v>
      </c>
      <c r="S21" s="422">
        <f t="shared" si="3"/>
        <v>0</v>
      </c>
      <c r="T21" s="422">
        <f t="shared" si="4"/>
        <v>0</v>
      </c>
      <c r="U21" s="422">
        <f t="shared" si="5"/>
        <v>0</v>
      </c>
      <c r="V21" s="424"/>
      <c r="W21" s="425">
        <f t="shared" si="6"/>
        <v>0.17499999999999999</v>
      </c>
      <c r="X21" s="463">
        <f t="shared" si="7"/>
        <v>9.6232000000000006</v>
      </c>
      <c r="Y21" s="464" t="str">
        <f t="shared" si="8"/>
        <v>kg CO2/gal</v>
      </c>
      <c r="Z21" s="465">
        <f t="shared" si="9"/>
        <v>0</v>
      </c>
      <c r="AA21" s="466">
        <f t="shared" si="10"/>
        <v>0</v>
      </c>
      <c r="AB21" s="466">
        <f t="shared" si="11"/>
        <v>0</v>
      </c>
      <c r="AC21" s="465">
        <f t="shared" si="12"/>
        <v>0</v>
      </c>
      <c r="AD21" s="466">
        <f t="shared" si="13"/>
        <v>0</v>
      </c>
      <c r="AE21" s="467">
        <f t="shared" si="14"/>
        <v>2.7199999999999997E-5</v>
      </c>
      <c r="AF21" s="464" t="str">
        <f t="shared" si="15"/>
        <v>kg CH4/gal</v>
      </c>
      <c r="AG21" s="465">
        <f t="shared" si="16"/>
        <v>0</v>
      </c>
      <c r="AH21" s="468">
        <f t="shared" si="17"/>
        <v>0</v>
      </c>
      <c r="AI21" s="468">
        <f t="shared" si="18"/>
        <v>0</v>
      </c>
      <c r="AJ21" s="465">
        <f t="shared" si="19"/>
        <v>0</v>
      </c>
      <c r="AK21" s="466">
        <f t="shared" si="20"/>
        <v>0</v>
      </c>
      <c r="AL21" s="467">
        <f t="shared" si="21"/>
        <v>5.4E-6</v>
      </c>
      <c r="AM21" s="464" t="str">
        <f t="shared" si="22"/>
        <v>kg N2O/gal</v>
      </c>
      <c r="AN21" s="465">
        <f t="shared" si="23"/>
        <v>0</v>
      </c>
      <c r="AO21" s="468">
        <f t="shared" si="24"/>
        <v>0</v>
      </c>
      <c r="AP21" s="468">
        <f t="shared" si="25"/>
        <v>0</v>
      </c>
      <c r="AQ21" s="465">
        <f t="shared" si="26"/>
        <v>0</v>
      </c>
      <c r="AR21" s="466">
        <f t="shared" si="27"/>
        <v>0</v>
      </c>
      <c r="AS21" s="469">
        <v>0</v>
      </c>
      <c r="AT21" s="464">
        <v>0</v>
      </c>
      <c r="AU21" s="465">
        <v>0</v>
      </c>
      <c r="AV21" s="468">
        <f t="shared" si="28"/>
        <v>0</v>
      </c>
      <c r="AW21" s="465">
        <f t="shared" si="29"/>
        <v>0</v>
      </c>
      <c r="AX21" s="466">
        <f t="shared" si="30"/>
        <v>0</v>
      </c>
      <c r="AY21" s="469">
        <v>0</v>
      </c>
      <c r="AZ21" s="464">
        <v>0</v>
      </c>
      <c r="BA21" s="465">
        <v>0</v>
      </c>
      <c r="BB21" s="468">
        <f t="shared" si="31"/>
        <v>0</v>
      </c>
      <c r="BC21" s="468">
        <f t="shared" si="32"/>
        <v>0</v>
      </c>
      <c r="BD21" s="465">
        <f t="shared" si="33"/>
        <v>0</v>
      </c>
      <c r="BE21" s="466">
        <f t="shared" si="34"/>
        <v>0</v>
      </c>
      <c r="BF21" s="470">
        <f t="shared" si="35"/>
        <v>0</v>
      </c>
      <c r="BG21" s="435">
        <f t="shared" si="36"/>
        <v>0</v>
      </c>
      <c r="BH21" s="28">
        <f t="shared" si="37"/>
        <v>0</v>
      </c>
      <c r="BI21" s="64"/>
      <c r="BJ21" s="168"/>
      <c r="BK21" s="168"/>
      <c r="BL21" s="168"/>
      <c r="BM21" s="169"/>
      <c r="BN21" s="169"/>
      <c r="BO21" s="169"/>
      <c r="BP21" s="168"/>
      <c r="BQ21" s="168"/>
      <c r="BR21" s="168"/>
      <c r="BS21" s="168"/>
      <c r="BT21" s="168"/>
      <c r="BU21" s="168"/>
      <c r="BV21" s="168"/>
      <c r="BW21" s="168"/>
      <c r="BX21" s="168"/>
      <c r="BY21" s="168"/>
      <c r="BZ21" s="168"/>
      <c r="CA21" s="168"/>
      <c r="CB21" s="170"/>
      <c r="CC21" s="168"/>
      <c r="CD21" s="168"/>
      <c r="CE21" s="170"/>
      <c r="CF21" s="170"/>
      <c r="CG21" s="170"/>
      <c r="CH21" s="170"/>
      <c r="CI21" s="168"/>
      <c r="CJ21" s="168"/>
      <c r="CK21" s="170"/>
      <c r="CL21" s="170"/>
      <c r="CM21" s="170"/>
      <c r="CN21" s="113"/>
      <c r="CO21" s="36"/>
      <c r="CP21" s="36"/>
      <c r="CQ21" s="36"/>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6"/>
      <c r="EA21" s="36"/>
      <c r="EB21" s="36"/>
      <c r="EC21" s="36"/>
      <c r="ED21" s="36"/>
      <c r="EE21" s="36"/>
      <c r="EF21" s="36"/>
      <c r="EG21" s="36"/>
    </row>
    <row r="22" spans="1:137" s="27" customFormat="1" x14ac:dyDescent="0.25">
      <c r="A22" s="26"/>
      <c r="B22" s="417" t="s">
        <v>396</v>
      </c>
      <c r="C22" s="1394" t="s">
        <v>563</v>
      </c>
      <c r="D22" s="420" t="str">
        <f t="shared" si="0"/>
        <v>Gal</v>
      </c>
      <c r="E22" s="421">
        <v>25138777</v>
      </c>
      <c r="F22" s="421"/>
      <c r="G22" s="421"/>
      <c r="H22" s="421"/>
      <c r="I22" s="421"/>
      <c r="J22" s="421"/>
      <c r="K22" s="421"/>
      <c r="L22" s="421"/>
      <c r="M22" s="421"/>
      <c r="N22" s="421"/>
      <c r="O22" s="421"/>
      <c r="P22" s="421"/>
      <c r="Q22" s="422">
        <f>SUM(E22:P22)</f>
        <v>25138777</v>
      </c>
      <c r="R22" s="423">
        <f>COUNT(E22:P22)</f>
        <v>1</v>
      </c>
      <c r="S22" s="422">
        <f>IF(R22&gt;1,AVERAGE(E22:P22),0)</f>
        <v>0</v>
      </c>
      <c r="T22" s="422">
        <f>IF(R22&gt;1,STDEV(E22:P22),0)</f>
        <v>0</v>
      </c>
      <c r="U22" s="422">
        <f t="shared" si="5"/>
        <v>0</v>
      </c>
      <c r="V22" s="424"/>
      <c r="W22" s="425">
        <f t="shared" si="6"/>
        <v>0.17499999999999999</v>
      </c>
      <c r="X22" s="463">
        <f t="shared" si="7"/>
        <v>10.148999999999999</v>
      </c>
      <c r="Y22" s="464" t="str">
        <f t="shared" si="8"/>
        <v>kg CO2/gal</v>
      </c>
      <c r="Z22" s="465">
        <f t="shared" si="9"/>
        <v>2.0499999999999997E-3</v>
      </c>
      <c r="AA22" s="466">
        <f>($Q22*X22)/1000</f>
        <v>255133.44777299996</v>
      </c>
      <c r="AB22" s="466">
        <f t="shared" si="11"/>
        <v>255133.44777299996</v>
      </c>
      <c r="AC22" s="465">
        <f>IF(AA22&gt;0,SQRT(($W22*$W22)+(Z22*Z22)+($V22*$V22)),0)</f>
        <v>0.1750120067309669</v>
      </c>
      <c r="AD22" s="466">
        <f>(AB22*AC22)^2</f>
        <v>1993749011.4365945</v>
      </c>
      <c r="AE22" s="467">
        <f t="shared" si="14"/>
        <v>1.0000000000000001E-5</v>
      </c>
      <c r="AF22" s="464" t="str">
        <f t="shared" si="15"/>
        <v>kg CH4/gal</v>
      </c>
      <c r="AG22" s="465">
        <f t="shared" si="16"/>
        <v>9.5000000000000001E-2</v>
      </c>
      <c r="AH22" s="468">
        <f>($Q22*AE22)/1000</f>
        <v>0.25138777000000001</v>
      </c>
      <c r="AI22" s="468">
        <f t="shared" si="18"/>
        <v>7.0388575600000003</v>
      </c>
      <c r="AJ22" s="465">
        <f>IF(AH22&gt;0,SQRT(($W22*$W22)+(AG22*AG22)+($V22*$V22)),0)</f>
        <v>0.19912307751739877</v>
      </c>
      <c r="AK22" s="466">
        <f>(AI22*AJ22)^2</f>
        <v>1.964479699486277</v>
      </c>
      <c r="AL22" s="467">
        <f t="shared" si="21"/>
        <v>6.0000000000000002E-6</v>
      </c>
      <c r="AM22" s="464" t="str">
        <f t="shared" si="22"/>
        <v>kg N2O/gal</v>
      </c>
      <c r="AN22" s="465">
        <f t="shared" si="23"/>
        <v>0.12</v>
      </c>
      <c r="AO22" s="468">
        <f>($Q22*AL22)/1000</f>
        <v>0.15083266200000001</v>
      </c>
      <c r="AP22" s="468">
        <f t="shared" si="25"/>
        <v>39.970655430000001</v>
      </c>
      <c r="AQ22" s="465">
        <f>IF(AO22&gt;0,SQRT(($W22*$W22)+(AN22*AN22)+($V22*$V22)),0)</f>
        <v>0.21219095173922944</v>
      </c>
      <c r="AR22" s="466">
        <f>(AP22*AQ22)^2</f>
        <v>71.934339630058062</v>
      </c>
      <c r="AS22" s="469">
        <v>0</v>
      </c>
      <c r="AT22" s="464">
        <v>0</v>
      </c>
      <c r="AU22" s="465">
        <v>0</v>
      </c>
      <c r="AV22" s="468">
        <f t="shared" si="28"/>
        <v>0</v>
      </c>
      <c r="AW22" s="465">
        <f>IF(AV22&gt;0,SQRT(($W22*$W22)+(AU22*AU22)+($V22*$V22)),0)</f>
        <v>0</v>
      </c>
      <c r="AX22" s="466">
        <f>(AV22*AW22)^2</f>
        <v>0</v>
      </c>
      <c r="AY22" s="469">
        <v>0</v>
      </c>
      <c r="AZ22" s="464">
        <v>0</v>
      </c>
      <c r="BA22" s="465">
        <v>0</v>
      </c>
      <c r="BB22" s="468">
        <f>($Q22*AY22)/1000</f>
        <v>0</v>
      </c>
      <c r="BC22" s="468">
        <f t="shared" si="32"/>
        <v>0</v>
      </c>
      <c r="BD22" s="465">
        <f>IF(BB22&gt;0,SQRT(($W22*$W22)+(BA22*BA22)+($V22*$V22)),0)</f>
        <v>0</v>
      </c>
      <c r="BE22" s="466">
        <f>(BC22*BD22)^2</f>
        <v>0</v>
      </c>
      <c r="BF22" s="470">
        <f t="shared" si="35"/>
        <v>255180.45728598995</v>
      </c>
      <c r="BG22" s="435">
        <f t="shared" si="36"/>
        <v>0.17497976914591351</v>
      </c>
      <c r="BH22" s="28">
        <f>(BF22*BG22)^2</f>
        <v>1993749085.3354137</v>
      </c>
      <c r="BI22" s="64"/>
      <c r="BJ22" s="168"/>
      <c r="BK22" s="168"/>
      <c r="BL22" s="168"/>
      <c r="BM22" s="169"/>
      <c r="BN22" s="169"/>
      <c r="BO22" s="169"/>
      <c r="BP22" s="168"/>
      <c r="BQ22" s="168"/>
      <c r="BR22" s="168"/>
      <c r="BS22" s="168"/>
      <c r="BT22" s="168"/>
      <c r="BU22" s="168"/>
      <c r="BV22" s="168"/>
      <c r="BW22" s="168"/>
      <c r="BX22" s="168"/>
      <c r="BY22" s="168"/>
      <c r="BZ22" s="168"/>
      <c r="CA22" s="168"/>
      <c r="CB22" s="170"/>
      <c r="CC22" s="168"/>
      <c r="CD22" s="168"/>
      <c r="CE22" s="170"/>
      <c r="CF22" s="170"/>
      <c r="CG22" s="170"/>
      <c r="CH22" s="170"/>
      <c r="CI22" s="168"/>
      <c r="CJ22" s="168"/>
      <c r="CK22" s="170"/>
      <c r="CL22" s="170"/>
      <c r="CM22" s="170"/>
      <c r="CN22" s="113"/>
      <c r="CO22" s="36"/>
      <c r="CP22" s="36"/>
      <c r="CQ22" s="36"/>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6"/>
      <c r="EA22" s="36"/>
      <c r="EB22" s="36"/>
      <c r="EC22" s="36"/>
      <c r="ED22" s="36"/>
      <c r="EE22" s="36"/>
      <c r="EF22" s="36"/>
      <c r="EG22" s="36"/>
    </row>
    <row r="23" spans="1:137" s="27" customFormat="1" x14ac:dyDescent="0.25">
      <c r="A23" s="26"/>
      <c r="B23" s="417"/>
      <c r="C23" s="1394" t="s">
        <v>367</v>
      </c>
      <c r="D23" s="420" t="str">
        <f t="shared" si="0"/>
        <v>Gal</v>
      </c>
      <c r="E23" s="426">
        <v>13703626</v>
      </c>
      <c r="F23" s="421"/>
      <c r="G23" s="421"/>
      <c r="H23" s="421"/>
      <c r="I23" s="421"/>
      <c r="J23" s="421"/>
      <c r="K23" s="421"/>
      <c r="L23" s="421"/>
      <c r="M23" s="421"/>
      <c r="N23" s="421"/>
      <c r="O23" s="421"/>
      <c r="P23" s="421"/>
      <c r="Q23" s="422">
        <f t="shared" si="1"/>
        <v>13703626</v>
      </c>
      <c r="R23" s="423">
        <f t="shared" si="2"/>
        <v>1</v>
      </c>
      <c r="S23" s="422">
        <f t="shared" si="3"/>
        <v>0</v>
      </c>
      <c r="T23" s="422">
        <f t="shared" si="4"/>
        <v>0</v>
      </c>
      <c r="U23" s="422">
        <f t="shared" si="5"/>
        <v>0</v>
      </c>
      <c r="V23" s="424"/>
      <c r="W23" s="425">
        <f t="shared" si="6"/>
        <v>0.17499999999999999</v>
      </c>
      <c r="X23" s="463">
        <f t="shared" si="7"/>
        <v>8.8085000000000004</v>
      </c>
      <c r="Y23" s="464" t="str">
        <f t="shared" si="8"/>
        <v>kg CO2/gal</v>
      </c>
      <c r="Z23" s="465">
        <f t="shared" si="9"/>
        <v>2.0300000000000001E-3</v>
      </c>
      <c r="AA23" s="466">
        <f t="shared" si="10"/>
        <v>120708.38962100001</v>
      </c>
      <c r="AB23" s="466">
        <f t="shared" si="11"/>
        <v>120708.38962100001</v>
      </c>
      <c r="AC23" s="465">
        <f t="shared" si="12"/>
        <v>0.17501177360394929</v>
      </c>
      <c r="AD23" s="466">
        <f t="shared" si="13"/>
        <v>446282075.46151608</v>
      </c>
      <c r="AE23" s="467">
        <f t="shared" si="14"/>
        <v>2.6599999999999999E-5</v>
      </c>
      <c r="AF23" s="464" t="str">
        <f t="shared" si="15"/>
        <v>kg CH4/gal</v>
      </c>
      <c r="AG23" s="465">
        <f t="shared" si="16"/>
        <v>1.1000000000000001</v>
      </c>
      <c r="AH23" s="468">
        <f t="shared" si="17"/>
        <v>0.36451645159999996</v>
      </c>
      <c r="AI23" s="468">
        <f t="shared" si="18"/>
        <v>10.206460644799998</v>
      </c>
      <c r="AJ23" s="465">
        <f t="shared" si="19"/>
        <v>1.1138334704972732</v>
      </c>
      <c r="AK23" s="466">
        <f t="shared" si="20"/>
        <v>129.23818762768414</v>
      </c>
      <c r="AL23" s="467">
        <f t="shared" si="21"/>
        <v>5.3000000000000001E-6</v>
      </c>
      <c r="AM23" s="464" t="str">
        <f t="shared" si="22"/>
        <v>kg N2O/gal</v>
      </c>
      <c r="AN23" s="465">
        <f t="shared" si="23"/>
        <v>0.11</v>
      </c>
      <c r="AO23" s="468">
        <f t="shared" si="24"/>
        <v>7.2629217800000007E-2</v>
      </c>
      <c r="AP23" s="468">
        <f t="shared" si="25"/>
        <v>19.246742717</v>
      </c>
      <c r="AQ23" s="465">
        <f t="shared" si="26"/>
        <v>0.20670026608594388</v>
      </c>
      <c r="AR23" s="466">
        <f t="shared" si="27"/>
        <v>15.826925320284921</v>
      </c>
      <c r="AS23" s="469">
        <v>0</v>
      </c>
      <c r="AT23" s="464">
        <v>0</v>
      </c>
      <c r="AU23" s="465">
        <v>0</v>
      </c>
      <c r="AV23" s="468">
        <f t="shared" si="28"/>
        <v>0</v>
      </c>
      <c r="AW23" s="465">
        <f t="shared" si="29"/>
        <v>0</v>
      </c>
      <c r="AX23" s="466">
        <f t="shared" si="30"/>
        <v>0</v>
      </c>
      <c r="AY23" s="469">
        <v>0</v>
      </c>
      <c r="AZ23" s="464">
        <v>0</v>
      </c>
      <c r="BA23" s="465">
        <v>0</v>
      </c>
      <c r="BB23" s="468">
        <f t="shared" si="31"/>
        <v>0</v>
      </c>
      <c r="BC23" s="468">
        <f t="shared" si="32"/>
        <v>0</v>
      </c>
      <c r="BD23" s="465">
        <f t="shared" si="33"/>
        <v>0</v>
      </c>
      <c r="BE23" s="466">
        <f t="shared" si="34"/>
        <v>0</v>
      </c>
      <c r="BF23" s="470">
        <f t="shared" si="35"/>
        <v>120737.84282436181</v>
      </c>
      <c r="BG23" s="435">
        <f t="shared" si="36"/>
        <v>0.17496910906888777</v>
      </c>
      <c r="BH23" s="28">
        <f t="shared" si="37"/>
        <v>446282220.52662903</v>
      </c>
      <c r="BI23" s="64"/>
      <c r="BJ23" s="168"/>
      <c r="BK23" s="168"/>
      <c r="BL23" s="168"/>
      <c r="BM23" s="169"/>
      <c r="BN23" s="169"/>
      <c r="BO23" s="169"/>
      <c r="BP23" s="168"/>
      <c r="BQ23" s="168"/>
      <c r="BR23" s="168"/>
      <c r="BS23" s="168"/>
      <c r="BT23" s="168"/>
      <c r="BU23" s="168"/>
      <c r="BV23" s="168"/>
      <c r="BW23" s="168"/>
      <c r="BX23" s="168"/>
      <c r="BY23" s="168"/>
      <c r="BZ23" s="168"/>
      <c r="CA23" s="168"/>
      <c r="CB23" s="170"/>
      <c r="CC23" s="168"/>
      <c r="CD23" s="168"/>
      <c r="CE23" s="170"/>
      <c r="CF23" s="170"/>
      <c r="CG23" s="170"/>
      <c r="CH23" s="170"/>
      <c r="CI23" s="168"/>
      <c r="CJ23" s="168"/>
      <c r="CK23" s="170"/>
      <c r="CL23" s="170"/>
      <c r="CM23" s="170"/>
      <c r="CN23" s="113"/>
      <c r="CO23" s="36"/>
      <c r="CP23" s="36"/>
      <c r="CQ23" s="36"/>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6"/>
      <c r="EA23" s="36"/>
      <c r="EB23" s="36"/>
      <c r="EC23" s="36"/>
      <c r="ED23" s="36"/>
      <c r="EE23" s="36"/>
      <c r="EF23" s="36"/>
      <c r="EG23" s="36"/>
    </row>
    <row r="24" spans="1:137" s="27" customFormat="1" x14ac:dyDescent="0.25">
      <c r="A24" s="26"/>
      <c r="B24" s="418"/>
      <c r="C24" s="1394"/>
      <c r="D24" s="420">
        <f t="shared" si="0"/>
        <v>0</v>
      </c>
      <c r="E24" s="421"/>
      <c r="F24" s="421"/>
      <c r="G24" s="421"/>
      <c r="H24" s="421"/>
      <c r="I24" s="421"/>
      <c r="J24" s="421"/>
      <c r="K24" s="421"/>
      <c r="L24" s="421"/>
      <c r="M24" s="421"/>
      <c r="N24" s="421"/>
      <c r="O24" s="421"/>
      <c r="P24" s="421"/>
      <c r="Q24" s="422">
        <f t="shared" si="1"/>
        <v>0</v>
      </c>
      <c r="R24" s="423">
        <f t="shared" si="2"/>
        <v>0</v>
      </c>
      <c r="S24" s="422">
        <f t="shared" si="3"/>
        <v>0</v>
      </c>
      <c r="T24" s="422">
        <f t="shared" si="4"/>
        <v>0</v>
      </c>
      <c r="U24" s="422">
        <f t="shared" si="5"/>
        <v>0</v>
      </c>
      <c r="V24" s="424"/>
      <c r="W24" s="425">
        <f t="shared" si="6"/>
        <v>0</v>
      </c>
      <c r="X24" s="463">
        <f t="shared" si="7"/>
        <v>0</v>
      </c>
      <c r="Y24" s="464">
        <f t="shared" si="8"/>
        <v>0</v>
      </c>
      <c r="Z24" s="465">
        <f t="shared" si="9"/>
        <v>0</v>
      </c>
      <c r="AA24" s="466">
        <f t="shared" si="10"/>
        <v>0</v>
      </c>
      <c r="AB24" s="466">
        <f t="shared" si="11"/>
        <v>0</v>
      </c>
      <c r="AC24" s="465">
        <f t="shared" si="12"/>
        <v>0</v>
      </c>
      <c r="AD24" s="466">
        <f t="shared" si="13"/>
        <v>0</v>
      </c>
      <c r="AE24" s="467">
        <f t="shared" si="14"/>
        <v>0</v>
      </c>
      <c r="AF24" s="464">
        <f t="shared" si="15"/>
        <v>0</v>
      </c>
      <c r="AG24" s="465">
        <f t="shared" si="16"/>
        <v>0</v>
      </c>
      <c r="AH24" s="468">
        <f t="shared" si="17"/>
        <v>0</v>
      </c>
      <c r="AI24" s="468">
        <f t="shared" si="18"/>
        <v>0</v>
      </c>
      <c r="AJ24" s="465">
        <f t="shared" si="19"/>
        <v>0</v>
      </c>
      <c r="AK24" s="466">
        <f t="shared" si="20"/>
        <v>0</v>
      </c>
      <c r="AL24" s="467">
        <f t="shared" si="21"/>
        <v>0</v>
      </c>
      <c r="AM24" s="464">
        <f t="shared" si="22"/>
        <v>0</v>
      </c>
      <c r="AN24" s="465">
        <f t="shared" si="23"/>
        <v>0</v>
      </c>
      <c r="AO24" s="468">
        <f t="shared" si="24"/>
        <v>0</v>
      </c>
      <c r="AP24" s="468">
        <f t="shared" si="25"/>
        <v>0</v>
      </c>
      <c r="AQ24" s="465">
        <f t="shared" si="26"/>
        <v>0</v>
      </c>
      <c r="AR24" s="466">
        <f t="shared" si="27"/>
        <v>0</v>
      </c>
      <c r="AS24" s="469">
        <v>0</v>
      </c>
      <c r="AT24" s="464">
        <v>0</v>
      </c>
      <c r="AU24" s="465">
        <v>0</v>
      </c>
      <c r="AV24" s="468">
        <f t="shared" si="28"/>
        <v>0</v>
      </c>
      <c r="AW24" s="465">
        <f t="shared" si="29"/>
        <v>0</v>
      </c>
      <c r="AX24" s="466">
        <f t="shared" si="30"/>
        <v>0</v>
      </c>
      <c r="AY24" s="469">
        <v>0</v>
      </c>
      <c r="AZ24" s="464">
        <v>0</v>
      </c>
      <c r="BA24" s="465">
        <v>0</v>
      </c>
      <c r="BB24" s="468">
        <f t="shared" si="31"/>
        <v>0</v>
      </c>
      <c r="BC24" s="468">
        <f t="shared" si="32"/>
        <v>0</v>
      </c>
      <c r="BD24" s="465">
        <f t="shared" si="33"/>
        <v>0</v>
      </c>
      <c r="BE24" s="466">
        <f t="shared" si="34"/>
        <v>0</v>
      </c>
      <c r="BF24" s="470">
        <f t="shared" si="35"/>
        <v>0</v>
      </c>
      <c r="BG24" s="435">
        <f t="shared" si="36"/>
        <v>0</v>
      </c>
      <c r="BH24" s="28">
        <f t="shared" si="37"/>
        <v>0</v>
      </c>
      <c r="BI24" s="64"/>
      <c r="BJ24" s="168"/>
      <c r="BK24" s="168"/>
      <c r="BL24" s="168"/>
      <c r="BM24" s="169"/>
      <c r="BN24" s="169"/>
      <c r="BO24" s="169"/>
      <c r="BP24" s="168"/>
      <c r="BQ24" s="168"/>
      <c r="BR24" s="168"/>
      <c r="BS24" s="168"/>
      <c r="BT24" s="168"/>
      <c r="BU24" s="168"/>
      <c r="BV24" s="168"/>
      <c r="BW24" s="168"/>
      <c r="BX24" s="168"/>
      <c r="BY24" s="168"/>
      <c r="BZ24" s="168"/>
      <c r="CA24" s="168"/>
      <c r="CB24" s="170"/>
      <c r="CC24" s="168"/>
      <c r="CD24" s="168"/>
      <c r="CE24" s="170"/>
      <c r="CF24" s="170"/>
      <c r="CG24" s="170"/>
      <c r="CH24" s="170"/>
      <c r="CI24" s="168"/>
      <c r="CJ24" s="168"/>
      <c r="CK24" s="170"/>
      <c r="CL24" s="170"/>
      <c r="CM24" s="170"/>
      <c r="CN24" s="113"/>
      <c r="CO24" s="36"/>
      <c r="CP24" s="36"/>
      <c r="CQ24" s="36"/>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6"/>
      <c r="EA24" s="36"/>
      <c r="EB24" s="36"/>
      <c r="EC24" s="36"/>
      <c r="ED24" s="36"/>
      <c r="EE24" s="36"/>
      <c r="EF24" s="36"/>
      <c r="EG24" s="36"/>
    </row>
    <row r="25" spans="1:137" s="27" customFormat="1" x14ac:dyDescent="0.25">
      <c r="A25" s="26"/>
      <c r="B25" s="416" t="s">
        <v>398</v>
      </c>
      <c r="C25" s="1339" t="s">
        <v>427</v>
      </c>
      <c r="D25" s="420" t="str">
        <f t="shared" si="0"/>
        <v>m3</v>
      </c>
      <c r="E25" s="426">
        <v>525361590.39999998</v>
      </c>
      <c r="F25" s="426"/>
      <c r="G25" s="426"/>
      <c r="H25" s="426"/>
      <c r="I25" s="426"/>
      <c r="J25" s="426"/>
      <c r="K25" s="426"/>
      <c r="L25" s="421"/>
      <c r="M25" s="421"/>
      <c r="N25" s="421"/>
      <c r="O25" s="421"/>
      <c r="P25" s="421"/>
      <c r="Q25" s="422">
        <f t="shared" si="1"/>
        <v>525361590.39999998</v>
      </c>
      <c r="R25" s="423">
        <f t="shared" si="2"/>
        <v>1</v>
      </c>
      <c r="S25" s="422">
        <f t="shared" si="3"/>
        <v>0</v>
      </c>
      <c r="T25" s="422">
        <f t="shared" si="4"/>
        <v>0</v>
      </c>
      <c r="U25" s="422">
        <f t="shared" si="5"/>
        <v>0</v>
      </c>
      <c r="V25" s="424"/>
      <c r="W25" s="425">
        <f t="shared" si="6"/>
        <v>0.17499999999999999</v>
      </c>
      <c r="X25" s="463">
        <f t="shared" si="7"/>
        <v>1.9805999999999999</v>
      </c>
      <c r="Y25" s="464" t="str">
        <f t="shared" si="8"/>
        <v>kg CO2/m3</v>
      </c>
      <c r="Z25" s="465">
        <f t="shared" si="9"/>
        <v>6.5890000000000004E-2</v>
      </c>
      <c r="AA25" s="466">
        <f t="shared" si="10"/>
        <v>1040531.16594624</v>
      </c>
      <c r="AB25" s="466">
        <f t="shared" si="11"/>
        <v>1040531.16594624</v>
      </c>
      <c r="AC25" s="465">
        <f t="shared" si="12"/>
        <v>0.18699329426479441</v>
      </c>
      <c r="AD25" s="466">
        <f t="shared" si="13"/>
        <v>37858399581.225365</v>
      </c>
      <c r="AE25" s="467">
        <f t="shared" si="14"/>
        <v>3.57E-5</v>
      </c>
      <c r="AF25" s="464" t="str">
        <f t="shared" si="15"/>
        <v>kg CH4/m3</v>
      </c>
      <c r="AG25" s="465">
        <f t="shared" si="16"/>
        <v>15.4</v>
      </c>
      <c r="AH25" s="468">
        <f t="shared" si="17"/>
        <v>18.755408777279996</v>
      </c>
      <c r="AI25" s="468">
        <f t="shared" si="18"/>
        <v>525.15144576383989</v>
      </c>
      <c r="AJ25" s="465">
        <f t="shared" si="19"/>
        <v>15.400994286084259</v>
      </c>
      <c r="AK25" s="466">
        <f t="shared" si="20"/>
        <v>65413389.046934061</v>
      </c>
      <c r="AL25" s="467">
        <f t="shared" si="21"/>
        <v>3.5999999999999998E-6</v>
      </c>
      <c r="AM25" s="464" t="str">
        <f t="shared" si="22"/>
        <v>kg N2O/m3</v>
      </c>
      <c r="AN25" s="465">
        <f t="shared" si="23"/>
        <v>0.77</v>
      </c>
      <c r="AO25" s="468">
        <f t="shared" si="24"/>
        <v>1.89130172544</v>
      </c>
      <c r="AP25" s="468">
        <f t="shared" si="25"/>
        <v>501.19495724159998</v>
      </c>
      <c r="AQ25" s="465">
        <f t="shared" si="26"/>
        <v>0.78963599208749347</v>
      </c>
      <c r="AR25" s="466">
        <f t="shared" si="27"/>
        <v>156627.22605963828</v>
      </c>
      <c r="AS25" s="469">
        <v>0</v>
      </c>
      <c r="AT25" s="464">
        <v>0</v>
      </c>
      <c r="AU25" s="465">
        <v>0</v>
      </c>
      <c r="AV25" s="468">
        <f t="shared" si="28"/>
        <v>0</v>
      </c>
      <c r="AW25" s="465">
        <f t="shared" si="29"/>
        <v>0</v>
      </c>
      <c r="AX25" s="466">
        <f t="shared" si="30"/>
        <v>0</v>
      </c>
      <c r="AY25" s="469">
        <v>0</v>
      </c>
      <c r="AZ25" s="464">
        <v>0</v>
      </c>
      <c r="BA25" s="465">
        <v>0</v>
      </c>
      <c r="BB25" s="468">
        <f t="shared" si="31"/>
        <v>0</v>
      </c>
      <c r="BC25" s="468">
        <f t="shared" si="32"/>
        <v>0</v>
      </c>
      <c r="BD25" s="465">
        <f t="shared" si="33"/>
        <v>0</v>
      </c>
      <c r="BE25" s="466">
        <f t="shared" si="34"/>
        <v>0</v>
      </c>
      <c r="BF25" s="470">
        <f t="shared" si="35"/>
        <v>1041557.5123492455</v>
      </c>
      <c r="BG25" s="435">
        <f t="shared" si="36"/>
        <v>0.18697073668608527</v>
      </c>
      <c r="BH25" s="28">
        <f t="shared" si="37"/>
        <v>37923969597.498367</v>
      </c>
      <c r="BI25" s="64"/>
      <c r="BJ25" s="168"/>
      <c r="BK25" s="168"/>
      <c r="BL25" s="168"/>
      <c r="BM25" s="169"/>
      <c r="BN25" s="169"/>
      <c r="BO25" s="169"/>
      <c r="BP25" s="168"/>
      <c r="BQ25" s="168"/>
      <c r="BR25" s="168"/>
      <c r="BS25" s="168"/>
      <c r="BT25" s="168"/>
      <c r="BU25" s="168"/>
      <c r="BV25" s="168"/>
      <c r="BW25" s="168"/>
      <c r="BX25" s="168"/>
      <c r="BY25" s="168"/>
      <c r="BZ25" s="168"/>
      <c r="CA25" s="168"/>
      <c r="CB25" s="170"/>
      <c r="CC25" s="168"/>
      <c r="CD25" s="168"/>
      <c r="CE25" s="170"/>
      <c r="CF25" s="170"/>
      <c r="CG25" s="170"/>
      <c r="CH25" s="170"/>
      <c r="CI25" s="168"/>
      <c r="CJ25" s="168"/>
      <c r="CK25" s="170"/>
      <c r="CL25" s="170"/>
      <c r="CM25" s="170"/>
      <c r="CN25" s="113"/>
      <c r="CO25" s="36"/>
      <c r="CP25" s="36"/>
      <c r="CQ25" s="36"/>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6"/>
      <c r="EA25" s="36"/>
      <c r="EB25" s="36"/>
      <c r="EC25" s="36"/>
      <c r="ED25" s="36"/>
      <c r="EE25" s="36"/>
      <c r="EF25" s="36"/>
      <c r="EG25" s="36"/>
    </row>
    <row r="26" spans="1:137" s="27" customFormat="1" x14ac:dyDescent="0.25">
      <c r="A26" s="26"/>
      <c r="B26" s="417" t="s">
        <v>396</v>
      </c>
      <c r="C26" s="1339" t="s">
        <v>275</v>
      </c>
      <c r="D26" s="420" t="str">
        <f t="shared" si="0"/>
        <v>m3</v>
      </c>
      <c r="E26" s="421">
        <v>100793.60000000001</v>
      </c>
      <c r="F26" s="427"/>
      <c r="G26" s="427"/>
      <c r="H26" s="428"/>
      <c r="I26" s="428"/>
      <c r="J26" s="428"/>
      <c r="K26" s="428"/>
      <c r="L26" s="427"/>
      <c r="M26" s="427"/>
      <c r="N26" s="429"/>
      <c r="O26" s="429"/>
      <c r="P26" s="429"/>
      <c r="Q26" s="422">
        <f t="shared" si="1"/>
        <v>100793.60000000001</v>
      </c>
      <c r="R26" s="423">
        <f t="shared" si="2"/>
        <v>1</v>
      </c>
      <c r="S26" s="422">
        <f t="shared" si="3"/>
        <v>0</v>
      </c>
      <c r="T26" s="422">
        <f t="shared" si="4"/>
        <v>0</v>
      </c>
      <c r="U26" s="422">
        <f t="shared" si="5"/>
        <v>0</v>
      </c>
      <c r="V26" s="424"/>
      <c r="W26" s="425">
        <f t="shared" si="6"/>
        <v>0.17499999999999999</v>
      </c>
      <c r="X26" s="463">
        <f t="shared" si="7"/>
        <v>4.6929999999999996</v>
      </c>
      <c r="Y26" s="464" t="str">
        <f t="shared" si="8"/>
        <v>kg CO2/m3</v>
      </c>
      <c r="Z26" s="465">
        <f t="shared" si="9"/>
        <v>2.6000000000000002E-2</v>
      </c>
      <c r="AA26" s="466">
        <f t="shared" si="10"/>
        <v>473.0243648</v>
      </c>
      <c r="AB26" s="466">
        <f t="shared" si="11"/>
        <v>473.0243648</v>
      </c>
      <c r="AC26" s="465">
        <f t="shared" si="12"/>
        <v>0.17692088627406319</v>
      </c>
      <c r="AD26" s="466">
        <f t="shared" si="13"/>
        <v>7003.6629074857756</v>
      </c>
      <c r="AE26" s="467">
        <f t="shared" si="14"/>
        <v>9.9199999999999999E-5</v>
      </c>
      <c r="AF26" s="464" t="str">
        <f t="shared" si="15"/>
        <v>kg CH4/m3</v>
      </c>
      <c r="AG26" s="465">
        <f t="shared" si="16"/>
        <v>0</v>
      </c>
      <c r="AH26" s="468">
        <f t="shared" si="17"/>
        <v>9.9987251200000012E-3</v>
      </c>
      <c r="AI26" s="468">
        <f t="shared" si="18"/>
        <v>0.27996430336000006</v>
      </c>
      <c r="AJ26" s="465">
        <f t="shared" si="19"/>
        <v>0.17499999999999999</v>
      </c>
      <c r="AK26" s="466">
        <f t="shared" si="20"/>
        <v>2.4003878416479101E-3</v>
      </c>
      <c r="AL26" s="467">
        <f t="shared" si="21"/>
        <v>9.9000000000000001E-6</v>
      </c>
      <c r="AM26" s="464" t="str">
        <f t="shared" si="22"/>
        <v>kg N2O/m3</v>
      </c>
      <c r="AN26" s="465">
        <f t="shared" si="23"/>
        <v>0</v>
      </c>
      <c r="AO26" s="468">
        <f t="shared" si="24"/>
        <v>9.9785664000000013E-4</v>
      </c>
      <c r="AP26" s="468">
        <f t="shared" si="25"/>
        <v>0.26443200960000002</v>
      </c>
      <c r="AQ26" s="465">
        <f t="shared" si="26"/>
        <v>0.17499999999999999</v>
      </c>
      <c r="AR26" s="466">
        <f t="shared" si="27"/>
        <v>2.1414313108460187E-3</v>
      </c>
      <c r="AS26" s="469">
        <v>0</v>
      </c>
      <c r="AT26" s="464">
        <v>0</v>
      </c>
      <c r="AU26" s="465">
        <v>0</v>
      </c>
      <c r="AV26" s="468">
        <f t="shared" si="28"/>
        <v>0</v>
      </c>
      <c r="AW26" s="465">
        <f t="shared" si="29"/>
        <v>0</v>
      </c>
      <c r="AX26" s="466">
        <f t="shared" si="30"/>
        <v>0</v>
      </c>
      <c r="AY26" s="469">
        <v>0</v>
      </c>
      <c r="AZ26" s="464">
        <v>0</v>
      </c>
      <c r="BA26" s="465">
        <v>0</v>
      </c>
      <c r="BB26" s="468">
        <f t="shared" si="31"/>
        <v>0</v>
      </c>
      <c r="BC26" s="468">
        <f t="shared" si="32"/>
        <v>0</v>
      </c>
      <c r="BD26" s="465">
        <f t="shared" si="33"/>
        <v>0</v>
      </c>
      <c r="BE26" s="466">
        <f t="shared" si="34"/>
        <v>0</v>
      </c>
      <c r="BF26" s="470">
        <f t="shared" si="35"/>
        <v>473.56876111295998</v>
      </c>
      <c r="BG26" s="435">
        <f t="shared" si="36"/>
        <v>0.17671756217285123</v>
      </c>
      <c r="BH26" s="28">
        <f t="shared" si="37"/>
        <v>7003.6674493049277</v>
      </c>
      <c r="BI26" s="64"/>
      <c r="BJ26" s="168"/>
      <c r="BK26" s="168"/>
      <c r="BL26" s="168"/>
      <c r="BM26" s="169"/>
      <c r="BN26" s="169"/>
      <c r="BO26" s="169"/>
      <c r="BP26" s="168"/>
      <c r="BQ26" s="168"/>
      <c r="BR26" s="168"/>
      <c r="BS26" s="168"/>
      <c r="BT26" s="168"/>
      <c r="BU26" s="168"/>
      <c r="BV26" s="168"/>
      <c r="BW26" s="168"/>
      <c r="BX26" s="168"/>
      <c r="BY26" s="168"/>
      <c r="BZ26" s="168"/>
      <c r="CA26" s="168"/>
      <c r="CB26" s="170"/>
      <c r="CC26" s="168"/>
      <c r="CD26" s="168"/>
      <c r="CE26" s="170"/>
      <c r="CF26" s="170"/>
      <c r="CG26" s="170"/>
      <c r="CH26" s="170"/>
      <c r="CI26" s="168"/>
      <c r="CJ26" s="168"/>
      <c r="CK26" s="170"/>
      <c r="CL26" s="170"/>
      <c r="CM26" s="170"/>
      <c r="CN26" s="113"/>
      <c r="CO26" s="36"/>
      <c r="CP26" s="36"/>
      <c r="CQ26" s="36"/>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6"/>
      <c r="EA26" s="36"/>
      <c r="EB26" s="36"/>
      <c r="EC26" s="36"/>
      <c r="ED26" s="36"/>
      <c r="EE26" s="36"/>
      <c r="EF26" s="36"/>
      <c r="EG26" s="36"/>
    </row>
    <row r="27" spans="1:137" s="27" customFormat="1" x14ac:dyDescent="0.25">
      <c r="A27" s="26"/>
      <c r="B27" s="418"/>
      <c r="C27" s="419"/>
      <c r="D27" s="420">
        <f t="shared" si="0"/>
        <v>0</v>
      </c>
      <c r="E27" s="426"/>
      <c r="F27" s="421"/>
      <c r="G27" s="421"/>
      <c r="H27" s="421"/>
      <c r="I27" s="421"/>
      <c r="J27" s="421"/>
      <c r="K27" s="421"/>
      <c r="L27" s="421"/>
      <c r="M27" s="421"/>
      <c r="N27" s="421"/>
      <c r="O27" s="421"/>
      <c r="P27" s="421"/>
      <c r="Q27" s="422">
        <f t="shared" si="1"/>
        <v>0</v>
      </c>
      <c r="R27" s="423">
        <f t="shared" si="2"/>
        <v>0</v>
      </c>
      <c r="S27" s="422">
        <f t="shared" si="3"/>
        <v>0</v>
      </c>
      <c r="T27" s="422">
        <f t="shared" si="4"/>
        <v>0</v>
      </c>
      <c r="U27" s="422">
        <f t="shared" si="5"/>
        <v>0</v>
      </c>
      <c r="V27" s="424"/>
      <c r="W27" s="425">
        <f t="shared" si="6"/>
        <v>0</v>
      </c>
      <c r="X27" s="463">
        <f t="shared" si="7"/>
        <v>0</v>
      </c>
      <c r="Y27" s="464">
        <f t="shared" si="8"/>
        <v>0</v>
      </c>
      <c r="Z27" s="465">
        <f t="shared" si="9"/>
        <v>0</v>
      </c>
      <c r="AA27" s="466">
        <f t="shared" si="10"/>
        <v>0</v>
      </c>
      <c r="AB27" s="466">
        <f t="shared" si="11"/>
        <v>0</v>
      </c>
      <c r="AC27" s="465">
        <f t="shared" si="12"/>
        <v>0</v>
      </c>
      <c r="AD27" s="466">
        <f t="shared" si="13"/>
        <v>0</v>
      </c>
      <c r="AE27" s="467">
        <f t="shared" si="14"/>
        <v>0</v>
      </c>
      <c r="AF27" s="464">
        <f t="shared" si="15"/>
        <v>0</v>
      </c>
      <c r="AG27" s="465">
        <f t="shared" si="16"/>
        <v>0</v>
      </c>
      <c r="AH27" s="468">
        <f t="shared" si="17"/>
        <v>0</v>
      </c>
      <c r="AI27" s="468">
        <f t="shared" si="18"/>
        <v>0</v>
      </c>
      <c r="AJ27" s="465">
        <f t="shared" si="19"/>
        <v>0</v>
      </c>
      <c r="AK27" s="466">
        <f t="shared" si="20"/>
        <v>0</v>
      </c>
      <c r="AL27" s="467">
        <f t="shared" si="21"/>
        <v>0</v>
      </c>
      <c r="AM27" s="464">
        <f t="shared" si="22"/>
        <v>0</v>
      </c>
      <c r="AN27" s="465">
        <f t="shared" si="23"/>
        <v>0</v>
      </c>
      <c r="AO27" s="468">
        <f t="shared" si="24"/>
        <v>0</v>
      </c>
      <c r="AP27" s="468">
        <f t="shared" si="25"/>
        <v>0</v>
      </c>
      <c r="AQ27" s="465">
        <f t="shared" si="26"/>
        <v>0</v>
      </c>
      <c r="AR27" s="466">
        <f t="shared" si="27"/>
        <v>0</v>
      </c>
      <c r="AS27" s="469">
        <v>0</v>
      </c>
      <c r="AT27" s="464">
        <v>0</v>
      </c>
      <c r="AU27" s="465">
        <v>0</v>
      </c>
      <c r="AV27" s="468">
        <f t="shared" si="28"/>
        <v>0</v>
      </c>
      <c r="AW27" s="465">
        <f t="shared" si="29"/>
        <v>0</v>
      </c>
      <c r="AX27" s="466">
        <f t="shared" si="30"/>
        <v>0</v>
      </c>
      <c r="AY27" s="469">
        <v>0</v>
      </c>
      <c r="AZ27" s="464">
        <v>0</v>
      </c>
      <c r="BA27" s="465">
        <v>0</v>
      </c>
      <c r="BB27" s="468">
        <f t="shared" si="31"/>
        <v>0</v>
      </c>
      <c r="BC27" s="468">
        <f t="shared" si="32"/>
        <v>0</v>
      </c>
      <c r="BD27" s="465">
        <f t="shared" si="33"/>
        <v>0</v>
      </c>
      <c r="BE27" s="466">
        <f t="shared" si="34"/>
        <v>0</v>
      </c>
      <c r="BF27" s="470">
        <f t="shared" si="35"/>
        <v>0</v>
      </c>
      <c r="BG27" s="435">
        <f t="shared" si="36"/>
        <v>0</v>
      </c>
      <c r="BH27" s="28">
        <f t="shared" si="37"/>
        <v>0</v>
      </c>
      <c r="BI27" s="64"/>
      <c r="BJ27" s="168"/>
      <c r="BK27" s="168"/>
      <c r="BL27" s="168"/>
      <c r="BM27" s="169"/>
      <c r="BN27" s="169"/>
      <c r="BO27" s="169"/>
      <c r="BP27" s="168"/>
      <c r="BQ27" s="168"/>
      <c r="BR27" s="168"/>
      <c r="BS27" s="168"/>
      <c r="BT27" s="168"/>
      <c r="BU27" s="168"/>
      <c r="BV27" s="168"/>
      <c r="BW27" s="168"/>
      <c r="BX27" s="168"/>
      <c r="BY27" s="168"/>
      <c r="BZ27" s="168"/>
      <c r="CA27" s="168"/>
      <c r="CB27" s="170"/>
      <c r="CC27" s="168"/>
      <c r="CD27" s="168"/>
      <c r="CE27" s="170"/>
      <c r="CF27" s="170"/>
      <c r="CG27" s="170"/>
      <c r="CH27" s="170"/>
      <c r="CI27" s="168"/>
      <c r="CJ27" s="168"/>
      <c r="CK27" s="170"/>
      <c r="CL27" s="170"/>
      <c r="CM27" s="170"/>
      <c r="CN27" s="113"/>
      <c r="CO27" s="36"/>
      <c r="CP27" s="36"/>
      <c r="CQ27" s="36"/>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6"/>
      <c r="EA27" s="36"/>
      <c r="EB27" s="36"/>
      <c r="EC27" s="36"/>
      <c r="ED27" s="36"/>
      <c r="EE27" s="36"/>
      <c r="EF27" s="36"/>
      <c r="EG27" s="36"/>
    </row>
    <row r="28" spans="1:137" s="27" customFormat="1" x14ac:dyDescent="0.25">
      <c r="A28" s="26"/>
      <c r="B28" s="473" t="s">
        <v>46</v>
      </c>
      <c r="C28" s="474"/>
      <c r="D28" s="474"/>
      <c r="E28" s="474"/>
      <c r="F28" s="474"/>
      <c r="G28" s="474"/>
      <c r="H28" s="474"/>
      <c r="I28" s="474"/>
      <c r="J28" s="474"/>
      <c r="K28" s="474"/>
      <c r="L28" s="474"/>
      <c r="M28" s="474"/>
      <c r="N28" s="474"/>
      <c r="O28" s="474"/>
      <c r="P28" s="474"/>
      <c r="Q28" s="474"/>
      <c r="R28" s="474"/>
      <c r="S28" s="474"/>
      <c r="T28" s="474"/>
      <c r="U28" s="474"/>
      <c r="V28" s="474"/>
      <c r="W28" s="474"/>
      <c r="X28" s="474"/>
      <c r="Y28" s="474"/>
      <c r="Z28" s="474"/>
      <c r="AA28" s="475"/>
      <c r="AB28" s="476">
        <f>SUM(AB17:AB27)</f>
        <v>1416846.0277050398</v>
      </c>
      <c r="AC28" s="477">
        <f>IF(AB28&gt;0,SQRT(SUM(AD17:AD27))/AB28,0)</f>
        <v>0.14168420829093817</v>
      </c>
      <c r="AD28" s="478"/>
      <c r="AE28" s="479"/>
      <c r="AF28" s="474"/>
      <c r="AG28" s="474"/>
      <c r="AH28" s="480"/>
      <c r="AI28" s="476">
        <f>SUM(AI17:AI27)</f>
        <v>542.67672827199988</v>
      </c>
      <c r="AJ28" s="477">
        <f>IF(AI28&gt;0,SQRT(SUM(AK17:AK27))/AI28,0)</f>
        <v>14.903647245991028</v>
      </c>
      <c r="AK28" s="478"/>
      <c r="AL28" s="474"/>
      <c r="AM28" s="474"/>
      <c r="AN28" s="474"/>
      <c r="AO28" s="474"/>
      <c r="AP28" s="476">
        <f>SUM(AP17:AP27)</f>
        <v>560.67678739819996</v>
      </c>
      <c r="AQ28" s="477">
        <f>IF(AP28&gt;0,SQRT(SUM(AR17:AR27))/AP28,0)</f>
        <v>0.70606176285525601</v>
      </c>
      <c r="AR28" s="478"/>
      <c r="AS28" s="474"/>
      <c r="AT28" s="474"/>
      <c r="AU28" s="474"/>
      <c r="AV28" s="476">
        <f>SUM(AV17:AV27)</f>
        <v>0</v>
      </c>
      <c r="AW28" s="477">
        <f>IF(AV28&gt;0,SQRT(SUM(AX17:AX27))/AV28,0)</f>
        <v>0</v>
      </c>
      <c r="AX28" s="478"/>
      <c r="AY28" s="474"/>
      <c r="AZ28" s="474"/>
      <c r="BA28" s="481"/>
      <c r="BB28" s="478"/>
      <c r="BC28" s="476">
        <f>SUM(BC17:BC27)</f>
        <v>0</v>
      </c>
      <c r="BD28" s="477">
        <f>IF(BC28&gt;0,SQRT(SUM(BE17:BE27))/BC28,0)</f>
        <v>0</v>
      </c>
      <c r="BE28" s="478"/>
      <c r="BF28" s="476">
        <f>SUM(BF17:BF27)</f>
        <v>1417949.3812207102</v>
      </c>
      <c r="BG28" s="482">
        <f>IF(BF28&gt;0,SQRT(SUM(BH17:BH27))/BF28,0)</f>
        <v>0.14168909091922338</v>
      </c>
      <c r="BH28" s="28">
        <f t="shared" si="37"/>
        <v>40364007907.027863</v>
      </c>
      <c r="BI28" s="64"/>
      <c r="BJ28" s="168"/>
      <c r="BK28" s="168"/>
      <c r="BL28" s="168"/>
      <c r="BM28" s="169"/>
      <c r="BN28" s="169"/>
      <c r="BO28" s="169"/>
      <c r="BP28" s="168"/>
      <c r="BQ28" s="168"/>
      <c r="BR28" s="168"/>
      <c r="BS28" s="168"/>
      <c r="BT28" s="168"/>
      <c r="BU28" s="168"/>
      <c r="BV28" s="168"/>
      <c r="BW28" s="168"/>
      <c r="BX28" s="168"/>
      <c r="BY28" s="168"/>
      <c r="BZ28" s="168"/>
      <c r="CA28" s="168"/>
      <c r="CB28" s="170"/>
      <c r="CC28" s="168"/>
      <c r="CD28" s="168"/>
      <c r="CE28" s="170"/>
      <c r="CF28" s="170"/>
      <c r="CG28" s="170"/>
      <c r="CH28" s="170"/>
      <c r="CI28" s="168"/>
      <c r="CJ28" s="168"/>
      <c r="CK28" s="170"/>
      <c r="CL28" s="170"/>
      <c r="CM28" s="170"/>
      <c r="CN28" s="113"/>
      <c r="CO28" s="36"/>
      <c r="CP28" s="36"/>
      <c r="CQ28" s="36"/>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6"/>
      <c r="EA28" s="36"/>
      <c r="EB28" s="36"/>
      <c r="EC28" s="36"/>
      <c r="ED28" s="36"/>
      <c r="EE28" s="36"/>
      <c r="EF28" s="36"/>
      <c r="EG28" s="36"/>
    </row>
    <row r="29" spans="1:137" s="27" customFormat="1" ht="15" customHeight="1" x14ac:dyDescent="0.25">
      <c r="A29" s="26"/>
      <c r="B29" s="416" t="s">
        <v>399</v>
      </c>
      <c r="C29" s="553" t="s">
        <v>182</v>
      </c>
      <c r="D29" s="523" t="str">
        <f t="shared" ref="D29:D34" si="38">VLOOKUP($C29,$BI$78:$CM$460,2,FALSE)</f>
        <v>kg</v>
      </c>
      <c r="E29" s="145">
        <v>474.33</v>
      </c>
      <c r="F29" s="145"/>
      <c r="G29" s="145"/>
      <c r="H29" s="145"/>
      <c r="I29" s="145"/>
      <c r="J29" s="145"/>
      <c r="K29" s="12"/>
      <c r="L29" s="12"/>
      <c r="M29" s="12"/>
      <c r="N29" s="12"/>
      <c r="O29" s="12"/>
      <c r="P29" s="12"/>
      <c r="Q29" s="65">
        <f t="shared" ref="Q29:Q34" si="39">SUM(E29:P29)</f>
        <v>474.33</v>
      </c>
      <c r="R29" s="160">
        <f t="shared" ref="R29:R34" si="40">COUNT(E29:P29)</f>
        <v>1</v>
      </c>
      <c r="S29" s="65">
        <f t="shared" ref="S29:S34" si="41">IF(R29&gt;1,AVERAGE(E29:P29),0)</f>
        <v>0</v>
      </c>
      <c r="T29" s="65">
        <f t="shared" ref="T29:T34" si="42">IF(R29&gt;1,STDEV(E29:P29),0)</f>
        <v>0</v>
      </c>
      <c r="U29" s="65">
        <f t="shared" ref="U29:U34" si="43">IF(R29&gt;1,VLOOKUP($R29,$BI$412:$BJ$424,2,FALSE),0)</f>
        <v>0</v>
      </c>
      <c r="V29" s="13"/>
      <c r="W29" s="66">
        <f t="shared" ref="W29:W34" si="44">IF(R29&gt;1,1-((S29-((T29*U29)/(SQRT(R29))))/S29),VLOOKUP($C29,$BI$78:$CS$460,34,FALSE))</f>
        <v>0.255</v>
      </c>
      <c r="X29" s="463">
        <v>0</v>
      </c>
      <c r="Y29" s="464">
        <v>0</v>
      </c>
      <c r="Z29" s="465">
        <v>0</v>
      </c>
      <c r="AA29" s="466">
        <f t="shared" ref="AA29:AA34" si="45">($Q29*X29)/1000</f>
        <v>0</v>
      </c>
      <c r="AB29" s="466">
        <f t="shared" ref="AB29:AB34" si="46">AA29*$BJ$430</f>
        <v>0</v>
      </c>
      <c r="AC29" s="465">
        <f t="shared" ref="AC29:AC34" si="47">IF(AA29&gt;0,SQRT(($W29*$W29)+(Z29*Z29)+($V29*$V29)),0)</f>
        <v>0</v>
      </c>
      <c r="AD29" s="466">
        <f t="shared" ref="AD29:AD34" si="48">(AB29*AC29)^2</f>
        <v>0</v>
      </c>
      <c r="AE29" s="467">
        <v>0</v>
      </c>
      <c r="AF29" s="464">
        <v>0</v>
      </c>
      <c r="AG29" s="465">
        <v>0</v>
      </c>
      <c r="AH29" s="468">
        <f t="shared" ref="AH29:AH34" si="49">($Q29*AE29)/1000</f>
        <v>0</v>
      </c>
      <c r="AI29" s="468">
        <f t="shared" ref="AI29:AI34" si="50">AH29*$BJ$431</f>
        <v>0</v>
      </c>
      <c r="AJ29" s="465">
        <f t="shared" ref="AJ29:AJ34" si="51">IF(AH29&gt;0,SQRT(($W29*$W29)+(AG29*AG29)+($V29*$V29)),0)</f>
        <v>0</v>
      </c>
      <c r="AK29" s="466">
        <f t="shared" ref="AK29:AK34" si="52">(AI29*AJ29)^2</f>
        <v>0</v>
      </c>
      <c r="AL29" s="467">
        <v>0</v>
      </c>
      <c r="AM29" s="464">
        <f>VLOOKUP($C29,$BI$78:$CM$460,28,FALSE)</f>
        <v>0</v>
      </c>
      <c r="AN29" s="465">
        <v>0</v>
      </c>
      <c r="AO29" s="468">
        <f t="shared" ref="AO29:AO34" si="53">(W29*AL29)/1000</f>
        <v>0</v>
      </c>
      <c r="AP29" s="468">
        <f t="shared" ref="AP29:AP34" si="54">AO29*$BJ$432</f>
        <v>0</v>
      </c>
      <c r="AQ29" s="465">
        <f t="shared" ref="AQ29:AQ34" si="55">IF(AO29&gt;0,SQRT(($W29*$W29)+(AN29*AN29)+($V29*$V29)),0)</f>
        <v>0</v>
      </c>
      <c r="AR29" s="466">
        <f t="shared" ref="AR29:AR34" si="56">(AP29*AQ29)^2</f>
        <v>0</v>
      </c>
      <c r="AS29" s="469">
        <f t="shared" ref="AS29:AS34" si="57">VLOOKUP($C29,$BI$78:$CM$460,3,FALSE)</f>
        <v>1300</v>
      </c>
      <c r="AT29" s="464" t="str">
        <f t="shared" ref="AT29:AT34" si="58">VLOOKUP($C29,$BI$78:$CM$460,4,FALSE)</f>
        <v>kgCO2e/kg</v>
      </c>
      <c r="AU29" s="465">
        <f t="shared" ref="AU29:AU34" si="59">IF($Q29&gt;0,VLOOKUP($C29,$BI$78:$CM$460,6,FALSE),0)</f>
        <v>0.5</v>
      </c>
      <c r="AV29" s="468">
        <f t="shared" ref="AV29:AV34" si="60">($Q29*AS29)/1000</f>
        <v>616.62900000000002</v>
      </c>
      <c r="AW29" s="465">
        <f t="shared" ref="AW29:AW34" si="61">IF(AV29&gt;0,SQRT(($W29*$W29)+(AU29*AU29)+($V29*$V29)),0)</f>
        <v>0.56127087934436792</v>
      </c>
      <c r="AX29" s="466">
        <f t="shared" ref="AX29:AX36" si="62">(AV29*AW29)^2</f>
        <v>119782.37273000604</v>
      </c>
      <c r="AY29" s="469">
        <v>0</v>
      </c>
      <c r="AZ29" s="464">
        <v>0</v>
      </c>
      <c r="BA29" s="465">
        <v>0</v>
      </c>
      <c r="BB29" s="468">
        <f t="shared" ref="BB29:BB34" si="63">($Q29*AY29)/1000</f>
        <v>0</v>
      </c>
      <c r="BC29" s="468">
        <f t="shared" ref="BC29:BC34" si="64">BB29*$BJ$433</f>
        <v>0</v>
      </c>
      <c r="BD29" s="465">
        <v>0</v>
      </c>
      <c r="BE29" s="466">
        <f t="shared" ref="BE29:BE34" si="65">(BC29*BD29)^2</f>
        <v>0</v>
      </c>
      <c r="BF29" s="470">
        <f t="shared" ref="BF29:BF34" si="66">AB29+AI29+AP29+AV29+BC29</f>
        <v>616.62900000000002</v>
      </c>
      <c r="BG29" s="435">
        <f t="shared" ref="BG29:BG34" si="67">IF(BF29&gt;0,SQRT(AD29+AK29+AR29+AX29+BE29)/BF29,0)</f>
        <v>0.56127087934436792</v>
      </c>
      <c r="BH29" s="28">
        <f t="shared" si="37"/>
        <v>119782.37273000604</v>
      </c>
      <c r="BI29" s="64"/>
      <c r="BJ29" s="168"/>
      <c r="BK29" s="168"/>
      <c r="BL29" s="168"/>
      <c r="BM29" s="169"/>
      <c r="BN29" s="169"/>
      <c r="BO29" s="169"/>
      <c r="BP29" s="168"/>
      <c r="BQ29" s="168"/>
      <c r="BR29" s="168"/>
      <c r="BS29" s="168"/>
      <c r="BT29" s="168"/>
      <c r="BU29" s="168"/>
      <c r="BV29" s="168"/>
      <c r="BW29" s="168"/>
      <c r="BX29" s="168"/>
      <c r="BY29" s="168"/>
      <c r="BZ29" s="168"/>
      <c r="CA29" s="168"/>
      <c r="CB29" s="170"/>
      <c r="CC29" s="168"/>
      <c r="CD29" s="168"/>
      <c r="CE29" s="170"/>
      <c r="CF29" s="170"/>
      <c r="CG29" s="170"/>
      <c r="CH29" s="170"/>
      <c r="CI29" s="168"/>
      <c r="CJ29" s="168"/>
      <c r="CK29" s="170"/>
      <c r="CL29" s="170"/>
      <c r="CM29" s="170"/>
      <c r="CN29" s="113"/>
      <c r="CO29" s="36"/>
      <c r="CP29" s="36"/>
      <c r="CQ29" s="36"/>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6"/>
      <c r="EA29" s="36"/>
      <c r="EB29" s="36"/>
      <c r="EC29" s="36"/>
      <c r="ED29" s="36"/>
      <c r="EE29" s="36"/>
      <c r="EF29" s="36"/>
      <c r="EG29" s="36"/>
    </row>
    <row r="30" spans="1:137" s="27" customFormat="1" x14ac:dyDescent="0.25">
      <c r="A30" s="26"/>
      <c r="B30" s="417" t="s">
        <v>400</v>
      </c>
      <c r="C30" s="14"/>
      <c r="D30" s="523">
        <f t="shared" si="38"/>
        <v>0</v>
      </c>
      <c r="E30" s="145"/>
      <c r="F30" s="12"/>
      <c r="G30" s="12"/>
      <c r="H30" s="12"/>
      <c r="I30" s="12"/>
      <c r="J30" s="12"/>
      <c r="K30" s="12"/>
      <c r="L30" s="12"/>
      <c r="M30" s="12"/>
      <c r="N30" s="12"/>
      <c r="O30" s="12"/>
      <c r="P30" s="12"/>
      <c r="Q30" s="65">
        <f>SUM(E30:P30)</f>
        <v>0</v>
      </c>
      <c r="R30" s="160">
        <f>COUNT(E30:P30)</f>
        <v>0</v>
      </c>
      <c r="S30" s="65">
        <f>IF(R30&gt;1,AVERAGE(E30:P30),0)</f>
        <v>0</v>
      </c>
      <c r="T30" s="65">
        <f>IF(R30&gt;1,STDEV(E30:P30),0)</f>
        <v>0</v>
      </c>
      <c r="U30" s="65">
        <f t="shared" si="43"/>
        <v>0</v>
      </c>
      <c r="V30" s="13"/>
      <c r="W30" s="66">
        <f t="shared" si="44"/>
        <v>0</v>
      </c>
      <c r="X30" s="463">
        <v>0</v>
      </c>
      <c r="Y30" s="464">
        <v>0</v>
      </c>
      <c r="Z30" s="465">
        <v>0</v>
      </c>
      <c r="AA30" s="466">
        <f>($Q30*X30)/1000</f>
        <v>0</v>
      </c>
      <c r="AB30" s="466">
        <f t="shared" si="46"/>
        <v>0</v>
      </c>
      <c r="AC30" s="465">
        <f>IF(AA30&gt;0,SQRT(($W30*$W30)+(Z30*Z30)+($V30*$V30)),0)</f>
        <v>0</v>
      </c>
      <c r="AD30" s="466">
        <f>(AB30*AC30)^2</f>
        <v>0</v>
      </c>
      <c r="AE30" s="467">
        <v>0</v>
      </c>
      <c r="AF30" s="464">
        <v>0</v>
      </c>
      <c r="AG30" s="465">
        <v>0</v>
      </c>
      <c r="AH30" s="468">
        <f>($Q30*AE30)/1000</f>
        <v>0</v>
      </c>
      <c r="AI30" s="468">
        <f t="shared" si="50"/>
        <v>0</v>
      </c>
      <c r="AJ30" s="465">
        <f>IF(AH30&gt;0,SQRT(($W30*$W30)+(AG30*AG30)+($V30*$V30)),0)</f>
        <v>0</v>
      </c>
      <c r="AK30" s="466">
        <f>(AI30*AJ30)^2</f>
        <v>0</v>
      </c>
      <c r="AL30" s="467">
        <v>0</v>
      </c>
      <c r="AM30" s="464">
        <v>0</v>
      </c>
      <c r="AN30" s="465">
        <v>0</v>
      </c>
      <c r="AO30" s="468">
        <f>(W30*AL30)/1000</f>
        <v>0</v>
      </c>
      <c r="AP30" s="468">
        <f t="shared" si="54"/>
        <v>0</v>
      </c>
      <c r="AQ30" s="465">
        <f>IF(AO30&gt;0,SQRT(($W30*$W30)+(AN30*AN30)+($V30*$V30)),0)</f>
        <v>0</v>
      </c>
      <c r="AR30" s="466">
        <f>(AP30*AQ30)^2</f>
        <v>0</v>
      </c>
      <c r="AS30" s="469">
        <f t="shared" si="57"/>
        <v>0</v>
      </c>
      <c r="AT30" s="464">
        <f t="shared" si="58"/>
        <v>0</v>
      </c>
      <c r="AU30" s="465">
        <f t="shared" si="59"/>
        <v>0</v>
      </c>
      <c r="AV30" s="468">
        <f t="shared" si="60"/>
        <v>0</v>
      </c>
      <c r="AW30" s="465">
        <f t="shared" si="61"/>
        <v>0</v>
      </c>
      <c r="AX30" s="466">
        <f t="shared" si="62"/>
        <v>0</v>
      </c>
      <c r="AY30" s="469">
        <v>0</v>
      </c>
      <c r="AZ30" s="464">
        <v>0</v>
      </c>
      <c r="BA30" s="465">
        <v>0</v>
      </c>
      <c r="BB30" s="468">
        <f t="shared" si="63"/>
        <v>0</v>
      </c>
      <c r="BC30" s="468">
        <f t="shared" si="64"/>
        <v>0</v>
      </c>
      <c r="BD30" s="465">
        <v>0</v>
      </c>
      <c r="BE30" s="466">
        <f>(BC30*BD30)^2</f>
        <v>0</v>
      </c>
      <c r="BF30" s="470">
        <f t="shared" si="66"/>
        <v>0</v>
      </c>
      <c r="BG30" s="435">
        <f t="shared" si="67"/>
        <v>0</v>
      </c>
      <c r="BH30" s="28">
        <f>(BF30*BG30)^2</f>
        <v>0</v>
      </c>
      <c r="BI30" s="64"/>
      <c r="BJ30" s="168"/>
      <c r="BK30" s="168"/>
      <c r="BL30" s="168"/>
      <c r="BM30" s="169"/>
      <c r="BN30" s="169"/>
      <c r="BO30" s="169"/>
      <c r="BP30" s="168"/>
      <c r="BQ30" s="168"/>
      <c r="BR30" s="168"/>
      <c r="BS30" s="168"/>
      <c r="BT30" s="168"/>
      <c r="BU30" s="168"/>
      <c r="BV30" s="168"/>
      <c r="BW30" s="168"/>
      <c r="BX30" s="168"/>
      <c r="BY30" s="168"/>
      <c r="BZ30" s="168"/>
      <c r="CA30" s="168"/>
      <c r="CB30" s="170"/>
      <c r="CC30" s="168"/>
      <c r="CD30" s="168"/>
      <c r="CE30" s="170"/>
      <c r="CF30" s="170"/>
      <c r="CG30" s="170"/>
      <c r="CH30" s="170"/>
      <c r="CI30" s="168"/>
      <c r="CJ30" s="168"/>
      <c r="CK30" s="170"/>
      <c r="CL30" s="170"/>
      <c r="CM30" s="170"/>
      <c r="CN30" s="113"/>
      <c r="CO30" s="36"/>
      <c r="CP30" s="36"/>
      <c r="CQ30" s="36"/>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6"/>
      <c r="EA30" s="36"/>
      <c r="EB30" s="36"/>
      <c r="EC30" s="36"/>
      <c r="ED30" s="36"/>
      <c r="EE30" s="36"/>
      <c r="EF30" s="36"/>
      <c r="EG30" s="36"/>
    </row>
    <row r="31" spans="1:137" s="27" customFormat="1" x14ac:dyDescent="0.25">
      <c r="A31" s="26"/>
      <c r="B31" s="417"/>
      <c r="C31" s="14"/>
      <c r="D31" s="523">
        <f t="shared" si="38"/>
        <v>0</v>
      </c>
      <c r="E31" s="145"/>
      <c r="F31" s="12"/>
      <c r="G31" s="12"/>
      <c r="H31" s="12"/>
      <c r="I31" s="12"/>
      <c r="J31" s="12"/>
      <c r="K31" s="12"/>
      <c r="L31" s="12"/>
      <c r="M31" s="12"/>
      <c r="N31" s="12"/>
      <c r="O31" s="12"/>
      <c r="P31" s="12"/>
      <c r="Q31" s="65">
        <f>SUM(E31:P31)</f>
        <v>0</v>
      </c>
      <c r="R31" s="160">
        <f>COUNT(E31:P31)</f>
        <v>0</v>
      </c>
      <c r="S31" s="65">
        <f>IF(R31&gt;1,AVERAGE(E31:P31),0)</f>
        <v>0</v>
      </c>
      <c r="T31" s="65">
        <f>IF(R31&gt;1,STDEV(E31:P31),0)</f>
        <v>0</v>
      </c>
      <c r="U31" s="65">
        <f t="shared" si="43"/>
        <v>0</v>
      </c>
      <c r="V31" s="13"/>
      <c r="W31" s="66">
        <f t="shared" si="44"/>
        <v>0</v>
      </c>
      <c r="X31" s="463">
        <v>0</v>
      </c>
      <c r="Y31" s="464">
        <v>0</v>
      </c>
      <c r="Z31" s="465">
        <v>0</v>
      </c>
      <c r="AA31" s="466">
        <f>($Q31*X31)/1000</f>
        <v>0</v>
      </c>
      <c r="AB31" s="466">
        <f t="shared" si="46"/>
        <v>0</v>
      </c>
      <c r="AC31" s="465">
        <f>IF(AA31&gt;0,SQRT(($W31*$W31)+(Z31*Z31)+($V31*$V31)),0)</f>
        <v>0</v>
      </c>
      <c r="AD31" s="466">
        <f>(AB31*AC31)^2</f>
        <v>0</v>
      </c>
      <c r="AE31" s="467">
        <v>0</v>
      </c>
      <c r="AF31" s="464">
        <v>0</v>
      </c>
      <c r="AG31" s="465">
        <v>0</v>
      </c>
      <c r="AH31" s="468">
        <f>($Q31*AE31)/1000</f>
        <v>0</v>
      </c>
      <c r="AI31" s="468">
        <f t="shared" si="50"/>
        <v>0</v>
      </c>
      <c r="AJ31" s="465">
        <f>IF(AH31&gt;0,SQRT(($W31*$W31)+(AG31*AG31)+($V31*$V31)),0)</f>
        <v>0</v>
      </c>
      <c r="AK31" s="466">
        <f>(AI31*AJ31)^2</f>
        <v>0</v>
      </c>
      <c r="AL31" s="467">
        <v>0</v>
      </c>
      <c r="AM31" s="464">
        <v>0</v>
      </c>
      <c r="AN31" s="465">
        <v>0</v>
      </c>
      <c r="AO31" s="468">
        <f>(W31*AL31)/1000</f>
        <v>0</v>
      </c>
      <c r="AP31" s="468">
        <f t="shared" si="54"/>
        <v>0</v>
      </c>
      <c r="AQ31" s="465">
        <f>IF(AO31&gt;0,SQRT(($W31*$W31)+(AN31*AN31)+($V31*$V31)),0)</f>
        <v>0</v>
      </c>
      <c r="AR31" s="466">
        <f>(AP31*AQ31)^2</f>
        <v>0</v>
      </c>
      <c r="AS31" s="469">
        <f t="shared" si="57"/>
        <v>0</v>
      </c>
      <c r="AT31" s="464">
        <f t="shared" si="58"/>
        <v>0</v>
      </c>
      <c r="AU31" s="465">
        <f t="shared" si="59"/>
        <v>0</v>
      </c>
      <c r="AV31" s="468">
        <f t="shared" si="60"/>
        <v>0</v>
      </c>
      <c r="AW31" s="465">
        <f t="shared" si="61"/>
        <v>0</v>
      </c>
      <c r="AX31" s="466">
        <f t="shared" si="62"/>
        <v>0</v>
      </c>
      <c r="AY31" s="469">
        <v>0</v>
      </c>
      <c r="AZ31" s="464">
        <v>0</v>
      </c>
      <c r="BA31" s="465">
        <v>0</v>
      </c>
      <c r="BB31" s="468">
        <f t="shared" si="63"/>
        <v>0</v>
      </c>
      <c r="BC31" s="468">
        <f t="shared" si="64"/>
        <v>0</v>
      </c>
      <c r="BD31" s="465">
        <v>0</v>
      </c>
      <c r="BE31" s="466">
        <f>(BC31*BD31)^2</f>
        <v>0</v>
      </c>
      <c r="BF31" s="470">
        <f t="shared" si="66"/>
        <v>0</v>
      </c>
      <c r="BG31" s="435">
        <f t="shared" si="67"/>
        <v>0</v>
      </c>
      <c r="BH31" s="28">
        <f>(BF31*BG31)^2</f>
        <v>0</v>
      </c>
      <c r="BI31" s="64"/>
      <c r="BJ31" s="168"/>
      <c r="BK31" s="168"/>
      <c r="BL31" s="168"/>
      <c r="BM31" s="169"/>
      <c r="BN31" s="169"/>
      <c r="BO31" s="169"/>
      <c r="BP31" s="168"/>
      <c r="BQ31" s="168"/>
      <c r="BR31" s="168"/>
      <c r="BS31" s="168"/>
      <c r="BT31" s="168"/>
      <c r="BU31" s="168"/>
      <c r="BV31" s="168"/>
      <c r="BW31" s="168"/>
      <c r="BX31" s="168"/>
      <c r="BY31" s="168"/>
      <c r="BZ31" s="168"/>
      <c r="CA31" s="168"/>
      <c r="CB31" s="170"/>
      <c r="CC31" s="168"/>
      <c r="CD31" s="168"/>
      <c r="CE31" s="170"/>
      <c r="CF31" s="170"/>
      <c r="CG31" s="170"/>
      <c r="CH31" s="170"/>
      <c r="CI31" s="168"/>
      <c r="CJ31" s="168"/>
      <c r="CK31" s="170"/>
      <c r="CL31" s="170"/>
      <c r="CM31" s="170"/>
      <c r="CN31" s="113"/>
      <c r="CO31" s="36"/>
      <c r="CP31" s="36"/>
      <c r="CQ31" s="36"/>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6"/>
      <c r="EA31" s="36"/>
      <c r="EB31" s="36"/>
      <c r="EC31" s="36"/>
      <c r="ED31" s="36"/>
      <c r="EE31" s="36"/>
      <c r="EF31" s="36"/>
      <c r="EG31" s="36"/>
    </row>
    <row r="32" spans="1:137" s="27" customFormat="1" x14ac:dyDescent="0.25">
      <c r="A32" s="26"/>
      <c r="B32" s="417"/>
      <c r="C32" s="14"/>
      <c r="D32" s="523">
        <f t="shared" si="38"/>
        <v>0</v>
      </c>
      <c r="E32" s="145"/>
      <c r="F32" s="12"/>
      <c r="G32" s="12"/>
      <c r="H32" s="12"/>
      <c r="I32" s="12"/>
      <c r="J32" s="12"/>
      <c r="K32" s="12"/>
      <c r="L32" s="12"/>
      <c r="M32" s="12"/>
      <c r="N32" s="12"/>
      <c r="O32" s="12"/>
      <c r="P32" s="12"/>
      <c r="Q32" s="65">
        <f t="shared" si="39"/>
        <v>0</v>
      </c>
      <c r="R32" s="160">
        <f t="shared" si="40"/>
        <v>0</v>
      </c>
      <c r="S32" s="65">
        <f t="shared" si="41"/>
        <v>0</v>
      </c>
      <c r="T32" s="65">
        <f t="shared" si="42"/>
        <v>0</v>
      </c>
      <c r="U32" s="65">
        <f t="shared" si="43"/>
        <v>0</v>
      </c>
      <c r="V32" s="13"/>
      <c r="W32" s="66">
        <f t="shared" si="44"/>
        <v>0</v>
      </c>
      <c r="X32" s="463">
        <v>0</v>
      </c>
      <c r="Y32" s="464">
        <v>0</v>
      </c>
      <c r="Z32" s="465">
        <v>0</v>
      </c>
      <c r="AA32" s="466">
        <f t="shared" si="45"/>
        <v>0</v>
      </c>
      <c r="AB32" s="466">
        <f t="shared" si="46"/>
        <v>0</v>
      </c>
      <c r="AC32" s="465">
        <f t="shared" si="47"/>
        <v>0</v>
      </c>
      <c r="AD32" s="466">
        <f t="shared" si="48"/>
        <v>0</v>
      </c>
      <c r="AE32" s="467">
        <v>0</v>
      </c>
      <c r="AF32" s="464">
        <v>0</v>
      </c>
      <c r="AG32" s="465">
        <v>0</v>
      </c>
      <c r="AH32" s="468">
        <f t="shared" si="49"/>
        <v>0</v>
      </c>
      <c r="AI32" s="468">
        <f t="shared" si="50"/>
        <v>0</v>
      </c>
      <c r="AJ32" s="465">
        <f t="shared" si="51"/>
        <v>0</v>
      </c>
      <c r="AK32" s="466">
        <f t="shared" si="52"/>
        <v>0</v>
      </c>
      <c r="AL32" s="467">
        <v>0</v>
      </c>
      <c r="AM32" s="464">
        <v>0</v>
      </c>
      <c r="AN32" s="465">
        <v>0</v>
      </c>
      <c r="AO32" s="468">
        <f t="shared" si="53"/>
        <v>0</v>
      </c>
      <c r="AP32" s="468">
        <f t="shared" si="54"/>
        <v>0</v>
      </c>
      <c r="AQ32" s="465">
        <f t="shared" si="55"/>
        <v>0</v>
      </c>
      <c r="AR32" s="466">
        <f t="shared" si="56"/>
        <v>0</v>
      </c>
      <c r="AS32" s="469">
        <f t="shared" si="57"/>
        <v>0</v>
      </c>
      <c r="AT32" s="464">
        <f t="shared" si="58"/>
        <v>0</v>
      </c>
      <c r="AU32" s="465">
        <f t="shared" si="59"/>
        <v>0</v>
      </c>
      <c r="AV32" s="468">
        <f t="shared" si="60"/>
        <v>0</v>
      </c>
      <c r="AW32" s="465">
        <f t="shared" si="61"/>
        <v>0</v>
      </c>
      <c r="AX32" s="466">
        <f t="shared" si="62"/>
        <v>0</v>
      </c>
      <c r="AY32" s="469">
        <v>0</v>
      </c>
      <c r="AZ32" s="464">
        <v>0</v>
      </c>
      <c r="BA32" s="465">
        <v>0</v>
      </c>
      <c r="BB32" s="468">
        <f t="shared" si="63"/>
        <v>0</v>
      </c>
      <c r="BC32" s="468">
        <f t="shared" si="64"/>
        <v>0</v>
      </c>
      <c r="BD32" s="465">
        <v>0</v>
      </c>
      <c r="BE32" s="466">
        <f t="shared" si="65"/>
        <v>0</v>
      </c>
      <c r="BF32" s="470">
        <f t="shared" si="66"/>
        <v>0</v>
      </c>
      <c r="BG32" s="435">
        <f t="shared" si="67"/>
        <v>0</v>
      </c>
      <c r="BH32" s="28">
        <f t="shared" si="37"/>
        <v>0</v>
      </c>
      <c r="BI32" s="64"/>
      <c r="BJ32" s="168"/>
      <c r="BK32" s="168"/>
      <c r="BL32" s="168"/>
      <c r="BM32" s="169"/>
      <c r="BN32" s="169"/>
      <c r="BO32" s="169"/>
      <c r="BP32" s="168"/>
      <c r="BQ32" s="168"/>
      <c r="BR32" s="168"/>
      <c r="BS32" s="168"/>
      <c r="BT32" s="168"/>
      <c r="BU32" s="168"/>
      <c r="BV32" s="168"/>
      <c r="BW32" s="168"/>
      <c r="BX32" s="168"/>
      <c r="BY32" s="168"/>
      <c r="BZ32" s="168"/>
      <c r="CA32" s="168"/>
      <c r="CB32" s="170"/>
      <c r="CC32" s="168"/>
      <c r="CD32" s="168"/>
      <c r="CE32" s="170"/>
      <c r="CF32" s="170"/>
      <c r="CG32" s="170"/>
      <c r="CH32" s="170"/>
      <c r="CI32" s="168"/>
      <c r="CJ32" s="168"/>
      <c r="CK32" s="170"/>
      <c r="CL32" s="170"/>
      <c r="CM32" s="170"/>
      <c r="CN32" s="113"/>
      <c r="CO32" s="36"/>
      <c r="CP32" s="36"/>
      <c r="CQ32" s="36"/>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6"/>
      <c r="EA32" s="36"/>
      <c r="EB32" s="36"/>
      <c r="EC32" s="36"/>
      <c r="ED32" s="36"/>
      <c r="EE32" s="36"/>
      <c r="EF32" s="36"/>
      <c r="EG32" s="36"/>
    </row>
    <row r="33" spans="1:137" s="27" customFormat="1" x14ac:dyDescent="0.25">
      <c r="A33" s="26"/>
      <c r="B33" s="417"/>
      <c r="C33" s="14"/>
      <c r="D33" s="523">
        <f t="shared" si="38"/>
        <v>0</v>
      </c>
      <c r="E33" s="145"/>
      <c r="F33" s="12"/>
      <c r="G33" s="12"/>
      <c r="H33" s="12"/>
      <c r="I33" s="12"/>
      <c r="J33" s="12"/>
      <c r="K33" s="12"/>
      <c r="L33" s="12"/>
      <c r="M33" s="12"/>
      <c r="N33" s="12"/>
      <c r="O33" s="12"/>
      <c r="P33" s="12"/>
      <c r="Q33" s="65">
        <f t="shared" si="39"/>
        <v>0</v>
      </c>
      <c r="R33" s="160">
        <f t="shared" si="40"/>
        <v>0</v>
      </c>
      <c r="S33" s="65">
        <f t="shared" si="41"/>
        <v>0</v>
      </c>
      <c r="T33" s="65">
        <f t="shared" si="42"/>
        <v>0</v>
      </c>
      <c r="U33" s="65">
        <f t="shared" si="43"/>
        <v>0</v>
      </c>
      <c r="V33" s="13"/>
      <c r="W33" s="66">
        <f t="shared" si="44"/>
        <v>0</v>
      </c>
      <c r="X33" s="463">
        <v>0</v>
      </c>
      <c r="Y33" s="464">
        <v>0</v>
      </c>
      <c r="Z33" s="465">
        <v>0</v>
      </c>
      <c r="AA33" s="466">
        <f t="shared" si="45"/>
        <v>0</v>
      </c>
      <c r="AB33" s="466">
        <f t="shared" si="46"/>
        <v>0</v>
      </c>
      <c r="AC33" s="465">
        <f t="shared" si="47"/>
        <v>0</v>
      </c>
      <c r="AD33" s="466">
        <f t="shared" si="48"/>
        <v>0</v>
      </c>
      <c r="AE33" s="467">
        <v>0</v>
      </c>
      <c r="AF33" s="464">
        <v>0</v>
      </c>
      <c r="AG33" s="465">
        <v>0</v>
      </c>
      <c r="AH33" s="468">
        <f t="shared" si="49"/>
        <v>0</v>
      </c>
      <c r="AI33" s="468">
        <f t="shared" si="50"/>
        <v>0</v>
      </c>
      <c r="AJ33" s="465">
        <f t="shared" si="51"/>
        <v>0</v>
      </c>
      <c r="AK33" s="466">
        <f t="shared" si="52"/>
        <v>0</v>
      </c>
      <c r="AL33" s="467">
        <v>0</v>
      </c>
      <c r="AM33" s="464">
        <v>0</v>
      </c>
      <c r="AN33" s="465">
        <v>0</v>
      </c>
      <c r="AO33" s="468">
        <f t="shared" si="53"/>
        <v>0</v>
      </c>
      <c r="AP33" s="468">
        <f t="shared" si="54"/>
        <v>0</v>
      </c>
      <c r="AQ33" s="465">
        <f t="shared" si="55"/>
        <v>0</v>
      </c>
      <c r="AR33" s="466">
        <f t="shared" si="56"/>
        <v>0</v>
      </c>
      <c r="AS33" s="469">
        <f t="shared" si="57"/>
        <v>0</v>
      </c>
      <c r="AT33" s="464">
        <f t="shared" si="58"/>
        <v>0</v>
      </c>
      <c r="AU33" s="465">
        <f t="shared" si="59"/>
        <v>0</v>
      </c>
      <c r="AV33" s="468">
        <f t="shared" si="60"/>
        <v>0</v>
      </c>
      <c r="AW33" s="465">
        <f t="shared" si="61"/>
        <v>0</v>
      </c>
      <c r="AX33" s="466">
        <f t="shared" si="62"/>
        <v>0</v>
      </c>
      <c r="AY33" s="469">
        <v>0</v>
      </c>
      <c r="AZ33" s="464">
        <v>0</v>
      </c>
      <c r="BA33" s="465">
        <v>0</v>
      </c>
      <c r="BB33" s="468">
        <f t="shared" si="63"/>
        <v>0</v>
      </c>
      <c r="BC33" s="468">
        <f t="shared" si="64"/>
        <v>0</v>
      </c>
      <c r="BD33" s="465">
        <v>0</v>
      </c>
      <c r="BE33" s="466">
        <f t="shared" si="65"/>
        <v>0</v>
      </c>
      <c r="BF33" s="470">
        <f t="shared" si="66"/>
        <v>0</v>
      </c>
      <c r="BG33" s="435">
        <f t="shared" si="67"/>
        <v>0</v>
      </c>
      <c r="BH33" s="28">
        <f t="shared" si="37"/>
        <v>0</v>
      </c>
      <c r="BI33" s="64"/>
      <c r="BJ33" s="168"/>
      <c r="BK33" s="168"/>
      <c r="BL33" s="168"/>
      <c r="BM33" s="169"/>
      <c r="BN33" s="169"/>
      <c r="BO33" s="169"/>
      <c r="BP33" s="168"/>
      <c r="BQ33" s="168"/>
      <c r="BR33" s="168"/>
      <c r="BS33" s="168"/>
      <c r="BT33" s="168"/>
      <c r="BU33" s="168"/>
      <c r="BV33" s="168"/>
      <c r="BW33" s="168"/>
      <c r="BX33" s="168"/>
      <c r="BY33" s="168"/>
      <c r="BZ33" s="168"/>
      <c r="CA33" s="168"/>
      <c r="CB33" s="170"/>
      <c r="CC33" s="168"/>
      <c r="CD33" s="168"/>
      <c r="CE33" s="170"/>
      <c r="CF33" s="170"/>
      <c r="CG33" s="170"/>
      <c r="CH33" s="170"/>
      <c r="CI33" s="168"/>
      <c r="CJ33" s="168"/>
      <c r="CK33" s="170"/>
      <c r="CL33" s="170"/>
      <c r="CM33" s="170"/>
      <c r="CN33" s="113"/>
      <c r="CO33" s="36"/>
      <c r="CP33" s="36"/>
      <c r="CQ33" s="36"/>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6"/>
      <c r="EA33" s="36"/>
      <c r="EB33" s="36"/>
      <c r="EC33" s="36"/>
      <c r="ED33" s="36"/>
      <c r="EE33" s="36"/>
      <c r="EF33" s="36"/>
      <c r="EG33" s="36"/>
    </row>
    <row r="34" spans="1:137" s="27" customFormat="1" x14ac:dyDescent="0.25">
      <c r="A34" s="26"/>
      <c r="B34" s="418"/>
      <c r="C34" s="14"/>
      <c r="D34" s="523">
        <f t="shared" si="38"/>
        <v>0</v>
      </c>
      <c r="E34" s="145"/>
      <c r="F34" s="12"/>
      <c r="G34" s="12"/>
      <c r="H34" s="12"/>
      <c r="I34" s="12"/>
      <c r="J34" s="12"/>
      <c r="K34" s="12"/>
      <c r="L34" s="12"/>
      <c r="M34" s="12"/>
      <c r="N34" s="12"/>
      <c r="O34" s="12"/>
      <c r="P34" s="12"/>
      <c r="Q34" s="65">
        <f t="shared" si="39"/>
        <v>0</v>
      </c>
      <c r="R34" s="160">
        <f t="shared" si="40"/>
        <v>0</v>
      </c>
      <c r="S34" s="65">
        <f t="shared" si="41"/>
        <v>0</v>
      </c>
      <c r="T34" s="65">
        <f t="shared" si="42"/>
        <v>0</v>
      </c>
      <c r="U34" s="65">
        <f t="shared" si="43"/>
        <v>0</v>
      </c>
      <c r="V34" s="13"/>
      <c r="W34" s="66">
        <f t="shared" si="44"/>
        <v>0</v>
      </c>
      <c r="X34" s="463">
        <v>0</v>
      </c>
      <c r="Y34" s="464">
        <v>0</v>
      </c>
      <c r="Z34" s="465">
        <v>0</v>
      </c>
      <c r="AA34" s="466">
        <f t="shared" si="45"/>
        <v>0</v>
      </c>
      <c r="AB34" s="466">
        <f t="shared" si="46"/>
        <v>0</v>
      </c>
      <c r="AC34" s="465">
        <f t="shared" si="47"/>
        <v>0</v>
      </c>
      <c r="AD34" s="466">
        <f t="shared" si="48"/>
        <v>0</v>
      </c>
      <c r="AE34" s="467">
        <v>0</v>
      </c>
      <c r="AF34" s="464">
        <v>0</v>
      </c>
      <c r="AG34" s="465">
        <v>0</v>
      </c>
      <c r="AH34" s="468">
        <f t="shared" si="49"/>
        <v>0</v>
      </c>
      <c r="AI34" s="468">
        <f t="shared" si="50"/>
        <v>0</v>
      </c>
      <c r="AJ34" s="465">
        <f t="shared" si="51"/>
        <v>0</v>
      </c>
      <c r="AK34" s="466">
        <f t="shared" si="52"/>
        <v>0</v>
      </c>
      <c r="AL34" s="467">
        <v>0</v>
      </c>
      <c r="AM34" s="464">
        <v>0</v>
      </c>
      <c r="AN34" s="465">
        <v>0</v>
      </c>
      <c r="AO34" s="468">
        <f t="shared" si="53"/>
        <v>0</v>
      </c>
      <c r="AP34" s="468">
        <f t="shared" si="54"/>
        <v>0</v>
      </c>
      <c r="AQ34" s="465">
        <f t="shared" si="55"/>
        <v>0</v>
      </c>
      <c r="AR34" s="466">
        <f t="shared" si="56"/>
        <v>0</v>
      </c>
      <c r="AS34" s="469">
        <f t="shared" si="57"/>
        <v>0</v>
      </c>
      <c r="AT34" s="464">
        <f t="shared" si="58"/>
        <v>0</v>
      </c>
      <c r="AU34" s="465">
        <f t="shared" si="59"/>
        <v>0</v>
      </c>
      <c r="AV34" s="468">
        <f t="shared" si="60"/>
        <v>0</v>
      </c>
      <c r="AW34" s="465">
        <f t="shared" si="61"/>
        <v>0</v>
      </c>
      <c r="AX34" s="466">
        <f t="shared" si="62"/>
        <v>0</v>
      </c>
      <c r="AY34" s="469">
        <v>0</v>
      </c>
      <c r="AZ34" s="464">
        <v>0</v>
      </c>
      <c r="BA34" s="465">
        <v>0</v>
      </c>
      <c r="BB34" s="468">
        <f t="shared" si="63"/>
        <v>0</v>
      </c>
      <c r="BC34" s="468">
        <f t="shared" si="64"/>
        <v>0</v>
      </c>
      <c r="BD34" s="465">
        <v>0</v>
      </c>
      <c r="BE34" s="466">
        <f t="shared" si="65"/>
        <v>0</v>
      </c>
      <c r="BF34" s="470">
        <f t="shared" si="66"/>
        <v>0</v>
      </c>
      <c r="BG34" s="435">
        <f t="shared" si="67"/>
        <v>0</v>
      </c>
      <c r="BH34" s="28">
        <f t="shared" si="37"/>
        <v>0</v>
      </c>
      <c r="BI34" s="64"/>
      <c r="BJ34" s="168"/>
      <c r="BK34" s="168"/>
      <c r="BL34" s="168"/>
      <c r="BM34" s="169"/>
      <c r="BN34" s="169"/>
      <c r="BO34" s="169"/>
      <c r="BP34" s="168"/>
      <c r="BQ34" s="168"/>
      <c r="BR34" s="168"/>
      <c r="BS34" s="168"/>
      <c r="BT34" s="168"/>
      <c r="BU34" s="168"/>
      <c r="BV34" s="168"/>
      <c r="BW34" s="168"/>
      <c r="BX34" s="168"/>
      <c r="BY34" s="168"/>
      <c r="BZ34" s="168"/>
      <c r="CA34" s="168"/>
      <c r="CB34" s="170"/>
      <c r="CC34" s="168"/>
      <c r="CD34" s="168"/>
      <c r="CE34" s="170"/>
      <c r="CF34" s="170"/>
      <c r="CG34" s="170"/>
      <c r="CH34" s="170"/>
      <c r="CI34" s="168"/>
      <c r="CJ34" s="168"/>
      <c r="CK34" s="170"/>
      <c r="CL34" s="170"/>
      <c r="CM34" s="170"/>
      <c r="CN34" s="113"/>
      <c r="CO34" s="36"/>
      <c r="CP34" s="36"/>
      <c r="CQ34" s="36"/>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6"/>
      <c r="EA34" s="36"/>
      <c r="EB34" s="36"/>
      <c r="EC34" s="36"/>
      <c r="ED34" s="36"/>
      <c r="EE34" s="36"/>
      <c r="EF34" s="36"/>
      <c r="EG34" s="36"/>
    </row>
    <row r="35" spans="1:137" s="27" customFormat="1" ht="15.75" x14ac:dyDescent="0.25">
      <c r="A35" s="26"/>
      <c r="B35" s="484" t="s">
        <v>286</v>
      </c>
      <c r="C35" s="485"/>
      <c r="D35" s="485"/>
      <c r="E35" s="485"/>
      <c r="F35" s="485"/>
      <c r="G35" s="485"/>
      <c r="H35" s="485"/>
      <c r="I35" s="485"/>
      <c r="J35" s="485"/>
      <c r="K35" s="485"/>
      <c r="L35" s="485"/>
      <c r="M35" s="485"/>
      <c r="N35" s="485"/>
      <c r="O35" s="485"/>
      <c r="P35" s="485"/>
      <c r="Q35" s="485"/>
      <c r="R35" s="485"/>
      <c r="S35" s="485"/>
      <c r="T35" s="485"/>
      <c r="U35" s="485"/>
      <c r="V35" s="485"/>
      <c r="W35" s="485"/>
      <c r="X35" s="485"/>
      <c r="Y35" s="485"/>
      <c r="Z35" s="485"/>
      <c r="AA35" s="486"/>
      <c r="AB35" s="487">
        <f>SUM(AB29:AB34)</f>
        <v>0</v>
      </c>
      <c r="AC35" s="488">
        <f>IF(AB35&gt;0,SQRT(SUM(AD29:AD34))/AB35,0)</f>
        <v>0</v>
      </c>
      <c r="AD35" s="487">
        <f>(AB35*AC35)^2</f>
        <v>0</v>
      </c>
      <c r="AE35" s="489"/>
      <c r="AF35" s="485"/>
      <c r="AG35" s="485"/>
      <c r="AH35" s="490"/>
      <c r="AI35" s="487">
        <f>SUM(AI29:AI34)</f>
        <v>0</v>
      </c>
      <c r="AJ35" s="488">
        <f>IF(AI35&gt;0,SQRT(SUM(AK29:AK34))/AI35,0)</f>
        <v>0</v>
      </c>
      <c r="AK35" s="487">
        <f>(AI35*AJ35)^2</f>
        <v>0</v>
      </c>
      <c r="AL35" s="485"/>
      <c r="AM35" s="485"/>
      <c r="AN35" s="485"/>
      <c r="AO35" s="485"/>
      <c r="AP35" s="487">
        <f>SUM(AP29:AP34)</f>
        <v>0</v>
      </c>
      <c r="AQ35" s="488">
        <f>IF(AP35&gt;0,SQRT(SUM(AR29:AR34))/AP35,0)</f>
        <v>0</v>
      </c>
      <c r="AR35" s="487">
        <f>(AP35*AQ35)^2</f>
        <v>0</v>
      </c>
      <c r="AS35" s="485"/>
      <c r="AT35" s="485"/>
      <c r="AU35" s="485"/>
      <c r="AV35" s="487">
        <f>SUM(AV29:AV34)</f>
        <v>616.62900000000002</v>
      </c>
      <c r="AW35" s="488">
        <f>IF(AV35&gt;0,SQRT(SUM(AX29:AX34))/AV35,0)</f>
        <v>0.56127087934436792</v>
      </c>
      <c r="AX35" s="487">
        <f t="shared" si="62"/>
        <v>119782.37273000604</v>
      </c>
      <c r="AY35" s="485"/>
      <c r="AZ35" s="485"/>
      <c r="BA35" s="491"/>
      <c r="BB35" s="492"/>
      <c r="BC35" s="487">
        <f>SUM(BC29:BC34)</f>
        <v>0</v>
      </c>
      <c r="BD35" s="488">
        <f>IF(BC35&gt;0,SQRT(SUM(BE29:BE34))/BC35,0)</f>
        <v>0</v>
      </c>
      <c r="BE35" s="487">
        <f>(BC35*BD35)^2</f>
        <v>0</v>
      </c>
      <c r="BF35" s="487">
        <f>SUM(BF29:BF34)</f>
        <v>616.62900000000002</v>
      </c>
      <c r="BG35" s="493">
        <f>IF(BF35&gt;0,SQRT(SUM(BH29:BH34))/BF35,0)</f>
        <v>0.56127087934436792</v>
      </c>
      <c r="BH35" s="28">
        <f t="shared" si="37"/>
        <v>119782.37273000604</v>
      </c>
      <c r="BI35" s="64"/>
      <c r="BJ35" s="168"/>
      <c r="BK35" s="168"/>
      <c r="BL35" s="168"/>
      <c r="BM35" s="169"/>
      <c r="BN35" s="169"/>
      <c r="BO35" s="169"/>
      <c r="BP35" s="168"/>
      <c r="BQ35" s="168"/>
      <c r="BR35" s="168"/>
      <c r="BS35" s="168"/>
      <c r="BT35" s="168"/>
      <c r="BU35" s="168"/>
      <c r="BV35" s="168"/>
      <c r="BW35" s="168"/>
      <c r="BX35" s="168"/>
      <c r="BY35" s="168"/>
      <c r="BZ35" s="168"/>
      <c r="CA35" s="168"/>
      <c r="CB35" s="170"/>
      <c r="CC35" s="168"/>
      <c r="CD35" s="168"/>
      <c r="CE35" s="170"/>
      <c r="CF35" s="170"/>
      <c r="CG35" s="170"/>
      <c r="CH35" s="170"/>
      <c r="CI35" s="168"/>
      <c r="CJ35" s="168"/>
      <c r="CK35" s="170"/>
      <c r="CL35" s="170"/>
      <c r="CM35" s="170"/>
      <c r="CN35" s="113"/>
      <c r="CO35" s="36"/>
      <c r="CP35" s="36"/>
      <c r="CQ35" s="36"/>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6"/>
      <c r="EA35" s="36"/>
      <c r="EB35" s="36"/>
      <c r="EC35" s="36"/>
      <c r="ED35" s="36"/>
      <c r="EE35" s="36"/>
      <c r="EF35" s="36"/>
      <c r="EG35" s="36"/>
    </row>
    <row r="36" spans="1:137" s="27" customFormat="1" ht="15.75" x14ac:dyDescent="0.25">
      <c r="A36" s="26"/>
      <c r="B36" s="606" t="s">
        <v>50</v>
      </c>
      <c r="C36" s="494"/>
      <c r="D36" s="494"/>
      <c r="E36" s="494"/>
      <c r="F36" s="494"/>
      <c r="G36" s="494"/>
      <c r="H36" s="494"/>
      <c r="I36" s="494"/>
      <c r="J36" s="494"/>
      <c r="K36" s="494"/>
      <c r="L36" s="494"/>
      <c r="M36" s="494"/>
      <c r="N36" s="494"/>
      <c r="O36" s="494"/>
      <c r="P36" s="494"/>
      <c r="Q36" s="494"/>
      <c r="R36" s="494"/>
      <c r="S36" s="494"/>
      <c r="T36" s="494"/>
      <c r="U36" s="494"/>
      <c r="V36" s="494"/>
      <c r="W36" s="494"/>
      <c r="X36" s="494"/>
      <c r="Y36" s="494"/>
      <c r="Z36" s="494"/>
      <c r="AA36" s="495"/>
      <c r="AB36" s="496">
        <f>+AB28+AB35</f>
        <v>1416846.0277050398</v>
      </c>
      <c r="AC36" s="497">
        <f>IF(AB36&gt;0,(SQRT(AD28+AD35))/AB36,0)</f>
        <v>0</v>
      </c>
      <c r="AD36" s="496">
        <f>(AB36*AC36)^2</f>
        <v>0</v>
      </c>
      <c r="AE36" s="498"/>
      <c r="AF36" s="494"/>
      <c r="AG36" s="494"/>
      <c r="AH36" s="499"/>
      <c r="AI36" s="496">
        <f>+AI28+AI35</f>
        <v>542.67672827199988</v>
      </c>
      <c r="AJ36" s="497">
        <f>IF(AI36&gt;0,(SQRT(AK28+AK35))/AI36,0)</f>
        <v>0</v>
      </c>
      <c r="AK36" s="496">
        <f>(AI36*AJ36)^2</f>
        <v>0</v>
      </c>
      <c r="AL36" s="494"/>
      <c r="AM36" s="494"/>
      <c r="AN36" s="494"/>
      <c r="AO36" s="494"/>
      <c r="AP36" s="496">
        <f>+AP28+AP35</f>
        <v>560.67678739819996</v>
      </c>
      <c r="AQ36" s="497">
        <f>IF(AP36&gt;0,(SQRT(AR28+AR35))/AP36,0)</f>
        <v>0</v>
      </c>
      <c r="AR36" s="496">
        <f>(AP36*AQ36)^2</f>
        <v>0</v>
      </c>
      <c r="AS36" s="494"/>
      <c r="AT36" s="494"/>
      <c r="AU36" s="494"/>
      <c r="AV36" s="496">
        <f>+AV28+AV35</f>
        <v>616.62900000000002</v>
      </c>
      <c r="AW36" s="497">
        <f>IF(AV36&gt;0,(SQRT(AX28+AX35))/AV36,0)</f>
        <v>0.56127087934436792</v>
      </c>
      <c r="AX36" s="496">
        <f t="shared" si="62"/>
        <v>119782.37273000604</v>
      </c>
      <c r="AY36" s="494"/>
      <c r="AZ36" s="494"/>
      <c r="BA36" s="500"/>
      <c r="BB36" s="501"/>
      <c r="BC36" s="496">
        <f>+BC28+BC35</f>
        <v>0</v>
      </c>
      <c r="BD36" s="497">
        <f>IF(BC36&gt;0,(SQRT(BE28+BE35))/BC36,0)</f>
        <v>0</v>
      </c>
      <c r="BE36" s="496">
        <f>(BC36*BD36)^2</f>
        <v>0</v>
      </c>
      <c r="BF36" s="496">
        <f>+BF28+BF35</f>
        <v>1418566.0102207102</v>
      </c>
      <c r="BG36" s="502">
        <f>IF(BF36&gt;0,(SQRT(BH28+BH35))/BF36,0)</f>
        <v>0.14162771097678092</v>
      </c>
      <c r="BH36" s="28">
        <f t="shared" si="37"/>
        <v>40364127689.400589</v>
      </c>
      <c r="BI36" s="64"/>
      <c r="BJ36" s="168"/>
      <c r="BK36" s="168"/>
      <c r="BL36" s="168"/>
      <c r="BM36" s="169"/>
      <c r="BN36" s="169"/>
      <c r="BO36" s="169"/>
      <c r="BP36" s="168"/>
      <c r="BQ36" s="168"/>
      <c r="BR36" s="168"/>
      <c r="BS36" s="168"/>
      <c r="BT36" s="168"/>
      <c r="BU36" s="168"/>
      <c r="BV36" s="168"/>
      <c r="BW36" s="168"/>
      <c r="BX36" s="168"/>
      <c r="BY36" s="168"/>
      <c r="BZ36" s="168"/>
      <c r="CA36" s="168"/>
      <c r="CB36" s="170"/>
      <c r="CC36" s="168"/>
      <c r="CD36" s="168"/>
      <c r="CE36" s="170"/>
      <c r="CF36" s="170"/>
      <c r="CG36" s="170"/>
      <c r="CH36" s="170"/>
      <c r="CI36" s="168"/>
      <c r="CJ36" s="168"/>
      <c r="CK36" s="170"/>
      <c r="CL36" s="170"/>
      <c r="CM36" s="170"/>
      <c r="CN36" s="113"/>
      <c r="CO36" s="36"/>
      <c r="CP36" s="36"/>
      <c r="CQ36" s="36"/>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6"/>
      <c r="EA36" s="36"/>
      <c r="EB36" s="36"/>
      <c r="EC36" s="36"/>
      <c r="ED36" s="36"/>
      <c r="EE36" s="36"/>
      <c r="EF36" s="36"/>
      <c r="EG36" s="36"/>
    </row>
    <row r="37" spans="1:137" s="27" customFormat="1" ht="15.75" customHeight="1" x14ac:dyDescent="0.25">
      <c r="A37" s="26"/>
      <c r="B37" s="513"/>
      <c r="C37" s="514"/>
      <c r="D37" s="514"/>
      <c r="E37" s="514"/>
      <c r="F37" s="514"/>
      <c r="G37" s="514"/>
      <c r="H37" s="514"/>
      <c r="I37" s="514"/>
      <c r="J37" s="514"/>
      <c r="K37" s="514"/>
      <c r="L37" s="514"/>
      <c r="M37" s="514"/>
      <c r="N37" s="514"/>
      <c r="O37" s="514"/>
      <c r="P37" s="514"/>
      <c r="Q37" s="514"/>
      <c r="R37" s="514"/>
      <c r="S37" s="514"/>
      <c r="T37" s="514"/>
      <c r="U37" s="514"/>
      <c r="V37" s="514"/>
      <c r="W37" s="514"/>
      <c r="X37" s="514"/>
      <c r="Y37" s="514"/>
      <c r="Z37" s="514"/>
      <c r="AA37" s="515"/>
      <c r="AB37" s="516"/>
      <c r="AC37" s="517"/>
      <c r="AD37" s="516"/>
      <c r="AE37" s="518"/>
      <c r="AF37" s="514"/>
      <c r="AG37" s="514"/>
      <c r="AH37" s="519"/>
      <c r="AI37" s="516"/>
      <c r="AJ37" s="517"/>
      <c r="AK37" s="516"/>
      <c r="AL37" s="514"/>
      <c r="AM37" s="514"/>
      <c r="AN37" s="514"/>
      <c r="AO37" s="514"/>
      <c r="AP37" s="516"/>
      <c r="AQ37" s="517"/>
      <c r="AR37" s="516"/>
      <c r="AS37" s="514"/>
      <c r="AT37" s="514"/>
      <c r="AU37" s="514"/>
      <c r="AV37" s="516"/>
      <c r="AW37" s="517"/>
      <c r="AX37" s="516"/>
      <c r="AY37" s="514"/>
      <c r="AZ37" s="514"/>
      <c r="BA37" s="520"/>
      <c r="BB37" s="521"/>
      <c r="BC37" s="516"/>
      <c r="BD37" s="517"/>
      <c r="BE37" s="516"/>
      <c r="BF37" s="516"/>
      <c r="BG37" s="522"/>
      <c r="BH37" s="28"/>
      <c r="BI37" s="64"/>
      <c r="BJ37" s="168"/>
      <c r="BK37" s="168"/>
      <c r="BL37" s="168"/>
      <c r="BM37" s="169"/>
      <c r="BN37" s="169"/>
      <c r="BO37" s="169"/>
      <c r="BP37" s="168"/>
      <c r="BQ37" s="168"/>
      <c r="BR37" s="168"/>
      <c r="BS37" s="168"/>
      <c r="BT37" s="168"/>
      <c r="BU37" s="168"/>
      <c r="BV37" s="168"/>
      <c r="BW37" s="168"/>
      <c r="BX37" s="168"/>
      <c r="BY37" s="168"/>
      <c r="BZ37" s="168"/>
      <c r="CA37" s="168"/>
      <c r="CB37" s="170"/>
      <c r="CC37" s="168"/>
      <c r="CD37" s="168"/>
      <c r="CE37" s="170"/>
      <c r="CF37" s="170"/>
      <c r="CG37" s="170"/>
      <c r="CH37" s="170"/>
      <c r="CI37" s="168"/>
      <c r="CJ37" s="168"/>
      <c r="CK37" s="170"/>
      <c r="CL37" s="170"/>
      <c r="CM37" s="170"/>
      <c r="CN37" s="113"/>
      <c r="CO37" s="36"/>
      <c r="CP37" s="36"/>
      <c r="CQ37" s="36"/>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6"/>
      <c r="EA37" s="36"/>
      <c r="EB37" s="36"/>
      <c r="EC37" s="36"/>
      <c r="ED37" s="36"/>
      <c r="EE37" s="36"/>
      <c r="EF37" s="36"/>
      <c r="EG37" s="36"/>
    </row>
    <row r="38" spans="1:137" s="82" customFormat="1" ht="30.75" customHeight="1" x14ac:dyDescent="0.25">
      <c r="A38" s="26"/>
      <c r="B38" s="607" t="s">
        <v>64</v>
      </c>
      <c r="C38" s="607"/>
      <c r="D38" s="607"/>
      <c r="E38" s="607"/>
      <c r="F38" s="607"/>
      <c r="G38" s="607"/>
      <c r="H38" s="607"/>
      <c r="I38" s="607"/>
      <c r="J38" s="607"/>
      <c r="K38" s="607"/>
      <c r="L38" s="607"/>
      <c r="M38" s="607"/>
      <c r="N38" s="607"/>
      <c r="O38" s="607"/>
      <c r="P38" s="607"/>
      <c r="Q38" s="607"/>
      <c r="R38" s="607"/>
      <c r="S38" s="607"/>
      <c r="T38" s="607"/>
      <c r="U38" s="607"/>
      <c r="V38" s="607"/>
      <c r="W38" s="607"/>
      <c r="X38" s="607"/>
      <c r="Y38" s="607"/>
      <c r="Z38" s="607"/>
      <c r="AA38" s="607"/>
      <c r="AB38" s="1158">
        <f>AB36</f>
        <v>1416846.0277050398</v>
      </c>
      <c r="AC38" s="607" t="e">
        <f>IF(AB38&gt;0,(SQRT(#REF!+AD36+#REF!))/AB38,0)</f>
        <v>#REF!</v>
      </c>
      <c r="AD38" s="607" t="e">
        <f>(AB38*AC38)^2</f>
        <v>#REF!</v>
      </c>
      <c r="AE38" s="607"/>
      <c r="AF38" s="608"/>
      <c r="AG38" s="609"/>
      <c r="AH38" s="608"/>
      <c r="AI38" s="1158">
        <f>AI36</f>
        <v>542.67672827199988</v>
      </c>
      <c r="AJ38" s="608"/>
      <c r="AK38" s="608"/>
      <c r="AL38" s="608"/>
      <c r="AM38" s="608"/>
      <c r="AN38" s="608"/>
      <c r="AO38" s="608"/>
      <c r="AP38" s="1158">
        <f>AP36</f>
        <v>560.67678739819996</v>
      </c>
      <c r="AQ38" s="608"/>
      <c r="AR38" s="608"/>
      <c r="AS38" s="608"/>
      <c r="AT38" s="608"/>
      <c r="AU38" s="608"/>
      <c r="AV38" s="1158">
        <f>AV36</f>
        <v>616.62900000000002</v>
      </c>
      <c r="AW38" s="608"/>
      <c r="AX38" s="608"/>
      <c r="AY38" s="608"/>
      <c r="AZ38" s="608"/>
      <c r="BA38" s="608"/>
      <c r="BB38" s="608"/>
      <c r="BC38" s="1158">
        <f>BC36</f>
        <v>0</v>
      </c>
      <c r="BD38" s="608"/>
      <c r="BE38" s="608"/>
      <c r="BF38" s="1156">
        <f>BF36</f>
        <v>1418566.0102207102</v>
      </c>
      <c r="BG38" s="1157">
        <f>BG36</f>
        <v>0.14162771097678092</v>
      </c>
      <c r="BH38" s="28">
        <f t="shared" ref="BH38:BH43" si="68">(BF38*BG38)^2</f>
        <v>40364127689.400589</v>
      </c>
      <c r="BI38" s="174"/>
      <c r="BJ38" s="175"/>
      <c r="BK38" s="175"/>
      <c r="BL38" s="175"/>
      <c r="BM38" s="176"/>
      <c r="BN38" s="176"/>
      <c r="BO38" s="176"/>
      <c r="BP38" s="175"/>
      <c r="BQ38" s="175"/>
      <c r="BR38" s="175"/>
      <c r="BS38" s="175"/>
      <c r="BT38" s="175"/>
      <c r="BU38" s="175"/>
      <c r="BV38" s="175"/>
      <c r="BW38" s="175"/>
      <c r="BX38" s="175"/>
      <c r="BY38" s="175"/>
      <c r="BZ38" s="175"/>
      <c r="CA38" s="175"/>
      <c r="CB38" s="177"/>
      <c r="CC38" s="175"/>
      <c r="CD38" s="175"/>
      <c r="CE38" s="177"/>
      <c r="CF38" s="177"/>
      <c r="CG38" s="177"/>
      <c r="CH38" s="177"/>
      <c r="CI38" s="175"/>
      <c r="CJ38" s="175"/>
      <c r="CK38" s="177"/>
      <c r="CL38" s="177"/>
      <c r="CM38" s="177"/>
      <c r="CN38" s="114"/>
      <c r="CO38" s="80"/>
      <c r="CP38" s="80"/>
      <c r="CQ38" s="80"/>
      <c r="CR38" s="81"/>
      <c r="CS38" s="81"/>
      <c r="CT38" s="81"/>
      <c r="CU38" s="81"/>
      <c r="CV38" s="81"/>
      <c r="CW38" s="81"/>
      <c r="CX38" s="81"/>
      <c r="CY38" s="81"/>
      <c r="CZ38" s="81"/>
      <c r="DA38" s="81"/>
      <c r="DB38" s="81"/>
      <c r="DC38" s="81"/>
      <c r="DD38" s="81"/>
      <c r="DE38" s="81"/>
      <c r="DF38" s="81"/>
      <c r="DG38" s="81"/>
      <c r="DH38" s="81"/>
      <c r="DI38" s="81"/>
      <c r="DJ38" s="81"/>
      <c r="DK38" s="81"/>
      <c r="DL38" s="81"/>
      <c r="DM38" s="81"/>
      <c r="DN38" s="81"/>
      <c r="DO38" s="81"/>
      <c r="DP38" s="81"/>
      <c r="DQ38" s="81"/>
      <c r="DR38" s="81"/>
      <c r="DS38" s="81"/>
      <c r="DT38" s="81"/>
      <c r="DU38" s="81"/>
      <c r="DV38" s="81"/>
      <c r="DW38" s="81"/>
      <c r="DX38" s="81"/>
      <c r="DY38" s="81"/>
      <c r="DZ38" s="80"/>
      <c r="EA38" s="80"/>
      <c r="EB38" s="80"/>
      <c r="EC38" s="80"/>
      <c r="ED38" s="80"/>
      <c r="EE38" s="80"/>
      <c r="EF38" s="80"/>
      <c r="EG38" s="80"/>
    </row>
    <row r="39" spans="1:137" s="26" customFormat="1" ht="21" x14ac:dyDescent="0.25">
      <c r="B39" s="526"/>
      <c r="C39" s="526"/>
      <c r="D39" s="526"/>
      <c r="E39" s="527"/>
      <c r="F39" s="527"/>
      <c r="G39" s="527"/>
      <c r="H39" s="527"/>
      <c r="I39" s="527"/>
      <c r="J39" s="527"/>
      <c r="K39" s="527"/>
      <c r="L39" s="527"/>
      <c r="M39" s="527"/>
      <c r="N39" s="527"/>
      <c r="O39" s="527"/>
      <c r="P39" s="527"/>
      <c r="Q39" s="527"/>
      <c r="R39" s="528"/>
      <c r="S39" s="527"/>
      <c r="T39" s="527"/>
      <c r="U39" s="527"/>
      <c r="V39" s="529"/>
      <c r="W39" s="529"/>
      <c r="X39" s="526"/>
      <c r="Y39" s="526"/>
      <c r="Z39" s="529"/>
      <c r="AA39" s="530"/>
      <c r="AB39" s="530"/>
      <c r="AC39" s="529"/>
      <c r="AD39" s="530"/>
      <c r="AE39" s="531"/>
      <c r="AF39" s="526"/>
      <c r="AG39" s="529"/>
      <c r="AH39" s="532"/>
      <c r="AI39" s="532"/>
      <c r="AJ39" s="529"/>
      <c r="AK39" s="530"/>
      <c r="AL39" s="526"/>
      <c r="AM39" s="526"/>
      <c r="AN39" s="529"/>
      <c r="AO39" s="529"/>
      <c r="AP39" s="529"/>
      <c r="AQ39" s="529"/>
      <c r="AR39" s="530"/>
      <c r="AS39" s="526"/>
      <c r="AT39" s="526"/>
      <c r="AU39" s="529"/>
      <c r="AV39" s="530"/>
      <c r="AW39" s="529"/>
      <c r="AX39" s="530"/>
      <c r="AY39" s="526"/>
      <c r="AZ39" s="526"/>
      <c r="BA39" s="529"/>
      <c r="BB39" s="530"/>
      <c r="BC39" s="530"/>
      <c r="BD39" s="529"/>
      <c r="BE39" s="530"/>
      <c r="BF39" s="527"/>
      <c r="BG39" s="529"/>
      <c r="BH39" s="28">
        <f t="shared" si="68"/>
        <v>0</v>
      </c>
      <c r="BI39" s="164"/>
      <c r="BJ39" s="165"/>
      <c r="BK39" s="165"/>
      <c r="BL39" s="165"/>
      <c r="BM39" s="166"/>
      <c r="BN39" s="166"/>
      <c r="BO39" s="166"/>
      <c r="BP39" s="165"/>
      <c r="BQ39" s="165"/>
      <c r="BR39" s="165"/>
      <c r="BS39" s="165"/>
      <c r="BT39" s="165"/>
      <c r="BU39" s="165"/>
      <c r="BV39" s="165"/>
      <c r="BW39" s="165"/>
      <c r="BX39" s="165"/>
      <c r="BY39" s="165"/>
      <c r="BZ39" s="165"/>
      <c r="CA39" s="165"/>
      <c r="CB39" s="167"/>
      <c r="CC39" s="165"/>
      <c r="CD39" s="165"/>
      <c r="CE39" s="167"/>
      <c r="CF39" s="167"/>
      <c r="CG39" s="167"/>
      <c r="CH39" s="167"/>
      <c r="CI39" s="165"/>
      <c r="CJ39" s="165"/>
      <c r="CK39" s="167"/>
      <c r="CL39" s="167"/>
      <c r="CM39" s="167"/>
      <c r="CN39" s="112"/>
      <c r="CO39" s="29"/>
      <c r="CP39" s="29"/>
      <c r="CQ39" s="29"/>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9"/>
      <c r="EA39" s="29"/>
      <c r="EB39" s="29"/>
      <c r="EC39" s="29"/>
      <c r="ED39" s="29"/>
      <c r="EE39" s="29"/>
      <c r="EF39" s="29"/>
      <c r="EG39" s="29"/>
    </row>
    <row r="40" spans="1:137" s="27" customFormat="1" ht="31.5" customHeight="1" x14ac:dyDescent="0.25">
      <c r="A40" s="26"/>
      <c r="B40" s="1656" t="s">
        <v>65</v>
      </c>
      <c r="C40" s="1656"/>
      <c r="D40" s="1656"/>
      <c r="E40" s="1656"/>
      <c r="F40" s="1656"/>
      <c r="G40" s="1656"/>
      <c r="H40" s="1656"/>
      <c r="I40" s="1656"/>
      <c r="J40" s="1656"/>
      <c r="K40" s="1656"/>
      <c r="L40" s="1656"/>
      <c r="M40" s="1656"/>
      <c r="N40" s="1656"/>
      <c r="O40" s="1656"/>
      <c r="P40" s="1656"/>
      <c r="Q40" s="1656"/>
      <c r="R40" s="1656"/>
      <c r="S40" s="1656"/>
      <c r="T40" s="1656"/>
      <c r="U40" s="1656"/>
      <c r="V40" s="1656"/>
      <c r="W40" s="1656"/>
      <c r="X40" s="1656"/>
      <c r="Y40" s="1656"/>
      <c r="Z40" s="1656"/>
      <c r="AA40" s="1656"/>
      <c r="AB40" s="1656"/>
      <c r="AC40" s="1656"/>
      <c r="AD40" s="1656"/>
      <c r="AE40" s="1656"/>
      <c r="AF40" s="1656"/>
      <c r="AG40" s="1656"/>
      <c r="AH40" s="1656"/>
      <c r="AI40" s="1656"/>
      <c r="AJ40" s="1656"/>
      <c r="AK40" s="1656"/>
      <c r="AL40" s="1656"/>
      <c r="AM40" s="1656"/>
      <c r="AN40" s="1656"/>
      <c r="AO40" s="1656"/>
      <c r="AP40" s="1656"/>
      <c r="AQ40" s="1656"/>
      <c r="AR40" s="1656"/>
      <c r="AS40" s="1656"/>
      <c r="AT40" s="1656"/>
      <c r="AU40" s="1656"/>
      <c r="AV40" s="1656"/>
      <c r="AW40" s="1656"/>
      <c r="AX40" s="1656"/>
      <c r="AY40" s="1656"/>
      <c r="AZ40" s="1656"/>
      <c r="BA40" s="1656"/>
      <c r="BB40" s="1656"/>
      <c r="BC40" s="1656"/>
      <c r="BD40" s="1656"/>
      <c r="BE40" s="1656"/>
      <c r="BF40" s="1656"/>
      <c r="BG40" s="1656"/>
      <c r="BH40" s="28">
        <f t="shared" si="68"/>
        <v>0</v>
      </c>
      <c r="BI40" s="64"/>
      <c r="BJ40" s="168"/>
      <c r="BK40" s="168"/>
      <c r="BL40" s="168"/>
      <c r="BM40" s="169"/>
      <c r="BN40" s="169"/>
      <c r="BO40" s="169"/>
      <c r="BP40" s="168"/>
      <c r="BQ40" s="168"/>
      <c r="BR40" s="168"/>
      <c r="BS40" s="168"/>
      <c r="BT40" s="168"/>
      <c r="BU40" s="168"/>
      <c r="BV40" s="168"/>
      <c r="BW40" s="168"/>
      <c r="BX40" s="168"/>
      <c r="BY40" s="168"/>
      <c r="BZ40" s="168"/>
      <c r="CA40" s="168"/>
      <c r="CB40" s="170"/>
      <c r="CC40" s="168"/>
      <c r="CD40" s="168"/>
      <c r="CE40" s="170"/>
      <c r="CF40" s="170"/>
      <c r="CG40" s="170"/>
      <c r="CH40" s="170"/>
      <c r="CI40" s="168"/>
      <c r="CJ40" s="168"/>
      <c r="CK40" s="170"/>
      <c r="CL40" s="170"/>
      <c r="CM40" s="170"/>
      <c r="CN40" s="113"/>
      <c r="CO40" s="36"/>
      <c r="CP40" s="36"/>
      <c r="CQ40" s="36"/>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6"/>
      <c r="EA40" s="36"/>
      <c r="EB40" s="36"/>
      <c r="EC40" s="36"/>
      <c r="ED40" s="36"/>
      <c r="EE40" s="36"/>
      <c r="EF40" s="36"/>
      <c r="EG40" s="36"/>
    </row>
    <row r="41" spans="1:137" s="27" customFormat="1" ht="15" customHeight="1" x14ac:dyDescent="0.25">
      <c r="A41" s="26"/>
      <c r="B41" s="524" t="s">
        <v>66</v>
      </c>
      <c r="C41" s="14" t="s">
        <v>443</v>
      </c>
      <c r="D41" s="523" t="str">
        <f>VLOOKUP($C41,$BI$78:$CM$460,2,FALSE)</f>
        <v>KWh</v>
      </c>
      <c r="E41" s="157">
        <v>91279643</v>
      </c>
      <c r="F41" s="157"/>
      <c r="G41" s="157"/>
      <c r="H41" s="157"/>
      <c r="I41" s="158"/>
      <c r="J41" s="158"/>
      <c r="K41" s="158"/>
      <c r="L41" s="159"/>
      <c r="M41" s="159"/>
      <c r="N41" s="157"/>
      <c r="O41" s="157"/>
      <c r="P41" s="157"/>
      <c r="Q41" s="65">
        <f>SUM(E41:P41)</f>
        <v>91279643</v>
      </c>
      <c r="R41" s="160">
        <f>COUNT(E41:P41)</f>
        <v>1</v>
      </c>
      <c r="S41" s="65">
        <f>IF(R41&gt;1,AVERAGE(E41:P41),0)</f>
        <v>0</v>
      </c>
      <c r="T41" s="65">
        <f>IF(R41&gt;1,STDEV(E41:P41),0)</f>
        <v>0</v>
      </c>
      <c r="U41" s="65">
        <f>IF(R41&gt;1,VLOOKUP($R41,$BI$412:$BJ$424,2,FALSE),0)</f>
        <v>0</v>
      </c>
      <c r="V41" s="13"/>
      <c r="W41" s="66">
        <f>IF(R41&gt;1,1-((S41-((T41*U41)/(SQRT(R41))))/S41),VLOOKUP($C41,$BI$78:$CS$460,34,FALSE))</f>
        <v>7.5000000000000011E-2</v>
      </c>
      <c r="X41" s="467">
        <f>VLOOKUP($C41,$BI$78:$CM$460,3,FALSE)</f>
        <v>0.19900000000000001</v>
      </c>
      <c r="Y41" s="464" t="str">
        <f>VLOOKUP($C41,$BI$78:$CM$460,4,FALSE)</f>
        <v>kgCO2 e/KWh</v>
      </c>
      <c r="Z41" s="465">
        <f>IF($Q41&gt;0,VLOOKUP($C41,$BI$78:$CM$460,6,FALSE),0)</f>
        <v>0.1</v>
      </c>
      <c r="AA41" s="466">
        <f>($Q41*X41)/1000</f>
        <v>18164.648957000001</v>
      </c>
      <c r="AB41" s="525">
        <f>AA41*$BJ$430</f>
        <v>18164.648957000001</v>
      </c>
      <c r="AC41" s="465">
        <f>IF(AA41&gt;0,SQRT(($W41*$W41)+(Z41*Z41)+($V41*$V41)),0)</f>
        <v>0.125</v>
      </c>
      <c r="AD41" s="466">
        <f>(AB41*AC41)^2</f>
        <v>5155538.6207975196</v>
      </c>
      <c r="AE41" s="467">
        <v>0</v>
      </c>
      <c r="AF41" s="464">
        <v>0</v>
      </c>
      <c r="AG41" s="465">
        <v>0</v>
      </c>
      <c r="AH41" s="468">
        <f>($Q41*AE41)/1000</f>
        <v>0</v>
      </c>
      <c r="AI41" s="468">
        <f>AH41*$BJ$431</f>
        <v>0</v>
      </c>
      <c r="AJ41" s="465">
        <f>IF(AH41&gt;0,SQRT(($W41*$W41)+(AG41*AG41)+($V41*$V41)),0)</f>
        <v>0</v>
      </c>
      <c r="AK41" s="466">
        <f>(AI41*AJ41)^2</f>
        <v>0</v>
      </c>
      <c r="AL41" s="467">
        <v>0</v>
      </c>
      <c r="AM41" s="464">
        <v>0</v>
      </c>
      <c r="AN41" s="465">
        <v>0</v>
      </c>
      <c r="AO41" s="468">
        <f>(W41*AL41)/1000</f>
        <v>0</v>
      </c>
      <c r="AP41" s="468">
        <f>AO41*$BJ$432</f>
        <v>0</v>
      </c>
      <c r="AQ41" s="465">
        <f>IF(AO41&gt;0,SQRT(($W41*$W41)+(AN41*AN41)+($V41*$V41)),0)</f>
        <v>0</v>
      </c>
      <c r="AR41" s="466">
        <f>(AP41*AQ41)^2</f>
        <v>0</v>
      </c>
      <c r="AS41" s="469">
        <v>0</v>
      </c>
      <c r="AT41" s="464">
        <v>0</v>
      </c>
      <c r="AU41" s="465">
        <v>0</v>
      </c>
      <c r="AV41" s="468">
        <v>0</v>
      </c>
      <c r="AW41" s="465">
        <v>0</v>
      </c>
      <c r="AX41" s="466">
        <f>(AV41*AW41)^2</f>
        <v>0</v>
      </c>
      <c r="AY41" s="469">
        <v>0</v>
      </c>
      <c r="AZ41" s="464">
        <v>0</v>
      </c>
      <c r="BA41" s="465">
        <v>0</v>
      </c>
      <c r="BB41" s="468">
        <f>($Q41*AY41)/1000</f>
        <v>0</v>
      </c>
      <c r="BC41" s="468">
        <f>BB41*$BJ$433</f>
        <v>0</v>
      </c>
      <c r="BD41" s="465">
        <v>0</v>
      </c>
      <c r="BE41" s="466">
        <f>(BC41*BD41)^2</f>
        <v>0</v>
      </c>
      <c r="BF41" s="470">
        <f>AB41+AI41+AP41+AV41+BC41</f>
        <v>18164.648957000001</v>
      </c>
      <c r="BG41" s="435">
        <f>IF(BF41&gt;0,SQRT(AD41+AK41+AR41+AX41+BE41)/BF41,0)</f>
        <v>0.125</v>
      </c>
      <c r="BH41" s="28">
        <f t="shared" si="68"/>
        <v>5155538.6207975196</v>
      </c>
      <c r="BI41" s="64"/>
      <c r="BJ41" s="168"/>
      <c r="BK41" s="168"/>
      <c r="BL41" s="168"/>
      <c r="BM41" s="169"/>
      <c r="BN41" s="169"/>
      <c r="BO41" s="169"/>
      <c r="BP41" s="168"/>
      <c r="BQ41" s="168"/>
      <c r="BR41" s="168"/>
      <c r="BS41" s="168"/>
      <c r="BT41" s="168"/>
      <c r="BU41" s="168"/>
      <c r="BV41" s="168"/>
      <c r="BW41" s="168"/>
      <c r="BX41" s="168"/>
      <c r="BY41" s="168"/>
      <c r="BZ41" s="168"/>
      <c r="CA41" s="168"/>
      <c r="CB41" s="170"/>
      <c r="CC41" s="168"/>
      <c r="CD41" s="168"/>
      <c r="CE41" s="170"/>
      <c r="CF41" s="170"/>
      <c r="CG41" s="170"/>
      <c r="CH41" s="170"/>
      <c r="CI41" s="168"/>
      <c r="CJ41" s="168"/>
      <c r="CK41" s="170"/>
      <c r="CL41" s="170"/>
      <c r="CM41" s="170"/>
      <c r="CN41" s="113"/>
      <c r="CO41" s="36"/>
      <c r="CP41" s="36"/>
      <c r="CQ41" s="36"/>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6"/>
      <c r="EA41" s="36"/>
      <c r="EB41" s="36"/>
      <c r="EC41" s="36"/>
      <c r="ED41" s="36"/>
      <c r="EE41" s="36"/>
      <c r="EF41" s="36"/>
      <c r="EG41" s="36"/>
    </row>
    <row r="42" spans="1:137" s="27" customFormat="1" ht="31.5" customHeight="1" x14ac:dyDescent="0.25">
      <c r="A42" s="26"/>
      <c r="B42" s="607" t="s">
        <v>1364</v>
      </c>
      <c r="C42" s="1152"/>
      <c r="D42" s="1152"/>
      <c r="E42" s="1152"/>
      <c r="F42" s="1152"/>
      <c r="G42" s="1152"/>
      <c r="H42" s="1152"/>
      <c r="I42" s="1152"/>
      <c r="J42" s="1152"/>
      <c r="K42" s="1152"/>
      <c r="L42" s="1152"/>
      <c r="M42" s="1152"/>
      <c r="N42" s="1152"/>
      <c r="O42" s="1152"/>
      <c r="P42" s="1152"/>
      <c r="Q42" s="1152"/>
      <c r="R42" s="1152"/>
      <c r="S42" s="1152"/>
      <c r="T42" s="1152"/>
      <c r="U42" s="1152"/>
      <c r="V42" s="1152"/>
      <c r="W42" s="1152"/>
      <c r="X42" s="1152"/>
      <c r="Y42" s="1152"/>
      <c r="Z42" s="1152"/>
      <c r="AA42" s="1152"/>
      <c r="AB42" s="1158">
        <f>AB41</f>
        <v>18164.648957000001</v>
      </c>
      <c r="AC42" s="1152"/>
      <c r="AD42" s="1152"/>
      <c r="AE42" s="1152"/>
      <c r="AF42" s="1152"/>
      <c r="AG42" s="1153"/>
      <c r="AH42" s="1152"/>
      <c r="AI42" s="1158">
        <f>AI41</f>
        <v>0</v>
      </c>
      <c r="AJ42" s="1152"/>
      <c r="AK42" s="1152"/>
      <c r="AL42" s="1152"/>
      <c r="AM42" s="1152"/>
      <c r="AN42" s="1152"/>
      <c r="AO42" s="1152"/>
      <c r="AP42" s="1158">
        <f>AP41</f>
        <v>0</v>
      </c>
      <c r="AQ42" s="1152"/>
      <c r="AR42" s="1152"/>
      <c r="AS42" s="1152"/>
      <c r="AT42" s="1152"/>
      <c r="AU42" s="1152"/>
      <c r="AV42" s="1158">
        <f>AV41</f>
        <v>0</v>
      </c>
      <c r="AW42" s="1152"/>
      <c r="AX42" s="1152"/>
      <c r="AY42" s="1152"/>
      <c r="AZ42" s="1152"/>
      <c r="BA42" s="1152"/>
      <c r="BB42" s="1152"/>
      <c r="BC42" s="1158">
        <f>BC41</f>
        <v>0</v>
      </c>
      <c r="BD42" s="1152"/>
      <c r="BE42" s="1152"/>
      <c r="BF42" s="1154">
        <f>BF41</f>
        <v>18164.648957000001</v>
      </c>
      <c r="BG42" s="1155">
        <f>BG41</f>
        <v>0.125</v>
      </c>
      <c r="BH42" s="28">
        <f t="shared" si="68"/>
        <v>5155538.6207975196</v>
      </c>
      <c r="BI42" s="64"/>
      <c r="BJ42" s="168"/>
      <c r="BK42" s="168"/>
      <c r="BL42" s="168"/>
      <c r="BM42" s="169"/>
      <c r="BN42" s="169"/>
      <c r="BO42" s="169"/>
      <c r="BP42" s="168"/>
      <c r="BQ42" s="168"/>
      <c r="BR42" s="168"/>
      <c r="BS42" s="168"/>
      <c r="BT42" s="168"/>
      <c r="BU42" s="168"/>
      <c r="BV42" s="168"/>
      <c r="BW42" s="168"/>
      <c r="BX42" s="168"/>
      <c r="BY42" s="168"/>
      <c r="BZ42" s="168"/>
      <c r="CA42" s="168"/>
      <c r="CB42" s="170"/>
      <c r="CC42" s="168"/>
      <c r="CD42" s="168"/>
      <c r="CE42" s="170"/>
      <c r="CF42" s="170"/>
      <c r="CG42" s="170"/>
      <c r="CH42" s="170"/>
      <c r="CI42" s="168"/>
      <c r="CJ42" s="168"/>
      <c r="CK42" s="170"/>
      <c r="CL42" s="170"/>
      <c r="CM42" s="170"/>
      <c r="CN42" s="113"/>
      <c r="CO42" s="36"/>
      <c r="CP42" s="36"/>
      <c r="CQ42" s="36"/>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6"/>
      <c r="EA42" s="36"/>
      <c r="EB42" s="36"/>
      <c r="EC42" s="36"/>
      <c r="ED42" s="36"/>
      <c r="EE42" s="36"/>
      <c r="EF42" s="36"/>
      <c r="EG42" s="36"/>
    </row>
    <row r="43" spans="1:137" s="26" customFormat="1" x14ac:dyDescent="0.25">
      <c r="B43" s="533"/>
      <c r="C43" s="533"/>
      <c r="D43" s="533"/>
      <c r="E43" s="534"/>
      <c r="F43" s="534"/>
      <c r="G43" s="534"/>
      <c r="H43" s="534"/>
      <c r="I43" s="534"/>
      <c r="J43" s="534"/>
      <c r="K43" s="534"/>
      <c r="L43" s="534"/>
      <c r="M43" s="534"/>
      <c r="N43" s="534"/>
      <c r="O43" s="534"/>
      <c r="P43" s="534"/>
      <c r="Q43" s="534"/>
      <c r="R43" s="535"/>
      <c r="S43" s="534"/>
      <c r="T43" s="534"/>
      <c r="U43" s="534"/>
      <c r="V43" s="536"/>
      <c r="W43" s="536"/>
      <c r="X43" s="533"/>
      <c r="Y43" s="533"/>
      <c r="Z43" s="536"/>
      <c r="AA43" s="537"/>
      <c r="AB43" s="537"/>
      <c r="AC43" s="536"/>
      <c r="AD43" s="537"/>
      <c r="AE43" s="538"/>
      <c r="AF43" s="533"/>
      <c r="AG43" s="536"/>
      <c r="AH43" s="539"/>
      <c r="AI43" s="539"/>
      <c r="AJ43" s="536"/>
      <c r="AK43" s="537"/>
      <c r="AL43" s="533"/>
      <c r="AM43" s="533"/>
      <c r="AN43" s="536"/>
      <c r="AO43" s="536"/>
      <c r="AP43" s="536"/>
      <c r="AQ43" s="536"/>
      <c r="AR43" s="537"/>
      <c r="AS43" s="533"/>
      <c r="AT43" s="533"/>
      <c r="AU43" s="536"/>
      <c r="AV43" s="537"/>
      <c r="AW43" s="536"/>
      <c r="AX43" s="537"/>
      <c r="AY43" s="533"/>
      <c r="AZ43" s="533"/>
      <c r="BA43" s="536"/>
      <c r="BB43" s="537"/>
      <c r="BC43" s="537"/>
      <c r="BD43" s="536"/>
      <c r="BE43" s="537"/>
      <c r="BF43" s="534"/>
      <c r="BG43" s="536"/>
      <c r="BH43" s="28">
        <f t="shared" si="68"/>
        <v>0</v>
      </c>
      <c r="BI43" s="164"/>
      <c r="BJ43" s="165"/>
      <c r="BK43" s="165"/>
      <c r="BL43" s="165"/>
      <c r="BM43" s="166"/>
      <c r="BN43" s="166"/>
      <c r="BO43" s="166"/>
      <c r="BP43" s="165"/>
      <c r="BQ43" s="165"/>
      <c r="BR43" s="165"/>
      <c r="BS43" s="165"/>
      <c r="BT43" s="165"/>
      <c r="BU43" s="165"/>
      <c r="BV43" s="165"/>
      <c r="BW43" s="165"/>
      <c r="BX43" s="165"/>
      <c r="BY43" s="165"/>
      <c r="BZ43" s="165"/>
      <c r="CA43" s="165"/>
      <c r="CB43" s="167"/>
      <c r="CC43" s="165"/>
      <c r="CD43" s="165"/>
      <c r="CE43" s="167"/>
      <c r="CF43" s="167"/>
      <c r="CG43" s="167"/>
      <c r="CH43" s="167"/>
      <c r="CI43" s="165"/>
      <c r="CJ43" s="165"/>
      <c r="CK43" s="167"/>
      <c r="CL43" s="167"/>
      <c r="CM43" s="167"/>
      <c r="CN43" s="112"/>
      <c r="CO43" s="29"/>
      <c r="CP43" s="29"/>
      <c r="CQ43" s="29"/>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9"/>
      <c r="EA43" s="29"/>
      <c r="EB43" s="29"/>
      <c r="EC43" s="29"/>
      <c r="ED43" s="29"/>
      <c r="EE43" s="29"/>
      <c r="EF43" s="29"/>
      <c r="EG43" s="29"/>
    </row>
    <row r="44" spans="1:137" s="27" customFormat="1" ht="30.75" customHeight="1" x14ac:dyDescent="0.25">
      <c r="A44" s="26"/>
      <c r="B44" s="1649" t="s">
        <v>1336</v>
      </c>
      <c r="C44" s="1649"/>
      <c r="D44" s="1649"/>
      <c r="E44" s="1649"/>
      <c r="F44" s="1152"/>
      <c r="G44" s="1152"/>
      <c r="H44" s="1152"/>
      <c r="I44" s="1152"/>
      <c r="J44" s="1152"/>
      <c r="K44" s="1152"/>
      <c r="L44" s="1152"/>
      <c r="M44" s="1152"/>
      <c r="N44" s="1152"/>
      <c r="O44" s="1152"/>
      <c r="P44" s="1152"/>
      <c r="Q44" s="1152"/>
      <c r="R44" s="1152"/>
      <c r="S44" s="1152"/>
      <c r="T44" s="1152"/>
      <c r="U44" s="1152"/>
      <c r="V44" s="1152"/>
      <c r="W44" s="1152"/>
      <c r="X44" s="1152"/>
      <c r="Y44" s="1152"/>
      <c r="Z44" s="1152"/>
      <c r="AA44" s="1152"/>
      <c r="AB44" s="1158">
        <f>AB38+AB42</f>
        <v>1435010.6766620399</v>
      </c>
      <c r="AC44" s="1152" t="e">
        <f>IF(AB44&gt;0,SQRT(AD38+AD42+#REF!)/AB44,0)</f>
        <v>#REF!</v>
      </c>
      <c r="AD44" s="1152" t="e">
        <f>(AB44*AC44)^2</f>
        <v>#REF!</v>
      </c>
      <c r="AE44" s="1152"/>
      <c r="AF44" s="1152"/>
      <c r="AG44" s="1153"/>
      <c r="AH44" s="1152"/>
      <c r="AI44" s="1158">
        <f>AI38+AI42</f>
        <v>542.67672827199988</v>
      </c>
      <c r="AJ44" s="1152"/>
      <c r="AK44" s="1152"/>
      <c r="AL44" s="1152"/>
      <c r="AM44" s="1152"/>
      <c r="AN44" s="1152"/>
      <c r="AO44" s="1152"/>
      <c r="AP44" s="1158">
        <f>AP38+AP42</f>
        <v>560.67678739819996</v>
      </c>
      <c r="AQ44" s="1152"/>
      <c r="AR44" s="1152"/>
      <c r="AS44" s="1152"/>
      <c r="AT44" s="1152"/>
      <c r="AU44" s="1152"/>
      <c r="AV44" s="1158">
        <f>AV38+AV42</f>
        <v>616.62900000000002</v>
      </c>
      <c r="AW44" s="1152"/>
      <c r="AX44" s="1152"/>
      <c r="AY44" s="1152"/>
      <c r="AZ44" s="1152"/>
      <c r="BA44" s="1152"/>
      <c r="BB44" s="1152"/>
      <c r="BC44" s="1158">
        <f>BC38+BC42</f>
        <v>0</v>
      </c>
      <c r="BD44" s="1152"/>
      <c r="BE44" s="1152"/>
      <c r="BF44" s="1154">
        <f>BF38+BF42</f>
        <v>1436730.6591777103</v>
      </c>
      <c r="BG44" s="1155">
        <f>IF(BF44&gt;0,(SQRT(BH38+BH42))/BF44,0)</f>
        <v>0.13984603570831211</v>
      </c>
      <c r="BH44" s="28">
        <f>(BF44*BG44)^2</f>
        <v>40369283228.0214</v>
      </c>
      <c r="BI44" s="64"/>
      <c r="BJ44" s="168"/>
      <c r="BK44" s="168"/>
      <c r="BL44" s="168"/>
      <c r="BM44" s="169"/>
      <c r="BN44" s="169"/>
      <c r="BO44" s="169"/>
      <c r="BP44" s="168"/>
      <c r="BQ44" s="168"/>
      <c r="BR44" s="168"/>
      <c r="BS44" s="168"/>
      <c r="BT44" s="168"/>
      <c r="BU44" s="168"/>
      <c r="BV44" s="168"/>
      <c r="BW44" s="168"/>
      <c r="BX44" s="168"/>
      <c r="BY44" s="168"/>
      <c r="BZ44" s="168"/>
      <c r="CA44" s="168"/>
      <c r="CB44" s="170"/>
      <c r="CC44" s="168"/>
      <c r="CD44" s="168"/>
      <c r="CE44" s="170"/>
      <c r="CF44" s="170"/>
      <c r="CG44" s="170"/>
      <c r="CH44" s="170"/>
      <c r="CI44" s="168"/>
      <c r="CJ44" s="168"/>
      <c r="CK44" s="170"/>
      <c r="CL44" s="170"/>
      <c r="CM44" s="170"/>
      <c r="CN44" s="113"/>
      <c r="CO44" s="36"/>
      <c r="CP44" s="36"/>
      <c r="CQ44" s="36"/>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6"/>
      <c r="EA44" s="36"/>
      <c r="EB44" s="36"/>
      <c r="EC44" s="36"/>
      <c r="ED44" s="36"/>
      <c r="EE44" s="36"/>
      <c r="EF44" s="36"/>
      <c r="EG44" s="36"/>
    </row>
    <row r="45" spans="1:137" s="27" customFormat="1" x14ac:dyDescent="0.25">
      <c r="A45" s="26"/>
      <c r="E45" s="91"/>
      <c r="F45" s="91"/>
      <c r="G45" s="91"/>
      <c r="H45" s="91"/>
      <c r="I45" s="91"/>
      <c r="J45" s="91"/>
      <c r="K45" s="91"/>
      <c r="L45" s="91"/>
      <c r="M45" s="91"/>
      <c r="N45" s="91"/>
      <c r="O45" s="91"/>
      <c r="P45" s="91"/>
      <c r="Q45" s="91"/>
      <c r="R45" s="92"/>
      <c r="S45" s="91"/>
      <c r="T45" s="91"/>
      <c r="U45" s="91"/>
      <c r="V45" s="93"/>
      <c r="W45" s="93"/>
      <c r="Z45" s="93"/>
      <c r="AA45" s="94"/>
      <c r="AB45" s="94"/>
      <c r="AC45" s="93"/>
      <c r="AD45" s="94"/>
      <c r="AE45" s="95"/>
      <c r="AG45" s="93"/>
      <c r="AH45" s="96"/>
      <c r="AI45" s="96"/>
      <c r="AJ45" s="93"/>
      <c r="AK45" s="94"/>
      <c r="AN45" s="93"/>
      <c r="AO45" s="93"/>
      <c r="AP45" s="93"/>
      <c r="AQ45" s="93"/>
      <c r="AR45" s="94"/>
      <c r="AU45" s="93"/>
      <c r="AV45" s="94"/>
      <c r="AW45" s="93"/>
      <c r="AX45" s="94"/>
      <c r="BA45" s="93"/>
      <c r="BB45" s="94"/>
      <c r="BC45" s="94"/>
      <c r="BD45" s="93"/>
      <c r="BE45" s="94"/>
      <c r="BF45" s="91"/>
      <c r="BG45" s="93"/>
      <c r="BH45" s="28"/>
      <c r="BI45" s="64"/>
      <c r="BJ45" s="168"/>
      <c r="BK45" s="168"/>
      <c r="BL45" s="168"/>
      <c r="BM45" s="169"/>
      <c r="BN45" s="169"/>
      <c r="BO45" s="169"/>
      <c r="BP45" s="168"/>
      <c r="BQ45" s="168"/>
      <c r="BR45" s="168"/>
      <c r="BS45" s="168"/>
      <c r="BT45" s="168"/>
      <c r="BU45" s="168"/>
      <c r="BV45" s="168"/>
      <c r="BW45" s="168"/>
      <c r="BX45" s="168"/>
      <c r="BY45" s="168"/>
      <c r="BZ45" s="168"/>
      <c r="CA45" s="168"/>
      <c r="CB45" s="170"/>
      <c r="CC45" s="168"/>
      <c r="CD45" s="168"/>
      <c r="CE45" s="170"/>
      <c r="CF45" s="170"/>
      <c r="CG45" s="170"/>
      <c r="CH45" s="170"/>
      <c r="CI45" s="168"/>
      <c r="CJ45" s="168"/>
      <c r="CK45" s="170"/>
      <c r="CL45" s="170"/>
      <c r="CM45" s="170"/>
      <c r="CN45" s="113"/>
      <c r="CO45" s="36"/>
      <c r="CP45" s="36"/>
      <c r="CQ45" s="36"/>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6"/>
      <c r="EA45" s="36"/>
      <c r="EB45" s="36"/>
      <c r="EC45" s="36"/>
      <c r="ED45" s="36"/>
      <c r="EE45" s="36"/>
      <c r="EF45" s="36"/>
      <c r="EG45" s="36"/>
    </row>
    <row r="46" spans="1:137" s="27" customFormat="1" x14ac:dyDescent="0.25">
      <c r="A46" s="26"/>
      <c r="E46" s="91"/>
      <c r="F46" s="91"/>
      <c r="G46" s="91"/>
      <c r="H46" s="91"/>
      <c r="I46" s="91"/>
      <c r="J46" s="91"/>
      <c r="K46" s="91"/>
      <c r="L46" s="91"/>
      <c r="M46" s="91"/>
      <c r="N46" s="91"/>
      <c r="O46" s="91"/>
      <c r="P46" s="91"/>
      <c r="Q46" s="91"/>
      <c r="R46" s="92"/>
      <c r="S46" s="91"/>
      <c r="T46" s="91"/>
      <c r="U46" s="91"/>
      <c r="V46" s="93"/>
      <c r="W46" s="93"/>
      <c r="Z46" s="93"/>
      <c r="AA46" s="94"/>
      <c r="AB46" s="94"/>
      <c r="AC46" s="93"/>
      <c r="AD46" s="94"/>
      <c r="AE46" s="95"/>
      <c r="AG46" s="93"/>
      <c r="AH46" s="96"/>
      <c r="AI46" s="96"/>
      <c r="AJ46" s="93"/>
      <c r="AK46" s="94"/>
      <c r="AN46" s="93"/>
      <c r="AO46" s="93"/>
      <c r="AP46" s="93"/>
      <c r="AQ46" s="93"/>
      <c r="AR46" s="94"/>
      <c r="AU46" s="93"/>
      <c r="AV46" s="94"/>
      <c r="AW46" s="93"/>
      <c r="AX46" s="94"/>
      <c r="BA46" s="93"/>
      <c r="BB46" s="94"/>
      <c r="BC46" s="94"/>
      <c r="BD46" s="93"/>
      <c r="BE46" s="94"/>
      <c r="BF46" s="91"/>
      <c r="BG46" s="93"/>
      <c r="BH46" s="28"/>
      <c r="BI46" s="64"/>
      <c r="BJ46" s="168"/>
      <c r="BK46" s="168"/>
      <c r="BL46" s="168"/>
      <c r="BM46" s="169"/>
      <c r="BN46" s="169"/>
      <c r="BO46" s="169"/>
      <c r="BP46" s="168"/>
      <c r="BQ46" s="168"/>
      <c r="BR46" s="168"/>
      <c r="BS46" s="168"/>
      <c r="BT46" s="168"/>
      <c r="BU46" s="168"/>
      <c r="BV46" s="168"/>
      <c r="BW46" s="168"/>
      <c r="BX46" s="168"/>
      <c r="BY46" s="168"/>
      <c r="BZ46" s="168"/>
      <c r="CA46" s="168"/>
      <c r="CB46" s="170"/>
      <c r="CC46" s="168"/>
      <c r="CD46" s="168"/>
      <c r="CE46" s="170"/>
      <c r="CF46" s="170"/>
      <c r="CG46" s="170"/>
      <c r="CH46" s="170"/>
      <c r="CI46" s="168"/>
      <c r="CJ46" s="168"/>
      <c r="CK46" s="170"/>
      <c r="CL46" s="170"/>
      <c r="CM46" s="170"/>
      <c r="CN46" s="113"/>
      <c r="CO46" s="36"/>
      <c r="CP46" s="36"/>
      <c r="CQ46" s="36"/>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6"/>
      <c r="EA46" s="36"/>
      <c r="EB46" s="36"/>
      <c r="EC46" s="36"/>
      <c r="ED46" s="36"/>
      <c r="EE46" s="36"/>
      <c r="EF46" s="36"/>
      <c r="EG46" s="36"/>
    </row>
    <row r="47" spans="1:137" s="27" customFormat="1" x14ac:dyDescent="0.25">
      <c r="A47" s="26"/>
      <c r="E47" s="91"/>
      <c r="F47" s="91"/>
      <c r="G47" s="91"/>
      <c r="H47" s="91"/>
      <c r="I47" s="91"/>
      <c r="J47" s="91"/>
      <c r="K47" s="91"/>
      <c r="L47" s="91"/>
      <c r="M47" s="91"/>
      <c r="N47" s="91"/>
      <c r="O47" s="91"/>
      <c r="P47" s="91"/>
      <c r="Q47" s="91"/>
      <c r="R47" s="92"/>
      <c r="S47" s="91"/>
      <c r="T47" s="91"/>
      <c r="U47" s="91"/>
      <c r="V47" s="93"/>
      <c r="W47" s="93"/>
      <c r="Z47" s="93"/>
      <c r="AA47" s="94"/>
      <c r="AB47" s="94"/>
      <c r="AC47" s="93"/>
      <c r="AD47" s="94"/>
      <c r="AE47" s="95"/>
      <c r="AG47" s="93"/>
      <c r="AH47" s="96"/>
      <c r="AI47" s="96"/>
      <c r="AJ47" s="93"/>
      <c r="AK47" s="94"/>
      <c r="AN47" s="93"/>
      <c r="AO47" s="93"/>
      <c r="AP47" s="93"/>
      <c r="AQ47" s="93"/>
      <c r="AR47" s="94"/>
      <c r="AU47" s="93"/>
      <c r="AV47" s="94"/>
      <c r="AW47" s="93"/>
      <c r="AX47" s="94"/>
      <c r="BA47" s="93"/>
      <c r="BB47" s="94"/>
      <c r="BC47" s="94"/>
      <c r="BD47" s="93"/>
      <c r="BE47" s="94"/>
      <c r="BF47" s="91"/>
      <c r="BG47" s="93"/>
      <c r="BH47" s="28"/>
      <c r="BI47" s="64"/>
      <c r="BJ47" s="168"/>
      <c r="BK47" s="168"/>
      <c r="BL47" s="168"/>
      <c r="BM47" s="169"/>
      <c r="BN47" s="169"/>
      <c r="BO47" s="169"/>
      <c r="BP47" s="168"/>
      <c r="BQ47" s="168"/>
      <c r="BR47" s="168"/>
      <c r="BS47" s="168"/>
      <c r="BT47" s="168"/>
      <c r="BU47" s="168"/>
      <c r="BV47" s="168"/>
      <c r="BW47" s="168"/>
      <c r="BX47" s="168"/>
      <c r="BY47" s="168"/>
      <c r="BZ47" s="168"/>
      <c r="CA47" s="168"/>
      <c r="CB47" s="170"/>
      <c r="CC47" s="168"/>
      <c r="CD47" s="168"/>
      <c r="CE47" s="170"/>
      <c r="CF47" s="170"/>
      <c r="CG47" s="170"/>
      <c r="CH47" s="170"/>
      <c r="CI47" s="168"/>
      <c r="CJ47" s="168"/>
      <c r="CK47" s="170"/>
      <c r="CL47" s="170"/>
      <c r="CM47" s="170"/>
      <c r="CN47" s="113"/>
      <c r="CO47" s="36"/>
      <c r="CP47" s="36"/>
      <c r="CQ47" s="36"/>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6"/>
      <c r="EA47" s="36"/>
      <c r="EB47" s="36"/>
      <c r="EC47" s="36"/>
      <c r="ED47" s="36"/>
      <c r="EE47" s="36"/>
      <c r="EF47" s="36"/>
      <c r="EG47" s="36"/>
    </row>
    <row r="48" spans="1:137" s="27" customFormat="1" x14ac:dyDescent="0.25">
      <c r="A48" s="26"/>
      <c r="E48" s="91"/>
      <c r="F48" s="91"/>
      <c r="G48" s="91"/>
      <c r="H48" s="91"/>
      <c r="I48" s="91"/>
      <c r="J48" s="91"/>
      <c r="K48" s="91"/>
      <c r="L48" s="91"/>
      <c r="M48" s="91"/>
      <c r="N48" s="91"/>
      <c r="O48" s="91"/>
      <c r="P48" s="91"/>
      <c r="Q48" s="91"/>
      <c r="R48" s="92"/>
      <c r="S48" s="91"/>
      <c r="T48" s="91"/>
      <c r="U48" s="91"/>
      <c r="V48" s="93"/>
      <c r="W48" s="93"/>
      <c r="Z48" s="93"/>
      <c r="AA48" s="94"/>
      <c r="AB48" s="94"/>
      <c r="AC48" s="93"/>
      <c r="AD48" s="94"/>
      <c r="AE48" s="95"/>
      <c r="AG48" s="93"/>
      <c r="AH48" s="96"/>
      <c r="AI48" s="96"/>
      <c r="AJ48" s="93"/>
      <c r="AK48" s="94"/>
      <c r="AN48" s="93"/>
      <c r="AO48" s="93"/>
      <c r="AP48" s="93"/>
      <c r="AQ48" s="93"/>
      <c r="AR48" s="94"/>
      <c r="AU48" s="93"/>
      <c r="AV48" s="94"/>
      <c r="AW48" s="93"/>
      <c r="AX48" s="94"/>
      <c r="BA48" s="93"/>
      <c r="BB48" s="94"/>
      <c r="BC48" s="94"/>
      <c r="BD48" s="93"/>
      <c r="BE48" s="94"/>
      <c r="BF48" s="91"/>
      <c r="BG48" s="93"/>
      <c r="BH48" s="28"/>
      <c r="BI48" s="64"/>
      <c r="BJ48" s="168"/>
      <c r="BK48" s="168"/>
      <c r="BL48" s="168"/>
      <c r="BM48" s="169"/>
      <c r="BN48" s="169"/>
      <c r="BO48" s="169"/>
      <c r="BP48" s="168"/>
      <c r="BQ48" s="168"/>
      <c r="BR48" s="168"/>
      <c r="BS48" s="168"/>
      <c r="BT48" s="168"/>
      <c r="BU48" s="168"/>
      <c r="BV48" s="168"/>
      <c r="BW48" s="168"/>
      <c r="BX48" s="168"/>
      <c r="BY48" s="168"/>
      <c r="BZ48" s="168"/>
      <c r="CA48" s="168"/>
      <c r="CB48" s="170"/>
      <c r="CC48" s="168"/>
      <c r="CD48" s="168"/>
      <c r="CE48" s="170"/>
      <c r="CF48" s="170"/>
      <c r="CG48" s="170"/>
      <c r="CH48" s="170"/>
      <c r="CI48" s="168"/>
      <c r="CJ48" s="168"/>
      <c r="CK48" s="170"/>
      <c r="CL48" s="170"/>
      <c r="CM48" s="170"/>
      <c r="CN48" s="113"/>
      <c r="CO48" s="36"/>
      <c r="CP48" s="36"/>
      <c r="CQ48" s="36"/>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6"/>
      <c r="EA48" s="36"/>
      <c r="EB48" s="36"/>
      <c r="EC48" s="36"/>
      <c r="ED48" s="36"/>
      <c r="EE48" s="36"/>
      <c r="EF48" s="36"/>
      <c r="EG48" s="36"/>
    </row>
    <row r="49" spans="1:137" s="27" customFormat="1" x14ac:dyDescent="0.25">
      <c r="A49" s="26"/>
      <c r="E49" s="91"/>
      <c r="F49" s="91"/>
      <c r="G49" s="91"/>
      <c r="H49" s="91"/>
      <c r="I49" s="91"/>
      <c r="J49" s="91"/>
      <c r="K49" s="91"/>
      <c r="L49" s="91"/>
      <c r="M49" s="91"/>
      <c r="N49" s="91"/>
      <c r="O49" s="91"/>
      <c r="P49" s="91"/>
      <c r="Q49" s="91"/>
      <c r="R49" s="92"/>
      <c r="S49" s="91"/>
      <c r="T49" s="91"/>
      <c r="U49" s="91"/>
      <c r="V49" s="93"/>
      <c r="W49" s="93"/>
      <c r="Z49" s="93"/>
      <c r="AA49" s="94"/>
      <c r="AB49" s="94"/>
      <c r="AC49" s="93"/>
      <c r="AD49" s="94"/>
      <c r="AE49" s="95"/>
      <c r="AG49" s="93"/>
      <c r="AH49" s="96"/>
      <c r="AI49" s="96"/>
      <c r="AJ49" s="93"/>
      <c r="AK49" s="94"/>
      <c r="AL49" s="64"/>
      <c r="AM49" s="64"/>
      <c r="AN49" s="64"/>
      <c r="AO49" s="64"/>
      <c r="AP49" s="64"/>
      <c r="AQ49" s="64"/>
      <c r="AR49" s="64"/>
      <c r="AS49" s="64"/>
      <c r="AT49" s="64"/>
      <c r="AU49" s="64"/>
      <c r="AV49" s="64"/>
      <c r="AW49" s="64"/>
      <c r="AX49" s="64"/>
      <c r="AY49" s="64"/>
      <c r="AZ49" s="64"/>
      <c r="BA49" s="64"/>
      <c r="BB49" s="64"/>
      <c r="BC49" s="64"/>
      <c r="BD49" s="64"/>
      <c r="BE49" s="64"/>
      <c r="BF49" s="64"/>
      <c r="BG49" s="64"/>
      <c r="BH49" s="28"/>
      <c r="BI49" s="64"/>
      <c r="BJ49" s="168"/>
      <c r="BK49" s="168"/>
      <c r="BL49" s="168"/>
      <c r="BM49" s="169"/>
      <c r="BN49" s="169"/>
      <c r="BO49" s="169"/>
      <c r="BP49" s="168"/>
      <c r="BQ49" s="168"/>
      <c r="BR49" s="168"/>
      <c r="BS49" s="168"/>
      <c r="BT49" s="168"/>
      <c r="BU49" s="168"/>
      <c r="BV49" s="168"/>
      <c r="BW49" s="168"/>
      <c r="BX49" s="168"/>
      <c r="BY49" s="168"/>
      <c r="BZ49" s="168"/>
      <c r="CA49" s="168"/>
      <c r="CB49" s="170"/>
      <c r="CC49" s="168"/>
      <c r="CD49" s="168"/>
      <c r="CE49" s="170"/>
      <c r="CF49" s="170"/>
      <c r="CG49" s="170"/>
      <c r="CH49" s="170"/>
      <c r="CI49" s="168"/>
      <c r="CJ49" s="168"/>
      <c r="CK49" s="170"/>
      <c r="CL49" s="170"/>
      <c r="CM49" s="170"/>
      <c r="CN49" s="113"/>
      <c r="CO49" s="36"/>
      <c r="CP49" s="36"/>
      <c r="CQ49" s="36"/>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6"/>
      <c r="EA49" s="36"/>
      <c r="EB49" s="36"/>
      <c r="EC49" s="36"/>
      <c r="ED49" s="36"/>
      <c r="EE49" s="36"/>
      <c r="EF49" s="36"/>
      <c r="EG49" s="36"/>
    </row>
    <row r="50" spans="1:137" s="64" customFormat="1" ht="31.5" customHeight="1" x14ac:dyDescent="0.25">
      <c r="A50" s="26"/>
      <c r="B50" s="611" t="s">
        <v>306</v>
      </c>
      <c r="C50" s="607"/>
      <c r="D50" s="607"/>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168"/>
      <c r="AI50" s="168"/>
      <c r="AJ50" s="471"/>
      <c r="AK50" s="471"/>
      <c r="BH50" s="168"/>
      <c r="BI50" s="168"/>
      <c r="BJ50" s="170"/>
      <c r="BK50" s="170"/>
      <c r="BL50" s="170"/>
      <c r="BM50" s="113"/>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6"/>
      <c r="CP50" s="36"/>
      <c r="CQ50" s="36"/>
      <c r="CR50" s="37"/>
      <c r="CS50" s="37"/>
      <c r="CT50" s="37"/>
      <c r="CU50" s="37"/>
      <c r="CV50" s="37"/>
      <c r="CW50" s="37"/>
      <c r="CX50" s="37"/>
      <c r="CY50" s="36"/>
      <c r="CZ50" s="36"/>
      <c r="DA50" s="36"/>
      <c r="DB50" s="36"/>
      <c r="DC50" s="36"/>
      <c r="DD50" s="36"/>
      <c r="DE50" s="36"/>
      <c r="DF50" s="36"/>
    </row>
    <row r="51" spans="1:137" s="64" customFormat="1" ht="31.5" x14ac:dyDescent="0.25">
      <c r="A51" s="26"/>
      <c r="B51" s="472" t="s">
        <v>48</v>
      </c>
      <c r="C51" s="472"/>
      <c r="D51" s="472"/>
      <c r="E51" s="472"/>
      <c r="F51" s="472"/>
      <c r="G51" s="472"/>
      <c r="H51" s="472"/>
      <c r="I51" s="472"/>
      <c r="J51" s="472"/>
      <c r="K51" s="472"/>
      <c r="L51" s="472"/>
      <c r="M51" s="472"/>
      <c r="N51" s="472"/>
      <c r="O51" s="472"/>
      <c r="P51" s="472"/>
      <c r="Q51" s="472"/>
      <c r="R51" s="472"/>
      <c r="S51" s="472"/>
      <c r="T51" s="472"/>
      <c r="U51" s="472"/>
      <c r="V51" s="472"/>
      <c r="W51" s="472"/>
      <c r="X51" s="472"/>
      <c r="Y51" s="472"/>
      <c r="Z51" s="472"/>
      <c r="AA51" s="472"/>
      <c r="AB51" s="472"/>
      <c r="AC51" s="472"/>
      <c r="AD51" s="472"/>
      <c r="AE51" s="471"/>
      <c r="AF51" s="471"/>
      <c r="AG51" s="28">
        <f t="shared" ref="AG51:AG64" si="69">(AE51*AF51)^2</f>
        <v>0</v>
      </c>
      <c r="AI51" s="168"/>
      <c r="AJ51" s="472"/>
      <c r="AK51" s="472"/>
      <c r="BH51" s="168"/>
      <c r="BI51" s="168"/>
      <c r="BJ51" s="170"/>
      <c r="BK51" s="170"/>
      <c r="BL51" s="170"/>
      <c r="BM51" s="113"/>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6"/>
      <c r="CP51" s="36"/>
      <c r="CQ51" s="36"/>
      <c r="CR51" s="37"/>
      <c r="CS51" s="37"/>
      <c r="CT51" s="37"/>
      <c r="CU51" s="37"/>
      <c r="CV51" s="37"/>
      <c r="CW51" s="37"/>
      <c r="CX51" s="37"/>
      <c r="CY51" s="36"/>
      <c r="CZ51" s="36"/>
      <c r="DA51" s="36"/>
      <c r="DB51" s="36"/>
      <c r="DC51" s="36"/>
      <c r="DD51" s="36"/>
      <c r="DE51" s="36"/>
      <c r="DF51" s="36"/>
    </row>
    <row r="52" spans="1:137" s="64" customFormat="1" ht="15" customHeight="1" x14ac:dyDescent="0.25">
      <c r="A52" s="26"/>
      <c r="B52" s="1674" t="s">
        <v>283</v>
      </c>
      <c r="C52" s="1675" t="s">
        <v>287</v>
      </c>
      <c r="D52" s="1661" t="s">
        <v>25</v>
      </c>
      <c r="E52" s="1661"/>
      <c r="F52" s="1661"/>
      <c r="G52" s="1661"/>
      <c r="H52" s="1661"/>
      <c r="I52" s="1661"/>
      <c r="J52" s="1661"/>
      <c r="K52" s="1661"/>
      <c r="L52" s="1661"/>
      <c r="M52" s="1661"/>
      <c r="N52" s="1661"/>
      <c r="O52" s="1661"/>
      <c r="P52" s="1661"/>
      <c r="Q52" s="1661"/>
      <c r="R52" s="1661"/>
      <c r="S52" s="1661" t="s">
        <v>193</v>
      </c>
      <c r="T52" s="1661"/>
      <c r="U52" s="1661"/>
      <c r="V52" s="1661"/>
      <c r="W52" s="1661"/>
      <c r="X52" s="1661" t="s">
        <v>201</v>
      </c>
      <c r="Y52" s="1661"/>
      <c r="Z52" s="1661"/>
      <c r="AA52" s="1661"/>
      <c r="AB52" s="1661"/>
      <c r="AC52" s="1661"/>
      <c r="AD52" s="1661"/>
      <c r="AE52" s="1661" t="s">
        <v>638</v>
      </c>
      <c r="AF52" s="1662" t="s">
        <v>26</v>
      </c>
      <c r="AG52" s="28" t="e">
        <f t="shared" si="69"/>
        <v>#VALUE!</v>
      </c>
      <c r="AI52" s="168"/>
      <c r="AJ52" s="168"/>
      <c r="AK52" s="168"/>
      <c r="BH52" s="168"/>
      <c r="BI52" s="168"/>
      <c r="BJ52" s="170"/>
      <c r="BK52" s="170"/>
      <c r="BL52" s="170"/>
      <c r="BM52" s="113"/>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6"/>
      <c r="CP52" s="36"/>
      <c r="CQ52" s="36"/>
      <c r="CR52" s="37"/>
      <c r="CS52" s="37"/>
      <c r="CT52" s="37"/>
      <c r="CU52" s="37"/>
      <c r="CV52" s="37"/>
      <c r="CW52" s="37"/>
      <c r="CX52" s="37"/>
      <c r="CY52" s="36"/>
      <c r="CZ52" s="36"/>
      <c r="DA52" s="36"/>
      <c r="DB52" s="36"/>
      <c r="DC52" s="36"/>
      <c r="DD52" s="36"/>
      <c r="DE52" s="36"/>
      <c r="DF52" s="36"/>
    </row>
    <row r="53" spans="1:137" s="64" customFormat="1" ht="36" x14ac:dyDescent="0.25">
      <c r="A53" s="26"/>
      <c r="B53" s="1674"/>
      <c r="C53" s="1675"/>
      <c r="D53" s="610" t="s">
        <v>27</v>
      </c>
      <c r="E53" s="610" t="s">
        <v>659</v>
      </c>
      <c r="F53" s="610" t="s">
        <v>29</v>
      </c>
      <c r="G53" s="610" t="s">
        <v>30</v>
      </c>
      <c r="H53" s="610" t="s">
        <v>31</v>
      </c>
      <c r="I53" s="610" t="s">
        <v>32</v>
      </c>
      <c r="J53" s="610" t="s">
        <v>33</v>
      </c>
      <c r="K53" s="610" t="s">
        <v>34</v>
      </c>
      <c r="L53" s="610" t="s">
        <v>35</v>
      </c>
      <c r="M53" s="610" t="s">
        <v>36</v>
      </c>
      <c r="N53" s="610" t="s">
        <v>37</v>
      </c>
      <c r="O53" s="610" t="s">
        <v>38</v>
      </c>
      <c r="P53" s="610" t="s">
        <v>39</v>
      </c>
      <c r="Q53" s="610" t="s">
        <v>40</v>
      </c>
      <c r="R53" s="610" t="s">
        <v>41</v>
      </c>
      <c r="S53" s="610" t="s">
        <v>42</v>
      </c>
      <c r="T53" s="610" t="s">
        <v>43</v>
      </c>
      <c r="U53" s="610" t="s">
        <v>44</v>
      </c>
      <c r="V53" s="610" t="s">
        <v>210</v>
      </c>
      <c r="W53" s="610" t="s">
        <v>193</v>
      </c>
      <c r="X53" s="610" t="s">
        <v>194</v>
      </c>
      <c r="Y53" s="610"/>
      <c r="Z53" s="610" t="s">
        <v>202</v>
      </c>
      <c r="AA53" s="610" t="s">
        <v>639</v>
      </c>
      <c r="AB53" s="610" t="s">
        <v>640</v>
      </c>
      <c r="AC53" s="610" t="s">
        <v>203</v>
      </c>
      <c r="AD53" s="610" t="s">
        <v>294</v>
      </c>
      <c r="AE53" s="1661"/>
      <c r="AF53" s="1662"/>
      <c r="AG53" s="28">
        <f t="shared" si="69"/>
        <v>0</v>
      </c>
      <c r="AI53" s="168"/>
      <c r="AJ53" s="168"/>
      <c r="AK53" s="168"/>
      <c r="BH53" s="168"/>
      <c r="BI53" s="168"/>
      <c r="BJ53" s="170"/>
      <c r="BK53" s="170"/>
      <c r="BL53" s="170"/>
      <c r="BM53" s="113"/>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6"/>
      <c r="CP53" s="36"/>
      <c r="CQ53" s="36"/>
      <c r="CR53" s="37"/>
      <c r="CS53" s="37"/>
      <c r="CT53" s="37"/>
      <c r="CU53" s="37"/>
      <c r="CV53" s="37"/>
      <c r="CW53" s="37"/>
      <c r="CX53" s="37"/>
      <c r="CY53" s="36"/>
      <c r="CZ53" s="36"/>
      <c r="DA53" s="36"/>
      <c r="DB53" s="36"/>
      <c r="DC53" s="36"/>
      <c r="DD53" s="36"/>
      <c r="DE53" s="36"/>
      <c r="DF53" s="36"/>
    </row>
    <row r="54" spans="1:137" s="27" customFormat="1" ht="15" customHeight="1" x14ac:dyDescent="0.25">
      <c r="A54" s="26"/>
      <c r="B54" s="1668" t="s">
        <v>291</v>
      </c>
      <c r="C54" s="14" t="s">
        <v>3</v>
      </c>
      <c r="D54" s="618" t="str">
        <f t="shared" ref="D54:D61" si="70">VLOOKUP($C54,$BI$442:$BO$472,2,FALSE)</f>
        <v>t</v>
      </c>
      <c r="E54" s="1392">
        <v>0</v>
      </c>
      <c r="F54" s="12"/>
      <c r="G54" s="12"/>
      <c r="H54" s="12"/>
      <c r="I54" s="12"/>
      <c r="J54" s="12"/>
      <c r="K54" s="12"/>
      <c r="L54" s="12"/>
      <c r="M54" s="12"/>
      <c r="N54" s="12"/>
      <c r="O54" s="12"/>
      <c r="P54" s="12"/>
      <c r="Q54" s="16">
        <f t="shared" ref="Q54:Q61" si="71">SUM(E54:P54)</f>
        <v>0</v>
      </c>
      <c r="R54" s="16">
        <f t="shared" ref="R54:R61" si="72">COUNT(E54:P54)</f>
        <v>1</v>
      </c>
      <c r="S54" s="16">
        <f t="shared" ref="S54:S61" si="73">IF(R54&gt;1,AVERAGE(E54:P54),0)</f>
        <v>0</v>
      </c>
      <c r="T54" s="16">
        <f t="shared" ref="T54:T61" si="74">IF(R54&gt;1,STDEV(E54:P54),0)</f>
        <v>0</v>
      </c>
      <c r="U54" s="16">
        <f t="shared" ref="U54:U61" si="75">IF(R54&gt;1,VLOOKUP($R54,$AH$37:$AI$43,2,FALSE),0)</f>
        <v>0</v>
      </c>
      <c r="V54" s="13"/>
      <c r="W54" s="130">
        <f t="shared" ref="W54:W61" si="76">IF(R54&gt;1,1-((S54-((T54*U54)/(SQRT(R54))))/S54),VLOOKUP($C54,$BI$442:$BQ$472,8,FALSE))</f>
        <v>1</v>
      </c>
      <c r="X54" s="469">
        <f t="shared" ref="X54:X61" si="77">VLOOKUP($C54,$BI$442:$BO$472,3,FALSE)</f>
        <v>1521.3389999999999</v>
      </c>
      <c r="Y54" s="464" t="str">
        <f t="shared" ref="Y54:Y61" si="78">VLOOKUP($C54,$BI$442:$BO$472,4,FALSE)</f>
        <v>kg CO2/t</v>
      </c>
      <c r="Z54" s="465">
        <f t="shared" ref="Z54:Z61" si="79">IF($Q54&gt;0,VLOOKUP($C54,$BI$442:$BO$472,6,FALSE),0)</f>
        <v>0</v>
      </c>
      <c r="AA54" s="466">
        <f t="shared" ref="AA54:AA61" si="80">($Q54*X54)/1000</f>
        <v>0</v>
      </c>
      <c r="AB54" s="466">
        <f t="shared" ref="AB54:AB61" si="81">AA54*1</f>
        <v>0</v>
      </c>
      <c r="AC54" s="465">
        <f t="shared" ref="AC54:AC61" si="82">IF(AA54&gt;0,SQRT(($W54*$W54)+(Z54*Z54)+($V54*$V54)),0)</f>
        <v>0</v>
      </c>
      <c r="AD54" s="466">
        <f t="shared" ref="AD54:AD62" si="83">(AB54*AC54)^2</f>
        <v>0</v>
      </c>
      <c r="AE54" s="470">
        <f t="shared" ref="AE54:AF61" si="84">AB54</f>
        <v>0</v>
      </c>
      <c r="AF54" s="435">
        <f t="shared" si="84"/>
        <v>0</v>
      </c>
      <c r="AG54" s="28">
        <f t="shared" si="69"/>
        <v>0</v>
      </c>
      <c r="AH54" s="64"/>
      <c r="AI54" s="168"/>
      <c r="AJ54" s="168"/>
      <c r="AK54" s="168"/>
      <c r="AL54" s="64"/>
      <c r="AM54" s="64"/>
      <c r="AN54" s="64"/>
      <c r="AO54" s="64"/>
      <c r="AP54" s="64"/>
      <c r="AQ54" s="64"/>
      <c r="AR54" s="64"/>
      <c r="AS54" s="64"/>
      <c r="AT54" s="64"/>
      <c r="AU54" s="64"/>
      <c r="AV54" s="64"/>
      <c r="AW54" s="64"/>
      <c r="AX54" s="64"/>
      <c r="AY54" s="64"/>
      <c r="AZ54" s="64"/>
      <c r="BA54" s="64"/>
      <c r="BB54" s="64"/>
      <c r="BC54" s="64"/>
      <c r="BD54" s="64"/>
      <c r="BE54" s="64"/>
      <c r="BF54" s="64"/>
      <c r="BG54" s="64"/>
      <c r="BH54" s="168"/>
      <c r="BI54" s="168"/>
      <c r="BJ54" s="170"/>
      <c r="BK54" s="170"/>
      <c r="BL54" s="170"/>
      <c r="BM54" s="113"/>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6"/>
      <c r="CP54" s="36"/>
      <c r="CQ54" s="36"/>
      <c r="CR54" s="37"/>
      <c r="CS54" s="37"/>
      <c r="CT54" s="37"/>
      <c r="CU54" s="37"/>
      <c r="CV54" s="37"/>
      <c r="CW54" s="37"/>
      <c r="CX54" s="37"/>
      <c r="CY54" s="36"/>
      <c r="CZ54" s="36"/>
      <c r="DA54" s="36"/>
      <c r="DB54" s="36"/>
      <c r="DC54" s="36"/>
      <c r="DD54" s="36"/>
      <c r="DE54" s="36"/>
      <c r="DF54" s="36"/>
    </row>
    <row r="55" spans="1:137" s="27" customFormat="1" x14ac:dyDescent="0.25">
      <c r="A55" s="26"/>
      <c r="B55" s="1668"/>
      <c r="C55" s="14"/>
      <c r="D55" s="618">
        <f t="shared" si="70"/>
        <v>0</v>
      </c>
      <c r="E55" s="1392"/>
      <c r="F55" s="12"/>
      <c r="G55" s="12"/>
      <c r="H55" s="12"/>
      <c r="I55" s="12"/>
      <c r="J55" s="12"/>
      <c r="K55" s="12"/>
      <c r="L55" s="12"/>
      <c r="M55" s="12"/>
      <c r="N55" s="12"/>
      <c r="O55" s="12"/>
      <c r="P55" s="12"/>
      <c r="Q55" s="16">
        <f>SUM(E55:P55)</f>
        <v>0</v>
      </c>
      <c r="R55" s="16">
        <f>COUNT(E55:P55)</f>
        <v>0</v>
      </c>
      <c r="S55" s="16">
        <f>IF(R55&gt;1,AVERAGE(E55:P55),0)</f>
        <v>0</v>
      </c>
      <c r="T55" s="16">
        <f>IF(R55&gt;1,STDEV(E55:P55),0)</f>
        <v>0</v>
      </c>
      <c r="U55" s="16">
        <f>IF(R55&gt;1,VLOOKUP($R55,$AH$37:$AI$43,2,FALSE),0)</f>
        <v>0</v>
      </c>
      <c r="V55" s="13"/>
      <c r="W55" s="130">
        <f t="shared" si="76"/>
        <v>0</v>
      </c>
      <c r="X55" s="469">
        <f t="shared" si="77"/>
        <v>0</v>
      </c>
      <c r="Y55" s="464">
        <f t="shared" si="78"/>
        <v>0</v>
      </c>
      <c r="Z55" s="465">
        <f t="shared" si="79"/>
        <v>0</v>
      </c>
      <c r="AA55" s="466">
        <f>($Q55*X55)/1000</f>
        <v>0</v>
      </c>
      <c r="AB55" s="466">
        <f>AA55*1</f>
        <v>0</v>
      </c>
      <c r="AC55" s="465">
        <f>IF(AA55&gt;0,SQRT(($W55*$W55)+(Z55*Z55)+($V55*$V55)),0)</f>
        <v>0</v>
      </c>
      <c r="AD55" s="466">
        <f>(AB55*AC55)^2</f>
        <v>0</v>
      </c>
      <c r="AE55" s="470">
        <f>AB55</f>
        <v>0</v>
      </c>
      <c r="AF55" s="435">
        <f>AC55</f>
        <v>0</v>
      </c>
      <c r="AG55" s="28">
        <f>(AE55*AF55)^2</f>
        <v>0</v>
      </c>
      <c r="AH55" s="64"/>
      <c r="AI55" s="168"/>
      <c r="AJ55" s="168"/>
      <c r="AK55" s="168"/>
      <c r="AL55" s="64"/>
      <c r="AM55" s="64"/>
      <c r="AN55" s="64"/>
      <c r="AO55" s="64"/>
      <c r="AP55" s="64"/>
      <c r="AQ55" s="64"/>
      <c r="AR55" s="64"/>
      <c r="AS55" s="64"/>
      <c r="AT55" s="64"/>
      <c r="AU55" s="64"/>
      <c r="AV55" s="64"/>
      <c r="AW55" s="64"/>
      <c r="AX55" s="64"/>
      <c r="AY55" s="64"/>
      <c r="AZ55" s="64"/>
      <c r="BA55" s="64"/>
      <c r="BB55" s="64"/>
      <c r="BC55" s="64"/>
      <c r="BD55" s="64"/>
      <c r="BE55" s="64"/>
      <c r="BF55" s="64"/>
      <c r="BG55" s="64"/>
      <c r="BH55" s="168"/>
      <c r="BI55" s="168"/>
      <c r="BJ55" s="170"/>
      <c r="BK55" s="170"/>
      <c r="BL55" s="170"/>
      <c r="BM55" s="113"/>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6"/>
      <c r="CP55" s="36"/>
      <c r="CQ55" s="36"/>
      <c r="CR55" s="37"/>
      <c r="CS55" s="37"/>
      <c r="CT55" s="37"/>
      <c r="CU55" s="37"/>
      <c r="CV55" s="37"/>
      <c r="CW55" s="37"/>
      <c r="CX55" s="37"/>
      <c r="CY55" s="36"/>
      <c r="CZ55" s="36"/>
      <c r="DA55" s="36"/>
      <c r="DB55" s="36"/>
      <c r="DC55" s="36"/>
      <c r="DD55" s="36"/>
      <c r="DE55" s="36"/>
      <c r="DF55" s="36"/>
    </row>
    <row r="56" spans="1:137" s="27" customFormat="1" x14ac:dyDescent="0.25">
      <c r="A56" s="26"/>
      <c r="B56" s="1668"/>
      <c r="C56" s="14"/>
      <c r="D56" s="618">
        <f t="shared" si="70"/>
        <v>0</v>
      </c>
      <c r="E56" s="1392"/>
      <c r="F56" s="12"/>
      <c r="G56" s="12"/>
      <c r="H56" s="12"/>
      <c r="I56" s="12"/>
      <c r="J56" s="12"/>
      <c r="K56" s="12"/>
      <c r="L56" s="12"/>
      <c r="M56" s="12"/>
      <c r="N56" s="12"/>
      <c r="O56" s="12"/>
      <c r="P56" s="12"/>
      <c r="Q56" s="16">
        <f t="shared" si="71"/>
        <v>0</v>
      </c>
      <c r="R56" s="16">
        <f t="shared" si="72"/>
        <v>0</v>
      </c>
      <c r="S56" s="16">
        <f t="shared" si="73"/>
        <v>0</v>
      </c>
      <c r="T56" s="16">
        <f t="shared" si="74"/>
        <v>0</v>
      </c>
      <c r="U56" s="16">
        <f t="shared" si="75"/>
        <v>0</v>
      </c>
      <c r="V56" s="13"/>
      <c r="W56" s="130">
        <f t="shared" si="76"/>
        <v>0</v>
      </c>
      <c r="X56" s="469">
        <f t="shared" si="77"/>
        <v>0</v>
      </c>
      <c r="Y56" s="464">
        <f t="shared" si="78"/>
        <v>0</v>
      </c>
      <c r="Z56" s="465">
        <f t="shared" si="79"/>
        <v>0</v>
      </c>
      <c r="AA56" s="466">
        <f t="shared" si="80"/>
        <v>0</v>
      </c>
      <c r="AB56" s="466">
        <f t="shared" si="81"/>
        <v>0</v>
      </c>
      <c r="AC56" s="465">
        <f t="shared" si="82"/>
        <v>0</v>
      </c>
      <c r="AD56" s="466">
        <f t="shared" si="83"/>
        <v>0</v>
      </c>
      <c r="AE56" s="470">
        <f t="shared" si="84"/>
        <v>0</v>
      </c>
      <c r="AF56" s="435">
        <f t="shared" si="84"/>
        <v>0</v>
      </c>
      <c r="AG56" s="28">
        <f t="shared" si="69"/>
        <v>0</v>
      </c>
      <c r="AH56" s="64"/>
      <c r="AI56" s="168"/>
      <c r="AJ56" s="168"/>
      <c r="AK56" s="168"/>
      <c r="AL56" s="64"/>
      <c r="AM56" s="64"/>
      <c r="AN56" s="64"/>
      <c r="AO56" s="64"/>
      <c r="AP56" s="64"/>
      <c r="AQ56" s="64"/>
      <c r="AR56" s="64"/>
      <c r="AS56" s="64"/>
      <c r="AT56" s="64"/>
      <c r="AU56" s="64"/>
      <c r="AV56" s="64"/>
      <c r="AW56" s="64"/>
      <c r="AX56" s="64"/>
      <c r="AY56" s="64"/>
      <c r="AZ56" s="64"/>
      <c r="BA56" s="64"/>
      <c r="BB56" s="64"/>
      <c r="BC56" s="64"/>
      <c r="BD56" s="64"/>
      <c r="BE56" s="64"/>
      <c r="BF56" s="64"/>
      <c r="BG56" s="64"/>
      <c r="BH56" s="168"/>
      <c r="BI56" s="168"/>
      <c r="BJ56" s="170"/>
      <c r="BK56" s="170"/>
      <c r="BL56" s="170"/>
      <c r="BM56" s="113"/>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6"/>
      <c r="CP56" s="36"/>
      <c r="CQ56" s="36"/>
      <c r="CR56" s="37"/>
      <c r="CS56" s="37"/>
      <c r="CT56" s="37"/>
      <c r="CU56" s="37"/>
      <c r="CV56" s="37"/>
      <c r="CW56" s="37"/>
      <c r="CX56" s="37"/>
      <c r="CY56" s="36"/>
      <c r="CZ56" s="36"/>
      <c r="DA56" s="36"/>
      <c r="DB56" s="36"/>
      <c r="DC56" s="36"/>
      <c r="DD56" s="36"/>
      <c r="DE56" s="36"/>
      <c r="DF56" s="36"/>
    </row>
    <row r="57" spans="1:137" s="27" customFormat="1" x14ac:dyDescent="0.25">
      <c r="A57" s="26"/>
      <c r="B57" s="1668"/>
      <c r="C57" s="14"/>
      <c r="D57" s="618">
        <f t="shared" si="70"/>
        <v>0</v>
      </c>
      <c r="E57" s="1392"/>
      <c r="F57" s="12"/>
      <c r="G57" s="12"/>
      <c r="H57" s="12"/>
      <c r="I57" s="12"/>
      <c r="J57" s="12"/>
      <c r="K57" s="12"/>
      <c r="L57" s="12"/>
      <c r="M57" s="12"/>
      <c r="N57" s="12"/>
      <c r="O57" s="12"/>
      <c r="P57" s="12"/>
      <c r="Q57" s="16">
        <f t="shared" si="71"/>
        <v>0</v>
      </c>
      <c r="R57" s="16">
        <f t="shared" si="72"/>
        <v>0</v>
      </c>
      <c r="S57" s="16">
        <f t="shared" si="73"/>
        <v>0</v>
      </c>
      <c r="T57" s="16">
        <f t="shared" si="74"/>
        <v>0</v>
      </c>
      <c r="U57" s="16">
        <f t="shared" si="75"/>
        <v>0</v>
      </c>
      <c r="V57" s="13"/>
      <c r="W57" s="130">
        <f t="shared" si="76"/>
        <v>0</v>
      </c>
      <c r="X57" s="469">
        <f t="shared" si="77"/>
        <v>0</v>
      </c>
      <c r="Y57" s="464">
        <f t="shared" si="78"/>
        <v>0</v>
      </c>
      <c r="Z57" s="465">
        <f t="shared" si="79"/>
        <v>0</v>
      </c>
      <c r="AA57" s="466">
        <f t="shared" si="80"/>
        <v>0</v>
      </c>
      <c r="AB57" s="466">
        <f t="shared" si="81"/>
        <v>0</v>
      </c>
      <c r="AC57" s="465">
        <f t="shared" si="82"/>
        <v>0</v>
      </c>
      <c r="AD57" s="466">
        <f t="shared" si="83"/>
        <v>0</v>
      </c>
      <c r="AE57" s="470">
        <f t="shared" si="84"/>
        <v>0</v>
      </c>
      <c r="AF57" s="435">
        <f t="shared" si="84"/>
        <v>0</v>
      </c>
      <c r="AG57" s="28">
        <f t="shared" si="69"/>
        <v>0</v>
      </c>
      <c r="AH57" s="64"/>
      <c r="AI57" s="168"/>
      <c r="AJ57" s="168"/>
      <c r="AK57" s="168"/>
      <c r="AL57" s="64"/>
      <c r="AM57" s="64"/>
      <c r="AN57" s="64"/>
      <c r="AO57" s="64"/>
      <c r="AP57" s="64"/>
      <c r="AQ57" s="64"/>
      <c r="AR57" s="64"/>
      <c r="AS57" s="64"/>
      <c r="AT57" s="64"/>
      <c r="AU57" s="64"/>
      <c r="AV57" s="64"/>
      <c r="AW57" s="64"/>
      <c r="AX57" s="64"/>
      <c r="AY57" s="64"/>
      <c r="AZ57" s="64"/>
      <c r="BA57" s="64"/>
      <c r="BB57" s="64"/>
      <c r="BC57" s="64"/>
      <c r="BD57" s="64"/>
      <c r="BE57" s="64"/>
      <c r="BF57" s="64"/>
      <c r="BG57" s="64"/>
      <c r="BH57" s="168"/>
      <c r="BI57" s="168"/>
      <c r="BJ57" s="170"/>
      <c r="BK57" s="170"/>
      <c r="BL57" s="170"/>
      <c r="BM57" s="113"/>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6"/>
      <c r="CP57" s="36"/>
      <c r="CQ57" s="36"/>
      <c r="CR57" s="37"/>
      <c r="CS57" s="37"/>
      <c r="CT57" s="37"/>
      <c r="CU57" s="37"/>
      <c r="CV57" s="37"/>
      <c r="CW57" s="37"/>
      <c r="CX57" s="37"/>
      <c r="CY57" s="36"/>
      <c r="CZ57" s="36"/>
      <c r="DA57" s="36"/>
      <c r="DB57" s="36"/>
      <c r="DC57" s="36"/>
      <c r="DD57" s="36"/>
      <c r="DE57" s="36"/>
      <c r="DF57" s="36"/>
    </row>
    <row r="58" spans="1:137" s="27" customFormat="1" ht="15" customHeight="1" x14ac:dyDescent="0.25">
      <c r="A58" s="26"/>
      <c r="B58" s="1668" t="s">
        <v>290</v>
      </c>
      <c r="C58" s="14" t="s">
        <v>237</v>
      </c>
      <c r="D58" s="618" t="str">
        <f t="shared" si="70"/>
        <v>Gal</v>
      </c>
      <c r="E58" s="421">
        <v>25138777</v>
      </c>
      <c r="F58" s="12"/>
      <c r="G58" s="12"/>
      <c r="H58" s="12"/>
      <c r="I58" s="12"/>
      <c r="J58" s="12"/>
      <c r="K58" s="12"/>
      <c r="L58" s="12"/>
      <c r="M58" s="12"/>
      <c r="N58" s="12"/>
      <c r="O58" s="12"/>
      <c r="P58" s="12"/>
      <c r="Q58" s="16">
        <f t="shared" si="71"/>
        <v>25138777</v>
      </c>
      <c r="R58" s="16">
        <f t="shared" si="72"/>
        <v>1</v>
      </c>
      <c r="S58" s="16">
        <f t="shared" si="73"/>
        <v>0</v>
      </c>
      <c r="T58" s="16">
        <f t="shared" si="74"/>
        <v>0</v>
      </c>
      <c r="U58" s="16">
        <f t="shared" si="75"/>
        <v>0</v>
      </c>
      <c r="V58" s="13"/>
      <c r="W58" s="130">
        <f t="shared" si="76"/>
        <v>1</v>
      </c>
      <c r="X58" s="469">
        <f t="shared" si="77"/>
        <v>6.8822999999999999</v>
      </c>
      <c r="Y58" s="464" t="str">
        <f t="shared" si="78"/>
        <v>kg CO2/gal</v>
      </c>
      <c r="Z58" s="465">
        <f t="shared" si="79"/>
        <v>2.98E-3</v>
      </c>
      <c r="AA58" s="466">
        <f t="shared" si="80"/>
        <v>173012.60494709999</v>
      </c>
      <c r="AB58" s="466">
        <f t="shared" si="81"/>
        <v>173012.60494709999</v>
      </c>
      <c r="AC58" s="465">
        <f t="shared" si="82"/>
        <v>1.0000044401901425</v>
      </c>
      <c r="AD58" s="466">
        <f t="shared" si="83"/>
        <v>29933627290.804497</v>
      </c>
      <c r="AE58" s="470">
        <f t="shared" si="84"/>
        <v>173012.60494709999</v>
      </c>
      <c r="AF58" s="435">
        <f t="shared" si="84"/>
        <v>1.0000044401901425</v>
      </c>
      <c r="AG58" s="28">
        <f t="shared" si="69"/>
        <v>29933627290.804497</v>
      </c>
      <c r="AH58" s="64"/>
      <c r="AI58" s="168"/>
      <c r="AJ58" s="168"/>
      <c r="AK58" s="168"/>
      <c r="AL58" s="64"/>
      <c r="AM58" s="64"/>
      <c r="AN58" s="64"/>
      <c r="AO58" s="64"/>
      <c r="AP58" s="64"/>
      <c r="AQ58" s="64"/>
      <c r="AR58" s="64"/>
      <c r="AS58" s="64"/>
      <c r="AT58" s="64"/>
      <c r="AU58" s="64"/>
      <c r="AV58" s="64"/>
      <c r="AW58" s="64"/>
      <c r="AX58" s="64"/>
      <c r="AY58" s="64"/>
      <c r="AZ58" s="64"/>
      <c r="BA58" s="64"/>
      <c r="BB58" s="64"/>
      <c r="BC58" s="64"/>
      <c r="BD58" s="64"/>
      <c r="BE58" s="64"/>
      <c r="BF58" s="64"/>
      <c r="BG58" s="64"/>
      <c r="BH58" s="168"/>
      <c r="BI58" s="168"/>
      <c r="BJ58" s="170"/>
      <c r="BK58" s="170"/>
      <c r="BL58" s="170"/>
      <c r="BM58" s="113"/>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6"/>
      <c r="CP58" s="36"/>
      <c r="CQ58" s="36"/>
      <c r="CR58" s="37"/>
      <c r="CS58" s="37"/>
      <c r="CT58" s="37"/>
      <c r="CU58" s="37"/>
      <c r="CV58" s="37"/>
      <c r="CW58" s="37"/>
      <c r="CX58" s="37"/>
      <c r="CY58" s="36"/>
      <c r="CZ58" s="36"/>
      <c r="DA58" s="36"/>
      <c r="DB58" s="36"/>
      <c r="DC58" s="36"/>
      <c r="DD58" s="36"/>
      <c r="DE58" s="36"/>
      <c r="DF58" s="36"/>
    </row>
    <row r="59" spans="1:137" s="27" customFormat="1" x14ac:dyDescent="0.25">
      <c r="A59" s="26"/>
      <c r="B59" s="1668"/>
      <c r="C59" s="14"/>
      <c r="D59" s="618">
        <f t="shared" si="70"/>
        <v>0</v>
      </c>
      <c r="E59" s="1392"/>
      <c r="F59" s="12"/>
      <c r="G59" s="12"/>
      <c r="H59" s="12"/>
      <c r="I59" s="12"/>
      <c r="J59" s="12"/>
      <c r="K59" s="12"/>
      <c r="L59" s="12"/>
      <c r="M59" s="12"/>
      <c r="N59" s="12"/>
      <c r="O59" s="12"/>
      <c r="P59" s="12"/>
      <c r="Q59" s="16">
        <f t="shared" si="71"/>
        <v>0</v>
      </c>
      <c r="R59" s="16">
        <f t="shared" si="72"/>
        <v>0</v>
      </c>
      <c r="S59" s="16">
        <f t="shared" si="73"/>
        <v>0</v>
      </c>
      <c r="T59" s="16">
        <f t="shared" si="74"/>
        <v>0</v>
      </c>
      <c r="U59" s="16">
        <f t="shared" si="75"/>
        <v>0</v>
      </c>
      <c r="V59" s="13"/>
      <c r="W59" s="130">
        <f t="shared" si="76"/>
        <v>0</v>
      </c>
      <c r="X59" s="469">
        <f t="shared" si="77"/>
        <v>0</v>
      </c>
      <c r="Y59" s="464">
        <f t="shared" si="78"/>
        <v>0</v>
      </c>
      <c r="Z59" s="465">
        <f t="shared" si="79"/>
        <v>0</v>
      </c>
      <c r="AA59" s="466">
        <f t="shared" si="80"/>
        <v>0</v>
      </c>
      <c r="AB59" s="466">
        <f t="shared" si="81"/>
        <v>0</v>
      </c>
      <c r="AC59" s="465">
        <f t="shared" si="82"/>
        <v>0</v>
      </c>
      <c r="AD59" s="466">
        <f t="shared" si="83"/>
        <v>0</v>
      </c>
      <c r="AE59" s="470">
        <f t="shared" si="84"/>
        <v>0</v>
      </c>
      <c r="AF59" s="435">
        <f t="shared" si="84"/>
        <v>0</v>
      </c>
      <c r="AG59" s="28">
        <f t="shared" si="69"/>
        <v>0</v>
      </c>
      <c r="AH59" s="64"/>
      <c r="AI59" s="168"/>
      <c r="AJ59" s="168"/>
      <c r="AK59" s="168"/>
      <c r="AL59" s="64"/>
      <c r="AM59" s="64"/>
      <c r="AN59" s="64"/>
      <c r="AO59" s="64"/>
      <c r="AP59" s="64"/>
      <c r="AQ59" s="64"/>
      <c r="AR59" s="64"/>
      <c r="AS59" s="64"/>
      <c r="AT59" s="64"/>
      <c r="AU59" s="64"/>
      <c r="AV59" s="64"/>
      <c r="AW59" s="64"/>
      <c r="AX59" s="64"/>
      <c r="AY59" s="64"/>
      <c r="AZ59" s="64"/>
      <c r="BA59" s="64"/>
      <c r="BB59" s="64"/>
      <c r="BC59" s="64"/>
      <c r="BD59" s="64"/>
      <c r="BE59" s="64"/>
      <c r="BF59" s="64"/>
      <c r="BG59" s="64"/>
      <c r="BH59" s="168"/>
      <c r="BI59" s="168"/>
      <c r="BJ59" s="170"/>
      <c r="BK59" s="170"/>
      <c r="BL59" s="170"/>
      <c r="BM59" s="113"/>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6"/>
      <c r="CP59" s="36"/>
      <c r="CQ59" s="36"/>
      <c r="CR59" s="37"/>
      <c r="CS59" s="37"/>
      <c r="CT59" s="37"/>
      <c r="CU59" s="37"/>
      <c r="CV59" s="37"/>
      <c r="CW59" s="37"/>
      <c r="CX59" s="37"/>
      <c r="CY59" s="36"/>
      <c r="CZ59" s="36"/>
      <c r="DA59" s="36"/>
      <c r="DB59" s="36"/>
      <c r="DC59" s="36"/>
      <c r="DD59" s="36"/>
      <c r="DE59" s="36"/>
      <c r="DF59" s="36"/>
    </row>
    <row r="60" spans="1:137" s="27" customFormat="1" ht="15" customHeight="1" x14ac:dyDescent="0.25">
      <c r="A60" s="26"/>
      <c r="B60" s="1669" t="s">
        <v>289</v>
      </c>
      <c r="C60" s="14"/>
      <c r="D60" s="618">
        <f t="shared" si="70"/>
        <v>0</v>
      </c>
      <c r="E60" s="1392"/>
      <c r="F60" s="12"/>
      <c r="G60" s="12"/>
      <c r="H60" s="12"/>
      <c r="I60" s="12"/>
      <c r="J60" s="12"/>
      <c r="K60" s="12"/>
      <c r="L60" s="12"/>
      <c r="M60" s="12"/>
      <c r="N60" s="12"/>
      <c r="O60" s="12"/>
      <c r="P60" s="12"/>
      <c r="Q60" s="16">
        <f t="shared" si="71"/>
        <v>0</v>
      </c>
      <c r="R60" s="16">
        <f t="shared" si="72"/>
        <v>0</v>
      </c>
      <c r="S60" s="16">
        <f t="shared" si="73"/>
        <v>0</v>
      </c>
      <c r="T60" s="16">
        <f t="shared" si="74"/>
        <v>0</v>
      </c>
      <c r="U60" s="16">
        <f t="shared" si="75"/>
        <v>0</v>
      </c>
      <c r="V60" s="13"/>
      <c r="W60" s="130">
        <f t="shared" si="76"/>
        <v>0</v>
      </c>
      <c r="X60" s="469">
        <f t="shared" si="77"/>
        <v>0</v>
      </c>
      <c r="Y60" s="464">
        <f t="shared" si="78"/>
        <v>0</v>
      </c>
      <c r="Z60" s="465">
        <f t="shared" si="79"/>
        <v>0</v>
      </c>
      <c r="AA60" s="466">
        <f t="shared" si="80"/>
        <v>0</v>
      </c>
      <c r="AB60" s="466">
        <f t="shared" si="81"/>
        <v>0</v>
      </c>
      <c r="AC60" s="465">
        <f t="shared" si="82"/>
        <v>0</v>
      </c>
      <c r="AD60" s="466">
        <f t="shared" si="83"/>
        <v>0</v>
      </c>
      <c r="AE60" s="470">
        <f t="shared" si="84"/>
        <v>0</v>
      </c>
      <c r="AF60" s="435">
        <f t="shared" si="84"/>
        <v>0</v>
      </c>
      <c r="AG60" s="28">
        <f t="shared" si="69"/>
        <v>0</v>
      </c>
      <c r="AH60" s="64"/>
      <c r="AI60" s="168"/>
      <c r="AJ60" s="168"/>
      <c r="AK60" s="168"/>
      <c r="AL60" s="64"/>
      <c r="AM60" s="64"/>
      <c r="AN60" s="64"/>
      <c r="AO60" s="64"/>
      <c r="AP60" s="64"/>
      <c r="AQ60" s="64"/>
      <c r="AR60" s="64"/>
      <c r="AS60" s="64"/>
      <c r="AT60" s="64"/>
      <c r="AU60" s="64"/>
      <c r="AV60" s="64"/>
      <c r="AW60" s="64"/>
      <c r="AX60" s="64"/>
      <c r="AY60" s="64"/>
      <c r="AZ60" s="64"/>
      <c r="BA60" s="64"/>
      <c r="BB60" s="64"/>
      <c r="BC60" s="64"/>
      <c r="BD60" s="64"/>
      <c r="BE60" s="64"/>
      <c r="BF60" s="64"/>
      <c r="BG60" s="64"/>
      <c r="BH60" s="168"/>
      <c r="BI60" s="168"/>
      <c r="BJ60" s="170"/>
      <c r="BK60" s="170"/>
      <c r="BL60" s="170"/>
      <c r="BM60" s="113"/>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6"/>
      <c r="CP60" s="36"/>
      <c r="CQ60" s="36"/>
      <c r="CR60" s="37"/>
      <c r="CS60" s="37"/>
      <c r="CT60" s="37"/>
      <c r="CU60" s="37"/>
      <c r="CV60" s="37"/>
      <c r="CW60" s="37"/>
      <c r="CX60" s="37"/>
      <c r="CY60" s="36"/>
      <c r="CZ60" s="36"/>
      <c r="DA60" s="36"/>
      <c r="DB60" s="36"/>
      <c r="DC60" s="36"/>
      <c r="DD60" s="36"/>
      <c r="DE60" s="36"/>
      <c r="DF60" s="36"/>
    </row>
    <row r="61" spans="1:137" s="27" customFormat="1" x14ac:dyDescent="0.25">
      <c r="A61" s="26"/>
      <c r="B61" s="1670"/>
      <c r="C61" s="14"/>
      <c r="D61" s="618">
        <f t="shared" si="70"/>
        <v>0</v>
      </c>
      <c r="E61" s="1392"/>
      <c r="F61" s="12"/>
      <c r="G61" s="12"/>
      <c r="H61" s="12"/>
      <c r="I61" s="12"/>
      <c r="J61" s="12"/>
      <c r="K61" s="12"/>
      <c r="L61" s="12"/>
      <c r="M61" s="12"/>
      <c r="N61" s="12"/>
      <c r="O61" s="12"/>
      <c r="P61" s="12"/>
      <c r="Q61" s="16">
        <f t="shared" si="71"/>
        <v>0</v>
      </c>
      <c r="R61" s="16">
        <f t="shared" si="72"/>
        <v>0</v>
      </c>
      <c r="S61" s="16">
        <f t="shared" si="73"/>
        <v>0</v>
      </c>
      <c r="T61" s="16">
        <f t="shared" si="74"/>
        <v>0</v>
      </c>
      <c r="U61" s="16">
        <f t="shared" si="75"/>
        <v>0</v>
      </c>
      <c r="V61" s="13"/>
      <c r="W61" s="130">
        <f t="shared" si="76"/>
        <v>0</v>
      </c>
      <c r="X61" s="469">
        <f t="shared" si="77"/>
        <v>0</v>
      </c>
      <c r="Y61" s="464">
        <f t="shared" si="78"/>
        <v>0</v>
      </c>
      <c r="Z61" s="465">
        <f t="shared" si="79"/>
        <v>0</v>
      </c>
      <c r="AA61" s="466">
        <f t="shared" si="80"/>
        <v>0</v>
      </c>
      <c r="AB61" s="466">
        <f t="shared" si="81"/>
        <v>0</v>
      </c>
      <c r="AC61" s="465">
        <f t="shared" si="82"/>
        <v>0</v>
      </c>
      <c r="AD61" s="466">
        <f t="shared" si="83"/>
        <v>0</v>
      </c>
      <c r="AE61" s="470">
        <f t="shared" si="84"/>
        <v>0</v>
      </c>
      <c r="AF61" s="435">
        <f t="shared" si="84"/>
        <v>0</v>
      </c>
      <c r="AG61" s="28">
        <f t="shared" si="69"/>
        <v>0</v>
      </c>
      <c r="AH61" s="64"/>
      <c r="AI61" s="168"/>
      <c r="AJ61" s="168"/>
      <c r="AK61" s="168"/>
      <c r="AL61" s="64"/>
      <c r="AM61" s="64"/>
      <c r="AN61" s="64"/>
      <c r="AO61" s="64"/>
      <c r="AP61" s="64"/>
      <c r="AQ61" s="64"/>
      <c r="AR61" s="64"/>
      <c r="AS61" s="64"/>
      <c r="AT61" s="64"/>
      <c r="AU61" s="64"/>
      <c r="AV61" s="64"/>
      <c r="AW61" s="64"/>
      <c r="AX61" s="64"/>
      <c r="AY61" s="64"/>
      <c r="AZ61" s="64"/>
      <c r="BA61" s="64"/>
      <c r="BB61" s="64"/>
      <c r="BC61" s="64"/>
      <c r="BD61" s="64"/>
      <c r="BE61" s="64"/>
      <c r="BF61" s="64"/>
      <c r="BG61" s="64"/>
      <c r="BH61" s="168"/>
      <c r="BI61" s="168"/>
      <c r="BJ61" s="170"/>
      <c r="BK61" s="170"/>
      <c r="BL61" s="170"/>
      <c r="BM61" s="113"/>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6"/>
      <c r="CP61" s="36"/>
      <c r="CQ61" s="36"/>
      <c r="CR61" s="37"/>
      <c r="CS61" s="37"/>
      <c r="CT61" s="37"/>
      <c r="CU61" s="37"/>
      <c r="CV61" s="37"/>
      <c r="CW61" s="37"/>
      <c r="CX61" s="37"/>
      <c r="CY61" s="36"/>
      <c r="CZ61" s="36"/>
      <c r="DA61" s="36"/>
      <c r="DB61" s="36"/>
      <c r="DC61" s="36"/>
      <c r="DD61" s="36"/>
      <c r="DE61" s="36"/>
      <c r="DF61" s="36"/>
    </row>
    <row r="62" spans="1:137" s="27" customFormat="1" x14ac:dyDescent="0.25">
      <c r="A62" s="26"/>
      <c r="B62" s="1671" t="s">
        <v>50</v>
      </c>
      <c r="C62" s="1672"/>
      <c r="D62" s="1672"/>
      <c r="E62" s="1672"/>
      <c r="F62" s="1672"/>
      <c r="G62" s="1672"/>
      <c r="H62" s="1672"/>
      <c r="I62" s="1672"/>
      <c r="J62" s="1672"/>
      <c r="K62" s="1672"/>
      <c r="L62" s="1672"/>
      <c r="M62" s="1672"/>
      <c r="N62" s="1672"/>
      <c r="O62" s="1672"/>
      <c r="P62" s="1672"/>
      <c r="Q62" s="1672"/>
      <c r="R62" s="1672"/>
      <c r="S62" s="1672"/>
      <c r="T62" s="1672"/>
      <c r="U62" s="1672"/>
      <c r="V62" s="1672"/>
      <c r="W62" s="1672"/>
      <c r="X62" s="1672"/>
      <c r="Y62" s="1672"/>
      <c r="Z62" s="1672"/>
      <c r="AA62" s="1673"/>
      <c r="AB62" s="612">
        <f>SUM(AB54:AB61)</f>
        <v>173012.60494709999</v>
      </c>
      <c r="AC62" s="613">
        <f>IF(AB62&gt;0,SQRT(SUM(AD54:AD61))/AB62,0)</f>
        <v>1.0000044401901425</v>
      </c>
      <c r="AD62" s="612">
        <f t="shared" si="83"/>
        <v>29933627290.804497</v>
      </c>
      <c r="AE62" s="612">
        <f>SUM(AE54:AE61)</f>
        <v>173012.60494709999</v>
      </c>
      <c r="AF62" s="614">
        <f>IF(AE62&gt;0,SQRT(SUM(AG54:AG61))/AE62,0)</f>
        <v>1.0000044401901425</v>
      </c>
      <c r="AG62" s="28">
        <f t="shared" si="69"/>
        <v>29933627290.804497</v>
      </c>
      <c r="AH62" s="64"/>
      <c r="AI62" s="168"/>
      <c r="AJ62" s="168"/>
      <c r="AK62" s="168"/>
      <c r="AL62" s="64"/>
      <c r="AM62" s="64"/>
      <c r="AN62" s="64"/>
      <c r="AO62" s="64"/>
      <c r="AP62" s="64"/>
      <c r="AQ62" s="64"/>
      <c r="AR62" s="64"/>
      <c r="AS62" s="64"/>
      <c r="AT62" s="64"/>
      <c r="AU62" s="64"/>
      <c r="AV62" s="64"/>
      <c r="AW62" s="64"/>
      <c r="AX62" s="64"/>
      <c r="AY62" s="64"/>
      <c r="AZ62" s="64"/>
      <c r="BA62" s="64"/>
      <c r="BB62" s="64"/>
      <c r="BC62" s="64"/>
      <c r="BD62" s="64"/>
      <c r="BE62" s="64"/>
      <c r="BF62" s="64"/>
      <c r="BG62" s="64"/>
      <c r="BH62" s="168"/>
      <c r="BI62" s="168"/>
      <c r="BJ62" s="170"/>
      <c r="BK62" s="170"/>
      <c r="BL62" s="170"/>
      <c r="BM62" s="113"/>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6"/>
      <c r="CP62" s="36"/>
      <c r="CQ62" s="36"/>
      <c r="CR62" s="37"/>
      <c r="CS62" s="37"/>
      <c r="CT62" s="37"/>
      <c r="CU62" s="37"/>
      <c r="CV62" s="37"/>
      <c r="CW62" s="37"/>
      <c r="CX62" s="37"/>
      <c r="CY62" s="36"/>
      <c r="CZ62" s="36"/>
      <c r="DA62" s="36"/>
      <c r="DB62" s="36"/>
      <c r="DC62" s="36"/>
      <c r="DD62" s="36"/>
      <c r="DE62" s="36"/>
      <c r="DF62" s="36"/>
    </row>
    <row r="63" spans="1:137" s="27" customFormat="1" ht="15.75" customHeight="1" thickBot="1" x14ac:dyDescent="0.3">
      <c r="A63" s="26"/>
      <c r="B63" s="615"/>
      <c r="C63" s="616"/>
      <c r="D63" s="616"/>
      <c r="E63" s="616"/>
      <c r="F63" s="616"/>
      <c r="G63" s="616"/>
      <c r="H63" s="616"/>
      <c r="I63" s="616"/>
      <c r="J63" s="616"/>
      <c r="K63" s="616"/>
      <c r="L63" s="616"/>
      <c r="M63" s="616"/>
      <c r="N63" s="616"/>
      <c r="O63" s="616"/>
      <c r="P63" s="616"/>
      <c r="Q63" s="616"/>
      <c r="R63" s="616"/>
      <c r="S63" s="616"/>
      <c r="T63" s="616"/>
      <c r="U63" s="616"/>
      <c r="V63" s="616"/>
      <c r="W63" s="616"/>
      <c r="X63" s="616"/>
      <c r="Y63" s="616"/>
      <c r="Z63" s="616"/>
      <c r="AA63" s="616"/>
      <c r="AB63" s="616"/>
      <c r="AC63" s="616"/>
      <c r="AD63" s="616"/>
      <c r="AE63" s="616"/>
      <c r="AF63" s="617"/>
      <c r="AG63" s="28">
        <f t="shared" si="69"/>
        <v>0</v>
      </c>
      <c r="AH63" s="64"/>
      <c r="AI63" s="168"/>
      <c r="AJ63" s="168"/>
      <c r="AK63" s="168"/>
      <c r="AL63" s="64"/>
      <c r="AM63" s="64"/>
      <c r="AN63" s="64"/>
      <c r="AO63" s="64"/>
      <c r="AP63" s="64"/>
      <c r="AQ63" s="64"/>
      <c r="AR63" s="64"/>
      <c r="AS63" s="64"/>
      <c r="AT63" s="64"/>
      <c r="AU63" s="64"/>
      <c r="AV63" s="64"/>
      <c r="AW63" s="64"/>
      <c r="AX63" s="64"/>
      <c r="AY63" s="64"/>
      <c r="AZ63" s="64"/>
      <c r="BA63" s="64"/>
      <c r="BB63" s="64"/>
      <c r="BC63" s="64"/>
      <c r="BD63" s="64"/>
      <c r="BE63" s="64"/>
      <c r="BF63" s="64"/>
      <c r="BG63" s="64"/>
      <c r="BH63" s="168"/>
      <c r="BI63" s="168"/>
      <c r="BJ63" s="170"/>
      <c r="BK63" s="170"/>
      <c r="BL63" s="170"/>
      <c r="BM63" s="113"/>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6"/>
      <c r="CP63" s="36"/>
      <c r="CQ63" s="36"/>
      <c r="CR63" s="37"/>
      <c r="CS63" s="37"/>
      <c r="CT63" s="37"/>
      <c r="CU63" s="37"/>
      <c r="CV63" s="37"/>
      <c r="CW63" s="37"/>
      <c r="CX63" s="37"/>
      <c r="CY63" s="36"/>
      <c r="CZ63" s="36"/>
      <c r="DA63" s="36"/>
      <c r="DB63" s="36"/>
      <c r="DC63" s="36"/>
      <c r="DD63" s="36"/>
      <c r="DE63" s="36"/>
      <c r="DF63" s="36"/>
    </row>
    <row r="64" spans="1:137" s="82" customFormat="1" ht="32.25" customHeight="1" thickBot="1" x14ac:dyDescent="0.3">
      <c r="A64" s="26"/>
      <c r="B64" s="1658" t="s">
        <v>303</v>
      </c>
      <c r="C64" s="1659"/>
      <c r="D64" s="1659"/>
      <c r="E64" s="1659"/>
      <c r="F64" s="1659"/>
      <c r="G64" s="1659"/>
      <c r="H64" s="1659"/>
      <c r="I64" s="1659"/>
      <c r="J64" s="1659"/>
      <c r="K64" s="1659"/>
      <c r="L64" s="1659"/>
      <c r="M64" s="1659"/>
      <c r="N64" s="1659"/>
      <c r="O64" s="1659"/>
      <c r="P64" s="1659"/>
      <c r="Q64" s="1659"/>
      <c r="R64" s="1659"/>
      <c r="S64" s="1659"/>
      <c r="T64" s="1659"/>
      <c r="U64" s="1659"/>
      <c r="V64" s="1659"/>
      <c r="W64" s="1659"/>
      <c r="X64" s="1659"/>
      <c r="Y64" s="1659"/>
      <c r="Z64" s="1659"/>
      <c r="AA64" s="1660"/>
      <c r="AB64" s="619"/>
      <c r="AC64" s="620">
        <f>IF(AB64&gt;0,(SQRT(#REF!+AD62+#REF!))/AB64,0)</f>
        <v>0</v>
      </c>
      <c r="AD64" s="619">
        <f>(AB64*AC64)^2</f>
        <v>0</v>
      </c>
      <c r="AE64" s="619">
        <f>AE62</f>
        <v>173012.60494709999</v>
      </c>
      <c r="AF64" s="621">
        <f>AF62</f>
        <v>1.0000044401901425</v>
      </c>
      <c r="AG64" s="28">
        <f t="shared" si="69"/>
        <v>29933627290.804497</v>
      </c>
      <c r="AH64" s="174"/>
      <c r="AI64" s="175"/>
      <c r="AJ64" s="175"/>
      <c r="AK64" s="175"/>
      <c r="AL64" s="64"/>
      <c r="AM64" s="64"/>
      <c r="AN64" s="64"/>
      <c r="AO64" s="64"/>
      <c r="AP64" s="64"/>
      <c r="AQ64" s="64"/>
      <c r="AR64" s="64"/>
      <c r="AS64" s="64"/>
      <c r="AT64" s="64"/>
      <c r="AU64" s="64"/>
      <c r="AV64" s="64"/>
      <c r="AW64" s="64"/>
      <c r="AX64" s="64"/>
      <c r="AY64" s="64"/>
      <c r="AZ64" s="64"/>
      <c r="BA64" s="64"/>
      <c r="BB64" s="64"/>
      <c r="BC64" s="64"/>
      <c r="BD64" s="64"/>
      <c r="BE64" s="64"/>
      <c r="BF64" s="64"/>
      <c r="BG64" s="64"/>
      <c r="BH64" s="175"/>
      <c r="BI64" s="175"/>
      <c r="BJ64" s="177"/>
      <c r="BK64" s="177"/>
      <c r="BL64" s="177"/>
      <c r="BM64" s="114"/>
      <c r="BN64" s="81"/>
      <c r="BO64" s="81"/>
      <c r="BP64" s="81"/>
      <c r="BQ64" s="81"/>
      <c r="BR64" s="81"/>
      <c r="BS64" s="81"/>
      <c r="BT64" s="81"/>
      <c r="BU64" s="81"/>
      <c r="BV64" s="81"/>
      <c r="BW64" s="81"/>
      <c r="BX64" s="81"/>
      <c r="BY64" s="81"/>
      <c r="BZ64" s="81"/>
      <c r="CA64" s="81"/>
      <c r="CB64" s="81"/>
      <c r="CC64" s="81"/>
      <c r="CD64" s="81"/>
      <c r="CE64" s="81"/>
      <c r="CF64" s="81"/>
      <c r="CG64" s="81"/>
      <c r="CH64" s="81"/>
      <c r="CI64" s="81"/>
      <c r="CJ64" s="81"/>
      <c r="CK64" s="81"/>
      <c r="CL64" s="81"/>
      <c r="CM64" s="81"/>
      <c r="CN64" s="81"/>
      <c r="CO64" s="80"/>
      <c r="CP64" s="80"/>
      <c r="CQ64" s="80"/>
      <c r="CR64" s="81"/>
      <c r="CS64" s="81"/>
      <c r="CT64" s="81"/>
      <c r="CU64" s="81"/>
      <c r="CV64" s="81"/>
      <c r="CW64" s="81"/>
      <c r="CX64" s="81"/>
      <c r="CY64" s="80"/>
      <c r="CZ64" s="80"/>
      <c r="DA64" s="80"/>
      <c r="DB64" s="80"/>
      <c r="DC64" s="80"/>
      <c r="DD64" s="80"/>
      <c r="DE64" s="80"/>
      <c r="DF64" s="80"/>
    </row>
    <row r="65" spans="1:137" s="26" customFormat="1" ht="21" x14ac:dyDescent="0.25">
      <c r="B65" s="136"/>
      <c r="C65" s="136"/>
      <c r="D65" s="136"/>
      <c r="E65" s="137"/>
      <c r="F65" s="137"/>
      <c r="G65" s="137"/>
      <c r="H65" s="137"/>
      <c r="I65" s="137"/>
      <c r="J65" s="137"/>
      <c r="K65" s="137"/>
      <c r="L65" s="137"/>
      <c r="M65" s="137"/>
      <c r="N65" s="137"/>
      <c r="O65" s="137"/>
      <c r="P65" s="137"/>
      <c r="Q65" s="137"/>
      <c r="R65" s="138"/>
      <c r="S65" s="137"/>
      <c r="T65" s="137"/>
      <c r="U65" s="137"/>
      <c r="V65" s="139"/>
      <c r="W65" s="139"/>
      <c r="X65" s="136"/>
      <c r="Y65" s="136"/>
      <c r="Z65" s="139"/>
      <c r="AA65" s="140"/>
      <c r="AB65" s="140"/>
      <c r="AC65" s="139"/>
      <c r="AD65" s="140"/>
      <c r="AG65" s="28">
        <f>(BF65*BG65)^2</f>
        <v>0</v>
      </c>
      <c r="AH65" s="164"/>
      <c r="AI65" s="165"/>
      <c r="AJ65" s="165"/>
      <c r="AK65" s="165"/>
      <c r="AL65" s="64"/>
      <c r="AM65" s="64"/>
      <c r="AN65" s="64"/>
      <c r="AO65" s="64"/>
      <c r="AP65" s="64"/>
      <c r="AQ65" s="64"/>
      <c r="AR65" s="64"/>
      <c r="AS65" s="64"/>
      <c r="AT65" s="64"/>
      <c r="AU65" s="64"/>
      <c r="AV65" s="64"/>
      <c r="AW65" s="64"/>
      <c r="AX65" s="64"/>
      <c r="AY65" s="64"/>
      <c r="AZ65" s="64"/>
      <c r="BA65" s="64"/>
      <c r="BB65" s="64"/>
      <c r="BC65" s="64"/>
      <c r="BD65" s="64"/>
      <c r="BE65" s="64"/>
      <c r="BF65" s="64"/>
      <c r="BG65" s="64"/>
      <c r="BH65" s="165"/>
      <c r="BI65" s="165"/>
      <c r="BJ65" s="167"/>
      <c r="BK65" s="167"/>
      <c r="BL65" s="167"/>
      <c r="BM65" s="112"/>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9"/>
      <c r="CP65" s="29"/>
      <c r="CQ65" s="29"/>
      <c r="CR65" s="28"/>
      <c r="CS65" s="28"/>
      <c r="CT65" s="28"/>
      <c r="CU65" s="28"/>
      <c r="CV65" s="28"/>
      <c r="CW65" s="28"/>
      <c r="CX65" s="28"/>
      <c r="CY65" s="29"/>
      <c r="CZ65" s="29"/>
      <c r="DA65" s="29"/>
      <c r="DB65" s="29"/>
      <c r="DC65" s="29"/>
      <c r="DD65" s="29"/>
      <c r="DE65" s="29"/>
      <c r="DF65" s="29"/>
    </row>
    <row r="66" spans="1:137" x14ac:dyDescent="0.25">
      <c r="AL66" s="64"/>
      <c r="AM66" s="64"/>
      <c r="AN66" s="64"/>
      <c r="AO66" s="64"/>
      <c r="AP66" s="64"/>
      <c r="AQ66" s="64"/>
      <c r="AR66" s="64"/>
      <c r="AS66" s="64"/>
      <c r="AT66" s="64"/>
      <c r="AU66" s="64"/>
      <c r="AV66" s="64"/>
      <c r="AW66" s="64"/>
      <c r="AX66" s="64"/>
      <c r="AY66" s="64"/>
      <c r="AZ66" s="64"/>
      <c r="BA66" s="64"/>
      <c r="BB66" s="64"/>
      <c r="BC66" s="64"/>
      <c r="BD66" s="64"/>
      <c r="BE66" s="64"/>
      <c r="BF66" s="64"/>
      <c r="BG66" s="64"/>
    </row>
    <row r="72" spans="1:137" hidden="1" x14ac:dyDescent="0.25"/>
    <row r="73" spans="1:137" hidden="1" x14ac:dyDescent="0.25">
      <c r="CT73" s="98"/>
      <c r="CU73" s="98"/>
      <c r="CV73" s="98"/>
      <c r="CW73" s="98"/>
      <c r="CX73" s="98"/>
      <c r="CY73" s="98"/>
      <c r="CZ73" s="98"/>
      <c r="DA73" s="98"/>
      <c r="DB73" s="98"/>
      <c r="DC73" s="98"/>
      <c r="DD73" s="98"/>
      <c r="DE73" s="98"/>
      <c r="DF73" s="98"/>
      <c r="DG73" s="98"/>
      <c r="DH73" s="98"/>
      <c r="DI73" s="98"/>
      <c r="DJ73" s="98"/>
      <c r="DK73" s="98"/>
      <c r="DL73" s="98"/>
      <c r="DM73" s="98"/>
      <c r="DN73" s="98"/>
      <c r="DO73" s="98"/>
      <c r="DP73" s="98"/>
      <c r="DQ73" s="98"/>
      <c r="DR73" s="98"/>
      <c r="DS73" s="98"/>
      <c r="DT73" s="98"/>
      <c r="DU73" s="98"/>
      <c r="DV73" s="98"/>
      <c r="DW73" s="98"/>
      <c r="DX73" s="98"/>
      <c r="DY73" s="98"/>
      <c r="DZ73" s="98"/>
      <c r="EA73" s="98"/>
      <c r="EB73" s="98"/>
      <c r="EC73" s="98"/>
      <c r="ED73" s="98"/>
      <c r="EE73" s="98"/>
      <c r="EF73" s="98"/>
      <c r="EG73" s="98"/>
    </row>
    <row r="74" spans="1:137" hidden="1" x14ac:dyDescent="0.25">
      <c r="CT74" s="98"/>
      <c r="CU74" s="98"/>
      <c r="CV74" s="98"/>
      <c r="CW74" s="98"/>
      <c r="CX74" s="98"/>
      <c r="CY74" s="98"/>
      <c r="CZ74" s="98"/>
      <c r="DA74" s="98"/>
      <c r="DB74" s="98"/>
      <c r="DC74" s="98"/>
      <c r="DD74" s="98"/>
      <c r="DE74" s="98"/>
      <c r="DF74" s="98"/>
      <c r="DG74" s="98"/>
      <c r="DH74" s="98"/>
      <c r="DI74" s="98"/>
      <c r="DJ74" s="98"/>
      <c r="DK74" s="98"/>
      <c r="DL74" s="98"/>
      <c r="DM74" s="98"/>
      <c r="DN74" s="98"/>
      <c r="DO74" s="98"/>
      <c r="DP74" s="98"/>
      <c r="DQ74" s="98"/>
      <c r="DR74" s="98"/>
      <c r="DS74" s="98"/>
      <c r="DT74" s="98"/>
      <c r="DU74" s="98"/>
      <c r="DV74" s="98"/>
      <c r="DW74" s="98"/>
      <c r="DX74" s="98"/>
      <c r="DY74" s="98"/>
      <c r="DZ74" s="98"/>
      <c r="EA74" s="98"/>
      <c r="EB74" s="98"/>
      <c r="EC74" s="98"/>
      <c r="ED74" s="98"/>
      <c r="EE74" s="98"/>
      <c r="EF74" s="98"/>
      <c r="EG74" s="98"/>
    </row>
    <row r="75" spans="1:137" hidden="1" x14ac:dyDescent="0.25">
      <c r="CT75" s="98"/>
      <c r="CU75" s="98"/>
      <c r="CV75" s="98"/>
      <c r="CW75" s="98"/>
      <c r="CX75" s="98"/>
      <c r="CY75" s="98"/>
      <c r="CZ75" s="98"/>
      <c r="DA75" s="98"/>
      <c r="DB75" s="98"/>
      <c r="DC75" s="98"/>
      <c r="DD75" s="98"/>
      <c r="DE75" s="98"/>
      <c r="DF75" s="98"/>
      <c r="DG75" s="98"/>
      <c r="DH75" s="98"/>
      <c r="DI75" s="98"/>
      <c r="DJ75" s="98"/>
      <c r="DK75" s="98"/>
      <c r="DL75" s="98"/>
      <c r="DM75" s="98"/>
      <c r="DN75" s="98"/>
      <c r="DO75" s="98"/>
      <c r="DP75" s="98"/>
      <c r="DQ75" s="98"/>
      <c r="DR75" s="98"/>
      <c r="DS75" s="98"/>
      <c r="DT75" s="98"/>
      <c r="DU75" s="98"/>
      <c r="DV75" s="98"/>
      <c r="DW75" s="98"/>
      <c r="DX75" s="98"/>
      <c r="DY75" s="98"/>
      <c r="DZ75" s="98"/>
      <c r="EA75" s="98"/>
      <c r="EB75" s="98"/>
      <c r="EC75" s="98"/>
      <c r="ED75" s="98"/>
      <c r="EE75" s="98"/>
      <c r="EF75" s="98"/>
      <c r="EG75" s="98"/>
    </row>
    <row r="76" spans="1:137" s="101" customFormat="1" hidden="1" x14ac:dyDescent="0.25">
      <c r="A76" s="99"/>
      <c r="V76" s="103"/>
      <c r="AA76" s="104"/>
      <c r="AB76" s="104"/>
      <c r="AD76" s="104"/>
      <c r="AE76" s="105"/>
      <c r="AH76" s="106"/>
      <c r="AI76" s="106"/>
      <c r="AK76" s="104"/>
      <c r="AR76" s="104"/>
      <c r="AV76" s="104"/>
      <c r="AX76" s="104"/>
      <c r="BB76" s="104"/>
      <c r="BC76" s="104"/>
      <c r="BE76" s="104"/>
      <c r="BH76" s="99"/>
      <c r="BI76" s="102"/>
      <c r="BJ76" s="178"/>
      <c r="BK76" s="178"/>
      <c r="BL76" s="178"/>
      <c r="BM76" s="169"/>
      <c r="BN76" s="169"/>
      <c r="BO76" s="169"/>
      <c r="BP76" s="179"/>
      <c r="BQ76" s="179"/>
      <c r="BR76" s="179"/>
      <c r="BS76" s="179"/>
      <c r="BT76" s="179"/>
      <c r="BU76" s="179"/>
      <c r="BV76" s="178"/>
      <c r="BW76" s="179"/>
      <c r="BX76" s="179"/>
      <c r="BY76" s="178"/>
      <c r="BZ76" s="178"/>
      <c r="CA76" s="178"/>
      <c r="CB76" s="180"/>
      <c r="CC76" s="179"/>
      <c r="CD76" s="179"/>
      <c r="CE76" s="180"/>
      <c r="CF76" s="180"/>
      <c r="CG76" s="180"/>
      <c r="CH76" s="180"/>
      <c r="CI76" s="179"/>
      <c r="CJ76" s="179"/>
      <c r="CK76" s="180"/>
      <c r="CL76" s="180"/>
      <c r="CM76" s="180"/>
      <c r="CN76" s="116"/>
      <c r="CO76" s="100"/>
      <c r="CP76" s="100"/>
      <c r="CQ76" s="100"/>
    </row>
    <row r="77" spans="1:137" s="101" customFormat="1" ht="15.75" hidden="1" thickBot="1" x14ac:dyDescent="0.3">
      <c r="A77" s="99"/>
      <c r="V77" s="103"/>
      <c r="AA77" s="104"/>
      <c r="AB77" s="104"/>
      <c r="AD77" s="104"/>
      <c r="AE77" s="105"/>
      <c r="AH77" s="106"/>
      <c r="AI77" s="106"/>
      <c r="AK77" s="104"/>
      <c r="AR77" s="104"/>
      <c r="AV77" s="104"/>
      <c r="AX77" s="104"/>
      <c r="BB77" s="104"/>
      <c r="BC77" s="104"/>
      <c r="BE77" s="104"/>
      <c r="BH77" s="99"/>
      <c r="BI77" s="102">
        <v>1</v>
      </c>
      <c r="BJ77" s="178">
        <v>2</v>
      </c>
      <c r="BK77" s="178">
        <v>3</v>
      </c>
      <c r="BL77" s="178">
        <v>4</v>
      </c>
      <c r="BM77" s="178">
        <v>5</v>
      </c>
      <c r="BN77" s="178">
        <v>6</v>
      </c>
      <c r="BO77" s="178">
        <v>7</v>
      </c>
      <c r="BP77" s="178">
        <v>8</v>
      </c>
      <c r="BQ77" s="178">
        <v>9</v>
      </c>
      <c r="BR77" s="178">
        <v>10</v>
      </c>
      <c r="BS77" s="178">
        <v>11</v>
      </c>
      <c r="BT77" s="178">
        <v>12</v>
      </c>
      <c r="BU77" s="178">
        <v>13</v>
      </c>
      <c r="BV77" s="178">
        <v>14</v>
      </c>
      <c r="BW77" s="178">
        <v>15</v>
      </c>
      <c r="BX77" s="178">
        <v>16</v>
      </c>
      <c r="BY77" s="178">
        <v>17</v>
      </c>
      <c r="BZ77" s="178">
        <v>18</v>
      </c>
      <c r="CA77" s="178">
        <v>19</v>
      </c>
      <c r="CB77" s="178">
        <v>20</v>
      </c>
      <c r="CC77" s="178">
        <v>21</v>
      </c>
      <c r="CD77" s="178">
        <v>22</v>
      </c>
      <c r="CE77" s="178">
        <v>23</v>
      </c>
      <c r="CF77" s="178">
        <v>24</v>
      </c>
      <c r="CG77" s="178">
        <v>25</v>
      </c>
      <c r="CH77" s="178">
        <v>26</v>
      </c>
      <c r="CI77" s="178">
        <v>27</v>
      </c>
      <c r="CJ77" s="178">
        <v>28</v>
      </c>
      <c r="CK77" s="178">
        <v>29</v>
      </c>
      <c r="CL77" s="178">
        <v>30</v>
      </c>
      <c r="CM77" s="178">
        <v>31</v>
      </c>
      <c r="CN77" s="115">
        <v>32</v>
      </c>
      <c r="CO77" s="224">
        <v>33</v>
      </c>
      <c r="CP77" s="224">
        <v>34</v>
      </c>
      <c r="CQ77" s="224">
        <v>35</v>
      </c>
      <c r="CR77" s="115">
        <v>33</v>
      </c>
      <c r="CS77" s="115">
        <v>34</v>
      </c>
    </row>
    <row r="78" spans="1:137" s="101" customFormat="1" ht="26.25" hidden="1" customHeight="1" thickBot="1" x14ac:dyDescent="0.3">
      <c r="A78" s="99"/>
      <c r="V78" s="103"/>
      <c r="AA78" s="104"/>
      <c r="AB78" s="104"/>
      <c r="AD78" s="104"/>
      <c r="AE78" s="105"/>
      <c r="AH78" s="106"/>
      <c r="AI78" s="106"/>
      <c r="AK78" s="104"/>
      <c r="AR78" s="104"/>
      <c r="AV78" s="104"/>
      <c r="AX78" s="104"/>
      <c r="BB78" s="104"/>
      <c r="BC78" s="104"/>
      <c r="BE78" s="104"/>
      <c r="BF78" s="107"/>
      <c r="BG78" s="108"/>
      <c r="BH78" s="108"/>
      <c r="BI78" s="182"/>
      <c r="BJ78" s="251"/>
      <c r="BK78" s="1606" t="s">
        <v>607</v>
      </c>
      <c r="BL78" s="251"/>
      <c r="BM78" s="1606" t="s">
        <v>233</v>
      </c>
      <c r="BN78" s="1606" t="s">
        <v>233</v>
      </c>
      <c r="BO78" s="1606" t="s">
        <v>240</v>
      </c>
      <c r="BP78" s="1608" t="s">
        <v>172</v>
      </c>
      <c r="BQ78" s="1609"/>
      <c r="BR78" s="1609"/>
      <c r="BS78" s="1609"/>
      <c r="BT78" s="1609"/>
      <c r="BU78" s="1609"/>
      <c r="BV78" s="1609"/>
      <c r="BW78" s="1609"/>
      <c r="BX78" s="1609"/>
      <c r="BY78" s="1609"/>
      <c r="BZ78" s="1609"/>
      <c r="CA78" s="1610"/>
      <c r="CB78" s="1608" t="s">
        <v>173</v>
      </c>
      <c r="CC78" s="1609"/>
      <c r="CD78" s="1609"/>
      <c r="CE78" s="1609"/>
      <c r="CF78" s="1609"/>
      <c r="CG78" s="1609"/>
      <c r="CH78" s="1609"/>
      <c r="CI78" s="1609"/>
      <c r="CJ78" s="1609"/>
      <c r="CK78" s="1609"/>
      <c r="CL78" s="1609"/>
      <c r="CM78" s="1610"/>
      <c r="CN78" s="116"/>
      <c r="CO78" s="100" t="s">
        <v>295</v>
      </c>
      <c r="CP78" s="100"/>
      <c r="CQ78" s="100"/>
      <c r="CR78" s="101" t="s">
        <v>295</v>
      </c>
    </row>
    <row r="79" spans="1:137" s="101" customFormat="1" ht="58.5" hidden="1" customHeight="1" thickBot="1" x14ac:dyDescent="0.3">
      <c r="A79" s="99"/>
      <c r="V79" s="103"/>
      <c r="X79" s="107"/>
      <c r="Y79" s="107"/>
      <c r="Z79" s="107"/>
      <c r="AA79" s="110"/>
      <c r="AB79" s="110"/>
      <c r="AC79" s="107"/>
      <c r="AD79" s="110"/>
      <c r="AE79" s="109"/>
      <c r="AF79" s="107"/>
      <c r="AG79" s="107"/>
      <c r="AH79" s="111"/>
      <c r="AI79" s="111"/>
      <c r="AJ79" s="107"/>
      <c r="AK79" s="110"/>
      <c r="AL79" s="107"/>
      <c r="AM79" s="107"/>
      <c r="AN79" s="107"/>
      <c r="AO79" s="107"/>
      <c r="AP79" s="107"/>
      <c r="AQ79" s="107"/>
      <c r="AR79" s="110"/>
      <c r="AS79" s="107"/>
      <c r="AT79" s="107"/>
      <c r="AU79" s="107"/>
      <c r="AV79" s="110"/>
      <c r="AW79" s="107"/>
      <c r="AX79" s="110"/>
      <c r="AY79" s="107"/>
      <c r="AZ79" s="107"/>
      <c r="BA79" s="107"/>
      <c r="BB79" s="110"/>
      <c r="BC79" s="110"/>
      <c r="BD79" s="107"/>
      <c r="BE79" s="110"/>
      <c r="BF79" s="107"/>
      <c r="BG79" s="107"/>
      <c r="BH79" s="107"/>
      <c r="BI79" s="182" t="s">
        <v>366</v>
      </c>
      <c r="BJ79" s="252" t="s">
        <v>253</v>
      </c>
      <c r="BK79" s="1607"/>
      <c r="BL79" s="252" t="s">
        <v>251</v>
      </c>
      <c r="BM79" s="1607"/>
      <c r="BN79" s="1607"/>
      <c r="BO79" s="1607"/>
      <c r="BP79" s="185" t="s">
        <v>608</v>
      </c>
      <c r="BQ79" s="185" t="s">
        <v>609</v>
      </c>
      <c r="BR79" s="252" t="s">
        <v>251</v>
      </c>
      <c r="BS79" s="185" t="s">
        <v>233</v>
      </c>
      <c r="BT79" s="185" t="s">
        <v>233</v>
      </c>
      <c r="BU79" s="185" t="s">
        <v>240</v>
      </c>
      <c r="BV79" s="185" t="s">
        <v>265</v>
      </c>
      <c r="BW79" s="185" t="s">
        <v>610</v>
      </c>
      <c r="BX79" s="252" t="s">
        <v>251</v>
      </c>
      <c r="BY79" s="185" t="s">
        <v>233</v>
      </c>
      <c r="BZ79" s="185" t="s">
        <v>233</v>
      </c>
      <c r="CA79" s="185" t="s">
        <v>240</v>
      </c>
      <c r="CB79" s="185" t="s">
        <v>266</v>
      </c>
      <c r="CC79" s="185" t="s">
        <v>609</v>
      </c>
      <c r="CD79" s="252" t="s">
        <v>251</v>
      </c>
      <c r="CE79" s="185" t="s">
        <v>233</v>
      </c>
      <c r="CF79" s="185" t="s">
        <v>233</v>
      </c>
      <c r="CG79" s="185" t="s">
        <v>240</v>
      </c>
      <c r="CH79" s="185" t="s">
        <v>265</v>
      </c>
      <c r="CI79" s="185" t="s">
        <v>610</v>
      </c>
      <c r="CJ79" s="252" t="s">
        <v>251</v>
      </c>
      <c r="CK79" s="185" t="s">
        <v>233</v>
      </c>
      <c r="CL79" s="185" t="s">
        <v>233</v>
      </c>
      <c r="CM79" s="185" t="s">
        <v>240</v>
      </c>
      <c r="CN79" s="116"/>
      <c r="CO79" s="100" t="s">
        <v>296</v>
      </c>
      <c r="CP79" s="100" t="s">
        <v>296</v>
      </c>
      <c r="CQ79" s="100" t="s">
        <v>297</v>
      </c>
      <c r="CR79" s="101" t="s">
        <v>296</v>
      </c>
      <c r="CS79" s="101" t="s">
        <v>297</v>
      </c>
    </row>
    <row r="80" spans="1:137" s="101" customFormat="1" ht="16.5" hidden="1" customHeight="1" thickBot="1" x14ac:dyDescent="0.3">
      <c r="A80" s="99"/>
      <c r="V80" s="103"/>
      <c r="X80" s="107"/>
      <c r="Y80" s="107"/>
      <c r="Z80" s="107"/>
      <c r="AA80" s="110"/>
      <c r="AB80" s="110"/>
      <c r="AC80" s="107"/>
      <c r="AD80" s="110"/>
      <c r="AE80" s="109"/>
      <c r="AF80" s="107"/>
      <c r="AG80" s="107"/>
      <c r="AH80" s="111"/>
      <c r="AI80" s="111"/>
      <c r="AJ80" s="107"/>
      <c r="AK80" s="110"/>
      <c r="AL80" s="107"/>
      <c r="AM80" s="107"/>
      <c r="AN80" s="107"/>
      <c r="AO80" s="107"/>
      <c r="AP80" s="107"/>
      <c r="AQ80" s="107"/>
      <c r="AR80" s="110"/>
      <c r="AS80" s="107"/>
      <c r="AT80" s="107"/>
      <c r="AU80" s="107"/>
      <c r="AV80" s="110"/>
      <c r="AW80" s="107"/>
      <c r="AX80" s="110"/>
      <c r="AY80" s="107"/>
      <c r="AZ80" s="107"/>
      <c r="BA80" s="107"/>
      <c r="BB80" s="110"/>
      <c r="BC80" s="110"/>
      <c r="BD80" s="107"/>
      <c r="BE80" s="110"/>
      <c r="BF80" s="107"/>
      <c r="BG80" s="107"/>
      <c r="BH80" s="107"/>
      <c r="BI80" s="186" t="s">
        <v>2</v>
      </c>
      <c r="BJ80" s="187" t="s">
        <v>611</v>
      </c>
      <c r="BK80" s="187">
        <v>2534.8130000000001</v>
      </c>
      <c r="BL80" s="187" t="s">
        <v>612</v>
      </c>
      <c r="BM80" s="188">
        <v>2.64E-3</v>
      </c>
      <c r="BN80" s="188">
        <v>2.64E-3</v>
      </c>
      <c r="BO80" s="188" t="s">
        <v>241</v>
      </c>
      <c r="BP80" s="187">
        <v>28.760200000000001</v>
      </c>
      <c r="BQ80" s="187">
        <f>BP80/1000</f>
        <v>2.87602E-2</v>
      </c>
      <c r="BR80" s="187" t="s">
        <v>613</v>
      </c>
      <c r="BS80" s="189">
        <v>3.0000000000000001E-3</v>
      </c>
      <c r="BT80" s="189">
        <v>0.03</v>
      </c>
      <c r="BU80" s="187" t="s">
        <v>242</v>
      </c>
      <c r="BV80" s="187">
        <v>43.1404</v>
      </c>
      <c r="BW80" s="187">
        <f>BV80/1000</f>
        <v>4.3140400000000002E-2</v>
      </c>
      <c r="BX80" s="187" t="s">
        <v>614</v>
      </c>
      <c r="BY80" s="189">
        <v>5.0000000000000001E-3</v>
      </c>
      <c r="BZ80" s="189">
        <v>0.05</v>
      </c>
      <c r="CA80" s="187" t="s">
        <v>242</v>
      </c>
      <c r="CB80" s="187">
        <v>0</v>
      </c>
      <c r="CC80" s="187">
        <f>CB80/1000</f>
        <v>0</v>
      </c>
      <c r="CD80" s="187" t="s">
        <v>613</v>
      </c>
      <c r="CE80" s="189">
        <v>0</v>
      </c>
      <c r="CF80" s="189">
        <v>0</v>
      </c>
      <c r="CG80" s="187" t="s">
        <v>242</v>
      </c>
      <c r="CH80" s="187">
        <v>0</v>
      </c>
      <c r="CI80" s="187">
        <f>CH80/1000</f>
        <v>0</v>
      </c>
      <c r="CJ80" s="187" t="s">
        <v>614</v>
      </c>
      <c r="CK80" s="189">
        <v>0</v>
      </c>
      <c r="CL80" s="189">
        <v>0</v>
      </c>
      <c r="CM80" s="187" t="s">
        <v>242</v>
      </c>
      <c r="CN80" s="116"/>
      <c r="CO80" s="100">
        <v>0.15</v>
      </c>
      <c r="CP80" s="100">
        <f>(CO80+CQ80)/2</f>
        <v>0.17499999999999999</v>
      </c>
      <c r="CQ80" s="100">
        <v>0.2</v>
      </c>
      <c r="CR80" s="101">
        <v>0.15</v>
      </c>
      <c r="CS80" s="101">
        <v>0.2</v>
      </c>
    </row>
    <row r="81" spans="1:97" s="101" customFormat="1" ht="16.5" hidden="1" customHeight="1" thickBot="1" x14ac:dyDescent="0.3">
      <c r="A81" s="99"/>
      <c r="V81" s="103"/>
      <c r="X81" s="107"/>
      <c r="Y81" s="107"/>
      <c r="Z81" s="107"/>
      <c r="AA81" s="110"/>
      <c r="AB81" s="110"/>
      <c r="AC81" s="107"/>
      <c r="AD81" s="110"/>
      <c r="AE81" s="109"/>
      <c r="AF81" s="107"/>
      <c r="AG81" s="107"/>
      <c r="AH81" s="111"/>
      <c r="AI81" s="111"/>
      <c r="AJ81" s="107"/>
      <c r="AK81" s="110"/>
      <c r="AL81" s="107"/>
      <c r="AM81" s="107"/>
      <c r="AN81" s="107"/>
      <c r="AO81" s="107"/>
      <c r="AP81" s="107"/>
      <c r="AQ81" s="107"/>
      <c r="AR81" s="110"/>
      <c r="AS81" s="107"/>
      <c r="AT81" s="107"/>
      <c r="AU81" s="107"/>
      <c r="AV81" s="110"/>
      <c r="AW81" s="107"/>
      <c r="AX81" s="110"/>
      <c r="AY81" s="107"/>
      <c r="AZ81" s="107"/>
      <c r="BA81" s="107"/>
      <c r="BB81" s="110"/>
      <c r="BC81" s="110"/>
      <c r="BD81" s="107"/>
      <c r="BE81" s="110"/>
      <c r="BF81" s="107"/>
      <c r="BG81" s="107"/>
      <c r="BH81" s="107"/>
      <c r="BI81" s="190" t="s">
        <v>211</v>
      </c>
      <c r="BJ81" s="187" t="s">
        <v>615</v>
      </c>
      <c r="BK81" s="181">
        <v>2160.7550000000001</v>
      </c>
      <c r="BL81" s="187" t="s">
        <v>612</v>
      </c>
      <c r="BM81" s="189">
        <v>3.0399999999999997E-3</v>
      </c>
      <c r="BN81" s="189">
        <v>3.0399999999999997E-3</v>
      </c>
      <c r="BO81" s="188" t="s">
        <v>241</v>
      </c>
      <c r="BP81" s="191">
        <v>26.622399999999999</v>
      </c>
      <c r="BQ81" s="187">
        <f t="shared" ref="BQ81:BQ104" si="85">BP81/1000</f>
        <v>2.6622399999999997E-2</v>
      </c>
      <c r="BR81" s="187" t="s">
        <v>616</v>
      </c>
      <c r="BS81" s="189">
        <v>3.0000000000000001E-3</v>
      </c>
      <c r="BT81" s="189">
        <v>0.03</v>
      </c>
      <c r="BU81" s="187" t="s">
        <v>242</v>
      </c>
      <c r="BV81" s="181">
        <v>39.933500000000002</v>
      </c>
      <c r="BW81" s="187">
        <f t="shared" ref="BW81:BW104" si="86">BV81/1000</f>
        <v>3.9933500000000004E-2</v>
      </c>
      <c r="BX81" s="187" t="s">
        <v>614</v>
      </c>
      <c r="BY81" s="189">
        <v>5.0000000000000001E-3</v>
      </c>
      <c r="BZ81" s="189">
        <v>0.05</v>
      </c>
      <c r="CA81" s="187" t="s">
        <v>242</v>
      </c>
      <c r="CB81" s="187">
        <v>0</v>
      </c>
      <c r="CC81" s="187">
        <f t="shared" ref="CC81:CC104" si="87">CB81/1000</f>
        <v>0</v>
      </c>
      <c r="CD81" s="187" t="s">
        <v>613</v>
      </c>
      <c r="CE81" s="189">
        <v>0</v>
      </c>
      <c r="CF81" s="189">
        <v>0</v>
      </c>
      <c r="CG81" s="187" t="s">
        <v>242</v>
      </c>
      <c r="CH81" s="181">
        <v>0</v>
      </c>
      <c r="CI81" s="187">
        <f t="shared" ref="CI81:CI104" si="88">CH81/1000</f>
        <v>0</v>
      </c>
      <c r="CJ81" s="187" t="s">
        <v>614</v>
      </c>
      <c r="CK81" s="189">
        <v>0</v>
      </c>
      <c r="CL81" s="189">
        <v>0</v>
      </c>
      <c r="CM81" s="187" t="s">
        <v>242</v>
      </c>
      <c r="CN81" s="116"/>
      <c r="CO81" s="100">
        <v>0.15</v>
      </c>
      <c r="CP81" s="100">
        <f t="shared" ref="CP81:CP104" si="89">(CO81+CQ81)/2</f>
        <v>0.17499999999999999</v>
      </c>
      <c r="CQ81" s="100">
        <v>0.2</v>
      </c>
      <c r="CR81" s="101">
        <v>0.15</v>
      </c>
      <c r="CS81" s="101">
        <v>0.2</v>
      </c>
    </row>
    <row r="82" spans="1:97" s="101" customFormat="1" ht="16.5" hidden="1" customHeight="1" thickBot="1" x14ac:dyDescent="0.3">
      <c r="A82" s="99"/>
      <c r="V82" s="103"/>
      <c r="X82" s="107"/>
      <c r="Y82" s="107"/>
      <c r="Z82" s="107"/>
      <c r="AA82" s="110"/>
      <c r="AB82" s="110"/>
      <c r="AC82" s="107"/>
      <c r="AD82" s="110"/>
      <c r="AE82" s="109"/>
      <c r="AF82" s="107"/>
      <c r="AG82" s="107"/>
      <c r="AH82" s="111"/>
      <c r="AI82" s="111"/>
      <c r="AJ82" s="107"/>
      <c r="AK82" s="110"/>
      <c r="AL82" s="107"/>
      <c r="AM82" s="107"/>
      <c r="AN82" s="107"/>
      <c r="AO82" s="107"/>
      <c r="AP82" s="107"/>
      <c r="AQ82" s="107"/>
      <c r="AR82" s="110"/>
      <c r="AS82" s="107"/>
      <c r="AT82" s="107"/>
      <c r="AU82" s="107"/>
      <c r="AV82" s="110"/>
      <c r="AW82" s="107"/>
      <c r="AX82" s="110"/>
      <c r="AY82" s="107"/>
      <c r="AZ82" s="107"/>
      <c r="BA82" s="107"/>
      <c r="BB82" s="110"/>
      <c r="BC82" s="110"/>
      <c r="BD82" s="107"/>
      <c r="BE82" s="110"/>
      <c r="BF82" s="107"/>
      <c r="BG82" s="107"/>
      <c r="BH82" s="107"/>
      <c r="BI82" s="190" t="s">
        <v>212</v>
      </c>
      <c r="BJ82" s="187" t="s">
        <v>615</v>
      </c>
      <c r="BK82" s="181">
        <v>2894.0590000000002</v>
      </c>
      <c r="BL82" s="187" t="s">
        <v>612</v>
      </c>
      <c r="BM82" s="189">
        <v>2.3499999999999997E-3</v>
      </c>
      <c r="BN82" s="189">
        <v>2.3499999999999997E-3</v>
      </c>
      <c r="BO82" s="188" t="s">
        <v>241</v>
      </c>
      <c r="BP82" s="191">
        <v>30.416899999999998</v>
      </c>
      <c r="BQ82" s="187">
        <f t="shared" si="85"/>
        <v>3.0416899999999997E-2</v>
      </c>
      <c r="BR82" s="187" t="s">
        <v>613</v>
      </c>
      <c r="BS82" s="189">
        <v>3.0000000000000001E-3</v>
      </c>
      <c r="BT82" s="189">
        <v>0.03</v>
      </c>
      <c r="BU82" s="187" t="s">
        <v>242</v>
      </c>
      <c r="BV82" s="181">
        <v>45.625300000000003</v>
      </c>
      <c r="BW82" s="187">
        <f t="shared" si="86"/>
        <v>4.5625300000000001E-2</v>
      </c>
      <c r="BX82" s="187" t="s">
        <v>614</v>
      </c>
      <c r="BY82" s="189">
        <v>5.0000000000000001E-3</v>
      </c>
      <c r="BZ82" s="189">
        <v>0.05</v>
      </c>
      <c r="CA82" s="187" t="s">
        <v>242</v>
      </c>
      <c r="CB82" s="187">
        <v>0</v>
      </c>
      <c r="CC82" s="187">
        <f t="shared" si="87"/>
        <v>0</v>
      </c>
      <c r="CD82" s="187" t="s">
        <v>613</v>
      </c>
      <c r="CE82" s="189">
        <v>0</v>
      </c>
      <c r="CF82" s="189">
        <v>0</v>
      </c>
      <c r="CG82" s="187" t="s">
        <v>242</v>
      </c>
      <c r="CH82" s="181">
        <v>0</v>
      </c>
      <c r="CI82" s="187">
        <f t="shared" si="88"/>
        <v>0</v>
      </c>
      <c r="CJ82" s="187" t="s">
        <v>614</v>
      </c>
      <c r="CK82" s="189">
        <v>0</v>
      </c>
      <c r="CL82" s="189">
        <v>0</v>
      </c>
      <c r="CM82" s="187" t="s">
        <v>242</v>
      </c>
      <c r="CN82" s="116"/>
      <c r="CO82" s="100">
        <v>0.15</v>
      </c>
      <c r="CP82" s="100">
        <f t="shared" si="89"/>
        <v>0.17499999999999999</v>
      </c>
      <c r="CQ82" s="100">
        <v>0.2</v>
      </c>
      <c r="CR82" s="101">
        <v>0.15</v>
      </c>
      <c r="CS82" s="101">
        <v>0.2</v>
      </c>
    </row>
    <row r="83" spans="1:97" s="101" customFormat="1" ht="16.5" hidden="1" customHeight="1" thickBot="1" x14ac:dyDescent="0.3">
      <c r="A83" s="99"/>
      <c r="V83" s="103"/>
      <c r="X83" s="107"/>
      <c r="Y83" s="107"/>
      <c r="Z83" s="107"/>
      <c r="AA83" s="110"/>
      <c r="AB83" s="110"/>
      <c r="AC83" s="107"/>
      <c r="AD83" s="110"/>
      <c r="AE83" s="109"/>
      <c r="AF83" s="107"/>
      <c r="AG83" s="107"/>
      <c r="AH83" s="111"/>
      <c r="AI83" s="111"/>
      <c r="AJ83" s="107"/>
      <c r="AK83" s="110"/>
      <c r="AL83" s="107"/>
      <c r="AM83" s="107"/>
      <c r="AN83" s="107"/>
      <c r="AO83" s="107"/>
      <c r="AP83" s="107"/>
      <c r="AQ83" s="107"/>
      <c r="AR83" s="110"/>
      <c r="AS83" s="107"/>
      <c r="AT83" s="107"/>
      <c r="AU83" s="107"/>
      <c r="AV83" s="110"/>
      <c r="AW83" s="107"/>
      <c r="AX83" s="110"/>
      <c r="AY83" s="107"/>
      <c r="AZ83" s="107"/>
      <c r="BA83" s="107"/>
      <c r="BB83" s="110"/>
      <c r="BC83" s="110"/>
      <c r="BD83" s="107"/>
      <c r="BE83" s="110"/>
      <c r="BF83" s="107"/>
      <c r="BG83" s="107"/>
      <c r="BH83" s="107"/>
      <c r="BI83" s="190" t="s">
        <v>213</v>
      </c>
      <c r="BJ83" s="187" t="s">
        <v>615</v>
      </c>
      <c r="BK83" s="181">
        <v>2214.4580000000001</v>
      </c>
      <c r="BL83" s="187" t="s">
        <v>612</v>
      </c>
      <c r="BM83" s="189">
        <v>2.9299999999999999E-3</v>
      </c>
      <c r="BN83" s="189">
        <v>2.9299999999999999E-3</v>
      </c>
      <c r="BO83" s="188" t="s">
        <v>241</v>
      </c>
      <c r="BP83" s="191">
        <v>29.170200000000001</v>
      </c>
      <c r="BQ83" s="187">
        <f t="shared" si="85"/>
        <v>2.91702E-2</v>
      </c>
      <c r="BR83" s="187" t="s">
        <v>613</v>
      </c>
      <c r="BS83" s="189">
        <v>3.0000000000000001E-3</v>
      </c>
      <c r="BT83" s="189">
        <v>0.03</v>
      </c>
      <c r="BU83" s="187" t="s">
        <v>242</v>
      </c>
      <c r="BV83" s="181">
        <v>43.755299999999998</v>
      </c>
      <c r="BW83" s="187">
        <f t="shared" si="86"/>
        <v>4.3755299999999997E-2</v>
      </c>
      <c r="BX83" s="187" t="s">
        <v>614</v>
      </c>
      <c r="BY83" s="189">
        <v>5.0000000000000001E-3</v>
      </c>
      <c r="BZ83" s="189">
        <v>0.05</v>
      </c>
      <c r="CA83" s="187" t="s">
        <v>242</v>
      </c>
      <c r="CB83" s="187">
        <v>0</v>
      </c>
      <c r="CC83" s="187">
        <f t="shared" si="87"/>
        <v>0</v>
      </c>
      <c r="CD83" s="187" t="s">
        <v>613</v>
      </c>
      <c r="CE83" s="189">
        <v>0</v>
      </c>
      <c r="CF83" s="189">
        <v>0</v>
      </c>
      <c r="CG83" s="187" t="s">
        <v>242</v>
      </c>
      <c r="CH83" s="181">
        <v>0</v>
      </c>
      <c r="CI83" s="187">
        <f t="shared" si="88"/>
        <v>0</v>
      </c>
      <c r="CJ83" s="187" t="s">
        <v>614</v>
      </c>
      <c r="CK83" s="189">
        <v>0</v>
      </c>
      <c r="CL83" s="189">
        <v>0</v>
      </c>
      <c r="CM83" s="187" t="s">
        <v>242</v>
      </c>
      <c r="CN83" s="116"/>
      <c r="CO83" s="100">
        <v>0.15</v>
      </c>
      <c r="CP83" s="100">
        <f t="shared" si="89"/>
        <v>0.17499999999999999</v>
      </c>
      <c r="CQ83" s="100">
        <v>0.2</v>
      </c>
      <c r="CR83" s="101">
        <v>0.15</v>
      </c>
      <c r="CS83" s="101">
        <v>0.2</v>
      </c>
    </row>
    <row r="84" spans="1:97" s="101" customFormat="1" ht="16.5" hidden="1" customHeight="1" thickBot="1" x14ac:dyDescent="0.3">
      <c r="A84" s="99"/>
      <c r="V84" s="103"/>
      <c r="X84" s="107"/>
      <c r="Y84" s="107"/>
      <c r="Z84" s="107"/>
      <c r="AA84" s="110"/>
      <c r="AB84" s="110"/>
      <c r="AC84" s="107"/>
      <c r="AD84" s="110"/>
      <c r="AE84" s="109"/>
      <c r="AF84" s="107"/>
      <c r="AG84" s="107"/>
      <c r="AH84" s="111"/>
      <c r="AI84" s="111"/>
      <c r="AJ84" s="107"/>
      <c r="AK84" s="110"/>
      <c r="AL84" s="107"/>
      <c r="AM84" s="107"/>
      <c r="AN84" s="107"/>
      <c r="AO84" s="107"/>
      <c r="AP84" s="107"/>
      <c r="AQ84" s="107"/>
      <c r="AR84" s="110"/>
      <c r="AS84" s="107"/>
      <c r="AT84" s="107"/>
      <c r="AU84" s="107"/>
      <c r="AV84" s="110"/>
      <c r="AW84" s="107"/>
      <c r="AX84" s="110"/>
      <c r="AY84" s="107"/>
      <c r="AZ84" s="107"/>
      <c r="BA84" s="107"/>
      <c r="BB84" s="110"/>
      <c r="BC84" s="110"/>
      <c r="BD84" s="107"/>
      <c r="BE84" s="110"/>
      <c r="BF84" s="107"/>
      <c r="BG84" s="107"/>
      <c r="BH84" s="107"/>
      <c r="BI84" s="190" t="s">
        <v>214</v>
      </c>
      <c r="BJ84" s="187" t="s">
        <v>615</v>
      </c>
      <c r="BK84" s="181">
        <v>2507.6329999999998</v>
      </c>
      <c r="BL84" s="187" t="s">
        <v>612</v>
      </c>
      <c r="BM84" s="189">
        <v>2.6099999999999999E-3</v>
      </c>
      <c r="BN84" s="189">
        <v>2.6099999999999999E-3</v>
      </c>
      <c r="BO84" s="188" t="s">
        <v>241</v>
      </c>
      <c r="BP84" s="191">
        <v>31.212299999999999</v>
      </c>
      <c r="BQ84" s="187">
        <f t="shared" si="85"/>
        <v>3.1212299999999998E-2</v>
      </c>
      <c r="BR84" s="187" t="s">
        <v>613</v>
      </c>
      <c r="BS84" s="189">
        <v>3.0000000000000001E-3</v>
      </c>
      <c r="BT84" s="189">
        <v>0.03</v>
      </c>
      <c r="BU84" s="187" t="s">
        <v>242</v>
      </c>
      <c r="BV84" s="181">
        <v>46.818399999999997</v>
      </c>
      <c r="BW84" s="187">
        <f t="shared" si="86"/>
        <v>4.6818399999999996E-2</v>
      </c>
      <c r="BX84" s="187" t="s">
        <v>614</v>
      </c>
      <c r="BY84" s="189">
        <v>5.0000000000000001E-3</v>
      </c>
      <c r="BZ84" s="189">
        <v>0.05</v>
      </c>
      <c r="CA84" s="187" t="s">
        <v>242</v>
      </c>
      <c r="CB84" s="187">
        <v>0</v>
      </c>
      <c r="CC84" s="187">
        <f t="shared" si="87"/>
        <v>0</v>
      </c>
      <c r="CD84" s="187" t="s">
        <v>613</v>
      </c>
      <c r="CE84" s="189">
        <v>0</v>
      </c>
      <c r="CF84" s="189">
        <v>0</v>
      </c>
      <c r="CG84" s="187" t="s">
        <v>242</v>
      </c>
      <c r="CH84" s="181">
        <v>0</v>
      </c>
      <c r="CI84" s="187">
        <f t="shared" si="88"/>
        <v>0</v>
      </c>
      <c r="CJ84" s="187" t="s">
        <v>614</v>
      </c>
      <c r="CK84" s="189">
        <v>0</v>
      </c>
      <c r="CL84" s="189">
        <v>0</v>
      </c>
      <c r="CM84" s="187" t="s">
        <v>242</v>
      </c>
      <c r="CN84" s="116"/>
      <c r="CO84" s="100">
        <v>0.15</v>
      </c>
      <c r="CP84" s="100">
        <f t="shared" si="89"/>
        <v>0.17499999999999999</v>
      </c>
      <c r="CQ84" s="100">
        <v>0.2</v>
      </c>
      <c r="CR84" s="101">
        <v>0.15</v>
      </c>
      <c r="CS84" s="101">
        <v>0.2</v>
      </c>
    </row>
    <row r="85" spans="1:97" s="101" customFormat="1" ht="16.5" hidden="1" customHeight="1" thickBot="1" x14ac:dyDescent="0.3">
      <c r="A85" s="99"/>
      <c r="V85" s="103"/>
      <c r="X85" s="107"/>
      <c r="Y85" s="107"/>
      <c r="Z85" s="107"/>
      <c r="AA85" s="110"/>
      <c r="AB85" s="110"/>
      <c r="AC85" s="107"/>
      <c r="AD85" s="110"/>
      <c r="AE85" s="109"/>
      <c r="AF85" s="107"/>
      <c r="AG85" s="107"/>
      <c r="AH85" s="111"/>
      <c r="AI85" s="111"/>
      <c r="AJ85" s="107"/>
      <c r="AK85" s="110"/>
      <c r="AL85" s="107"/>
      <c r="AM85" s="107"/>
      <c r="AN85" s="107"/>
      <c r="AO85" s="107"/>
      <c r="AP85" s="107"/>
      <c r="AQ85" s="107"/>
      <c r="AR85" s="110"/>
      <c r="AS85" s="107"/>
      <c r="AT85" s="107"/>
      <c r="AU85" s="107"/>
      <c r="AV85" s="110"/>
      <c r="AW85" s="107"/>
      <c r="AX85" s="110"/>
      <c r="AY85" s="107"/>
      <c r="AZ85" s="107"/>
      <c r="BA85" s="107"/>
      <c r="BB85" s="110"/>
      <c r="BC85" s="110"/>
      <c r="BD85" s="107"/>
      <c r="BE85" s="110"/>
      <c r="BF85" s="107"/>
      <c r="BG85" s="107"/>
      <c r="BH85" s="107"/>
      <c r="BI85" s="190" t="s">
        <v>215</v>
      </c>
      <c r="BJ85" s="187" t="s">
        <v>615</v>
      </c>
      <c r="BK85" s="181">
        <v>2812.7539999999999</v>
      </c>
      <c r="BL85" s="187" t="s">
        <v>612</v>
      </c>
      <c r="BM85" s="189">
        <v>2.3899999999999998E-3</v>
      </c>
      <c r="BN85" s="189">
        <v>2.3899999999999998E-3</v>
      </c>
      <c r="BO85" s="188" t="s">
        <v>241</v>
      </c>
      <c r="BP85" s="191">
        <v>31.229299999999999</v>
      </c>
      <c r="BQ85" s="187">
        <f t="shared" si="85"/>
        <v>3.1229299999999998E-2</v>
      </c>
      <c r="BR85" s="187" t="s">
        <v>613</v>
      </c>
      <c r="BS85" s="189">
        <v>3.0000000000000001E-3</v>
      </c>
      <c r="BT85" s="189">
        <v>0.03</v>
      </c>
      <c r="BU85" s="187" t="s">
        <v>242</v>
      </c>
      <c r="BV85" s="181">
        <v>46.843899999999998</v>
      </c>
      <c r="BW85" s="187">
        <f t="shared" si="86"/>
        <v>4.6843900000000001E-2</v>
      </c>
      <c r="BX85" s="187" t="s">
        <v>614</v>
      </c>
      <c r="BY85" s="189">
        <v>5.0000000000000001E-3</v>
      </c>
      <c r="BZ85" s="189">
        <v>0.05</v>
      </c>
      <c r="CA85" s="187" t="s">
        <v>242</v>
      </c>
      <c r="CB85" s="187">
        <v>0</v>
      </c>
      <c r="CC85" s="187">
        <f t="shared" si="87"/>
        <v>0</v>
      </c>
      <c r="CD85" s="187" t="s">
        <v>613</v>
      </c>
      <c r="CE85" s="189">
        <v>0</v>
      </c>
      <c r="CF85" s="189">
        <v>0</v>
      </c>
      <c r="CG85" s="187" t="s">
        <v>242</v>
      </c>
      <c r="CH85" s="181">
        <v>0</v>
      </c>
      <c r="CI85" s="187">
        <f t="shared" si="88"/>
        <v>0</v>
      </c>
      <c r="CJ85" s="187" t="s">
        <v>614</v>
      </c>
      <c r="CK85" s="189">
        <v>0</v>
      </c>
      <c r="CL85" s="189">
        <v>0</v>
      </c>
      <c r="CM85" s="187" t="s">
        <v>242</v>
      </c>
      <c r="CN85" s="116"/>
      <c r="CO85" s="100">
        <v>0.15</v>
      </c>
      <c r="CP85" s="100">
        <f t="shared" si="89"/>
        <v>0.17499999999999999</v>
      </c>
      <c r="CQ85" s="100">
        <v>0.2</v>
      </c>
      <c r="CR85" s="101">
        <v>0.15</v>
      </c>
      <c r="CS85" s="101">
        <v>0.2</v>
      </c>
    </row>
    <row r="86" spans="1:97" s="101" customFormat="1" ht="16.5" hidden="1" customHeight="1" thickBot="1" x14ac:dyDescent="0.3">
      <c r="A86" s="99"/>
      <c r="V86" s="103"/>
      <c r="X86" s="107"/>
      <c r="Y86" s="107"/>
      <c r="Z86" s="107"/>
      <c r="AA86" s="110"/>
      <c r="AB86" s="110"/>
      <c r="AC86" s="107"/>
      <c r="AD86" s="110"/>
      <c r="AE86" s="109"/>
      <c r="AF86" s="107"/>
      <c r="AG86" s="107"/>
      <c r="AH86" s="111"/>
      <c r="AI86" s="111"/>
      <c r="AJ86" s="107"/>
      <c r="AK86" s="110"/>
      <c r="AL86" s="107"/>
      <c r="AM86" s="107"/>
      <c r="AN86" s="107"/>
      <c r="AO86" s="107"/>
      <c r="AP86" s="107"/>
      <c r="AQ86" s="107"/>
      <c r="AR86" s="110"/>
      <c r="AS86" s="107"/>
      <c r="AT86" s="107"/>
      <c r="AU86" s="107"/>
      <c r="AV86" s="110"/>
      <c r="AW86" s="107"/>
      <c r="AX86" s="110"/>
      <c r="AY86" s="107"/>
      <c r="AZ86" s="107"/>
      <c r="BA86" s="107"/>
      <c r="BB86" s="110"/>
      <c r="BC86" s="110"/>
      <c r="BD86" s="107"/>
      <c r="BE86" s="110"/>
      <c r="BF86" s="107"/>
      <c r="BG86" s="107"/>
      <c r="BH86" s="107"/>
      <c r="BI86" s="190" t="s">
        <v>216</v>
      </c>
      <c r="BJ86" s="187" t="s">
        <v>615</v>
      </c>
      <c r="BK86" s="181">
        <v>1903.181</v>
      </c>
      <c r="BL86" s="187" t="s">
        <v>612</v>
      </c>
      <c r="BM86" s="189">
        <v>3.5399999999999997E-3</v>
      </c>
      <c r="BN86" s="189">
        <v>3.5399999999999997E-3</v>
      </c>
      <c r="BO86" s="188" t="s">
        <v>241</v>
      </c>
      <c r="BP86" s="191">
        <v>20.947600000000001</v>
      </c>
      <c r="BQ86" s="187">
        <f t="shared" si="85"/>
        <v>2.09476E-2</v>
      </c>
      <c r="BR86" s="187" t="s">
        <v>613</v>
      </c>
      <c r="BS86" s="189">
        <v>3.0000000000000001E-3</v>
      </c>
      <c r="BT86" s="189">
        <v>0.03</v>
      </c>
      <c r="BU86" s="187" t="s">
        <v>242</v>
      </c>
      <c r="BV86" s="181">
        <v>31.421399999999998</v>
      </c>
      <c r="BW86" s="187">
        <f t="shared" si="86"/>
        <v>3.1421399999999995E-2</v>
      </c>
      <c r="BX86" s="187" t="s">
        <v>614</v>
      </c>
      <c r="BY86" s="189">
        <v>5.0000000000000001E-3</v>
      </c>
      <c r="BZ86" s="189">
        <v>0.05</v>
      </c>
      <c r="CA86" s="187" t="s">
        <v>242</v>
      </c>
      <c r="CB86" s="187">
        <v>0</v>
      </c>
      <c r="CC86" s="187">
        <f t="shared" si="87"/>
        <v>0</v>
      </c>
      <c r="CD86" s="187" t="s">
        <v>613</v>
      </c>
      <c r="CE86" s="189">
        <v>0</v>
      </c>
      <c r="CF86" s="189">
        <v>0</v>
      </c>
      <c r="CG86" s="187" t="s">
        <v>242</v>
      </c>
      <c r="CH86" s="181">
        <v>0</v>
      </c>
      <c r="CI86" s="187">
        <f t="shared" si="88"/>
        <v>0</v>
      </c>
      <c r="CJ86" s="187" t="s">
        <v>614</v>
      </c>
      <c r="CK86" s="189">
        <v>0</v>
      </c>
      <c r="CL86" s="189">
        <v>0</v>
      </c>
      <c r="CM86" s="187" t="s">
        <v>242</v>
      </c>
      <c r="CN86" s="116"/>
      <c r="CO86" s="100">
        <v>0.15</v>
      </c>
      <c r="CP86" s="100">
        <f t="shared" si="89"/>
        <v>0.17499999999999999</v>
      </c>
      <c r="CQ86" s="100">
        <v>0.2</v>
      </c>
      <c r="CR86" s="101">
        <v>0.15</v>
      </c>
      <c r="CS86" s="101">
        <v>0.2</v>
      </c>
    </row>
    <row r="87" spans="1:97" s="101" customFormat="1" ht="16.5" hidden="1" customHeight="1" thickBot="1" x14ac:dyDescent="0.3">
      <c r="A87" s="99"/>
      <c r="V87" s="103"/>
      <c r="X87" s="107"/>
      <c r="Y87" s="107"/>
      <c r="Z87" s="107"/>
      <c r="AA87" s="110"/>
      <c r="AB87" s="110"/>
      <c r="AC87" s="107"/>
      <c r="AD87" s="110"/>
      <c r="AE87" s="109"/>
      <c r="AF87" s="107"/>
      <c r="AG87" s="107"/>
      <c r="AH87" s="111"/>
      <c r="AI87" s="111"/>
      <c r="AJ87" s="107"/>
      <c r="AK87" s="110"/>
      <c r="AL87" s="107"/>
      <c r="AM87" s="107"/>
      <c r="AN87" s="107"/>
      <c r="AO87" s="107"/>
      <c r="AP87" s="107"/>
      <c r="AQ87" s="107"/>
      <c r="AR87" s="110"/>
      <c r="AS87" s="107"/>
      <c r="AT87" s="107"/>
      <c r="AU87" s="107"/>
      <c r="AV87" s="110"/>
      <c r="AW87" s="107"/>
      <c r="AX87" s="110"/>
      <c r="AY87" s="107"/>
      <c r="AZ87" s="107"/>
      <c r="BA87" s="107"/>
      <c r="BB87" s="110"/>
      <c r="BC87" s="110"/>
      <c r="BD87" s="107"/>
      <c r="BE87" s="110"/>
      <c r="BI87" s="190" t="s">
        <v>217</v>
      </c>
      <c r="BJ87" s="187" t="s">
        <v>615</v>
      </c>
      <c r="BK87" s="181">
        <v>2560.306</v>
      </c>
      <c r="BL87" s="187" t="s">
        <v>612</v>
      </c>
      <c r="BM87" s="189">
        <v>2.5400000000000002E-3</v>
      </c>
      <c r="BN87" s="189">
        <v>2.5400000000000002E-3</v>
      </c>
      <c r="BO87" s="188" t="s">
        <v>241</v>
      </c>
      <c r="BP87" s="191">
        <v>33.076700000000002</v>
      </c>
      <c r="BQ87" s="187">
        <f t="shared" si="85"/>
        <v>3.3076700000000001E-2</v>
      </c>
      <c r="BR87" s="187" t="s">
        <v>613</v>
      </c>
      <c r="BS87" s="189">
        <v>3.0000000000000001E-3</v>
      </c>
      <c r="BT87" s="189">
        <v>0.03</v>
      </c>
      <c r="BU87" s="187" t="s">
        <v>242</v>
      </c>
      <c r="BV87" s="181">
        <v>49.615000000000002</v>
      </c>
      <c r="BW87" s="187">
        <f t="shared" si="86"/>
        <v>4.9614999999999999E-2</v>
      </c>
      <c r="BX87" s="187" t="s">
        <v>614</v>
      </c>
      <c r="BY87" s="189">
        <v>5.0000000000000001E-3</v>
      </c>
      <c r="BZ87" s="189">
        <v>0.05</v>
      </c>
      <c r="CA87" s="187" t="s">
        <v>242</v>
      </c>
      <c r="CB87" s="187">
        <v>0</v>
      </c>
      <c r="CC87" s="187">
        <f t="shared" si="87"/>
        <v>0</v>
      </c>
      <c r="CD87" s="187" t="s">
        <v>613</v>
      </c>
      <c r="CE87" s="189">
        <v>0</v>
      </c>
      <c r="CF87" s="189">
        <v>0</v>
      </c>
      <c r="CG87" s="187" t="s">
        <v>242</v>
      </c>
      <c r="CH87" s="181">
        <v>0</v>
      </c>
      <c r="CI87" s="187">
        <f t="shared" si="88"/>
        <v>0</v>
      </c>
      <c r="CJ87" s="187" t="s">
        <v>614</v>
      </c>
      <c r="CK87" s="189">
        <v>0</v>
      </c>
      <c r="CL87" s="189">
        <v>0</v>
      </c>
      <c r="CM87" s="187" t="s">
        <v>242</v>
      </c>
      <c r="CN87" s="116"/>
      <c r="CO87" s="100">
        <v>0.15</v>
      </c>
      <c r="CP87" s="100">
        <f t="shared" si="89"/>
        <v>0.17499999999999999</v>
      </c>
      <c r="CQ87" s="100">
        <v>0.2</v>
      </c>
      <c r="CR87" s="101">
        <v>0.15</v>
      </c>
      <c r="CS87" s="101">
        <v>0.2</v>
      </c>
    </row>
    <row r="88" spans="1:97" s="101" customFormat="1" ht="16.5" hidden="1" customHeight="1" thickBot="1" x14ac:dyDescent="0.3">
      <c r="A88" s="99"/>
      <c r="V88" s="103"/>
      <c r="X88" s="107"/>
      <c r="Y88" s="107"/>
      <c r="Z88" s="107"/>
      <c r="AA88" s="110"/>
      <c r="AB88" s="110"/>
      <c r="AC88" s="107"/>
      <c r="AD88" s="110"/>
      <c r="AE88" s="109"/>
      <c r="AF88" s="107"/>
      <c r="AG88" s="107"/>
      <c r="AH88" s="111"/>
      <c r="AI88" s="111"/>
      <c r="AJ88" s="107"/>
      <c r="AK88" s="110"/>
      <c r="AL88" s="107"/>
      <c r="AM88" s="107"/>
      <c r="AN88" s="107"/>
      <c r="AO88" s="107"/>
      <c r="AP88" s="107"/>
      <c r="AQ88" s="107"/>
      <c r="AR88" s="110"/>
      <c r="AS88" s="107"/>
      <c r="AT88" s="107"/>
      <c r="AU88" s="107"/>
      <c r="AV88" s="110"/>
      <c r="AW88" s="107"/>
      <c r="AX88" s="110"/>
      <c r="AY88" s="107"/>
      <c r="AZ88" s="107"/>
      <c r="BA88" s="107"/>
      <c r="BB88" s="110"/>
      <c r="BC88" s="110"/>
      <c r="BD88" s="107"/>
      <c r="BE88" s="110"/>
      <c r="BF88" s="107"/>
      <c r="BG88" s="107"/>
      <c r="BH88" s="107"/>
      <c r="BI88" s="190" t="s">
        <v>218</v>
      </c>
      <c r="BJ88" s="187" t="s">
        <v>615</v>
      </c>
      <c r="BK88" s="181">
        <v>2690.982</v>
      </c>
      <c r="BL88" s="187" t="s">
        <v>612</v>
      </c>
      <c r="BM88" s="189">
        <v>2.5100000000000001E-3</v>
      </c>
      <c r="BN88" s="189">
        <v>2.5100000000000001E-3</v>
      </c>
      <c r="BO88" s="188" t="s">
        <v>241</v>
      </c>
      <c r="BP88" s="191">
        <v>29.204699999999999</v>
      </c>
      <c r="BQ88" s="187">
        <f t="shared" si="85"/>
        <v>2.92047E-2</v>
      </c>
      <c r="BR88" s="187" t="s">
        <v>613</v>
      </c>
      <c r="BS88" s="189">
        <v>3.0000000000000001E-3</v>
      </c>
      <c r="BT88" s="189">
        <v>0.03</v>
      </c>
      <c r="BU88" s="187" t="s">
        <v>242</v>
      </c>
      <c r="BV88" s="181">
        <v>43.807099999999998</v>
      </c>
      <c r="BW88" s="187">
        <f t="shared" si="86"/>
        <v>4.3807100000000002E-2</v>
      </c>
      <c r="BX88" s="187" t="s">
        <v>614</v>
      </c>
      <c r="BY88" s="189">
        <v>5.0000000000000001E-3</v>
      </c>
      <c r="BZ88" s="189">
        <v>0.05</v>
      </c>
      <c r="CA88" s="187" t="s">
        <v>242</v>
      </c>
      <c r="CB88" s="187">
        <v>0</v>
      </c>
      <c r="CC88" s="187">
        <f t="shared" si="87"/>
        <v>0</v>
      </c>
      <c r="CD88" s="187" t="s">
        <v>613</v>
      </c>
      <c r="CE88" s="189">
        <v>0</v>
      </c>
      <c r="CF88" s="189">
        <v>0</v>
      </c>
      <c r="CG88" s="187" t="s">
        <v>242</v>
      </c>
      <c r="CH88" s="181">
        <v>0</v>
      </c>
      <c r="CI88" s="187">
        <f t="shared" si="88"/>
        <v>0</v>
      </c>
      <c r="CJ88" s="187" t="s">
        <v>614</v>
      </c>
      <c r="CK88" s="189">
        <v>0</v>
      </c>
      <c r="CL88" s="189">
        <v>0</v>
      </c>
      <c r="CM88" s="187" t="s">
        <v>242</v>
      </c>
      <c r="CN88" s="116"/>
      <c r="CO88" s="100">
        <v>0.15</v>
      </c>
      <c r="CP88" s="100">
        <f t="shared" si="89"/>
        <v>0.17499999999999999</v>
      </c>
      <c r="CQ88" s="100">
        <v>0.2</v>
      </c>
      <c r="CR88" s="101">
        <v>0.15</v>
      </c>
      <c r="CS88" s="101">
        <v>0.2</v>
      </c>
    </row>
    <row r="89" spans="1:97" s="101" customFormat="1" ht="16.5" hidden="1" customHeight="1" thickBot="1" x14ac:dyDescent="0.3">
      <c r="A89" s="99"/>
      <c r="V89" s="103"/>
      <c r="AA89" s="104"/>
      <c r="AB89" s="104"/>
      <c r="AD89" s="104"/>
      <c r="AE89" s="105"/>
      <c r="AH89" s="106"/>
      <c r="AI89" s="106"/>
      <c r="AK89" s="104"/>
      <c r="AR89" s="104"/>
      <c r="AV89" s="104"/>
      <c r="AX89" s="104"/>
      <c r="BB89" s="104"/>
      <c r="BC89" s="104"/>
      <c r="BE89" s="104"/>
      <c r="BH89" s="99"/>
      <c r="BI89" s="190" t="s">
        <v>219</v>
      </c>
      <c r="BJ89" s="187" t="s">
        <v>615</v>
      </c>
      <c r="BK89" s="181">
        <v>3052.7950000000001</v>
      </c>
      <c r="BL89" s="187" t="s">
        <v>612</v>
      </c>
      <c r="BM89" s="189">
        <v>2.1800000000000001E-3</v>
      </c>
      <c r="BN89" s="189">
        <v>2.1800000000000001E-3</v>
      </c>
      <c r="BO89" s="188" t="s">
        <v>241</v>
      </c>
      <c r="BP89" s="191">
        <v>35.206200000000003</v>
      </c>
      <c r="BQ89" s="187">
        <f t="shared" si="85"/>
        <v>3.52062E-2</v>
      </c>
      <c r="BR89" s="187" t="s">
        <v>613</v>
      </c>
      <c r="BS89" s="189">
        <v>3.0000000000000001E-3</v>
      </c>
      <c r="BT89" s="189">
        <v>0.03</v>
      </c>
      <c r="BU89" s="187" t="s">
        <v>242</v>
      </c>
      <c r="BV89" s="181">
        <v>52.8093</v>
      </c>
      <c r="BW89" s="187">
        <f t="shared" si="86"/>
        <v>5.2809300000000003E-2</v>
      </c>
      <c r="BX89" s="187" t="s">
        <v>614</v>
      </c>
      <c r="BY89" s="189">
        <v>5.0000000000000001E-3</v>
      </c>
      <c r="BZ89" s="189">
        <v>0.05</v>
      </c>
      <c r="CA89" s="187" t="s">
        <v>242</v>
      </c>
      <c r="CB89" s="187">
        <v>0</v>
      </c>
      <c r="CC89" s="187">
        <f t="shared" si="87"/>
        <v>0</v>
      </c>
      <c r="CD89" s="187" t="s">
        <v>613</v>
      </c>
      <c r="CE89" s="189">
        <v>0</v>
      </c>
      <c r="CF89" s="189">
        <v>0</v>
      </c>
      <c r="CG89" s="187" t="s">
        <v>242</v>
      </c>
      <c r="CH89" s="181">
        <v>0</v>
      </c>
      <c r="CI89" s="187">
        <f t="shared" si="88"/>
        <v>0</v>
      </c>
      <c r="CJ89" s="187" t="s">
        <v>614</v>
      </c>
      <c r="CK89" s="189">
        <v>0</v>
      </c>
      <c r="CL89" s="189">
        <v>0</v>
      </c>
      <c r="CM89" s="187" t="s">
        <v>242</v>
      </c>
      <c r="CN89" s="116"/>
      <c r="CO89" s="100">
        <v>0.15</v>
      </c>
      <c r="CP89" s="100">
        <f t="shared" si="89"/>
        <v>0.17499999999999999</v>
      </c>
      <c r="CQ89" s="100">
        <v>0.2</v>
      </c>
      <c r="CR89" s="101">
        <v>0.15</v>
      </c>
      <c r="CS89" s="101">
        <v>0.2</v>
      </c>
    </row>
    <row r="90" spans="1:97" s="101" customFormat="1" ht="16.5" hidden="1" customHeight="1" thickBot="1" x14ac:dyDescent="0.3">
      <c r="A90" s="99"/>
      <c r="V90" s="103"/>
      <c r="AA90" s="104"/>
      <c r="AB90" s="104"/>
      <c r="AD90" s="104"/>
      <c r="AE90" s="105"/>
      <c r="AH90" s="106"/>
      <c r="AI90" s="106"/>
      <c r="AK90" s="104"/>
      <c r="AR90" s="104"/>
      <c r="AV90" s="104"/>
      <c r="AX90" s="104"/>
      <c r="BB90" s="104"/>
      <c r="BC90" s="104"/>
      <c r="BE90" s="104"/>
      <c r="BH90" s="99"/>
      <c r="BI90" s="190" t="s">
        <v>220</v>
      </c>
      <c r="BJ90" s="187" t="s">
        <v>615</v>
      </c>
      <c r="BK90" s="181">
        <v>2277.4490000000001</v>
      </c>
      <c r="BL90" s="187" t="s">
        <v>612</v>
      </c>
      <c r="BM90" s="189">
        <v>2.98E-3</v>
      </c>
      <c r="BN90" s="189">
        <v>2.98E-3</v>
      </c>
      <c r="BO90" s="188" t="s">
        <v>241</v>
      </c>
      <c r="BP90" s="191">
        <v>24.4054</v>
      </c>
      <c r="BQ90" s="187">
        <f t="shared" si="85"/>
        <v>2.4405400000000001E-2</v>
      </c>
      <c r="BR90" s="187" t="s">
        <v>613</v>
      </c>
      <c r="BS90" s="189">
        <v>3.0000000000000001E-3</v>
      </c>
      <c r="BT90" s="189">
        <v>0.03</v>
      </c>
      <c r="BU90" s="187" t="s">
        <v>242</v>
      </c>
      <c r="BV90" s="181">
        <v>36.6081</v>
      </c>
      <c r="BW90" s="187">
        <f t="shared" si="86"/>
        <v>3.6608099999999998E-2</v>
      </c>
      <c r="BX90" s="187" t="s">
        <v>614</v>
      </c>
      <c r="BY90" s="189">
        <v>5.0000000000000001E-3</v>
      </c>
      <c r="BZ90" s="189">
        <v>0.05</v>
      </c>
      <c r="CA90" s="187" t="s">
        <v>242</v>
      </c>
      <c r="CB90" s="187">
        <v>0</v>
      </c>
      <c r="CC90" s="187">
        <f t="shared" si="87"/>
        <v>0</v>
      </c>
      <c r="CD90" s="187" t="s">
        <v>613</v>
      </c>
      <c r="CE90" s="189">
        <v>0</v>
      </c>
      <c r="CF90" s="189">
        <v>0</v>
      </c>
      <c r="CG90" s="187" t="s">
        <v>242</v>
      </c>
      <c r="CH90" s="181">
        <v>0</v>
      </c>
      <c r="CI90" s="187">
        <f t="shared" si="88"/>
        <v>0</v>
      </c>
      <c r="CJ90" s="187" t="s">
        <v>614</v>
      </c>
      <c r="CK90" s="189">
        <v>0</v>
      </c>
      <c r="CL90" s="189">
        <v>0</v>
      </c>
      <c r="CM90" s="187" t="s">
        <v>242</v>
      </c>
      <c r="CN90" s="116"/>
      <c r="CO90" s="100">
        <v>0.15</v>
      </c>
      <c r="CP90" s="100">
        <f t="shared" si="89"/>
        <v>0.17499999999999999</v>
      </c>
      <c r="CQ90" s="100">
        <v>0.2</v>
      </c>
      <c r="CR90" s="101">
        <v>0.15</v>
      </c>
      <c r="CS90" s="101">
        <v>0.2</v>
      </c>
    </row>
    <row r="91" spans="1:97" s="101" customFormat="1" ht="16.5" hidden="1" customHeight="1" thickBot="1" x14ac:dyDescent="0.3">
      <c r="A91" s="99"/>
      <c r="V91" s="103"/>
      <c r="AA91" s="104"/>
      <c r="AB91" s="104"/>
      <c r="AD91" s="104"/>
      <c r="AE91" s="105"/>
      <c r="AH91" s="106"/>
      <c r="AI91" s="106"/>
      <c r="AK91" s="104"/>
      <c r="AR91" s="104"/>
      <c r="AV91" s="104"/>
      <c r="AX91" s="104"/>
      <c r="BB91" s="104"/>
      <c r="BC91" s="104"/>
      <c r="BE91" s="104"/>
      <c r="BH91" s="99"/>
      <c r="BI91" s="190" t="s">
        <v>1</v>
      </c>
      <c r="BJ91" s="187" t="s">
        <v>615</v>
      </c>
      <c r="BK91" s="213">
        <v>0</v>
      </c>
      <c r="BL91" s="187" t="s">
        <v>612</v>
      </c>
      <c r="BM91" s="189">
        <v>4.3E-3</v>
      </c>
      <c r="BN91" s="189">
        <v>4.3E-3</v>
      </c>
      <c r="BO91" s="188" t="s">
        <v>241</v>
      </c>
      <c r="BP91" s="191">
        <v>442.28840000000002</v>
      </c>
      <c r="BQ91" s="187">
        <f t="shared" si="85"/>
        <v>0.44228840000000003</v>
      </c>
      <c r="BR91" s="187" t="s">
        <v>613</v>
      </c>
      <c r="BS91" s="189">
        <v>0.1</v>
      </c>
      <c r="BT91" s="189">
        <v>1</v>
      </c>
      <c r="BU91" s="187" t="s">
        <v>242</v>
      </c>
      <c r="BV91" s="181">
        <v>58.971800000000002</v>
      </c>
      <c r="BW91" s="187">
        <f t="shared" si="86"/>
        <v>5.8971800000000005E-2</v>
      </c>
      <c r="BX91" s="187" t="s">
        <v>614</v>
      </c>
      <c r="BY91" s="189">
        <v>1.4999999999999999E-2</v>
      </c>
      <c r="BZ91" s="189">
        <v>0.15</v>
      </c>
      <c r="CA91" s="187" t="s">
        <v>242</v>
      </c>
      <c r="CB91" s="187">
        <v>0</v>
      </c>
      <c r="CC91" s="187">
        <f t="shared" si="87"/>
        <v>0</v>
      </c>
      <c r="CD91" s="187" t="s">
        <v>613</v>
      </c>
      <c r="CE91" s="189">
        <v>0</v>
      </c>
      <c r="CF91" s="189">
        <v>0</v>
      </c>
      <c r="CG91" s="187" t="s">
        <v>242</v>
      </c>
      <c r="CH91" s="181">
        <v>0</v>
      </c>
      <c r="CI91" s="187">
        <f t="shared" si="88"/>
        <v>0</v>
      </c>
      <c r="CJ91" s="187" t="s">
        <v>614</v>
      </c>
      <c r="CK91" s="189">
        <v>0</v>
      </c>
      <c r="CL91" s="189">
        <v>0</v>
      </c>
      <c r="CM91" s="187" t="s">
        <v>242</v>
      </c>
      <c r="CN91" s="116"/>
      <c r="CO91" s="100">
        <v>0.6</v>
      </c>
      <c r="CP91" s="100">
        <f t="shared" si="89"/>
        <v>0.8</v>
      </c>
      <c r="CQ91" s="100">
        <v>1</v>
      </c>
      <c r="CR91" s="101">
        <v>0.6</v>
      </c>
      <c r="CS91" s="101">
        <v>1</v>
      </c>
    </row>
    <row r="92" spans="1:97" s="101" customFormat="1" ht="16.5" hidden="1" customHeight="1" thickBot="1" x14ac:dyDescent="0.3">
      <c r="A92" s="99"/>
      <c r="V92" s="103"/>
      <c r="AA92" s="104"/>
      <c r="AB92" s="104"/>
      <c r="AD92" s="104"/>
      <c r="AE92" s="105"/>
      <c r="AH92" s="106"/>
      <c r="AI92" s="106"/>
      <c r="AK92" s="104"/>
      <c r="AR92" s="104"/>
      <c r="AV92" s="104"/>
      <c r="AX92" s="104"/>
      <c r="BB92" s="104"/>
      <c r="BC92" s="104"/>
      <c r="BE92" s="104"/>
      <c r="BH92" s="99"/>
      <c r="BI92" s="190" t="s">
        <v>221</v>
      </c>
      <c r="BJ92" s="187" t="s">
        <v>615</v>
      </c>
      <c r="BK92" s="213">
        <v>0</v>
      </c>
      <c r="BL92" s="187" t="s">
        <v>612</v>
      </c>
      <c r="BM92" s="189">
        <v>3.82E-3</v>
      </c>
      <c r="BN92" s="189">
        <v>3.82E-3</v>
      </c>
      <c r="BO92" s="188" t="s">
        <v>241</v>
      </c>
      <c r="BP92" s="191">
        <v>499.19130000000001</v>
      </c>
      <c r="BQ92" s="187">
        <f t="shared" si="85"/>
        <v>0.4991913</v>
      </c>
      <c r="BR92" s="187" t="s">
        <v>613</v>
      </c>
      <c r="BS92" s="189">
        <v>0.1</v>
      </c>
      <c r="BT92" s="189">
        <v>1</v>
      </c>
      <c r="BU92" s="187" t="s">
        <v>242</v>
      </c>
      <c r="BV92" s="181">
        <v>66.558800000000005</v>
      </c>
      <c r="BW92" s="187">
        <f t="shared" si="86"/>
        <v>6.6558800000000001E-2</v>
      </c>
      <c r="BX92" s="187" t="s">
        <v>614</v>
      </c>
      <c r="BY92" s="189">
        <v>1.4999999999999999E-2</v>
      </c>
      <c r="BZ92" s="189">
        <v>0.15</v>
      </c>
      <c r="CA92" s="187" t="s">
        <v>242</v>
      </c>
      <c r="CB92" s="187">
        <v>0</v>
      </c>
      <c r="CC92" s="187">
        <f t="shared" si="87"/>
        <v>0</v>
      </c>
      <c r="CD92" s="187" t="s">
        <v>613</v>
      </c>
      <c r="CE92" s="189">
        <v>0</v>
      </c>
      <c r="CF92" s="189">
        <v>0</v>
      </c>
      <c r="CG92" s="187" t="s">
        <v>242</v>
      </c>
      <c r="CH92" s="181">
        <v>0</v>
      </c>
      <c r="CI92" s="187">
        <f t="shared" si="88"/>
        <v>0</v>
      </c>
      <c r="CJ92" s="187" t="s">
        <v>614</v>
      </c>
      <c r="CK92" s="189">
        <v>0</v>
      </c>
      <c r="CL92" s="189">
        <v>0</v>
      </c>
      <c r="CM92" s="187" t="s">
        <v>242</v>
      </c>
      <c r="CN92" s="117"/>
      <c r="CO92" s="100">
        <v>0.6</v>
      </c>
      <c r="CP92" s="100">
        <f t="shared" si="89"/>
        <v>0.8</v>
      </c>
      <c r="CQ92" s="100">
        <v>1</v>
      </c>
      <c r="CR92" s="101">
        <v>0.6</v>
      </c>
      <c r="CS92" s="101">
        <v>1</v>
      </c>
    </row>
    <row r="93" spans="1:97" s="101" customFormat="1" ht="16.5" hidden="1" customHeight="1" thickBot="1" x14ac:dyDescent="0.3">
      <c r="A93" s="99"/>
      <c r="V93" s="103"/>
      <c r="AA93" s="104"/>
      <c r="AB93" s="104"/>
      <c r="AD93" s="104"/>
      <c r="AE93" s="105"/>
      <c r="AH93" s="106"/>
      <c r="AI93" s="106"/>
      <c r="AK93" s="104"/>
      <c r="AR93" s="104"/>
      <c r="AV93" s="104"/>
      <c r="AX93" s="104"/>
      <c r="BB93" s="104"/>
      <c r="BC93" s="104"/>
      <c r="BE93" s="104"/>
      <c r="BH93" s="99"/>
      <c r="BI93" s="190" t="s">
        <v>222</v>
      </c>
      <c r="BJ93" s="187" t="s">
        <v>615</v>
      </c>
      <c r="BK93" s="213">
        <v>0</v>
      </c>
      <c r="BL93" s="187" t="s">
        <v>612</v>
      </c>
      <c r="BM93" s="189">
        <v>3.98E-3</v>
      </c>
      <c r="BN93" s="189">
        <v>3.98E-3</v>
      </c>
      <c r="BO93" s="188" t="s">
        <v>241</v>
      </c>
      <c r="BP93" s="191">
        <v>503.12909999999999</v>
      </c>
      <c r="BQ93" s="187">
        <f t="shared" si="85"/>
        <v>0.5031291</v>
      </c>
      <c r="BR93" s="187" t="s">
        <v>613</v>
      </c>
      <c r="BS93" s="189">
        <v>0.1</v>
      </c>
      <c r="BT93" s="189">
        <v>1</v>
      </c>
      <c r="BU93" s="187" t="s">
        <v>242</v>
      </c>
      <c r="BV93" s="181">
        <v>67.0839</v>
      </c>
      <c r="BW93" s="187">
        <f t="shared" si="86"/>
        <v>6.7083900000000002E-2</v>
      </c>
      <c r="BX93" s="187" t="s">
        <v>614</v>
      </c>
      <c r="BY93" s="189">
        <v>1.4999999999999999E-2</v>
      </c>
      <c r="BZ93" s="189">
        <v>0.15</v>
      </c>
      <c r="CA93" s="187" t="s">
        <v>242</v>
      </c>
      <c r="CB93" s="187">
        <v>0</v>
      </c>
      <c r="CC93" s="187">
        <f t="shared" si="87"/>
        <v>0</v>
      </c>
      <c r="CD93" s="187" t="s">
        <v>613</v>
      </c>
      <c r="CE93" s="189">
        <v>0</v>
      </c>
      <c r="CF93" s="189">
        <v>0</v>
      </c>
      <c r="CG93" s="187" t="s">
        <v>242</v>
      </c>
      <c r="CH93" s="181">
        <v>0</v>
      </c>
      <c r="CI93" s="187">
        <f t="shared" si="88"/>
        <v>0</v>
      </c>
      <c r="CJ93" s="187" t="s">
        <v>614</v>
      </c>
      <c r="CK93" s="189">
        <v>0</v>
      </c>
      <c r="CL93" s="189">
        <v>0</v>
      </c>
      <c r="CM93" s="187" t="s">
        <v>242</v>
      </c>
      <c r="CN93" s="116"/>
      <c r="CO93" s="100">
        <v>0.6</v>
      </c>
      <c r="CP93" s="100">
        <f t="shared" si="89"/>
        <v>0.8</v>
      </c>
      <c r="CQ93" s="100">
        <v>1</v>
      </c>
      <c r="CR93" s="101">
        <v>0.6</v>
      </c>
      <c r="CS93" s="101">
        <v>1</v>
      </c>
    </row>
    <row r="94" spans="1:97" s="101" customFormat="1" ht="16.5" hidden="1" customHeight="1" thickBot="1" x14ac:dyDescent="0.3">
      <c r="A94" s="99"/>
      <c r="V94" s="103"/>
      <c r="AA94" s="104"/>
      <c r="AB94" s="104"/>
      <c r="AD94" s="104"/>
      <c r="AE94" s="105"/>
      <c r="AH94" s="106"/>
      <c r="AI94" s="106"/>
      <c r="AK94" s="104"/>
      <c r="AR94" s="104"/>
      <c r="AV94" s="104"/>
      <c r="AX94" s="104"/>
      <c r="BB94" s="104"/>
      <c r="BC94" s="104"/>
      <c r="BE94" s="104"/>
      <c r="BH94" s="99"/>
      <c r="BI94" s="190" t="s">
        <v>223</v>
      </c>
      <c r="BJ94" s="187" t="s">
        <v>615</v>
      </c>
      <c r="BK94" s="213">
        <v>0</v>
      </c>
      <c r="BL94" s="187" t="s">
        <v>612</v>
      </c>
      <c r="BM94" s="189">
        <v>3.5799999999999998E-3</v>
      </c>
      <c r="BN94" s="189">
        <v>3.5799999999999998E-3</v>
      </c>
      <c r="BO94" s="188" t="s">
        <v>241</v>
      </c>
      <c r="BP94" s="191">
        <v>548.92100000000005</v>
      </c>
      <c r="BQ94" s="187">
        <f t="shared" si="85"/>
        <v>0.5489210000000001</v>
      </c>
      <c r="BR94" s="187" t="s">
        <v>613</v>
      </c>
      <c r="BS94" s="189">
        <v>0.1</v>
      </c>
      <c r="BT94" s="189">
        <v>1</v>
      </c>
      <c r="BU94" s="187" t="s">
        <v>242</v>
      </c>
      <c r="BV94" s="181">
        <v>73.189499999999995</v>
      </c>
      <c r="BW94" s="187">
        <f t="shared" si="86"/>
        <v>7.3189499999999991E-2</v>
      </c>
      <c r="BX94" s="187" t="s">
        <v>614</v>
      </c>
      <c r="BY94" s="189">
        <v>1.4999999999999999E-2</v>
      </c>
      <c r="BZ94" s="189">
        <v>0.15</v>
      </c>
      <c r="CA94" s="187" t="s">
        <v>242</v>
      </c>
      <c r="CB94" s="187">
        <v>0</v>
      </c>
      <c r="CC94" s="187">
        <f t="shared" si="87"/>
        <v>0</v>
      </c>
      <c r="CD94" s="187" t="s">
        <v>613</v>
      </c>
      <c r="CE94" s="189">
        <v>0</v>
      </c>
      <c r="CF94" s="189">
        <v>0</v>
      </c>
      <c r="CG94" s="187" t="s">
        <v>242</v>
      </c>
      <c r="CH94" s="181">
        <v>0</v>
      </c>
      <c r="CI94" s="187">
        <f t="shared" si="88"/>
        <v>0</v>
      </c>
      <c r="CJ94" s="187" t="s">
        <v>614</v>
      </c>
      <c r="CK94" s="189">
        <v>0</v>
      </c>
      <c r="CL94" s="189">
        <v>0</v>
      </c>
      <c r="CM94" s="187" t="s">
        <v>242</v>
      </c>
      <c r="CN94" s="116"/>
      <c r="CO94" s="100">
        <v>0.6</v>
      </c>
      <c r="CP94" s="100">
        <f t="shared" si="89"/>
        <v>0.8</v>
      </c>
      <c r="CQ94" s="100">
        <v>1</v>
      </c>
      <c r="CR94" s="101">
        <v>0.6</v>
      </c>
      <c r="CS94" s="101">
        <v>1</v>
      </c>
    </row>
    <row r="95" spans="1:97" s="101" customFormat="1" ht="16.5" hidden="1" customHeight="1" thickBot="1" x14ac:dyDescent="0.3">
      <c r="A95" s="99"/>
      <c r="V95" s="103"/>
      <c r="AA95" s="104"/>
      <c r="AB95" s="104"/>
      <c r="AD95" s="104"/>
      <c r="AE95" s="105"/>
      <c r="AH95" s="106"/>
      <c r="AI95" s="106"/>
      <c r="AK95" s="104"/>
      <c r="AR95" s="104"/>
      <c r="AV95" s="104"/>
      <c r="AX95" s="104"/>
      <c r="BB95" s="104"/>
      <c r="BC95" s="104"/>
      <c r="BE95" s="104"/>
      <c r="BH95" s="99"/>
      <c r="BI95" s="190" t="s">
        <v>224</v>
      </c>
      <c r="BJ95" s="187" t="s">
        <v>615</v>
      </c>
      <c r="BK95" s="213">
        <v>0</v>
      </c>
      <c r="BL95" s="187" t="s">
        <v>612</v>
      </c>
      <c r="BM95" s="189">
        <v>4.4900000000000001E-3</v>
      </c>
      <c r="BN95" s="189">
        <v>4.4900000000000001E-3</v>
      </c>
      <c r="BO95" s="188" t="s">
        <v>241</v>
      </c>
      <c r="BP95" s="191">
        <v>448.58819999999997</v>
      </c>
      <c r="BQ95" s="187">
        <f t="shared" si="85"/>
        <v>0.44858819999999999</v>
      </c>
      <c r="BR95" s="187" t="s">
        <v>613</v>
      </c>
      <c r="BS95" s="189">
        <v>0.1</v>
      </c>
      <c r="BT95" s="189">
        <v>1</v>
      </c>
      <c r="BU95" s="187" t="s">
        <v>242</v>
      </c>
      <c r="BV95" s="181">
        <v>59.811799999999998</v>
      </c>
      <c r="BW95" s="187">
        <f t="shared" si="86"/>
        <v>5.9811799999999998E-2</v>
      </c>
      <c r="BX95" s="187" t="s">
        <v>614</v>
      </c>
      <c r="BY95" s="189">
        <v>1.4999999999999999E-2</v>
      </c>
      <c r="BZ95" s="189">
        <v>0.15</v>
      </c>
      <c r="CA95" s="187" t="s">
        <v>242</v>
      </c>
      <c r="CB95" s="187">
        <v>0</v>
      </c>
      <c r="CC95" s="187">
        <f t="shared" si="87"/>
        <v>0</v>
      </c>
      <c r="CD95" s="187" t="s">
        <v>613</v>
      </c>
      <c r="CE95" s="189">
        <v>0</v>
      </c>
      <c r="CF95" s="189">
        <v>0</v>
      </c>
      <c r="CG95" s="187" t="s">
        <v>242</v>
      </c>
      <c r="CH95" s="181">
        <v>0</v>
      </c>
      <c r="CI95" s="187">
        <f t="shared" si="88"/>
        <v>0</v>
      </c>
      <c r="CJ95" s="187" t="s">
        <v>614</v>
      </c>
      <c r="CK95" s="189">
        <v>0</v>
      </c>
      <c r="CL95" s="189">
        <v>0</v>
      </c>
      <c r="CM95" s="187" t="s">
        <v>242</v>
      </c>
      <c r="CN95" s="116"/>
      <c r="CO95" s="100">
        <v>0.6</v>
      </c>
      <c r="CP95" s="100">
        <f t="shared" si="89"/>
        <v>0.8</v>
      </c>
      <c r="CQ95" s="100">
        <v>1</v>
      </c>
      <c r="CR95" s="101">
        <v>0.6</v>
      </c>
      <c r="CS95" s="101">
        <v>1</v>
      </c>
    </row>
    <row r="96" spans="1:97" s="101" customFormat="1" ht="16.5" hidden="1" customHeight="1" thickBot="1" x14ac:dyDescent="0.3">
      <c r="A96" s="99"/>
      <c r="V96" s="103"/>
      <c r="AA96" s="104"/>
      <c r="AB96" s="104"/>
      <c r="AD96" s="104"/>
      <c r="AE96" s="105"/>
      <c r="AH96" s="106"/>
      <c r="AI96" s="106"/>
      <c r="AK96" s="104"/>
      <c r="AR96" s="104"/>
      <c r="AV96" s="104"/>
      <c r="AX96" s="104"/>
      <c r="BB96" s="104"/>
      <c r="BC96" s="104"/>
      <c r="BE96" s="104"/>
      <c r="BH96" s="99"/>
      <c r="BI96" s="190" t="s">
        <v>225</v>
      </c>
      <c r="BJ96" s="187" t="s">
        <v>615</v>
      </c>
      <c r="BK96" s="213">
        <v>0</v>
      </c>
      <c r="BL96" s="187" t="s">
        <v>612</v>
      </c>
      <c r="BM96" s="189">
        <v>3.0299999999999997E-3</v>
      </c>
      <c r="BN96" s="189">
        <v>3.0299999999999997E-3</v>
      </c>
      <c r="BO96" s="188" t="s">
        <v>241</v>
      </c>
      <c r="BP96" s="191">
        <v>735.18640000000005</v>
      </c>
      <c r="BQ96" s="187">
        <f t="shared" si="85"/>
        <v>0.73518640000000002</v>
      </c>
      <c r="BR96" s="187" t="s">
        <v>613</v>
      </c>
      <c r="BS96" s="189">
        <v>0.1</v>
      </c>
      <c r="BT96" s="189">
        <v>1</v>
      </c>
      <c r="BU96" s="187" t="s">
        <v>242</v>
      </c>
      <c r="BV96" s="181">
        <v>98.024799999999999</v>
      </c>
      <c r="BW96" s="187">
        <f t="shared" si="86"/>
        <v>9.8024799999999995E-2</v>
      </c>
      <c r="BX96" s="187" t="s">
        <v>614</v>
      </c>
      <c r="BY96" s="189">
        <v>1.4999999999999999E-2</v>
      </c>
      <c r="BZ96" s="189">
        <v>0.15</v>
      </c>
      <c r="CA96" s="187" t="s">
        <v>242</v>
      </c>
      <c r="CB96" s="187">
        <v>0</v>
      </c>
      <c r="CC96" s="187">
        <f t="shared" si="87"/>
        <v>0</v>
      </c>
      <c r="CD96" s="187" t="s">
        <v>613</v>
      </c>
      <c r="CE96" s="189">
        <v>0</v>
      </c>
      <c r="CF96" s="189">
        <v>0</v>
      </c>
      <c r="CG96" s="187" t="s">
        <v>242</v>
      </c>
      <c r="CH96" s="181">
        <v>0</v>
      </c>
      <c r="CI96" s="187">
        <f t="shared" si="88"/>
        <v>0</v>
      </c>
      <c r="CJ96" s="187" t="s">
        <v>614</v>
      </c>
      <c r="CK96" s="189">
        <v>0</v>
      </c>
      <c r="CL96" s="189">
        <v>0</v>
      </c>
      <c r="CM96" s="187" t="s">
        <v>242</v>
      </c>
      <c r="CN96" s="116"/>
      <c r="CO96" s="100">
        <v>0.6</v>
      </c>
      <c r="CP96" s="100">
        <f t="shared" si="89"/>
        <v>0.8</v>
      </c>
      <c r="CQ96" s="100">
        <v>1</v>
      </c>
      <c r="CR96" s="101">
        <v>0.6</v>
      </c>
      <c r="CS96" s="101">
        <v>1</v>
      </c>
    </row>
    <row r="97" spans="1:97" s="101" customFormat="1" ht="16.5" hidden="1" customHeight="1" thickBot="1" x14ac:dyDescent="0.3">
      <c r="A97" s="99"/>
      <c r="V97" s="103"/>
      <c r="AA97" s="104"/>
      <c r="AB97" s="104"/>
      <c r="AD97" s="104"/>
      <c r="AE97" s="105"/>
      <c r="AH97" s="106"/>
      <c r="AI97" s="106"/>
      <c r="AK97" s="104"/>
      <c r="AR97" s="104"/>
      <c r="AV97" s="104"/>
      <c r="AX97" s="104"/>
      <c r="BB97" s="104"/>
      <c r="BC97" s="104"/>
      <c r="BE97" s="104"/>
      <c r="BH97" s="99"/>
      <c r="BI97" s="190" t="s">
        <v>226</v>
      </c>
      <c r="BJ97" s="187" t="s">
        <v>615</v>
      </c>
      <c r="BK97" s="213">
        <v>0</v>
      </c>
      <c r="BL97" s="187" t="s">
        <v>612</v>
      </c>
      <c r="BM97" s="189">
        <v>3.7299999999999998E-3</v>
      </c>
      <c r="BN97" s="189">
        <v>3.7299999999999998E-3</v>
      </c>
      <c r="BO97" s="188" t="s">
        <v>241</v>
      </c>
      <c r="BP97" s="191">
        <v>537.77970000000005</v>
      </c>
      <c r="BQ97" s="187">
        <f t="shared" si="85"/>
        <v>0.53777970000000008</v>
      </c>
      <c r="BR97" s="187" t="s">
        <v>613</v>
      </c>
      <c r="BS97" s="189">
        <v>0.1</v>
      </c>
      <c r="BT97" s="189">
        <v>1</v>
      </c>
      <c r="BU97" s="187" t="s">
        <v>242</v>
      </c>
      <c r="BV97" s="181">
        <v>71.703999999999994</v>
      </c>
      <c r="BW97" s="187">
        <f t="shared" si="86"/>
        <v>7.170399999999999E-2</v>
      </c>
      <c r="BX97" s="187" t="s">
        <v>614</v>
      </c>
      <c r="BY97" s="189">
        <v>1.4999999999999999E-2</v>
      </c>
      <c r="BZ97" s="189">
        <v>0.15</v>
      </c>
      <c r="CA97" s="187" t="s">
        <v>242</v>
      </c>
      <c r="CB97" s="187">
        <v>0</v>
      </c>
      <c r="CC97" s="187">
        <f t="shared" si="87"/>
        <v>0</v>
      </c>
      <c r="CD97" s="187" t="s">
        <v>613</v>
      </c>
      <c r="CE97" s="189">
        <v>0</v>
      </c>
      <c r="CF97" s="189">
        <v>0</v>
      </c>
      <c r="CG97" s="187" t="s">
        <v>242</v>
      </c>
      <c r="CH97" s="181">
        <v>0</v>
      </c>
      <c r="CI97" s="187">
        <f t="shared" si="88"/>
        <v>0</v>
      </c>
      <c r="CJ97" s="187" t="s">
        <v>614</v>
      </c>
      <c r="CK97" s="189">
        <v>0</v>
      </c>
      <c r="CL97" s="189">
        <v>0</v>
      </c>
      <c r="CM97" s="187" t="s">
        <v>242</v>
      </c>
      <c r="CN97" s="116"/>
      <c r="CO97" s="100">
        <v>0.6</v>
      </c>
      <c r="CP97" s="100">
        <f t="shared" si="89"/>
        <v>0.8</v>
      </c>
      <c r="CQ97" s="100">
        <v>1</v>
      </c>
      <c r="CR97" s="101">
        <v>0.6</v>
      </c>
      <c r="CS97" s="101">
        <v>1</v>
      </c>
    </row>
    <row r="98" spans="1:97" s="101" customFormat="1" ht="16.5" hidden="1" customHeight="1" thickBot="1" x14ac:dyDescent="0.3">
      <c r="A98" s="99"/>
      <c r="V98" s="103"/>
      <c r="AA98" s="104"/>
      <c r="AB98" s="104"/>
      <c r="AD98" s="104"/>
      <c r="AE98" s="105"/>
      <c r="AH98" s="106"/>
      <c r="AI98" s="106"/>
      <c r="AK98" s="104"/>
      <c r="AR98" s="104"/>
      <c r="AV98" s="104"/>
      <c r="AX98" s="104"/>
      <c r="BB98" s="104"/>
      <c r="BC98" s="104"/>
      <c r="BE98" s="104"/>
      <c r="BH98" s="99"/>
      <c r="BI98" s="190" t="s">
        <v>3</v>
      </c>
      <c r="BJ98" s="187" t="s">
        <v>615</v>
      </c>
      <c r="BK98" s="213">
        <v>0</v>
      </c>
      <c r="BL98" s="187" t="s">
        <v>612</v>
      </c>
      <c r="BM98" s="189">
        <v>4.4099999999999999E-3</v>
      </c>
      <c r="BN98" s="189">
        <v>4.4099999999999999E-3</v>
      </c>
      <c r="BO98" s="188" t="s">
        <v>241</v>
      </c>
      <c r="BP98" s="191">
        <v>509.80349999999999</v>
      </c>
      <c r="BQ98" s="187">
        <f t="shared" si="85"/>
        <v>0.50980349999999997</v>
      </c>
      <c r="BR98" s="187" t="s">
        <v>613</v>
      </c>
      <c r="BS98" s="189">
        <v>0.1</v>
      </c>
      <c r="BT98" s="189">
        <v>1</v>
      </c>
      <c r="BU98" s="187" t="s">
        <v>242</v>
      </c>
      <c r="BV98" s="181">
        <v>67.973799999999997</v>
      </c>
      <c r="BW98" s="187">
        <f t="shared" si="86"/>
        <v>6.7973800000000001E-2</v>
      </c>
      <c r="BX98" s="187" t="s">
        <v>614</v>
      </c>
      <c r="BY98" s="189">
        <v>1.4999999999999999E-2</v>
      </c>
      <c r="BZ98" s="189">
        <v>0.15</v>
      </c>
      <c r="CA98" s="187" t="s">
        <v>242</v>
      </c>
      <c r="CB98" s="187">
        <v>0</v>
      </c>
      <c r="CC98" s="187">
        <f t="shared" si="87"/>
        <v>0</v>
      </c>
      <c r="CD98" s="187" t="s">
        <v>613</v>
      </c>
      <c r="CE98" s="189">
        <v>0</v>
      </c>
      <c r="CF98" s="189">
        <v>0</v>
      </c>
      <c r="CG98" s="187" t="s">
        <v>242</v>
      </c>
      <c r="CH98" s="181">
        <v>0</v>
      </c>
      <c r="CI98" s="187">
        <f t="shared" si="88"/>
        <v>0</v>
      </c>
      <c r="CJ98" s="187" t="s">
        <v>614</v>
      </c>
      <c r="CK98" s="189">
        <v>0</v>
      </c>
      <c r="CL98" s="189">
        <v>0</v>
      </c>
      <c r="CM98" s="187" t="s">
        <v>242</v>
      </c>
      <c r="CN98" s="116"/>
      <c r="CO98" s="100">
        <v>0.6</v>
      </c>
      <c r="CP98" s="100">
        <f t="shared" si="89"/>
        <v>0.8</v>
      </c>
      <c r="CQ98" s="100">
        <v>1</v>
      </c>
      <c r="CR98" s="101">
        <v>0.6</v>
      </c>
      <c r="CS98" s="101">
        <v>1</v>
      </c>
    </row>
    <row r="99" spans="1:97" s="101" customFormat="1" ht="16.5" hidden="1" customHeight="1" thickBot="1" x14ac:dyDescent="0.3">
      <c r="A99" s="99"/>
      <c r="V99" s="103"/>
      <c r="AA99" s="104"/>
      <c r="AB99" s="104"/>
      <c r="AD99" s="104"/>
      <c r="AE99" s="105"/>
      <c r="AH99" s="106"/>
      <c r="AI99" s="106"/>
      <c r="AK99" s="104"/>
      <c r="AR99" s="104"/>
      <c r="AV99" s="104"/>
      <c r="AX99" s="104"/>
      <c r="BB99" s="104"/>
      <c r="BC99" s="104"/>
      <c r="BE99" s="104"/>
      <c r="BH99" s="99"/>
      <c r="BI99" s="190" t="s">
        <v>227</v>
      </c>
      <c r="BJ99" s="187" t="s">
        <v>615</v>
      </c>
      <c r="BK99" s="213">
        <v>0</v>
      </c>
      <c r="BL99" s="187" t="s">
        <v>612</v>
      </c>
      <c r="BM99" s="189">
        <v>3.6800000000000001E-3</v>
      </c>
      <c r="BN99" s="189">
        <v>3.6800000000000001E-3</v>
      </c>
      <c r="BO99" s="188" t="s">
        <v>241</v>
      </c>
      <c r="BP99" s="191">
        <v>509.37279999999998</v>
      </c>
      <c r="BQ99" s="187">
        <f t="shared" si="85"/>
        <v>0.50937279999999996</v>
      </c>
      <c r="BR99" s="187" t="s">
        <v>613</v>
      </c>
      <c r="BS99" s="189">
        <v>0.1</v>
      </c>
      <c r="BT99" s="189">
        <v>1</v>
      </c>
      <c r="BU99" s="187" t="s">
        <v>242</v>
      </c>
      <c r="BV99" s="181">
        <v>67.916399999999996</v>
      </c>
      <c r="BW99" s="187">
        <f t="shared" si="86"/>
        <v>6.7916400000000002E-2</v>
      </c>
      <c r="BX99" s="187" t="s">
        <v>614</v>
      </c>
      <c r="BY99" s="189">
        <v>1.4999999999999999E-2</v>
      </c>
      <c r="BZ99" s="189">
        <v>0.15</v>
      </c>
      <c r="CA99" s="187" t="s">
        <v>242</v>
      </c>
      <c r="CB99" s="187">
        <v>0</v>
      </c>
      <c r="CC99" s="187">
        <f t="shared" si="87"/>
        <v>0</v>
      </c>
      <c r="CD99" s="187" t="s">
        <v>613</v>
      </c>
      <c r="CE99" s="189">
        <v>0</v>
      </c>
      <c r="CF99" s="189">
        <v>0</v>
      </c>
      <c r="CG99" s="187" t="s">
        <v>242</v>
      </c>
      <c r="CH99" s="181">
        <v>0</v>
      </c>
      <c r="CI99" s="187">
        <f t="shared" si="88"/>
        <v>0</v>
      </c>
      <c r="CJ99" s="187" t="s">
        <v>614</v>
      </c>
      <c r="CK99" s="189">
        <v>0</v>
      </c>
      <c r="CL99" s="189">
        <v>0</v>
      </c>
      <c r="CM99" s="187" t="s">
        <v>242</v>
      </c>
      <c r="CN99" s="116"/>
      <c r="CO99" s="100">
        <v>0.6</v>
      </c>
      <c r="CP99" s="100">
        <f t="shared" si="89"/>
        <v>0.8</v>
      </c>
      <c r="CQ99" s="100">
        <v>1</v>
      </c>
      <c r="CR99" s="101">
        <v>0.6</v>
      </c>
      <c r="CS99" s="101">
        <v>1</v>
      </c>
    </row>
    <row r="100" spans="1:97" s="101" customFormat="1" ht="16.5" hidden="1" customHeight="1" thickBot="1" x14ac:dyDescent="0.3">
      <c r="A100" s="99"/>
      <c r="V100" s="103"/>
      <c r="AA100" s="104"/>
      <c r="AB100" s="104"/>
      <c r="AD100" s="104"/>
      <c r="AE100" s="105"/>
      <c r="AH100" s="106"/>
      <c r="AI100" s="106"/>
      <c r="AK100" s="104"/>
      <c r="AR100" s="104"/>
      <c r="AV100" s="104"/>
      <c r="AX100" s="104"/>
      <c r="BB100" s="104"/>
      <c r="BC100" s="104"/>
      <c r="BE100" s="104"/>
      <c r="BH100" s="99"/>
      <c r="BI100" s="190" t="s">
        <v>228</v>
      </c>
      <c r="BJ100" s="187" t="s">
        <v>615</v>
      </c>
      <c r="BK100" s="213">
        <v>0</v>
      </c>
      <c r="BL100" s="187" t="s">
        <v>612</v>
      </c>
      <c r="BM100" s="189">
        <v>3.5899999999999999E-3</v>
      </c>
      <c r="BN100" s="189">
        <v>3.5899999999999999E-3</v>
      </c>
      <c r="BO100" s="188" t="s">
        <v>241</v>
      </c>
      <c r="BP100" s="191">
        <v>554.66999999999996</v>
      </c>
      <c r="BQ100" s="187">
        <f t="shared" si="85"/>
        <v>0.55467</v>
      </c>
      <c r="BR100" s="187" t="s">
        <v>613</v>
      </c>
      <c r="BS100" s="189">
        <v>0.1</v>
      </c>
      <c r="BT100" s="189">
        <v>1</v>
      </c>
      <c r="BU100" s="187" t="s">
        <v>242</v>
      </c>
      <c r="BV100" s="181">
        <v>73.956000000000003</v>
      </c>
      <c r="BW100" s="187">
        <f t="shared" si="86"/>
        <v>7.3956000000000008E-2</v>
      </c>
      <c r="BX100" s="187" t="s">
        <v>614</v>
      </c>
      <c r="BY100" s="189">
        <v>1.4999999999999999E-2</v>
      </c>
      <c r="BZ100" s="189">
        <v>0.15</v>
      </c>
      <c r="CA100" s="187" t="s">
        <v>242</v>
      </c>
      <c r="CB100" s="187">
        <v>0</v>
      </c>
      <c r="CC100" s="187">
        <f t="shared" si="87"/>
        <v>0</v>
      </c>
      <c r="CD100" s="187" t="s">
        <v>613</v>
      </c>
      <c r="CE100" s="189">
        <v>0</v>
      </c>
      <c r="CF100" s="189">
        <v>0</v>
      </c>
      <c r="CG100" s="187" t="s">
        <v>242</v>
      </c>
      <c r="CH100" s="181">
        <v>0</v>
      </c>
      <c r="CI100" s="187">
        <f t="shared" si="88"/>
        <v>0</v>
      </c>
      <c r="CJ100" s="187" t="s">
        <v>614</v>
      </c>
      <c r="CK100" s="189">
        <v>0</v>
      </c>
      <c r="CL100" s="189">
        <v>0</v>
      </c>
      <c r="CM100" s="187" t="s">
        <v>242</v>
      </c>
      <c r="CN100" s="116"/>
      <c r="CO100" s="100">
        <v>0.6</v>
      </c>
      <c r="CP100" s="100">
        <f t="shared" si="89"/>
        <v>0.8</v>
      </c>
      <c r="CQ100" s="100">
        <v>1</v>
      </c>
      <c r="CR100" s="101">
        <v>0.6</v>
      </c>
      <c r="CS100" s="101">
        <v>1</v>
      </c>
    </row>
    <row r="101" spans="1:97" s="101" customFormat="1" ht="16.5" hidden="1" customHeight="1" thickBot="1" x14ac:dyDescent="0.3">
      <c r="A101" s="99"/>
      <c r="V101" s="103"/>
      <c r="AA101" s="104"/>
      <c r="AB101" s="104"/>
      <c r="AD101" s="104"/>
      <c r="AE101" s="105"/>
      <c r="AH101" s="106"/>
      <c r="AI101" s="106"/>
      <c r="AK101" s="104"/>
      <c r="AR101" s="104"/>
      <c r="AV101" s="104"/>
      <c r="AX101" s="104"/>
      <c r="BB101" s="104"/>
      <c r="BC101" s="104"/>
      <c r="BE101" s="104"/>
      <c r="BH101" s="99"/>
      <c r="BI101" s="190" t="s">
        <v>229</v>
      </c>
      <c r="BJ101" s="187" t="s">
        <v>615</v>
      </c>
      <c r="BK101" s="213">
        <v>0</v>
      </c>
      <c r="BL101" s="187" t="s">
        <v>612</v>
      </c>
      <c r="BM101" s="189">
        <v>3.4999999999999996E-3</v>
      </c>
      <c r="BN101" s="189">
        <v>3.4999999999999996E-3</v>
      </c>
      <c r="BO101" s="188" t="s">
        <v>241</v>
      </c>
      <c r="BP101" s="191">
        <v>569.07000000000005</v>
      </c>
      <c r="BQ101" s="187">
        <f t="shared" si="85"/>
        <v>0.56907000000000008</v>
      </c>
      <c r="BR101" s="187" t="s">
        <v>613</v>
      </c>
      <c r="BS101" s="189">
        <v>0.1</v>
      </c>
      <c r="BT101" s="189">
        <v>1</v>
      </c>
      <c r="BU101" s="187" t="s">
        <v>242</v>
      </c>
      <c r="BV101" s="181">
        <v>75.876000000000005</v>
      </c>
      <c r="BW101" s="187">
        <f t="shared" si="86"/>
        <v>7.5875999999999999E-2</v>
      </c>
      <c r="BX101" s="187" t="s">
        <v>614</v>
      </c>
      <c r="BY101" s="189">
        <v>1.4999999999999999E-2</v>
      </c>
      <c r="BZ101" s="189">
        <v>0.15</v>
      </c>
      <c r="CA101" s="187" t="s">
        <v>242</v>
      </c>
      <c r="CB101" s="187">
        <v>0</v>
      </c>
      <c r="CC101" s="187">
        <f t="shared" si="87"/>
        <v>0</v>
      </c>
      <c r="CD101" s="187" t="s">
        <v>613</v>
      </c>
      <c r="CE101" s="189">
        <v>0</v>
      </c>
      <c r="CF101" s="189">
        <v>0</v>
      </c>
      <c r="CG101" s="187" t="s">
        <v>242</v>
      </c>
      <c r="CH101" s="181">
        <v>0</v>
      </c>
      <c r="CI101" s="187">
        <f t="shared" si="88"/>
        <v>0</v>
      </c>
      <c r="CJ101" s="187" t="s">
        <v>614</v>
      </c>
      <c r="CK101" s="189">
        <v>0</v>
      </c>
      <c r="CL101" s="189">
        <v>0</v>
      </c>
      <c r="CM101" s="187" t="s">
        <v>242</v>
      </c>
      <c r="CN101" s="116"/>
      <c r="CO101" s="100">
        <v>0.6</v>
      </c>
      <c r="CP101" s="100">
        <f t="shared" si="89"/>
        <v>0.8</v>
      </c>
      <c r="CQ101" s="100">
        <v>1</v>
      </c>
      <c r="CR101" s="101">
        <v>0.6</v>
      </c>
      <c r="CS101" s="101">
        <v>1</v>
      </c>
    </row>
    <row r="102" spans="1:97" s="101" customFormat="1" ht="16.5" hidden="1" customHeight="1" thickBot="1" x14ac:dyDescent="0.3">
      <c r="A102" s="99"/>
      <c r="V102" s="103"/>
      <c r="AA102" s="104"/>
      <c r="AB102" s="104"/>
      <c r="AD102" s="104"/>
      <c r="AE102" s="105"/>
      <c r="AH102" s="106"/>
      <c r="AI102" s="106"/>
      <c r="AK102" s="104"/>
      <c r="AR102" s="104"/>
      <c r="AV102" s="104"/>
      <c r="AX102" s="104"/>
      <c r="BB102" s="104"/>
      <c r="BC102" s="104"/>
      <c r="BE102" s="104"/>
      <c r="BH102" s="99"/>
      <c r="BI102" s="190" t="s">
        <v>230</v>
      </c>
      <c r="BJ102" s="187" t="s">
        <v>615</v>
      </c>
      <c r="BK102" s="213">
        <v>0</v>
      </c>
      <c r="BL102" s="187" t="s">
        <v>612</v>
      </c>
      <c r="BM102" s="189">
        <v>3.5899999999999999E-3</v>
      </c>
      <c r="BN102" s="189">
        <v>3.5899999999999999E-3</v>
      </c>
      <c r="BO102" s="188" t="s">
        <v>241</v>
      </c>
      <c r="BP102" s="191">
        <v>560.82000000000005</v>
      </c>
      <c r="BQ102" s="187">
        <f t="shared" si="85"/>
        <v>0.5608200000000001</v>
      </c>
      <c r="BR102" s="187" t="s">
        <v>613</v>
      </c>
      <c r="BS102" s="189">
        <v>0.1</v>
      </c>
      <c r="BT102" s="189">
        <v>1</v>
      </c>
      <c r="BU102" s="187" t="s">
        <v>242</v>
      </c>
      <c r="BV102" s="181">
        <v>74.775999999999996</v>
      </c>
      <c r="BW102" s="187">
        <f t="shared" si="86"/>
        <v>7.4775999999999995E-2</v>
      </c>
      <c r="BX102" s="187" t="s">
        <v>614</v>
      </c>
      <c r="BY102" s="189">
        <v>1.4999999999999999E-2</v>
      </c>
      <c r="BZ102" s="189">
        <v>0.15</v>
      </c>
      <c r="CA102" s="187" t="s">
        <v>242</v>
      </c>
      <c r="CB102" s="187">
        <v>0</v>
      </c>
      <c r="CC102" s="187">
        <f t="shared" si="87"/>
        <v>0</v>
      </c>
      <c r="CD102" s="187" t="s">
        <v>613</v>
      </c>
      <c r="CE102" s="189">
        <v>0</v>
      </c>
      <c r="CF102" s="189">
        <v>0</v>
      </c>
      <c r="CG102" s="187" t="s">
        <v>242</v>
      </c>
      <c r="CH102" s="181">
        <v>0</v>
      </c>
      <c r="CI102" s="187">
        <f t="shared" si="88"/>
        <v>0</v>
      </c>
      <c r="CJ102" s="187" t="s">
        <v>614</v>
      </c>
      <c r="CK102" s="189">
        <v>0</v>
      </c>
      <c r="CL102" s="189">
        <v>0</v>
      </c>
      <c r="CM102" s="187" t="s">
        <v>242</v>
      </c>
      <c r="CN102" s="116"/>
      <c r="CO102" s="100">
        <v>0.6</v>
      </c>
      <c r="CP102" s="100">
        <f t="shared" si="89"/>
        <v>0.8</v>
      </c>
      <c r="CQ102" s="100">
        <v>1</v>
      </c>
      <c r="CR102" s="101">
        <v>0.6</v>
      </c>
      <c r="CS102" s="101">
        <v>1</v>
      </c>
    </row>
    <row r="103" spans="1:97" s="101" customFormat="1" ht="16.5" hidden="1" customHeight="1" thickBot="1" x14ac:dyDescent="0.3">
      <c r="A103" s="99"/>
      <c r="V103" s="103"/>
      <c r="AA103" s="104"/>
      <c r="AB103" s="104"/>
      <c r="AD103" s="104"/>
      <c r="AE103" s="105"/>
      <c r="AH103" s="106"/>
      <c r="AI103" s="106"/>
      <c r="AK103" s="104"/>
      <c r="AR103" s="104"/>
      <c r="AV103" s="104"/>
      <c r="AX103" s="104"/>
      <c r="BB103" s="104"/>
      <c r="BC103" s="104"/>
      <c r="BE103" s="104"/>
      <c r="BH103" s="99"/>
      <c r="BI103" s="190" t="s">
        <v>231</v>
      </c>
      <c r="BJ103" s="187" t="s">
        <v>615</v>
      </c>
      <c r="BK103" s="213">
        <v>0</v>
      </c>
      <c r="BL103" s="187" t="s">
        <v>612</v>
      </c>
      <c r="BM103" s="189">
        <v>3.6099999999999999E-3</v>
      </c>
      <c r="BN103" s="189">
        <v>3.6099999999999999E-3</v>
      </c>
      <c r="BO103" s="188" t="s">
        <v>241</v>
      </c>
      <c r="BP103" s="191">
        <v>557.46</v>
      </c>
      <c r="BQ103" s="187">
        <f t="shared" si="85"/>
        <v>0.55746000000000007</v>
      </c>
      <c r="BR103" s="187" t="s">
        <v>613</v>
      </c>
      <c r="BS103" s="189">
        <v>0.1</v>
      </c>
      <c r="BT103" s="189">
        <v>1</v>
      </c>
      <c r="BU103" s="187" t="s">
        <v>242</v>
      </c>
      <c r="BV103" s="181">
        <v>74.328000000000003</v>
      </c>
      <c r="BW103" s="187">
        <f t="shared" si="86"/>
        <v>7.4328000000000005E-2</v>
      </c>
      <c r="BX103" s="187" t="s">
        <v>614</v>
      </c>
      <c r="BY103" s="189">
        <v>1.4999999999999999E-2</v>
      </c>
      <c r="BZ103" s="189">
        <v>0.15</v>
      </c>
      <c r="CA103" s="187" t="s">
        <v>242</v>
      </c>
      <c r="CB103" s="187">
        <v>0</v>
      </c>
      <c r="CC103" s="187">
        <f t="shared" si="87"/>
        <v>0</v>
      </c>
      <c r="CD103" s="187" t="s">
        <v>613</v>
      </c>
      <c r="CE103" s="189">
        <v>0</v>
      </c>
      <c r="CF103" s="189">
        <v>0</v>
      </c>
      <c r="CG103" s="187" t="s">
        <v>242</v>
      </c>
      <c r="CH103" s="181">
        <v>0</v>
      </c>
      <c r="CI103" s="187">
        <f t="shared" si="88"/>
        <v>0</v>
      </c>
      <c r="CJ103" s="187" t="s">
        <v>614</v>
      </c>
      <c r="CK103" s="189">
        <v>0</v>
      </c>
      <c r="CL103" s="189">
        <v>0</v>
      </c>
      <c r="CM103" s="187" t="s">
        <v>242</v>
      </c>
      <c r="CN103" s="116"/>
      <c r="CO103" s="100">
        <v>0.6</v>
      </c>
      <c r="CP103" s="100">
        <f t="shared" si="89"/>
        <v>0.8</v>
      </c>
      <c r="CQ103" s="100">
        <v>1</v>
      </c>
      <c r="CR103" s="101">
        <v>0.6</v>
      </c>
      <c r="CS103" s="101">
        <v>1</v>
      </c>
    </row>
    <row r="104" spans="1:97" s="101" customFormat="1" ht="16.5" hidden="1" customHeight="1" thickBot="1" x14ac:dyDescent="0.3">
      <c r="A104" s="99"/>
      <c r="V104" s="103"/>
      <c r="AA104" s="104"/>
      <c r="AB104" s="104"/>
      <c r="AD104" s="104"/>
      <c r="AE104" s="105"/>
      <c r="AH104" s="106"/>
      <c r="AI104" s="106"/>
      <c r="AK104" s="104"/>
      <c r="AR104" s="104"/>
      <c r="AV104" s="104"/>
      <c r="AX104" s="104"/>
      <c r="BB104" s="104"/>
      <c r="BC104" s="104"/>
      <c r="BE104" s="104"/>
      <c r="BH104" s="99"/>
      <c r="BI104" s="190" t="s">
        <v>372</v>
      </c>
      <c r="BJ104" s="187" t="s">
        <v>615</v>
      </c>
      <c r="BK104" s="181">
        <v>2941.7959999999998</v>
      </c>
      <c r="BL104" s="187" t="s">
        <v>612</v>
      </c>
      <c r="BM104" s="189">
        <v>2.2100000000000002E-3</v>
      </c>
      <c r="BN104" s="189">
        <v>2.2100000000000002E-3</v>
      </c>
      <c r="BO104" s="188" t="s">
        <v>241</v>
      </c>
      <c r="BP104" s="191">
        <v>1137.6222</v>
      </c>
      <c r="BQ104" s="187">
        <f t="shared" si="85"/>
        <v>1.1376222</v>
      </c>
      <c r="BR104" s="187" t="s">
        <v>613</v>
      </c>
      <c r="BS104" s="189">
        <v>3.0000000000000001E-3</v>
      </c>
      <c r="BT104" s="189">
        <v>0.03</v>
      </c>
      <c r="BU104" s="187" t="s">
        <v>242</v>
      </c>
      <c r="BV104" s="181">
        <v>3.7921</v>
      </c>
      <c r="BW104" s="187">
        <f t="shared" si="86"/>
        <v>3.7921000000000001E-3</v>
      </c>
      <c r="BX104" s="187" t="s">
        <v>614</v>
      </c>
      <c r="BY104" s="189">
        <v>3.0000000000000001E-3</v>
      </c>
      <c r="BZ104" s="189">
        <v>1.4999999999999999E-2</v>
      </c>
      <c r="CA104" s="187" t="s">
        <v>242</v>
      </c>
      <c r="CB104" s="187">
        <v>0</v>
      </c>
      <c r="CC104" s="187">
        <f t="shared" si="87"/>
        <v>0</v>
      </c>
      <c r="CD104" s="187" t="s">
        <v>613</v>
      </c>
      <c r="CE104" s="189">
        <v>0</v>
      </c>
      <c r="CF104" s="189">
        <v>0</v>
      </c>
      <c r="CG104" s="187" t="s">
        <v>242</v>
      </c>
      <c r="CH104" s="181">
        <v>0</v>
      </c>
      <c r="CI104" s="187">
        <f t="shared" si="88"/>
        <v>0</v>
      </c>
      <c r="CJ104" s="187" t="s">
        <v>614</v>
      </c>
      <c r="CK104" s="189">
        <v>0</v>
      </c>
      <c r="CL104" s="189">
        <v>0</v>
      </c>
      <c r="CM104" s="187" t="s">
        <v>242</v>
      </c>
      <c r="CN104" s="116"/>
      <c r="CO104" s="100">
        <v>0.15</v>
      </c>
      <c r="CP104" s="100">
        <f t="shared" si="89"/>
        <v>0.17499999999999999</v>
      </c>
      <c r="CQ104" s="100">
        <v>0.2</v>
      </c>
      <c r="CR104" s="101">
        <v>0.15</v>
      </c>
      <c r="CS104" s="101">
        <v>0.2</v>
      </c>
    </row>
    <row r="105" spans="1:97" s="101" customFormat="1" ht="16.5" hidden="1" customHeight="1" x14ac:dyDescent="0.25">
      <c r="A105" s="99"/>
      <c r="V105" s="103"/>
      <c r="AA105" s="104"/>
      <c r="AB105" s="104"/>
      <c r="AD105" s="104"/>
      <c r="AE105" s="105"/>
      <c r="AH105" s="106"/>
      <c r="AI105" s="106"/>
      <c r="AK105" s="104"/>
      <c r="AR105" s="104"/>
      <c r="AV105" s="104"/>
      <c r="AX105" s="104"/>
      <c r="BB105" s="104"/>
      <c r="BC105" s="104"/>
      <c r="BE105" s="104"/>
      <c r="BH105" s="99"/>
      <c r="BI105" s="102"/>
      <c r="BJ105" s="178"/>
      <c r="BK105" s="178"/>
      <c r="BL105" s="178"/>
      <c r="BM105" s="169"/>
      <c r="BN105" s="169"/>
      <c r="BO105" s="169"/>
      <c r="BP105" s="192"/>
      <c r="BQ105" s="192"/>
      <c r="BR105" s="192"/>
      <c r="BS105" s="192"/>
      <c r="BT105" s="192"/>
      <c r="BU105" s="192"/>
      <c r="BV105" s="178"/>
      <c r="BW105" s="192"/>
      <c r="BX105" s="192"/>
      <c r="BY105" s="178"/>
      <c r="BZ105" s="178"/>
      <c r="CA105" s="178"/>
      <c r="CB105" s="180"/>
      <c r="CC105" s="192"/>
      <c r="CD105" s="192"/>
      <c r="CE105" s="180"/>
      <c r="CF105" s="180"/>
      <c r="CG105" s="180"/>
      <c r="CH105" s="180"/>
      <c r="CI105" s="192"/>
      <c r="CJ105" s="192"/>
      <c r="CK105" s="180"/>
      <c r="CL105" s="180"/>
      <c r="CM105" s="180"/>
      <c r="CN105" s="116"/>
      <c r="CO105" s="100"/>
      <c r="CP105" s="100"/>
      <c r="CQ105" s="100"/>
    </row>
    <row r="106" spans="1:97" s="101" customFormat="1" ht="16.5" hidden="1" customHeight="1" thickBot="1" x14ac:dyDescent="0.3">
      <c r="A106" s="99"/>
      <c r="V106" s="103"/>
      <c r="AA106" s="104"/>
      <c r="AB106" s="104"/>
      <c r="AD106" s="104"/>
      <c r="AE106" s="105"/>
      <c r="AH106" s="106"/>
      <c r="AI106" s="106"/>
      <c r="AK106" s="104"/>
      <c r="AR106" s="104"/>
      <c r="AV106" s="104"/>
      <c r="AX106" s="104"/>
      <c r="BB106" s="104"/>
      <c r="BC106" s="104"/>
      <c r="BE106" s="104"/>
      <c r="BH106" s="99"/>
      <c r="BI106" s="102"/>
      <c r="BJ106" s="178"/>
      <c r="BK106" s="178"/>
      <c r="BL106" s="178"/>
      <c r="BM106" s="169"/>
      <c r="BN106" s="169"/>
      <c r="BO106" s="169"/>
      <c r="BP106" s="192"/>
      <c r="BQ106" s="192"/>
      <c r="BR106" s="192"/>
      <c r="BS106" s="192"/>
      <c r="BT106" s="192"/>
      <c r="BU106" s="192"/>
      <c r="BV106" s="178"/>
      <c r="BW106" s="192"/>
      <c r="BX106" s="192"/>
      <c r="BY106" s="178"/>
      <c r="BZ106" s="178"/>
      <c r="CA106" s="178"/>
      <c r="CB106" s="180"/>
      <c r="CC106" s="192"/>
      <c r="CD106" s="192"/>
      <c r="CE106" s="180"/>
      <c r="CF106" s="180"/>
      <c r="CG106" s="180"/>
      <c r="CH106" s="180"/>
      <c r="CI106" s="192"/>
      <c r="CJ106" s="192"/>
      <c r="CK106" s="180"/>
      <c r="CL106" s="180"/>
      <c r="CM106" s="180"/>
      <c r="CN106" s="116"/>
      <c r="CO106" s="100"/>
      <c r="CP106" s="100"/>
      <c r="CQ106" s="100"/>
    </row>
    <row r="107" spans="1:97" s="101" customFormat="1" ht="26.25" hidden="1" customHeight="1" thickBot="1" x14ac:dyDescent="0.3">
      <c r="A107" s="99"/>
      <c r="V107" s="103"/>
      <c r="AA107" s="104"/>
      <c r="AB107" s="104"/>
      <c r="AD107" s="104"/>
      <c r="AE107" s="105"/>
      <c r="AH107" s="106"/>
      <c r="AI107" s="106"/>
      <c r="AK107" s="104"/>
      <c r="AR107" s="104"/>
      <c r="AV107" s="104"/>
      <c r="AX107" s="104"/>
      <c r="BB107" s="104"/>
      <c r="BC107" s="104"/>
      <c r="BE107" s="104"/>
      <c r="BH107" s="99"/>
      <c r="BI107" s="1606" t="s">
        <v>232</v>
      </c>
      <c r="BJ107" s="251"/>
      <c r="BK107" s="1606" t="s">
        <v>267</v>
      </c>
      <c r="BL107" s="251"/>
      <c r="BM107" s="1606" t="s">
        <v>233</v>
      </c>
      <c r="BN107" s="1606" t="s">
        <v>233</v>
      </c>
      <c r="BO107" s="1606" t="s">
        <v>240</v>
      </c>
      <c r="BP107" s="1608" t="s">
        <v>172</v>
      </c>
      <c r="BQ107" s="1609"/>
      <c r="BR107" s="1609"/>
      <c r="BS107" s="1609"/>
      <c r="BT107" s="1609"/>
      <c r="BU107" s="1609"/>
      <c r="BV107" s="1609"/>
      <c r="BW107" s="1609"/>
      <c r="BX107" s="1609"/>
      <c r="BY107" s="1609"/>
      <c r="BZ107" s="1609"/>
      <c r="CA107" s="1610"/>
      <c r="CB107" s="1608" t="s">
        <v>173</v>
      </c>
      <c r="CC107" s="1609"/>
      <c r="CD107" s="1609"/>
      <c r="CE107" s="1609"/>
      <c r="CF107" s="1609"/>
      <c r="CG107" s="1609"/>
      <c r="CH107" s="1609"/>
      <c r="CI107" s="1609"/>
      <c r="CJ107" s="1609"/>
      <c r="CK107" s="1609"/>
      <c r="CL107" s="1609"/>
      <c r="CM107" s="1610"/>
      <c r="CN107" s="116"/>
      <c r="CO107" s="100"/>
      <c r="CP107" s="100"/>
      <c r="CQ107" s="100"/>
    </row>
    <row r="108" spans="1:97" s="101" customFormat="1" ht="58.5" hidden="1" customHeight="1" thickBot="1" x14ac:dyDescent="0.3">
      <c r="A108" s="99"/>
      <c r="V108" s="103"/>
      <c r="AA108" s="104"/>
      <c r="AB108" s="104"/>
      <c r="AD108" s="104"/>
      <c r="AE108" s="105"/>
      <c r="AH108" s="106"/>
      <c r="AI108" s="106"/>
      <c r="AK108" s="104"/>
      <c r="AR108" s="104"/>
      <c r="AV108" s="104"/>
      <c r="AX108" s="104"/>
      <c r="BB108" s="104"/>
      <c r="BC108" s="104"/>
      <c r="BE108" s="104"/>
      <c r="BH108" s="99"/>
      <c r="BI108" s="1607"/>
      <c r="BJ108" s="252" t="s">
        <v>253</v>
      </c>
      <c r="BK108" s="1607"/>
      <c r="BL108" s="252" t="s">
        <v>251</v>
      </c>
      <c r="BM108" s="1607"/>
      <c r="BN108" s="1607"/>
      <c r="BO108" s="1607"/>
      <c r="BP108" s="185" t="s">
        <v>268</v>
      </c>
      <c r="BQ108" s="185" t="s">
        <v>269</v>
      </c>
      <c r="BR108" s="252" t="s">
        <v>251</v>
      </c>
      <c r="BS108" s="185" t="s">
        <v>233</v>
      </c>
      <c r="BT108" s="185" t="s">
        <v>233</v>
      </c>
      <c r="BU108" s="185" t="s">
        <v>240</v>
      </c>
      <c r="BV108" s="185" t="s">
        <v>270</v>
      </c>
      <c r="BW108" s="185" t="s">
        <v>271</v>
      </c>
      <c r="BX108" s="252" t="s">
        <v>251</v>
      </c>
      <c r="BY108" s="185" t="s">
        <v>233</v>
      </c>
      <c r="BZ108" s="185" t="s">
        <v>233</v>
      </c>
      <c r="CA108" s="185" t="s">
        <v>240</v>
      </c>
      <c r="CB108" s="185" t="s">
        <v>268</v>
      </c>
      <c r="CC108" s="185" t="s">
        <v>269</v>
      </c>
      <c r="CD108" s="252" t="s">
        <v>251</v>
      </c>
      <c r="CE108" s="185" t="s">
        <v>233</v>
      </c>
      <c r="CF108" s="185" t="s">
        <v>233</v>
      </c>
      <c r="CG108" s="185" t="s">
        <v>240</v>
      </c>
      <c r="CH108" s="185" t="s">
        <v>270</v>
      </c>
      <c r="CI108" s="185" t="s">
        <v>271</v>
      </c>
      <c r="CJ108" s="252" t="s">
        <v>251</v>
      </c>
      <c r="CK108" s="185" t="s">
        <v>233</v>
      </c>
      <c r="CL108" s="185" t="s">
        <v>233</v>
      </c>
      <c r="CM108" s="185" t="s">
        <v>240</v>
      </c>
      <c r="CN108" s="116"/>
      <c r="CO108" s="100"/>
      <c r="CP108" s="100"/>
      <c r="CQ108" s="100"/>
    </row>
    <row r="109" spans="1:97" s="101" customFormat="1" ht="16.5" hidden="1" customHeight="1" thickBot="1" x14ac:dyDescent="0.3">
      <c r="A109" s="99"/>
      <c r="V109" s="103"/>
      <c r="AA109" s="104"/>
      <c r="AB109" s="104"/>
      <c r="AD109" s="148"/>
      <c r="AE109" s="105"/>
      <c r="AH109" s="106"/>
      <c r="AI109" s="106"/>
      <c r="AK109" s="148"/>
      <c r="AR109" s="148"/>
      <c r="AV109" s="104"/>
      <c r="AX109" s="148"/>
      <c r="BB109" s="104"/>
      <c r="BC109" s="104"/>
      <c r="BD109" s="119"/>
      <c r="BE109" s="148"/>
      <c r="BH109" s="99"/>
      <c r="BI109" s="190" t="s">
        <v>563</v>
      </c>
      <c r="BJ109" s="181" t="s">
        <v>252</v>
      </c>
      <c r="BK109" s="181">
        <v>10.148999999999999</v>
      </c>
      <c r="BL109" s="187" t="s">
        <v>405</v>
      </c>
      <c r="BM109" s="189">
        <v>2.0499999999999997E-3</v>
      </c>
      <c r="BN109" s="189">
        <v>2.0499999999999997E-3</v>
      </c>
      <c r="BO109" s="188" t="s">
        <v>241</v>
      </c>
      <c r="BP109" s="181">
        <v>0.01</v>
      </c>
      <c r="BQ109" s="191">
        <f>BP109/1000</f>
        <v>1.0000000000000001E-5</v>
      </c>
      <c r="BR109" s="187" t="s">
        <v>406</v>
      </c>
      <c r="BS109" s="189">
        <v>0.01</v>
      </c>
      <c r="BT109" s="189">
        <v>0.1</v>
      </c>
      <c r="BU109" s="187" t="s">
        <v>242</v>
      </c>
      <c r="BV109" s="181">
        <v>6.0000000000000001E-3</v>
      </c>
      <c r="BW109" s="191">
        <f>BV109/1000</f>
        <v>6.0000000000000002E-6</v>
      </c>
      <c r="BX109" s="187" t="s">
        <v>407</v>
      </c>
      <c r="BY109" s="189">
        <v>2E-3</v>
      </c>
      <c r="BZ109" s="189">
        <v>0.02</v>
      </c>
      <c r="CA109" s="187" t="s">
        <v>242</v>
      </c>
      <c r="CB109" s="181">
        <v>3.6999999999999998E-2</v>
      </c>
      <c r="CC109" s="191">
        <f>CB109/1000</f>
        <v>3.6999999999999998E-5</v>
      </c>
      <c r="CD109" s="187" t="s">
        <v>406</v>
      </c>
      <c r="CE109" s="189">
        <v>1.6E-2</v>
      </c>
      <c r="CF109" s="189">
        <v>9.5000000000000001E-2</v>
      </c>
      <c r="CG109" s="187" t="s">
        <v>242</v>
      </c>
      <c r="CH109" s="181">
        <v>3.6999999999999998E-2</v>
      </c>
      <c r="CI109" s="191">
        <f>CH109/1000</f>
        <v>3.6999999999999998E-5</v>
      </c>
      <c r="CJ109" s="187" t="s">
        <v>407</v>
      </c>
      <c r="CK109" s="189">
        <v>1.2999999999999999E-2</v>
      </c>
      <c r="CL109" s="189">
        <v>0.12</v>
      </c>
      <c r="CM109" s="187" t="s">
        <v>242</v>
      </c>
      <c r="CN109" s="116"/>
      <c r="CO109" s="100">
        <v>0.15</v>
      </c>
      <c r="CP109" s="100">
        <f t="shared" ref="CP109:CP121" si="90">(CO109+CQ109)/2</f>
        <v>0.17499999999999999</v>
      </c>
      <c r="CQ109" s="100">
        <v>0.2</v>
      </c>
      <c r="CR109" s="101">
        <v>0.15</v>
      </c>
      <c r="CS109" s="101">
        <v>0.2</v>
      </c>
    </row>
    <row r="110" spans="1:97" s="101" customFormat="1" ht="16.5" hidden="1" customHeight="1" thickBot="1" x14ac:dyDescent="0.3">
      <c r="A110" s="99"/>
      <c r="V110" s="103"/>
      <c r="AA110" s="104"/>
      <c r="AB110" s="104"/>
      <c r="AD110" s="148"/>
      <c r="AE110" s="105"/>
      <c r="AH110" s="106"/>
      <c r="AI110" s="106"/>
      <c r="AK110" s="148"/>
      <c r="AR110" s="148"/>
      <c r="AV110" s="104"/>
      <c r="AX110" s="148"/>
      <c r="BB110" s="104"/>
      <c r="BC110" s="104"/>
      <c r="BD110" s="119"/>
      <c r="BE110" s="148"/>
      <c r="BH110" s="99"/>
      <c r="BI110" s="190" t="s">
        <v>367</v>
      </c>
      <c r="BJ110" s="181" t="s">
        <v>252</v>
      </c>
      <c r="BK110" s="181">
        <v>8.8085000000000004</v>
      </c>
      <c r="BL110" s="187" t="s">
        <v>405</v>
      </c>
      <c r="BM110" s="189">
        <v>2.0300000000000001E-3</v>
      </c>
      <c r="BN110" s="189">
        <v>2.0300000000000001E-3</v>
      </c>
      <c r="BO110" s="188" t="s">
        <v>241</v>
      </c>
      <c r="BP110" s="181">
        <v>2.6599999999999999E-2</v>
      </c>
      <c r="BQ110" s="191">
        <f>BP110/1000</f>
        <v>2.6599999999999999E-5</v>
      </c>
      <c r="BR110" s="187" t="s">
        <v>406</v>
      </c>
      <c r="BS110" s="189">
        <v>0.01</v>
      </c>
      <c r="BT110" s="189">
        <v>0.1</v>
      </c>
      <c r="BU110" s="187" t="s">
        <v>242</v>
      </c>
      <c r="BV110" s="181">
        <v>5.3E-3</v>
      </c>
      <c r="BW110" s="191">
        <f>BV110/1000</f>
        <v>5.3000000000000001E-6</v>
      </c>
      <c r="BX110" s="187" t="s">
        <v>407</v>
      </c>
      <c r="BY110" s="189">
        <v>2E-3</v>
      </c>
      <c r="BZ110" s="189">
        <v>0.02</v>
      </c>
      <c r="CA110" s="187" t="s">
        <v>242</v>
      </c>
      <c r="CB110" s="181">
        <v>0.29260000000000003</v>
      </c>
      <c r="CC110" s="191">
        <f>CB110/1000</f>
        <v>2.9260000000000001E-4</v>
      </c>
      <c r="CD110" s="187" t="s">
        <v>406</v>
      </c>
      <c r="CE110" s="189">
        <v>9.6000000000000002E-2</v>
      </c>
      <c r="CF110" s="189">
        <v>1.1000000000000001</v>
      </c>
      <c r="CG110" s="187" t="s">
        <v>242</v>
      </c>
      <c r="CH110" s="181">
        <v>2.8400000000000002E-2</v>
      </c>
      <c r="CI110" s="191">
        <f>CH110/1000</f>
        <v>2.8400000000000003E-5</v>
      </c>
      <c r="CJ110" s="187" t="s">
        <v>407</v>
      </c>
      <c r="CK110" s="189">
        <v>9.5999999999999992E-3</v>
      </c>
      <c r="CL110" s="189">
        <v>0.11</v>
      </c>
      <c r="CM110" s="187" t="s">
        <v>242</v>
      </c>
      <c r="CN110" s="116"/>
      <c r="CO110" s="100">
        <v>0.15</v>
      </c>
      <c r="CP110" s="100">
        <f t="shared" si="90"/>
        <v>0.17499999999999999</v>
      </c>
      <c r="CQ110" s="100">
        <v>0.2</v>
      </c>
      <c r="CR110" s="101">
        <v>0.15</v>
      </c>
      <c r="CS110" s="101">
        <v>0.2</v>
      </c>
    </row>
    <row r="111" spans="1:97" s="101" customFormat="1" ht="16.5" hidden="1" customHeight="1" thickBot="1" x14ac:dyDescent="0.3">
      <c r="A111" s="99"/>
      <c r="V111" s="103"/>
      <c r="AA111" s="104"/>
      <c r="AB111" s="104"/>
      <c r="AD111" s="104"/>
      <c r="AE111" s="105"/>
      <c r="AH111" s="106"/>
      <c r="AI111" s="106"/>
      <c r="AK111" s="104"/>
      <c r="AR111" s="104"/>
      <c r="AV111" s="104"/>
      <c r="AX111" s="104"/>
      <c r="BB111" s="104"/>
      <c r="BC111" s="104"/>
      <c r="BE111" s="104"/>
      <c r="BH111" s="99"/>
      <c r="BI111" s="186" t="s">
        <v>234</v>
      </c>
      <c r="BJ111" s="181" t="s">
        <v>252</v>
      </c>
      <c r="BK111" s="181">
        <v>9.6232000000000006</v>
      </c>
      <c r="BL111" s="187" t="s">
        <v>405</v>
      </c>
      <c r="BM111" s="189">
        <v>2.0399999999999997E-3</v>
      </c>
      <c r="BN111" s="189">
        <v>2.0399999999999997E-3</v>
      </c>
      <c r="BO111" s="188" t="s">
        <v>241</v>
      </c>
      <c r="BP111" s="191">
        <v>2.7199999999999998E-2</v>
      </c>
      <c r="BQ111" s="191">
        <f>BP111/1000</f>
        <v>2.7199999999999997E-5</v>
      </c>
      <c r="BR111" s="187" t="s">
        <v>406</v>
      </c>
      <c r="BS111" s="189">
        <v>0.01</v>
      </c>
      <c r="BT111" s="189">
        <v>0.1</v>
      </c>
      <c r="BU111" s="187" t="s">
        <v>242</v>
      </c>
      <c r="BV111" s="181">
        <v>5.4000000000000003E-3</v>
      </c>
      <c r="BW111" s="191">
        <f>BV111/1000</f>
        <v>5.4E-6</v>
      </c>
      <c r="BX111" s="187" t="s">
        <v>407</v>
      </c>
      <c r="BY111" s="189">
        <v>2E-3</v>
      </c>
      <c r="BZ111" s="189">
        <v>0.02</v>
      </c>
      <c r="CA111" s="187" t="s">
        <v>242</v>
      </c>
      <c r="CB111" s="193">
        <v>0</v>
      </c>
      <c r="CC111" s="193">
        <f>CB111/1000</f>
        <v>0</v>
      </c>
      <c r="CD111" s="187" t="s">
        <v>406</v>
      </c>
      <c r="CE111" s="189">
        <v>0</v>
      </c>
      <c r="CF111" s="189">
        <v>0</v>
      </c>
      <c r="CG111" s="187" t="s">
        <v>242</v>
      </c>
      <c r="CH111" s="194">
        <v>0</v>
      </c>
      <c r="CI111" s="193">
        <f>CH111/1000</f>
        <v>0</v>
      </c>
      <c r="CJ111" s="187" t="s">
        <v>407</v>
      </c>
      <c r="CK111" s="189">
        <v>0</v>
      </c>
      <c r="CL111" s="189">
        <v>0</v>
      </c>
      <c r="CM111" s="187" t="s">
        <v>242</v>
      </c>
      <c r="CN111" s="116"/>
      <c r="CO111" s="100">
        <v>0.15</v>
      </c>
      <c r="CP111" s="100">
        <f t="shared" si="90"/>
        <v>0.17499999999999999</v>
      </c>
      <c r="CQ111" s="100">
        <v>0.2</v>
      </c>
      <c r="CR111" s="101">
        <v>0.15</v>
      </c>
      <c r="CS111" s="101">
        <v>0.2</v>
      </c>
    </row>
    <row r="112" spans="1:97" s="101" customFormat="1" ht="16.5" hidden="1" customHeight="1" thickBot="1" x14ac:dyDescent="0.3">
      <c r="A112" s="99"/>
      <c r="V112" s="103"/>
      <c r="AA112" s="104"/>
      <c r="AB112" s="104"/>
      <c r="AD112" s="148"/>
      <c r="AE112" s="105"/>
      <c r="AH112" s="106"/>
      <c r="AI112" s="106"/>
      <c r="AK112" s="148"/>
      <c r="AR112" s="148"/>
      <c r="AV112" s="104"/>
      <c r="AX112" s="148"/>
      <c r="BB112" s="104"/>
      <c r="BC112" s="104"/>
      <c r="BD112" s="119"/>
      <c r="BE112" s="148"/>
      <c r="BH112" s="99"/>
      <c r="BI112" s="190" t="s">
        <v>123</v>
      </c>
      <c r="BJ112" s="181" t="s">
        <v>252</v>
      </c>
      <c r="BK112" s="181">
        <v>11.624599999999999</v>
      </c>
      <c r="BL112" s="187" t="s">
        <v>405</v>
      </c>
      <c r="BM112" s="189">
        <v>2.0699999999999998E-3</v>
      </c>
      <c r="BN112" s="189">
        <v>2.0699999999999998E-3</v>
      </c>
      <c r="BO112" s="188" t="s">
        <v>241</v>
      </c>
      <c r="BP112" s="181">
        <v>3.0200000000000001E-2</v>
      </c>
      <c r="BQ112" s="191">
        <f t="shared" ref="BQ112:BQ121" si="91">BP112/1000</f>
        <v>3.0200000000000002E-5</v>
      </c>
      <c r="BR112" s="187" t="s">
        <v>406</v>
      </c>
      <c r="BS112" s="189">
        <v>0.01</v>
      </c>
      <c r="BT112" s="189">
        <v>0.1</v>
      </c>
      <c r="BU112" s="187" t="s">
        <v>242</v>
      </c>
      <c r="BV112" s="181">
        <v>6.0000000000000001E-3</v>
      </c>
      <c r="BW112" s="191">
        <f t="shared" ref="BW112:BW121" si="92">BV112/1000</f>
        <v>6.0000000000000002E-6</v>
      </c>
      <c r="BX112" s="187" t="s">
        <v>407</v>
      </c>
      <c r="BY112" s="189">
        <v>2E-3</v>
      </c>
      <c r="BZ112" s="189">
        <v>0.02</v>
      </c>
      <c r="CA112" s="187" t="s">
        <v>242</v>
      </c>
      <c r="CB112" s="194">
        <v>0</v>
      </c>
      <c r="CC112" s="193">
        <f t="shared" ref="CC112:CC121" si="93">CB112/1000</f>
        <v>0</v>
      </c>
      <c r="CD112" s="187" t="s">
        <v>406</v>
      </c>
      <c r="CE112" s="189">
        <v>0</v>
      </c>
      <c r="CF112" s="189">
        <v>0</v>
      </c>
      <c r="CG112" s="187" t="s">
        <v>242</v>
      </c>
      <c r="CH112" s="194">
        <v>0</v>
      </c>
      <c r="CI112" s="193">
        <f t="shared" ref="CI112:CI121" si="94">CH112/1000</f>
        <v>0</v>
      </c>
      <c r="CJ112" s="187" t="s">
        <v>407</v>
      </c>
      <c r="CK112" s="189">
        <v>0</v>
      </c>
      <c r="CL112" s="189">
        <v>0</v>
      </c>
      <c r="CM112" s="187" t="s">
        <v>242</v>
      </c>
      <c r="CN112" s="116"/>
      <c r="CO112" s="100">
        <v>0.15</v>
      </c>
      <c r="CP112" s="100">
        <f t="shared" si="90"/>
        <v>0.17499999999999999</v>
      </c>
      <c r="CQ112" s="100">
        <v>0.2</v>
      </c>
      <c r="CR112" s="101">
        <v>0.15</v>
      </c>
      <c r="CS112" s="101">
        <v>0.2</v>
      </c>
    </row>
    <row r="113" spans="1:97" s="101" customFormat="1" ht="16.5" hidden="1" customHeight="1" thickBot="1" x14ac:dyDescent="0.3">
      <c r="A113" s="99"/>
      <c r="V113" s="103"/>
      <c r="AA113" s="104"/>
      <c r="AB113" s="104"/>
      <c r="AD113" s="148"/>
      <c r="AE113" s="105"/>
      <c r="AH113" s="106"/>
      <c r="AI113" s="106"/>
      <c r="AK113" s="148"/>
      <c r="AR113" s="148"/>
      <c r="AV113" s="104"/>
      <c r="AX113" s="148"/>
      <c r="BB113" s="104"/>
      <c r="BC113" s="104"/>
      <c r="BD113" s="119"/>
      <c r="BE113" s="148"/>
      <c r="BH113" s="99"/>
      <c r="BI113" s="190" t="s">
        <v>0</v>
      </c>
      <c r="BJ113" s="181" t="s">
        <v>252</v>
      </c>
      <c r="BK113" s="181">
        <v>11.2818</v>
      </c>
      <c r="BL113" s="187" t="s">
        <v>405</v>
      </c>
      <c r="BM113" s="189">
        <v>2.0599999999999998E-3</v>
      </c>
      <c r="BN113" s="189">
        <v>2.0599999999999998E-3</v>
      </c>
      <c r="BO113" s="188" t="s">
        <v>241</v>
      </c>
      <c r="BP113" s="181">
        <v>3.0300000000000001E-2</v>
      </c>
      <c r="BQ113" s="191">
        <f t="shared" si="91"/>
        <v>3.0300000000000001E-5</v>
      </c>
      <c r="BR113" s="187" t="s">
        <v>406</v>
      </c>
      <c r="BS113" s="189">
        <v>0.01</v>
      </c>
      <c r="BT113" s="189">
        <v>0.1</v>
      </c>
      <c r="BU113" s="187" t="s">
        <v>242</v>
      </c>
      <c r="BV113" s="181">
        <v>6.1000000000000004E-3</v>
      </c>
      <c r="BW113" s="191">
        <f t="shared" si="92"/>
        <v>6.1E-6</v>
      </c>
      <c r="BX113" s="187" t="s">
        <v>407</v>
      </c>
      <c r="BY113" s="189">
        <v>2E-3</v>
      </c>
      <c r="BZ113" s="189">
        <v>0.02</v>
      </c>
      <c r="CA113" s="187" t="s">
        <v>242</v>
      </c>
      <c r="CB113" s="194">
        <v>0</v>
      </c>
      <c r="CC113" s="193">
        <f t="shared" si="93"/>
        <v>0</v>
      </c>
      <c r="CD113" s="187" t="s">
        <v>406</v>
      </c>
      <c r="CE113" s="189">
        <v>0</v>
      </c>
      <c r="CF113" s="189">
        <v>0</v>
      </c>
      <c r="CG113" s="187" t="s">
        <v>242</v>
      </c>
      <c r="CH113" s="194">
        <v>0</v>
      </c>
      <c r="CI113" s="193">
        <f t="shared" si="94"/>
        <v>0</v>
      </c>
      <c r="CJ113" s="187" t="s">
        <v>407</v>
      </c>
      <c r="CK113" s="189">
        <v>0</v>
      </c>
      <c r="CL113" s="189">
        <v>0</v>
      </c>
      <c r="CM113" s="187" t="s">
        <v>242</v>
      </c>
      <c r="CN113" s="116"/>
      <c r="CO113" s="100">
        <v>0.15</v>
      </c>
      <c r="CP113" s="100">
        <f t="shared" si="90"/>
        <v>0.17499999999999999</v>
      </c>
      <c r="CQ113" s="100">
        <v>0.2</v>
      </c>
      <c r="CR113" s="101">
        <v>0.15</v>
      </c>
      <c r="CS113" s="101">
        <v>0.2</v>
      </c>
    </row>
    <row r="114" spans="1:97" s="101" customFormat="1" ht="16.5" hidden="1" customHeight="1" thickBot="1" x14ac:dyDescent="0.3">
      <c r="A114" s="99"/>
      <c r="V114" s="103"/>
      <c r="AA114" s="104"/>
      <c r="AB114" s="104"/>
      <c r="AD114" s="148"/>
      <c r="AE114" s="105"/>
      <c r="AH114" s="106"/>
      <c r="AI114" s="106"/>
      <c r="AK114" s="148"/>
      <c r="AR114" s="148"/>
      <c r="AV114" s="104"/>
      <c r="AX114" s="148"/>
      <c r="BB114" s="104"/>
      <c r="BC114" s="104"/>
      <c r="BD114" s="119"/>
      <c r="BE114" s="148"/>
      <c r="BH114" s="99"/>
      <c r="BI114" s="190" t="s">
        <v>235</v>
      </c>
      <c r="BJ114" s="181" t="s">
        <v>252</v>
      </c>
      <c r="BK114" s="181">
        <v>6.3869999999999996</v>
      </c>
      <c r="BL114" s="187" t="s">
        <v>405</v>
      </c>
      <c r="BM114" s="189">
        <v>2.5600000000000002E-3</v>
      </c>
      <c r="BN114" s="189">
        <v>2.5600000000000002E-3</v>
      </c>
      <c r="BO114" s="188" t="s">
        <v>241</v>
      </c>
      <c r="BP114" s="181">
        <v>2.3699999999999999E-2</v>
      </c>
      <c r="BQ114" s="191">
        <f t="shared" si="91"/>
        <v>2.37E-5</v>
      </c>
      <c r="BR114" s="187" t="s">
        <v>406</v>
      </c>
      <c r="BS114" s="189">
        <v>0.01</v>
      </c>
      <c r="BT114" s="189">
        <v>0.1</v>
      </c>
      <c r="BU114" s="187" t="s">
        <v>242</v>
      </c>
      <c r="BV114" s="181">
        <v>4.7000000000000002E-3</v>
      </c>
      <c r="BW114" s="191">
        <f t="shared" si="92"/>
        <v>4.6999999999999999E-6</v>
      </c>
      <c r="BX114" s="187" t="s">
        <v>407</v>
      </c>
      <c r="BY114" s="189">
        <v>2E-3</v>
      </c>
      <c r="BZ114" s="189">
        <v>0.02</v>
      </c>
      <c r="CA114" s="187" t="s">
        <v>242</v>
      </c>
      <c r="CB114" s="194">
        <v>0</v>
      </c>
      <c r="CC114" s="193">
        <f t="shared" si="93"/>
        <v>0</v>
      </c>
      <c r="CD114" s="187" t="s">
        <v>406</v>
      </c>
      <c r="CE114" s="189">
        <v>0</v>
      </c>
      <c r="CF114" s="189">
        <v>0</v>
      </c>
      <c r="CG114" s="187" t="s">
        <v>242</v>
      </c>
      <c r="CH114" s="194">
        <v>0</v>
      </c>
      <c r="CI114" s="193">
        <f t="shared" si="94"/>
        <v>0</v>
      </c>
      <c r="CJ114" s="187" t="s">
        <v>407</v>
      </c>
      <c r="CK114" s="189">
        <v>0</v>
      </c>
      <c r="CL114" s="189">
        <v>0</v>
      </c>
      <c r="CM114" s="187" t="s">
        <v>242</v>
      </c>
      <c r="CN114" s="116"/>
      <c r="CO114" s="100">
        <v>0.15</v>
      </c>
      <c r="CP114" s="100">
        <f t="shared" si="90"/>
        <v>0.17499999999999999</v>
      </c>
      <c r="CQ114" s="100">
        <v>0.2</v>
      </c>
      <c r="CR114" s="101">
        <v>0.15</v>
      </c>
      <c r="CS114" s="101">
        <v>0.2</v>
      </c>
    </row>
    <row r="115" spans="1:97" s="101" customFormat="1" ht="16.5" hidden="1" customHeight="1" thickBot="1" x14ac:dyDescent="0.3">
      <c r="A115" s="99"/>
      <c r="V115" s="103"/>
      <c r="AA115" s="104"/>
      <c r="AB115" s="104"/>
      <c r="AD115" s="148"/>
      <c r="AE115" s="105"/>
      <c r="AH115" s="106"/>
      <c r="AI115" s="106"/>
      <c r="AK115" s="148"/>
      <c r="AR115" s="148"/>
      <c r="AV115" s="104"/>
      <c r="AX115" s="148"/>
      <c r="BB115" s="104"/>
      <c r="BC115" s="104"/>
      <c r="BD115" s="119"/>
      <c r="BE115" s="148"/>
      <c r="BH115" s="99"/>
      <c r="BI115" s="190" t="s">
        <v>236</v>
      </c>
      <c r="BJ115" s="181" t="s">
        <v>252</v>
      </c>
      <c r="BK115" s="181">
        <v>9.8404000000000007</v>
      </c>
      <c r="BL115" s="187" t="s">
        <v>405</v>
      </c>
      <c r="BM115" s="189">
        <v>2.1299999999999999E-3</v>
      </c>
      <c r="BN115" s="189">
        <v>2.1299999999999999E-3</v>
      </c>
      <c r="BO115" s="188" t="s">
        <v>241</v>
      </c>
      <c r="BP115" s="181">
        <v>2.3300000000000001E-2</v>
      </c>
      <c r="BQ115" s="191">
        <f t="shared" si="91"/>
        <v>2.3300000000000001E-5</v>
      </c>
      <c r="BR115" s="187" t="s">
        <v>406</v>
      </c>
      <c r="BS115" s="189">
        <v>0.01</v>
      </c>
      <c r="BT115" s="189">
        <v>0.1</v>
      </c>
      <c r="BU115" s="187" t="s">
        <v>242</v>
      </c>
      <c r="BV115" s="181">
        <v>4.7000000000000002E-3</v>
      </c>
      <c r="BW115" s="191">
        <f t="shared" si="92"/>
        <v>4.6999999999999999E-6</v>
      </c>
      <c r="BX115" s="187" t="s">
        <v>407</v>
      </c>
      <c r="BY115" s="189">
        <v>2E-3</v>
      </c>
      <c r="BZ115" s="189">
        <v>0.02</v>
      </c>
      <c r="CA115" s="187" t="s">
        <v>242</v>
      </c>
      <c r="CB115" s="194">
        <v>0</v>
      </c>
      <c r="CC115" s="193">
        <f t="shared" si="93"/>
        <v>0</v>
      </c>
      <c r="CD115" s="187" t="s">
        <v>406</v>
      </c>
      <c r="CE115" s="189">
        <v>0</v>
      </c>
      <c r="CF115" s="189">
        <v>0</v>
      </c>
      <c r="CG115" s="187" t="s">
        <v>242</v>
      </c>
      <c r="CH115" s="194">
        <v>0</v>
      </c>
      <c r="CI115" s="193">
        <f t="shared" si="94"/>
        <v>0</v>
      </c>
      <c r="CJ115" s="187" t="s">
        <v>407</v>
      </c>
      <c r="CK115" s="189">
        <v>0</v>
      </c>
      <c r="CL115" s="189">
        <v>0</v>
      </c>
      <c r="CM115" s="187" t="s">
        <v>242</v>
      </c>
      <c r="CN115" s="116"/>
      <c r="CO115" s="100">
        <v>0.15</v>
      </c>
      <c r="CP115" s="100">
        <f t="shared" si="90"/>
        <v>0.17499999999999999</v>
      </c>
      <c r="CQ115" s="100">
        <v>0.2</v>
      </c>
      <c r="CR115" s="101">
        <v>0.15</v>
      </c>
      <c r="CS115" s="101">
        <v>0.2</v>
      </c>
    </row>
    <row r="116" spans="1:97" s="101" customFormat="1" ht="16.5" hidden="1" customHeight="1" thickBot="1" x14ac:dyDescent="0.3">
      <c r="A116" s="99"/>
      <c r="V116" s="103"/>
      <c r="AA116" s="104"/>
      <c r="AB116" s="104"/>
      <c r="AD116" s="148"/>
      <c r="AE116" s="105"/>
      <c r="AH116" s="106"/>
      <c r="AI116" s="106"/>
      <c r="AK116" s="148"/>
      <c r="AR116" s="148"/>
      <c r="AV116" s="104"/>
      <c r="AX116" s="148"/>
      <c r="BB116" s="104"/>
      <c r="BC116" s="104"/>
      <c r="BD116" s="119"/>
      <c r="BE116" s="148"/>
      <c r="BH116" s="99"/>
      <c r="BI116" s="190" t="s">
        <v>237</v>
      </c>
      <c r="BJ116" s="181" t="s">
        <v>252</v>
      </c>
      <c r="BK116" s="213">
        <v>0</v>
      </c>
      <c r="BL116" s="187" t="s">
        <v>405</v>
      </c>
      <c r="BM116" s="189">
        <v>2.98E-3</v>
      </c>
      <c r="BN116" s="189">
        <v>2.98E-3</v>
      </c>
      <c r="BO116" s="188" t="s">
        <v>241</v>
      </c>
      <c r="BP116" s="181">
        <v>2.63E-2</v>
      </c>
      <c r="BQ116" s="191">
        <f t="shared" si="91"/>
        <v>2.6299999999999999E-5</v>
      </c>
      <c r="BR116" s="187" t="s">
        <v>406</v>
      </c>
      <c r="BS116" s="189">
        <v>0.01</v>
      </c>
      <c r="BT116" s="189">
        <v>0.1</v>
      </c>
      <c r="BU116" s="187" t="s">
        <v>242</v>
      </c>
      <c r="BV116" s="181">
        <v>5.3E-3</v>
      </c>
      <c r="BW116" s="191">
        <f t="shared" si="92"/>
        <v>5.3000000000000001E-6</v>
      </c>
      <c r="BX116" s="187" t="s">
        <v>407</v>
      </c>
      <c r="BY116" s="189">
        <v>2E-3</v>
      </c>
      <c r="BZ116" s="189">
        <v>0.02</v>
      </c>
      <c r="CA116" s="187" t="s">
        <v>242</v>
      </c>
      <c r="CB116" s="181">
        <v>3.4200000000000001E-2</v>
      </c>
      <c r="CC116" s="191">
        <f t="shared" si="93"/>
        <v>3.4200000000000005E-5</v>
      </c>
      <c r="CD116" s="187" t="s">
        <v>406</v>
      </c>
      <c r="CE116" s="189">
        <v>1.6E-2</v>
      </c>
      <c r="CF116" s="189">
        <v>9.5000000000000001E-2</v>
      </c>
      <c r="CG116" s="187" t="s">
        <v>242</v>
      </c>
      <c r="CH116" s="181">
        <v>3.4200000000000001E-2</v>
      </c>
      <c r="CI116" s="191">
        <f t="shared" si="94"/>
        <v>3.4200000000000005E-5</v>
      </c>
      <c r="CJ116" s="187" t="s">
        <v>407</v>
      </c>
      <c r="CK116" s="189">
        <v>1.2999999999999999E-2</v>
      </c>
      <c r="CL116" s="189">
        <v>0.12</v>
      </c>
      <c r="CM116" s="187" t="s">
        <v>242</v>
      </c>
      <c r="CN116" s="116"/>
      <c r="CO116" s="100">
        <v>0.6</v>
      </c>
      <c r="CP116" s="100">
        <f t="shared" si="90"/>
        <v>0.8</v>
      </c>
      <c r="CQ116" s="100">
        <v>1</v>
      </c>
      <c r="CR116" s="101">
        <v>0.6</v>
      </c>
      <c r="CS116" s="101">
        <v>1</v>
      </c>
    </row>
    <row r="117" spans="1:97" s="101" customFormat="1" ht="16.5" hidden="1" customHeight="1" thickBot="1" x14ac:dyDescent="0.3">
      <c r="A117" s="99"/>
      <c r="V117" s="103"/>
      <c r="AA117" s="104"/>
      <c r="AB117" s="104"/>
      <c r="AD117" s="148"/>
      <c r="AE117" s="105"/>
      <c r="AH117" s="106"/>
      <c r="AI117" s="106"/>
      <c r="AK117" s="148"/>
      <c r="AR117" s="148"/>
      <c r="AV117" s="104"/>
      <c r="AX117" s="148"/>
      <c r="BB117" s="104"/>
      <c r="BC117" s="104"/>
      <c r="BD117" s="119"/>
      <c r="BE117" s="148"/>
      <c r="BH117" s="99"/>
      <c r="BI117" s="190" t="s">
        <v>368</v>
      </c>
      <c r="BJ117" s="181" t="s">
        <v>252</v>
      </c>
      <c r="BK117" s="213">
        <v>0</v>
      </c>
      <c r="BL117" s="187" t="s">
        <v>405</v>
      </c>
      <c r="BM117" s="189">
        <v>3.4799999999999996E-3</v>
      </c>
      <c r="BN117" s="189">
        <v>3.4799999999999996E-3</v>
      </c>
      <c r="BO117" s="188" t="s">
        <v>241</v>
      </c>
      <c r="BP117" s="181">
        <v>1.46E-2</v>
      </c>
      <c r="BQ117" s="191">
        <f t="shared" si="91"/>
        <v>1.4600000000000001E-5</v>
      </c>
      <c r="BR117" s="187" t="s">
        <v>406</v>
      </c>
      <c r="BS117" s="189">
        <v>0.01</v>
      </c>
      <c r="BT117" s="189">
        <v>0.1</v>
      </c>
      <c r="BU117" s="187" t="s">
        <v>242</v>
      </c>
      <c r="BV117" s="181">
        <v>2.8999999999999998E-3</v>
      </c>
      <c r="BW117" s="191">
        <f t="shared" si="92"/>
        <v>2.8999999999999998E-6</v>
      </c>
      <c r="BX117" s="187" t="s">
        <v>407</v>
      </c>
      <c r="BY117" s="189">
        <v>2E-3</v>
      </c>
      <c r="BZ117" s="189">
        <v>0.02</v>
      </c>
      <c r="CA117" s="187" t="s">
        <v>242</v>
      </c>
      <c r="CB117" s="181">
        <v>8.77E-2</v>
      </c>
      <c r="CC117" s="191">
        <f t="shared" si="93"/>
        <v>8.7700000000000004E-5</v>
      </c>
      <c r="CD117" s="187" t="s">
        <v>406</v>
      </c>
      <c r="CE117" s="189">
        <v>0.13</v>
      </c>
      <c r="CF117" s="189">
        <v>0.84</v>
      </c>
      <c r="CG117" s="187" t="s">
        <v>242</v>
      </c>
      <c r="CH117" s="181">
        <v>0.19989999999999999</v>
      </c>
      <c r="CI117" s="191">
        <f t="shared" si="94"/>
        <v>1.9990000000000001E-4</v>
      </c>
      <c r="CJ117" s="187" t="s">
        <v>407</v>
      </c>
      <c r="CK117" s="189">
        <v>0.13</v>
      </c>
      <c r="CL117" s="189">
        <v>1.23</v>
      </c>
      <c r="CM117" s="187" t="s">
        <v>242</v>
      </c>
      <c r="CN117" s="116"/>
      <c r="CO117" s="100">
        <v>0.6</v>
      </c>
      <c r="CP117" s="100">
        <f t="shared" si="90"/>
        <v>0.8</v>
      </c>
      <c r="CQ117" s="100">
        <v>1</v>
      </c>
      <c r="CR117" s="101">
        <v>0.6</v>
      </c>
      <c r="CS117" s="101">
        <v>1</v>
      </c>
    </row>
    <row r="118" spans="1:97" s="101" customFormat="1" ht="16.5" hidden="1" customHeight="1" thickBot="1" x14ac:dyDescent="0.3">
      <c r="A118" s="99"/>
      <c r="V118" s="103"/>
      <c r="AA118" s="104"/>
      <c r="AB118" s="104"/>
      <c r="AD118" s="148"/>
      <c r="AE118" s="105"/>
      <c r="AH118" s="106"/>
      <c r="AI118" s="106"/>
      <c r="AK118" s="148"/>
      <c r="AR118" s="148"/>
      <c r="AV118" s="104"/>
      <c r="AX118" s="148"/>
      <c r="BB118" s="104"/>
      <c r="BC118" s="104"/>
      <c r="BD118" s="119"/>
      <c r="BE118" s="148"/>
      <c r="BH118" s="99"/>
      <c r="BI118" s="190" t="s">
        <v>238</v>
      </c>
      <c r="BJ118" s="181" t="s">
        <v>252</v>
      </c>
      <c r="BK118" s="181">
        <v>10.178100000000001</v>
      </c>
      <c r="BL118" s="187" t="s">
        <v>405</v>
      </c>
      <c r="BM118" s="189">
        <v>2.0599999999999998E-3</v>
      </c>
      <c r="BN118" s="189">
        <v>2.0599999999999998E-3</v>
      </c>
      <c r="BO118" s="188" t="s">
        <v>241</v>
      </c>
      <c r="BP118" s="181">
        <v>2.7199999999999998E-2</v>
      </c>
      <c r="BQ118" s="191">
        <f t="shared" si="91"/>
        <v>2.7199999999999997E-5</v>
      </c>
      <c r="BR118" s="187" t="s">
        <v>406</v>
      </c>
      <c r="BS118" s="189">
        <v>0.01</v>
      </c>
      <c r="BT118" s="189">
        <v>0.1</v>
      </c>
      <c r="BU118" s="187" t="s">
        <v>242</v>
      </c>
      <c r="BV118" s="181">
        <v>5.4000000000000003E-3</v>
      </c>
      <c r="BW118" s="191">
        <f t="shared" si="92"/>
        <v>5.4E-6</v>
      </c>
      <c r="BX118" s="187" t="s">
        <v>407</v>
      </c>
      <c r="BY118" s="189">
        <v>2E-3</v>
      </c>
      <c r="BZ118" s="189">
        <v>0.02</v>
      </c>
      <c r="CA118" s="187" t="s">
        <v>242</v>
      </c>
      <c r="CB118" s="181">
        <v>0</v>
      </c>
      <c r="CC118" s="191">
        <f t="shared" si="93"/>
        <v>0</v>
      </c>
      <c r="CD118" s="187" t="s">
        <v>406</v>
      </c>
      <c r="CE118" s="189">
        <v>0</v>
      </c>
      <c r="CF118" s="189">
        <v>0</v>
      </c>
      <c r="CG118" s="187" t="s">
        <v>242</v>
      </c>
      <c r="CH118" s="181">
        <v>0</v>
      </c>
      <c r="CI118" s="191">
        <f t="shared" si="94"/>
        <v>0</v>
      </c>
      <c r="CJ118" s="187" t="s">
        <v>407</v>
      </c>
      <c r="CK118" s="189">
        <v>0</v>
      </c>
      <c r="CL118" s="189">
        <v>0</v>
      </c>
      <c r="CM118" s="187" t="s">
        <v>242</v>
      </c>
      <c r="CN118" s="116"/>
      <c r="CO118" s="100">
        <v>0.15</v>
      </c>
      <c r="CP118" s="100">
        <f t="shared" si="90"/>
        <v>0.17499999999999999</v>
      </c>
      <c r="CQ118" s="100">
        <v>0.2</v>
      </c>
      <c r="CR118" s="101">
        <v>0.15</v>
      </c>
      <c r="CS118" s="101">
        <v>0.2</v>
      </c>
    </row>
    <row r="119" spans="1:97" s="101" customFormat="1" ht="16.5" hidden="1" customHeight="1" thickBot="1" x14ac:dyDescent="0.3">
      <c r="A119" s="99"/>
      <c r="V119" s="103"/>
      <c r="AA119" s="104"/>
      <c r="AB119" s="104"/>
      <c r="AD119" s="148"/>
      <c r="AE119" s="105"/>
      <c r="AH119" s="106"/>
      <c r="AI119" s="106"/>
      <c r="AK119" s="148"/>
      <c r="AR119" s="148"/>
      <c r="AV119" s="104"/>
      <c r="AX119" s="148"/>
      <c r="BB119" s="104"/>
      <c r="BC119" s="104"/>
      <c r="BD119" s="119"/>
      <c r="BE119" s="148"/>
      <c r="BH119" s="99"/>
      <c r="BI119" s="190" t="s">
        <v>273</v>
      </c>
      <c r="BJ119" s="181" t="s">
        <v>252</v>
      </c>
      <c r="BK119" s="181">
        <v>8.8632000000000009</v>
      </c>
      <c r="BL119" s="187" t="s">
        <v>405</v>
      </c>
      <c r="BM119" s="189">
        <v>2.32E-3</v>
      </c>
      <c r="BN119" s="189">
        <v>2.32E-3</v>
      </c>
      <c r="BO119" s="188" t="s">
        <v>241</v>
      </c>
      <c r="BP119" s="181">
        <v>9.4999999999999998E-3</v>
      </c>
      <c r="BQ119" s="191">
        <f t="shared" si="91"/>
        <v>9.5000000000000005E-6</v>
      </c>
      <c r="BR119" s="187" t="s">
        <v>406</v>
      </c>
      <c r="BS119" s="189">
        <v>0.01</v>
      </c>
      <c r="BT119" s="189">
        <v>0.1</v>
      </c>
      <c r="BU119" s="187" t="s">
        <v>242</v>
      </c>
      <c r="BV119" s="181">
        <v>5.7000000000000002E-3</v>
      </c>
      <c r="BW119" s="191">
        <f t="shared" si="92"/>
        <v>5.7000000000000005E-6</v>
      </c>
      <c r="BX119" s="187" t="s">
        <v>407</v>
      </c>
      <c r="BY119" s="189">
        <v>2E-3</v>
      </c>
      <c r="BZ119" s="189">
        <v>0.02</v>
      </c>
      <c r="CA119" s="187" t="s">
        <v>242</v>
      </c>
      <c r="CB119" s="181">
        <v>3.6999999999999998E-2</v>
      </c>
      <c r="CC119" s="191">
        <f t="shared" si="93"/>
        <v>3.6999999999999998E-5</v>
      </c>
      <c r="CD119" s="187" t="s">
        <v>406</v>
      </c>
      <c r="CE119" s="189">
        <v>1.6E-2</v>
      </c>
      <c r="CF119" s="189">
        <v>9.5000000000000001E-2</v>
      </c>
      <c r="CG119" s="187" t="s">
        <v>242</v>
      </c>
      <c r="CH119" s="181">
        <v>3.6999999999999998E-2</v>
      </c>
      <c r="CI119" s="191">
        <f t="shared" si="94"/>
        <v>3.6999999999999998E-5</v>
      </c>
      <c r="CJ119" s="187" t="s">
        <v>407</v>
      </c>
      <c r="CK119" s="189">
        <v>1.2999999999999999E-2</v>
      </c>
      <c r="CL119" s="189">
        <v>0.12</v>
      </c>
      <c r="CM119" s="187" t="s">
        <v>242</v>
      </c>
      <c r="CN119" s="116"/>
      <c r="CO119" s="100">
        <v>0.15</v>
      </c>
      <c r="CP119" s="100">
        <f t="shared" si="90"/>
        <v>0.17499999999999999</v>
      </c>
      <c r="CQ119" s="100">
        <v>0.2</v>
      </c>
      <c r="CR119" s="101">
        <v>0.15</v>
      </c>
      <c r="CS119" s="101">
        <v>0.2</v>
      </c>
    </row>
    <row r="120" spans="1:97" s="101" customFormat="1" ht="16.5" hidden="1" customHeight="1" thickBot="1" x14ac:dyDescent="0.3">
      <c r="A120" s="99"/>
      <c r="V120" s="103"/>
      <c r="AA120" s="104"/>
      <c r="AB120" s="104"/>
      <c r="AD120" s="148"/>
      <c r="AE120" s="105"/>
      <c r="AH120" s="106"/>
      <c r="AI120" s="106"/>
      <c r="AK120" s="148"/>
      <c r="AR120" s="148"/>
      <c r="AV120" s="104"/>
      <c r="AX120" s="148"/>
      <c r="BB120" s="104"/>
      <c r="BC120" s="104"/>
      <c r="BD120" s="119"/>
      <c r="BE120" s="148"/>
      <c r="BH120" s="99"/>
      <c r="BI120" s="190" t="s">
        <v>272</v>
      </c>
      <c r="BJ120" s="181" t="s">
        <v>252</v>
      </c>
      <c r="BK120" s="181">
        <v>10.2765</v>
      </c>
      <c r="BL120" s="187" t="s">
        <v>405</v>
      </c>
      <c r="BM120" s="189">
        <v>2.0499999999999997E-3</v>
      </c>
      <c r="BN120" s="189">
        <v>2.0499999999999997E-3</v>
      </c>
      <c r="BO120" s="188" t="s">
        <v>241</v>
      </c>
      <c r="BP120" s="181">
        <v>9.5999999999999992E-3</v>
      </c>
      <c r="BQ120" s="191">
        <f>BP120/1000</f>
        <v>9.5999999999999996E-6</v>
      </c>
      <c r="BR120" s="187" t="s">
        <v>406</v>
      </c>
      <c r="BS120" s="189">
        <v>0.01</v>
      </c>
      <c r="BT120" s="189">
        <v>0.1</v>
      </c>
      <c r="BU120" s="187" t="s">
        <v>242</v>
      </c>
      <c r="BV120" s="181">
        <v>5.7999999999999996E-3</v>
      </c>
      <c r="BW120" s="191">
        <f>BV120/1000</f>
        <v>5.7999999999999995E-6</v>
      </c>
      <c r="BX120" s="187" t="s">
        <v>407</v>
      </c>
      <c r="BY120" s="189">
        <v>2E-3</v>
      </c>
      <c r="BZ120" s="189">
        <v>0.02</v>
      </c>
      <c r="CA120" s="187" t="s">
        <v>242</v>
      </c>
      <c r="CB120" s="181">
        <v>3.7400000000000003E-2</v>
      </c>
      <c r="CC120" s="191">
        <f>CB120/1000</f>
        <v>3.7400000000000001E-5</v>
      </c>
      <c r="CD120" s="187" t="s">
        <v>406</v>
      </c>
      <c r="CE120" s="189">
        <v>1.6E-2</v>
      </c>
      <c r="CF120" s="189">
        <v>9.5000000000000001E-2</v>
      </c>
      <c r="CG120" s="187" t="s">
        <v>242</v>
      </c>
      <c r="CH120" s="181">
        <v>3.7400000000000003E-2</v>
      </c>
      <c r="CI120" s="191">
        <f>CH120/1000</f>
        <v>3.7400000000000001E-5</v>
      </c>
      <c r="CJ120" s="187" t="s">
        <v>407</v>
      </c>
      <c r="CK120" s="189">
        <v>1.2999999999999999E-2</v>
      </c>
      <c r="CL120" s="189">
        <v>0.12</v>
      </c>
      <c r="CM120" s="187" t="s">
        <v>242</v>
      </c>
      <c r="CN120" s="116"/>
      <c r="CO120" s="100">
        <v>0.15</v>
      </c>
      <c r="CP120" s="100">
        <f t="shared" si="90"/>
        <v>0.17499999999999999</v>
      </c>
      <c r="CQ120" s="100">
        <v>0.2</v>
      </c>
      <c r="CR120" s="101">
        <v>0.15</v>
      </c>
      <c r="CS120" s="101">
        <v>0.2</v>
      </c>
    </row>
    <row r="121" spans="1:97" s="101" customFormat="1" ht="16.5" hidden="1" customHeight="1" thickBot="1" x14ac:dyDescent="0.3">
      <c r="A121" s="99"/>
      <c r="V121" s="103"/>
      <c r="AA121" s="104"/>
      <c r="AB121" s="104"/>
      <c r="AD121" s="148"/>
      <c r="AE121" s="105"/>
      <c r="AH121" s="106"/>
      <c r="AI121" s="106"/>
      <c r="AK121" s="148"/>
      <c r="AR121" s="148"/>
      <c r="AV121" s="104"/>
      <c r="AX121" s="148"/>
      <c r="BB121" s="104"/>
      <c r="BC121" s="104"/>
      <c r="BD121" s="119"/>
      <c r="BE121" s="148"/>
      <c r="BH121" s="99"/>
      <c r="BI121" s="190" t="s">
        <v>239</v>
      </c>
      <c r="BJ121" s="181" t="s">
        <v>252</v>
      </c>
      <c r="BK121" s="181">
        <v>7.6181000000000001</v>
      </c>
      <c r="BL121" s="187" t="s">
        <v>405</v>
      </c>
      <c r="BM121" s="189">
        <v>2.3400000000000001E-3</v>
      </c>
      <c r="BN121" s="189">
        <v>2.3400000000000001E-3</v>
      </c>
      <c r="BO121" s="188" t="s">
        <v>241</v>
      </c>
      <c r="BP121" s="181">
        <v>2.3900000000000001E-2</v>
      </c>
      <c r="BQ121" s="191">
        <f t="shared" si="91"/>
        <v>2.3900000000000002E-5</v>
      </c>
      <c r="BR121" s="187" t="s">
        <v>406</v>
      </c>
      <c r="BS121" s="189">
        <v>0.01</v>
      </c>
      <c r="BT121" s="189">
        <v>0.1</v>
      </c>
      <c r="BU121" s="187" t="s">
        <v>242</v>
      </c>
      <c r="BV121" s="181">
        <v>4.7999999999999996E-3</v>
      </c>
      <c r="BW121" s="191">
        <f t="shared" si="92"/>
        <v>4.7999999999999998E-6</v>
      </c>
      <c r="BX121" s="187" t="s">
        <v>407</v>
      </c>
      <c r="BY121" s="189">
        <v>2E-3</v>
      </c>
      <c r="BZ121" s="189">
        <v>0.02</v>
      </c>
      <c r="CA121" s="187" t="s">
        <v>242</v>
      </c>
      <c r="CB121" s="181">
        <v>0.26269999999999999</v>
      </c>
      <c r="CC121" s="191">
        <f t="shared" si="93"/>
        <v>2.6269999999999999E-4</v>
      </c>
      <c r="CD121" s="187" t="s">
        <v>406</v>
      </c>
      <c r="CE121" s="189">
        <v>9.6000000000000002E-2</v>
      </c>
      <c r="CF121" s="189">
        <v>1.1000000000000001</v>
      </c>
      <c r="CG121" s="187" t="s">
        <v>242</v>
      </c>
      <c r="CH121" s="181">
        <v>2.5499999999999998E-2</v>
      </c>
      <c r="CI121" s="191">
        <f t="shared" si="94"/>
        <v>2.55E-5</v>
      </c>
      <c r="CJ121" s="187" t="s">
        <v>407</v>
      </c>
      <c r="CK121" s="189">
        <v>9.5999999999999992E-3</v>
      </c>
      <c r="CL121" s="189">
        <v>0.11</v>
      </c>
      <c r="CM121" s="187" t="s">
        <v>242</v>
      </c>
      <c r="CN121" s="116"/>
      <c r="CO121" s="100">
        <v>0.15</v>
      </c>
      <c r="CP121" s="100">
        <f t="shared" si="90"/>
        <v>0.17499999999999999</v>
      </c>
      <c r="CQ121" s="100">
        <v>0.2</v>
      </c>
      <c r="CR121" s="101">
        <v>0.15</v>
      </c>
      <c r="CS121" s="101">
        <v>0.2</v>
      </c>
    </row>
    <row r="122" spans="1:97" s="101" customFormat="1" hidden="1" x14ac:dyDescent="0.25">
      <c r="A122" s="99"/>
      <c r="V122" s="103"/>
      <c r="AA122" s="104"/>
      <c r="AB122" s="104"/>
      <c r="AD122" s="104"/>
      <c r="AE122" s="105"/>
      <c r="AH122" s="106"/>
      <c r="AI122" s="106"/>
      <c r="AK122" s="104"/>
      <c r="AR122" s="104"/>
      <c r="AV122" s="104"/>
      <c r="AX122" s="104"/>
      <c r="BB122" s="104"/>
      <c r="BC122" s="104"/>
      <c r="BE122" s="104"/>
      <c r="BH122" s="99"/>
      <c r="BI122" s="102"/>
      <c r="BJ122" s="178"/>
      <c r="BK122" s="178"/>
      <c r="BL122" s="178"/>
      <c r="BM122" s="169"/>
      <c r="BN122" s="169"/>
      <c r="BO122" s="169"/>
      <c r="BP122" s="192"/>
      <c r="BQ122" s="192"/>
      <c r="BR122" s="192"/>
      <c r="BS122" s="192"/>
      <c r="BT122" s="192"/>
      <c r="BU122" s="192"/>
      <c r="BV122" s="178"/>
      <c r="BW122" s="192"/>
      <c r="BX122" s="192"/>
      <c r="BY122" s="178"/>
      <c r="BZ122" s="178"/>
      <c r="CA122" s="178"/>
      <c r="CB122" s="180"/>
      <c r="CC122" s="192"/>
      <c r="CD122" s="192"/>
      <c r="CE122" s="180"/>
      <c r="CF122" s="180"/>
      <c r="CG122" s="180"/>
      <c r="CH122" s="180"/>
      <c r="CI122" s="192"/>
      <c r="CJ122" s="192"/>
      <c r="CK122" s="180"/>
      <c r="CL122" s="180"/>
      <c r="CM122" s="180"/>
      <c r="CN122" s="116"/>
      <c r="CO122" s="100"/>
      <c r="CP122" s="100"/>
      <c r="CQ122" s="100"/>
    </row>
    <row r="123" spans="1:97" s="101" customFormat="1" ht="15.75" hidden="1" thickBot="1" x14ac:dyDescent="0.3">
      <c r="A123" s="99"/>
      <c r="V123" s="103"/>
      <c r="AA123" s="104"/>
      <c r="AB123" s="104"/>
      <c r="AD123" s="104"/>
      <c r="AE123" s="105"/>
      <c r="AH123" s="106"/>
      <c r="AI123" s="106"/>
      <c r="AK123" s="104"/>
      <c r="AR123" s="104"/>
      <c r="AV123" s="104"/>
      <c r="AX123" s="104"/>
      <c r="BB123" s="104"/>
      <c r="BC123" s="104"/>
      <c r="BE123" s="104"/>
      <c r="BH123" s="99"/>
      <c r="BI123" s="102"/>
      <c r="BJ123" s="178"/>
      <c r="BK123" s="178"/>
      <c r="BL123" s="178"/>
      <c r="BM123" s="169"/>
      <c r="BN123" s="169"/>
      <c r="BO123" s="169"/>
      <c r="BP123" s="192"/>
      <c r="BQ123" s="192"/>
      <c r="BR123" s="192"/>
      <c r="BS123" s="192"/>
      <c r="BT123" s="192"/>
      <c r="BU123" s="192"/>
      <c r="BV123" s="178"/>
      <c r="BW123" s="192"/>
      <c r="BX123" s="192"/>
      <c r="BY123" s="178"/>
      <c r="BZ123" s="178"/>
      <c r="CA123" s="178"/>
      <c r="CB123" s="180"/>
      <c r="CC123" s="192"/>
      <c r="CD123" s="192"/>
      <c r="CE123" s="180"/>
      <c r="CF123" s="180"/>
      <c r="CG123" s="180"/>
      <c r="CH123" s="180"/>
      <c r="CI123" s="192"/>
      <c r="CJ123" s="192"/>
      <c r="CK123" s="180"/>
      <c r="CL123" s="180"/>
      <c r="CM123" s="180"/>
      <c r="CN123" s="116"/>
      <c r="CO123" s="100"/>
      <c r="CP123" s="100"/>
      <c r="CQ123" s="100"/>
    </row>
    <row r="124" spans="1:97" s="101" customFormat="1" ht="26.25" hidden="1" customHeight="1" thickBot="1" x14ac:dyDescent="0.3">
      <c r="A124" s="99"/>
      <c r="V124" s="103"/>
      <c r="AA124" s="104"/>
      <c r="AB124" s="104"/>
      <c r="AD124" s="104"/>
      <c r="AE124" s="105"/>
      <c r="AH124" s="106"/>
      <c r="AI124" s="106"/>
      <c r="AK124" s="104"/>
      <c r="AR124" s="104"/>
      <c r="AV124" s="104"/>
      <c r="AX124" s="104"/>
      <c r="BB124" s="104"/>
      <c r="BC124" s="104"/>
      <c r="BE124" s="104"/>
      <c r="BH124" s="99"/>
      <c r="BI124" s="1606" t="s">
        <v>232</v>
      </c>
      <c r="BJ124" s="251"/>
      <c r="BK124" s="1606" t="s">
        <v>267</v>
      </c>
      <c r="BL124" s="251"/>
      <c r="BM124" s="1606" t="s">
        <v>233</v>
      </c>
      <c r="BN124" s="1606" t="s">
        <v>233</v>
      </c>
      <c r="BO124" s="1606" t="s">
        <v>240</v>
      </c>
      <c r="BP124" s="1608" t="s">
        <v>172</v>
      </c>
      <c r="BQ124" s="1609"/>
      <c r="BR124" s="1609"/>
      <c r="BS124" s="1609"/>
      <c r="BT124" s="1609"/>
      <c r="BU124" s="1609"/>
      <c r="BV124" s="1609"/>
      <c r="BW124" s="1609"/>
      <c r="BX124" s="1609"/>
      <c r="BY124" s="1609"/>
      <c r="BZ124" s="1609"/>
      <c r="CA124" s="1610"/>
      <c r="CB124" s="1608" t="s">
        <v>173</v>
      </c>
      <c r="CC124" s="1609"/>
      <c r="CD124" s="1609"/>
      <c r="CE124" s="1609"/>
      <c r="CF124" s="1609"/>
      <c r="CG124" s="1609"/>
      <c r="CH124" s="1609"/>
      <c r="CI124" s="1609"/>
      <c r="CJ124" s="1609"/>
      <c r="CK124" s="1609"/>
      <c r="CL124" s="1609"/>
      <c r="CM124" s="1610"/>
      <c r="CN124" s="116"/>
      <c r="CO124" s="100"/>
      <c r="CP124" s="100"/>
      <c r="CQ124" s="100"/>
    </row>
    <row r="125" spans="1:97" s="101" customFormat="1" ht="59.25" hidden="1" customHeight="1" thickBot="1" x14ac:dyDescent="0.3">
      <c r="A125" s="99"/>
      <c r="V125" s="103"/>
      <c r="AA125" s="104"/>
      <c r="AB125" s="104"/>
      <c r="AD125" s="104"/>
      <c r="AE125" s="105"/>
      <c r="AH125" s="106"/>
      <c r="AI125" s="106"/>
      <c r="AK125" s="104"/>
      <c r="AR125" s="104"/>
      <c r="AV125" s="104"/>
      <c r="AX125" s="104"/>
      <c r="BB125" s="104"/>
      <c r="BC125" s="104"/>
      <c r="BE125" s="104"/>
      <c r="BH125" s="99"/>
      <c r="BI125" s="1607"/>
      <c r="BJ125" s="252" t="s">
        <v>253</v>
      </c>
      <c r="BK125" s="1607"/>
      <c r="BL125" s="252" t="s">
        <v>251</v>
      </c>
      <c r="BM125" s="1607"/>
      <c r="BN125" s="1607"/>
      <c r="BO125" s="1607"/>
      <c r="BP125" s="185" t="s">
        <v>268</v>
      </c>
      <c r="BQ125" s="185" t="s">
        <v>269</v>
      </c>
      <c r="BR125" s="252" t="s">
        <v>251</v>
      </c>
      <c r="BS125" s="185" t="s">
        <v>233</v>
      </c>
      <c r="BT125" s="185" t="s">
        <v>233</v>
      </c>
      <c r="BU125" s="185" t="s">
        <v>240</v>
      </c>
      <c r="BV125" s="185" t="s">
        <v>270</v>
      </c>
      <c r="BW125" s="185" t="s">
        <v>271</v>
      </c>
      <c r="BX125" s="252" t="s">
        <v>251</v>
      </c>
      <c r="BY125" s="185" t="s">
        <v>233</v>
      </c>
      <c r="BZ125" s="185" t="s">
        <v>233</v>
      </c>
      <c r="CA125" s="185" t="s">
        <v>240</v>
      </c>
      <c r="CB125" s="185" t="s">
        <v>268</v>
      </c>
      <c r="CC125" s="185" t="s">
        <v>269</v>
      </c>
      <c r="CD125" s="252" t="s">
        <v>251</v>
      </c>
      <c r="CE125" s="185" t="s">
        <v>233</v>
      </c>
      <c r="CF125" s="185" t="s">
        <v>233</v>
      </c>
      <c r="CG125" s="185" t="s">
        <v>240</v>
      </c>
      <c r="CH125" s="185" t="s">
        <v>270</v>
      </c>
      <c r="CI125" s="185" t="s">
        <v>271</v>
      </c>
      <c r="CJ125" s="252" t="s">
        <v>251</v>
      </c>
      <c r="CK125" s="185" t="s">
        <v>233</v>
      </c>
      <c r="CL125" s="185" t="s">
        <v>233</v>
      </c>
      <c r="CM125" s="185" t="s">
        <v>240</v>
      </c>
      <c r="CN125" s="116"/>
      <c r="CO125" s="100"/>
      <c r="CP125" s="100"/>
      <c r="CQ125" s="100"/>
    </row>
    <row r="126" spans="1:97" s="101" customFormat="1" ht="17.25" hidden="1" thickBot="1" x14ac:dyDescent="0.3">
      <c r="A126" s="99"/>
      <c r="V126" s="103"/>
      <c r="AA126" s="104"/>
      <c r="AB126" s="104"/>
      <c r="AD126" s="104"/>
      <c r="AE126" s="105"/>
      <c r="AH126" s="106"/>
      <c r="AI126" s="106"/>
      <c r="AK126" s="104"/>
      <c r="AR126" s="104"/>
      <c r="AV126" s="104"/>
      <c r="AX126" s="104"/>
      <c r="BB126" s="104"/>
      <c r="BC126" s="104"/>
      <c r="BE126" s="104"/>
      <c r="BF126" s="119"/>
      <c r="BH126" s="99"/>
      <c r="BI126" s="186" t="s">
        <v>274</v>
      </c>
      <c r="BJ126" s="187" t="s">
        <v>408</v>
      </c>
      <c r="BK126" s="214">
        <v>0</v>
      </c>
      <c r="BL126" s="187" t="s">
        <v>409</v>
      </c>
      <c r="BM126" s="189">
        <v>8.8870000000000005E-2</v>
      </c>
      <c r="BN126" s="189">
        <v>8.8870000000000005E-2</v>
      </c>
      <c r="BO126" s="188" t="s">
        <v>241</v>
      </c>
      <c r="BP126" s="195">
        <v>2.1999999999999999E-2</v>
      </c>
      <c r="BQ126" s="195">
        <f>BP126/1000</f>
        <v>2.1999999999999999E-5</v>
      </c>
      <c r="BR126" s="187" t="s">
        <v>410</v>
      </c>
      <c r="BS126" s="189">
        <v>3.0000000000000001E-3</v>
      </c>
      <c r="BT126" s="189">
        <v>0.03</v>
      </c>
      <c r="BU126" s="187" t="s">
        <v>242</v>
      </c>
      <c r="BV126" s="195">
        <v>2.2000000000000001E-3</v>
      </c>
      <c r="BW126" s="195">
        <f>BV126/1000</f>
        <v>2.2000000000000001E-6</v>
      </c>
      <c r="BX126" s="187" t="s">
        <v>515</v>
      </c>
      <c r="BY126" s="189">
        <v>2.9999999999999997E-4</v>
      </c>
      <c r="BZ126" s="189">
        <v>0.03</v>
      </c>
      <c r="CA126" s="187" t="s">
        <v>242</v>
      </c>
      <c r="CB126" s="181">
        <v>0</v>
      </c>
      <c r="CC126" s="195">
        <f>CB126/1000</f>
        <v>0</v>
      </c>
      <c r="CD126" s="187" t="s">
        <v>410</v>
      </c>
      <c r="CE126" s="189">
        <v>0</v>
      </c>
      <c r="CF126" s="189">
        <v>0</v>
      </c>
      <c r="CG126" s="187" t="s">
        <v>242</v>
      </c>
      <c r="CH126" s="181">
        <v>0</v>
      </c>
      <c r="CI126" s="195">
        <f>CH126/1000</f>
        <v>0</v>
      </c>
      <c r="CJ126" s="187" t="s">
        <v>515</v>
      </c>
      <c r="CK126" s="189">
        <v>0</v>
      </c>
      <c r="CL126" s="189">
        <v>0</v>
      </c>
      <c r="CM126" s="187" t="s">
        <v>242</v>
      </c>
      <c r="CN126" s="116"/>
      <c r="CO126" s="100">
        <v>0.6</v>
      </c>
      <c r="CP126" s="100">
        <f t="shared" ref="CP126:CP143" si="95">(CO126+CQ126)/2</f>
        <v>0.8</v>
      </c>
      <c r="CQ126" s="100">
        <v>1</v>
      </c>
      <c r="CR126" s="101">
        <v>0.6</v>
      </c>
      <c r="CS126" s="101">
        <v>1</v>
      </c>
    </row>
    <row r="127" spans="1:97" s="101" customFormat="1" ht="17.25" hidden="1" thickBot="1" x14ac:dyDescent="0.3">
      <c r="A127" s="99"/>
      <c r="V127" s="103"/>
      <c r="AA127" s="104"/>
      <c r="AB127" s="104"/>
      <c r="AD127" s="104"/>
      <c r="AE127" s="105"/>
      <c r="AH127" s="106"/>
      <c r="AI127" s="106"/>
      <c r="AK127" s="104"/>
      <c r="AR127" s="104"/>
      <c r="AV127" s="104"/>
      <c r="AX127" s="104"/>
      <c r="BB127" s="104"/>
      <c r="BC127" s="104"/>
      <c r="BE127" s="104"/>
      <c r="BF127" s="119"/>
      <c r="BH127" s="99"/>
      <c r="BI127" s="190" t="s">
        <v>243</v>
      </c>
      <c r="BJ127" s="187" t="s">
        <v>408</v>
      </c>
      <c r="BK127" s="196">
        <v>0.6129</v>
      </c>
      <c r="BL127" s="187" t="s">
        <v>409</v>
      </c>
      <c r="BM127" s="189">
        <v>0.18914999999999998</v>
      </c>
      <c r="BN127" s="189">
        <v>0.18914999999999998</v>
      </c>
      <c r="BO127" s="188" t="s">
        <v>241</v>
      </c>
      <c r="BP127" s="195">
        <v>1.4999999999999999E-2</v>
      </c>
      <c r="BQ127" s="195">
        <f t="shared" ref="BQ127:BQ143" si="96">BP127/1000</f>
        <v>1.4999999999999999E-5</v>
      </c>
      <c r="BR127" s="187" t="s">
        <v>410</v>
      </c>
      <c r="BS127" s="189">
        <v>3.0000000000000001E-3</v>
      </c>
      <c r="BT127" s="189">
        <v>0.03</v>
      </c>
      <c r="BU127" s="187" t="s">
        <v>242</v>
      </c>
      <c r="BV127" s="195">
        <v>1.5E-3</v>
      </c>
      <c r="BW127" s="195">
        <f t="shared" ref="BW127:BW143" si="97">BV127/1000</f>
        <v>1.5E-6</v>
      </c>
      <c r="BX127" s="187" t="s">
        <v>515</v>
      </c>
      <c r="BY127" s="189">
        <v>2.9999999999999997E-4</v>
      </c>
      <c r="BZ127" s="189">
        <v>0.03</v>
      </c>
      <c r="CA127" s="187" t="s">
        <v>242</v>
      </c>
      <c r="CB127" s="181">
        <v>0</v>
      </c>
      <c r="CC127" s="195">
        <f t="shared" ref="CC127:CC143" si="98">CB127/1000</f>
        <v>0</v>
      </c>
      <c r="CD127" s="187" t="s">
        <v>410</v>
      </c>
      <c r="CE127" s="189">
        <v>0</v>
      </c>
      <c r="CF127" s="189">
        <v>0</v>
      </c>
      <c r="CG127" s="187" t="s">
        <v>242</v>
      </c>
      <c r="CH127" s="181">
        <v>0</v>
      </c>
      <c r="CI127" s="195">
        <f t="shared" ref="CI127:CI143" si="99">CH127/1000</f>
        <v>0</v>
      </c>
      <c r="CJ127" s="187" t="s">
        <v>515</v>
      </c>
      <c r="CK127" s="189">
        <v>0</v>
      </c>
      <c r="CL127" s="189">
        <v>0</v>
      </c>
      <c r="CM127" s="187" t="s">
        <v>242</v>
      </c>
      <c r="CN127" s="116"/>
      <c r="CO127" s="100">
        <v>0.15</v>
      </c>
      <c r="CP127" s="100">
        <f t="shared" si="95"/>
        <v>0.17499999999999999</v>
      </c>
      <c r="CQ127" s="100">
        <v>0.2</v>
      </c>
      <c r="CR127" s="101">
        <v>0.15</v>
      </c>
      <c r="CS127" s="101">
        <v>0.2</v>
      </c>
    </row>
    <row r="128" spans="1:97" s="101" customFormat="1" ht="17.25" hidden="1" thickBot="1" x14ac:dyDescent="0.3">
      <c r="A128" s="99"/>
      <c r="V128" s="103"/>
      <c r="AA128" s="104"/>
      <c r="AB128" s="104"/>
      <c r="AD128" s="104"/>
      <c r="AE128" s="105"/>
      <c r="AH128" s="106"/>
      <c r="AI128" s="106"/>
      <c r="AK128" s="104"/>
      <c r="AR128" s="104"/>
      <c r="AV128" s="104"/>
      <c r="AX128" s="104"/>
      <c r="BB128" s="104"/>
      <c r="BC128" s="104"/>
      <c r="BE128" s="104"/>
      <c r="BF128" s="119"/>
      <c r="BH128" s="99"/>
      <c r="BI128" s="190" t="s">
        <v>427</v>
      </c>
      <c r="BJ128" s="187" t="s">
        <v>408</v>
      </c>
      <c r="BK128" s="196">
        <v>1.9805999999999999</v>
      </c>
      <c r="BL128" s="187" t="s">
        <v>409</v>
      </c>
      <c r="BM128" s="189">
        <v>6.5890000000000004E-2</v>
      </c>
      <c r="BN128" s="189">
        <v>6.5890000000000004E-2</v>
      </c>
      <c r="BO128" s="188" t="s">
        <v>241</v>
      </c>
      <c r="BP128" s="195">
        <v>3.5700000000000003E-2</v>
      </c>
      <c r="BQ128" s="195">
        <f>BP128/1000</f>
        <v>3.57E-5</v>
      </c>
      <c r="BR128" s="187" t="s">
        <v>410</v>
      </c>
      <c r="BS128" s="189">
        <v>3.0000000000000001E-3</v>
      </c>
      <c r="BT128" s="189">
        <v>0.03</v>
      </c>
      <c r="BU128" s="187" t="s">
        <v>242</v>
      </c>
      <c r="BV128" s="195">
        <v>3.5999999999999999E-3</v>
      </c>
      <c r="BW128" s="195">
        <f>BV128/1000</f>
        <v>3.5999999999999998E-6</v>
      </c>
      <c r="BX128" s="187" t="s">
        <v>515</v>
      </c>
      <c r="BY128" s="189">
        <v>2.9999999999999997E-4</v>
      </c>
      <c r="BZ128" s="189">
        <v>0.03</v>
      </c>
      <c r="CA128" s="187" t="s">
        <v>242</v>
      </c>
      <c r="CB128" s="181">
        <v>3.28</v>
      </c>
      <c r="CC128" s="195">
        <f>CB128/1000</f>
        <v>3.2799999999999999E-3</v>
      </c>
      <c r="CD128" s="187" t="s">
        <v>410</v>
      </c>
      <c r="CE128" s="189">
        <v>0.5</v>
      </c>
      <c r="CF128" s="189">
        <v>15.4</v>
      </c>
      <c r="CG128" s="187" t="s">
        <v>242</v>
      </c>
      <c r="CH128" s="181">
        <v>0.107</v>
      </c>
      <c r="CI128" s="195">
        <f>CH128/1000</f>
        <v>1.07E-4</v>
      </c>
      <c r="CJ128" s="187" t="s">
        <v>515</v>
      </c>
      <c r="CK128" s="189">
        <v>0.01</v>
      </c>
      <c r="CL128" s="189">
        <v>0.77</v>
      </c>
      <c r="CM128" s="187" t="s">
        <v>242</v>
      </c>
      <c r="CN128" s="116"/>
      <c r="CO128" s="100">
        <v>0.15</v>
      </c>
      <c r="CP128" s="100">
        <f t="shared" si="95"/>
        <v>0.17499999999999999</v>
      </c>
      <c r="CQ128" s="100">
        <v>0.2</v>
      </c>
      <c r="CR128" s="101">
        <v>0.15</v>
      </c>
      <c r="CS128" s="101">
        <v>0.2</v>
      </c>
    </row>
    <row r="129" spans="1:97" s="101" customFormat="1" ht="17.25" hidden="1" thickBot="1" x14ac:dyDescent="0.3">
      <c r="A129" s="99"/>
      <c r="V129" s="103"/>
      <c r="AA129" s="104"/>
      <c r="AB129" s="104"/>
      <c r="AD129" s="104"/>
      <c r="AE129" s="105"/>
      <c r="AH129" s="106"/>
      <c r="AI129" s="106"/>
      <c r="AK129" s="104"/>
      <c r="AR129" s="104"/>
      <c r="AV129" s="104"/>
      <c r="AX129" s="104"/>
      <c r="BB129" s="104"/>
      <c r="BC129" s="104"/>
      <c r="BE129" s="104"/>
      <c r="BF129" s="119"/>
      <c r="BH129" s="99"/>
      <c r="BI129" s="190" t="s">
        <v>4</v>
      </c>
      <c r="BJ129" s="187" t="s">
        <v>408</v>
      </c>
      <c r="BK129" s="196">
        <v>2.1913</v>
      </c>
      <c r="BL129" s="187" t="s">
        <v>409</v>
      </c>
      <c r="BM129" s="189">
        <v>1.15E-3</v>
      </c>
      <c r="BN129" s="189">
        <v>1.15E-3</v>
      </c>
      <c r="BO129" s="188" t="s">
        <v>241</v>
      </c>
      <c r="BP129" s="195">
        <v>3.8699999999999998E-2</v>
      </c>
      <c r="BQ129" s="195">
        <f t="shared" si="96"/>
        <v>3.8699999999999999E-5</v>
      </c>
      <c r="BR129" s="187" t="s">
        <v>410</v>
      </c>
      <c r="BS129" s="189">
        <v>3.0000000000000001E-3</v>
      </c>
      <c r="BT129" s="189">
        <v>0.03</v>
      </c>
      <c r="BU129" s="187" t="s">
        <v>242</v>
      </c>
      <c r="BV129" s="195">
        <v>3.8999999999999998E-3</v>
      </c>
      <c r="BW129" s="195">
        <f t="shared" si="97"/>
        <v>3.8999999999999999E-6</v>
      </c>
      <c r="BX129" s="187" t="s">
        <v>515</v>
      </c>
      <c r="BY129" s="189">
        <v>2.9999999999999997E-4</v>
      </c>
      <c r="BZ129" s="189">
        <v>0.03</v>
      </c>
      <c r="CA129" s="187" t="s">
        <v>242</v>
      </c>
      <c r="CB129" s="181">
        <v>3.5579999999999998</v>
      </c>
      <c r="CC129" s="195">
        <f t="shared" si="98"/>
        <v>3.558E-3</v>
      </c>
      <c r="CD129" s="187" t="s">
        <v>410</v>
      </c>
      <c r="CE129" s="189">
        <v>0.5</v>
      </c>
      <c r="CF129" s="189">
        <v>15.4</v>
      </c>
      <c r="CG129" s="187" t="s">
        <v>242</v>
      </c>
      <c r="CH129" s="181">
        <v>0.11600000000000001</v>
      </c>
      <c r="CI129" s="195">
        <f t="shared" si="99"/>
        <v>1.16E-4</v>
      </c>
      <c r="CJ129" s="187" t="s">
        <v>515</v>
      </c>
      <c r="CK129" s="189">
        <v>0.01</v>
      </c>
      <c r="CL129" s="189">
        <v>0.77</v>
      </c>
      <c r="CM129" s="187" t="s">
        <v>242</v>
      </c>
      <c r="CN129" s="116"/>
      <c r="CO129" s="100">
        <v>0.15</v>
      </c>
      <c r="CP129" s="100">
        <f t="shared" si="95"/>
        <v>0.17499999999999999</v>
      </c>
      <c r="CQ129" s="100">
        <v>0.2</v>
      </c>
      <c r="CR129" s="101">
        <v>0.15</v>
      </c>
      <c r="CS129" s="101">
        <v>0.2</v>
      </c>
    </row>
    <row r="130" spans="1:97" s="101" customFormat="1" ht="17.25" hidden="1" thickBot="1" x14ac:dyDescent="0.3">
      <c r="A130" s="99"/>
      <c r="V130" s="103"/>
      <c r="AA130" s="104"/>
      <c r="AB130" s="104"/>
      <c r="AD130" s="104"/>
      <c r="AE130" s="105"/>
      <c r="AH130" s="106"/>
      <c r="AI130" s="106"/>
      <c r="AK130" s="104"/>
      <c r="AR130" s="104"/>
      <c r="AV130" s="104"/>
      <c r="AX130" s="104"/>
      <c r="BB130" s="104"/>
      <c r="BC130" s="104"/>
      <c r="BE130" s="104"/>
      <c r="BF130" s="119"/>
      <c r="BH130" s="99"/>
      <c r="BI130" s="190" t="s">
        <v>5</v>
      </c>
      <c r="BJ130" s="187" t="s">
        <v>408</v>
      </c>
      <c r="BK130" s="196">
        <v>1.8396999999999999</v>
      </c>
      <c r="BL130" s="187" t="s">
        <v>409</v>
      </c>
      <c r="BM130" s="189">
        <v>1.16E-3</v>
      </c>
      <c r="BN130" s="189">
        <v>1.16E-3</v>
      </c>
      <c r="BO130" s="188" t="s">
        <v>241</v>
      </c>
      <c r="BP130" s="195">
        <v>3.3500000000000002E-2</v>
      </c>
      <c r="BQ130" s="195">
        <f t="shared" si="96"/>
        <v>3.3500000000000001E-5</v>
      </c>
      <c r="BR130" s="187" t="s">
        <v>410</v>
      </c>
      <c r="BS130" s="189">
        <v>3.0000000000000001E-3</v>
      </c>
      <c r="BT130" s="189">
        <v>0.03</v>
      </c>
      <c r="BU130" s="187" t="s">
        <v>242</v>
      </c>
      <c r="BV130" s="195">
        <v>3.3E-3</v>
      </c>
      <c r="BW130" s="195">
        <f t="shared" si="97"/>
        <v>3.3000000000000002E-6</v>
      </c>
      <c r="BX130" s="187" t="s">
        <v>515</v>
      </c>
      <c r="BY130" s="189">
        <v>2.9999999999999997E-4</v>
      </c>
      <c r="BZ130" s="189">
        <v>0.03</v>
      </c>
      <c r="CA130" s="187" t="s">
        <v>242</v>
      </c>
      <c r="CB130" s="181">
        <v>3.0815000000000001</v>
      </c>
      <c r="CC130" s="195">
        <f t="shared" si="98"/>
        <v>3.0815E-3</v>
      </c>
      <c r="CD130" s="187" t="s">
        <v>410</v>
      </c>
      <c r="CE130" s="189">
        <v>0.5</v>
      </c>
      <c r="CF130" s="189">
        <v>15.4</v>
      </c>
      <c r="CG130" s="187" t="s">
        <v>242</v>
      </c>
      <c r="CH130" s="181">
        <v>0.10050000000000001</v>
      </c>
      <c r="CI130" s="195">
        <f t="shared" si="99"/>
        <v>1.005E-4</v>
      </c>
      <c r="CJ130" s="187" t="s">
        <v>515</v>
      </c>
      <c r="CK130" s="189">
        <v>0.01</v>
      </c>
      <c r="CL130" s="189">
        <v>0.77</v>
      </c>
      <c r="CM130" s="187" t="s">
        <v>242</v>
      </c>
      <c r="CN130" s="116"/>
      <c r="CO130" s="100">
        <v>0.15</v>
      </c>
      <c r="CP130" s="100">
        <f t="shared" si="95"/>
        <v>0.17499999999999999</v>
      </c>
      <c r="CQ130" s="100">
        <v>0.2</v>
      </c>
      <c r="CR130" s="101">
        <v>0.15</v>
      </c>
      <c r="CS130" s="101">
        <v>0.2</v>
      </c>
    </row>
    <row r="131" spans="1:97" s="101" customFormat="1" ht="17.25" hidden="1" thickBot="1" x14ac:dyDescent="0.3">
      <c r="A131" s="99"/>
      <c r="V131" s="103"/>
      <c r="AA131" s="104"/>
      <c r="AB131" s="104"/>
      <c r="AD131" s="104"/>
      <c r="AE131" s="105"/>
      <c r="AH131" s="106"/>
      <c r="AI131" s="106"/>
      <c r="AK131" s="104"/>
      <c r="AR131" s="104"/>
      <c r="AV131" s="104"/>
      <c r="AX131" s="104"/>
      <c r="BB131" s="104"/>
      <c r="BC131" s="104"/>
      <c r="BE131" s="104"/>
      <c r="BF131" s="119"/>
      <c r="BH131" s="99"/>
      <c r="BI131" s="190" t="s">
        <v>6</v>
      </c>
      <c r="BJ131" s="187" t="s">
        <v>408</v>
      </c>
      <c r="BK131" s="196">
        <v>1.8259000000000001</v>
      </c>
      <c r="BL131" s="187" t="s">
        <v>409</v>
      </c>
      <c r="BM131" s="189">
        <v>7.107999999999999E-2</v>
      </c>
      <c r="BN131" s="189">
        <v>7.107999999999999E-2</v>
      </c>
      <c r="BO131" s="188" t="s">
        <v>241</v>
      </c>
      <c r="BP131" s="195">
        <v>3.3300000000000003E-2</v>
      </c>
      <c r="BQ131" s="195">
        <f t="shared" si="96"/>
        <v>3.3300000000000003E-5</v>
      </c>
      <c r="BR131" s="187" t="s">
        <v>410</v>
      </c>
      <c r="BS131" s="189">
        <v>3.0000000000000001E-3</v>
      </c>
      <c r="BT131" s="189">
        <v>0.03</v>
      </c>
      <c r="BU131" s="187" t="s">
        <v>242</v>
      </c>
      <c r="BV131" s="195">
        <v>3.3E-3</v>
      </c>
      <c r="BW131" s="195">
        <f t="shared" si="97"/>
        <v>3.3000000000000002E-6</v>
      </c>
      <c r="BX131" s="187" t="s">
        <v>515</v>
      </c>
      <c r="BY131" s="189">
        <v>2.9999999999999997E-4</v>
      </c>
      <c r="BZ131" s="189">
        <v>0.03</v>
      </c>
      <c r="CA131" s="187" t="s">
        <v>242</v>
      </c>
      <c r="CB131" s="181">
        <v>3.0607000000000002</v>
      </c>
      <c r="CC131" s="195">
        <f t="shared" si="98"/>
        <v>3.0607000000000004E-3</v>
      </c>
      <c r="CD131" s="187" t="s">
        <v>410</v>
      </c>
      <c r="CE131" s="189">
        <v>0.5</v>
      </c>
      <c r="CF131" s="189">
        <v>15.4</v>
      </c>
      <c r="CG131" s="187" t="s">
        <v>242</v>
      </c>
      <c r="CH131" s="181">
        <v>9.98E-2</v>
      </c>
      <c r="CI131" s="195">
        <f t="shared" si="99"/>
        <v>9.98E-5</v>
      </c>
      <c r="CJ131" s="187" t="s">
        <v>515</v>
      </c>
      <c r="CK131" s="189">
        <v>0.01</v>
      </c>
      <c r="CL131" s="189">
        <v>0.77</v>
      </c>
      <c r="CM131" s="187" t="s">
        <v>242</v>
      </c>
      <c r="CN131" s="116"/>
      <c r="CO131" s="100">
        <v>0.15</v>
      </c>
      <c r="CP131" s="100">
        <f t="shared" si="95"/>
        <v>0.17499999999999999</v>
      </c>
      <c r="CQ131" s="100">
        <v>0.2</v>
      </c>
      <c r="CR131" s="101">
        <v>0.15</v>
      </c>
      <c r="CS131" s="101">
        <v>0.2</v>
      </c>
    </row>
    <row r="132" spans="1:97" s="101" customFormat="1" ht="17.25" hidden="1" thickBot="1" x14ac:dyDescent="0.3">
      <c r="A132" s="99"/>
      <c r="V132" s="103"/>
      <c r="AA132" s="104"/>
      <c r="AB132" s="104"/>
      <c r="AD132" s="104"/>
      <c r="AE132" s="105"/>
      <c r="AH132" s="106"/>
      <c r="AI132" s="106"/>
      <c r="AK132" s="104"/>
      <c r="AR132" s="104"/>
      <c r="AV132" s="104"/>
      <c r="AX132" s="104"/>
      <c r="BB132" s="104"/>
      <c r="BC132" s="104"/>
      <c r="BE132" s="104"/>
      <c r="BF132" s="119"/>
      <c r="BH132" s="99"/>
      <c r="BI132" s="190" t="s">
        <v>244</v>
      </c>
      <c r="BJ132" s="187" t="s">
        <v>408</v>
      </c>
      <c r="BK132" s="196">
        <v>2.0354999999999999</v>
      </c>
      <c r="BL132" s="187" t="s">
        <v>409</v>
      </c>
      <c r="BM132" s="189">
        <v>6.3630000000000006E-2</v>
      </c>
      <c r="BN132" s="189">
        <v>6.3630000000000006E-2</v>
      </c>
      <c r="BO132" s="188" t="s">
        <v>241</v>
      </c>
      <c r="BP132" s="195">
        <v>3.73E-2</v>
      </c>
      <c r="BQ132" s="195">
        <f t="shared" si="96"/>
        <v>3.7299999999999999E-5</v>
      </c>
      <c r="BR132" s="187" t="s">
        <v>410</v>
      </c>
      <c r="BS132" s="189">
        <v>3.0000000000000001E-3</v>
      </c>
      <c r="BT132" s="189">
        <v>0.03</v>
      </c>
      <c r="BU132" s="187" t="s">
        <v>242</v>
      </c>
      <c r="BV132" s="195">
        <v>3.7000000000000002E-3</v>
      </c>
      <c r="BW132" s="195">
        <f t="shared" si="97"/>
        <v>3.7000000000000002E-6</v>
      </c>
      <c r="BX132" s="187" t="s">
        <v>515</v>
      </c>
      <c r="BY132" s="189">
        <v>2.9999999999999997E-4</v>
      </c>
      <c r="BZ132" s="189">
        <v>0.03</v>
      </c>
      <c r="CA132" s="187" t="s">
        <v>242</v>
      </c>
      <c r="CB132" s="181">
        <v>3.4278</v>
      </c>
      <c r="CC132" s="195">
        <f t="shared" si="98"/>
        <v>3.4277999999999999E-3</v>
      </c>
      <c r="CD132" s="187" t="s">
        <v>410</v>
      </c>
      <c r="CE132" s="189">
        <v>0.5</v>
      </c>
      <c r="CF132" s="189">
        <v>15.4</v>
      </c>
      <c r="CG132" s="187" t="s">
        <v>242</v>
      </c>
      <c r="CH132" s="181">
        <v>0.1118</v>
      </c>
      <c r="CI132" s="195">
        <f t="shared" si="99"/>
        <v>1.1179999999999999E-4</v>
      </c>
      <c r="CJ132" s="187" t="s">
        <v>515</v>
      </c>
      <c r="CK132" s="189">
        <v>0.01</v>
      </c>
      <c r="CL132" s="189">
        <v>0.77</v>
      </c>
      <c r="CM132" s="187" t="s">
        <v>242</v>
      </c>
      <c r="CN132" s="116"/>
      <c r="CO132" s="100">
        <v>0.15</v>
      </c>
      <c r="CP132" s="100">
        <f t="shared" si="95"/>
        <v>0.17499999999999999</v>
      </c>
      <c r="CQ132" s="100">
        <v>0.2</v>
      </c>
      <c r="CR132" s="101">
        <v>0.15</v>
      </c>
      <c r="CS132" s="101">
        <v>0.2</v>
      </c>
    </row>
    <row r="133" spans="1:97" s="101" customFormat="1" ht="17.25" hidden="1" thickBot="1" x14ac:dyDescent="0.3">
      <c r="A133" s="99"/>
      <c r="V133" s="103"/>
      <c r="AA133" s="104"/>
      <c r="AB133" s="104"/>
      <c r="AD133" s="104"/>
      <c r="AE133" s="105"/>
      <c r="AH133" s="106"/>
      <c r="AI133" s="106"/>
      <c r="AK133" s="104"/>
      <c r="AR133" s="104"/>
      <c r="AV133" s="104"/>
      <c r="AX133" s="104"/>
      <c r="BB133" s="104"/>
      <c r="BC133" s="104"/>
      <c r="BE133" s="104"/>
      <c r="BF133" s="119"/>
      <c r="BH133" s="99"/>
      <c r="BI133" s="190" t="s">
        <v>245</v>
      </c>
      <c r="BJ133" s="187" t="s">
        <v>408</v>
      </c>
      <c r="BK133" s="196">
        <v>1.9775</v>
      </c>
      <c r="BL133" s="187" t="s">
        <v>409</v>
      </c>
      <c r="BM133" s="189">
        <v>3.7130000000000003E-2</v>
      </c>
      <c r="BN133" s="189">
        <v>3.7130000000000003E-2</v>
      </c>
      <c r="BO133" s="188" t="s">
        <v>241</v>
      </c>
      <c r="BP133" s="195">
        <v>3.5400000000000001E-2</v>
      </c>
      <c r="BQ133" s="195">
        <f t="shared" si="96"/>
        <v>3.54E-5</v>
      </c>
      <c r="BR133" s="187" t="s">
        <v>410</v>
      </c>
      <c r="BS133" s="189">
        <v>3.0000000000000001E-3</v>
      </c>
      <c r="BT133" s="189">
        <v>0.03</v>
      </c>
      <c r="BU133" s="187" t="s">
        <v>242</v>
      </c>
      <c r="BV133" s="195">
        <v>3.5000000000000001E-3</v>
      </c>
      <c r="BW133" s="195">
        <f t="shared" si="97"/>
        <v>3.4999999999999999E-6</v>
      </c>
      <c r="BX133" s="187" t="s">
        <v>515</v>
      </c>
      <c r="BY133" s="189">
        <v>2.9999999999999997E-4</v>
      </c>
      <c r="BZ133" s="189">
        <v>0.03</v>
      </c>
      <c r="CA133" s="187" t="s">
        <v>242</v>
      </c>
      <c r="CB133" s="181">
        <v>3.2595000000000001</v>
      </c>
      <c r="CC133" s="195">
        <f t="shared" si="98"/>
        <v>3.2595000000000002E-3</v>
      </c>
      <c r="CD133" s="187" t="s">
        <v>410</v>
      </c>
      <c r="CE133" s="189">
        <v>0.5</v>
      </c>
      <c r="CF133" s="189">
        <v>15.4</v>
      </c>
      <c r="CG133" s="187" t="s">
        <v>242</v>
      </c>
      <c r="CH133" s="181">
        <v>0.10630000000000001</v>
      </c>
      <c r="CI133" s="195">
        <f t="shared" si="99"/>
        <v>1.0630000000000001E-4</v>
      </c>
      <c r="CJ133" s="187" t="s">
        <v>515</v>
      </c>
      <c r="CK133" s="189">
        <v>0.01</v>
      </c>
      <c r="CL133" s="189">
        <v>0.77</v>
      </c>
      <c r="CM133" s="187" t="s">
        <v>242</v>
      </c>
      <c r="CN133" s="116"/>
      <c r="CO133" s="100">
        <v>0.15</v>
      </c>
      <c r="CP133" s="100">
        <f t="shared" si="95"/>
        <v>0.17499999999999999</v>
      </c>
      <c r="CQ133" s="100">
        <v>0.2</v>
      </c>
      <c r="CR133" s="101">
        <v>0.15</v>
      </c>
      <c r="CS133" s="101">
        <v>0.2</v>
      </c>
    </row>
    <row r="134" spans="1:97" s="101" customFormat="1" ht="17.25" hidden="1" thickBot="1" x14ac:dyDescent="0.3">
      <c r="A134" s="99"/>
      <c r="V134" s="103"/>
      <c r="AA134" s="104"/>
      <c r="AB134" s="104"/>
      <c r="AD134" s="104"/>
      <c r="AE134" s="105"/>
      <c r="AH134" s="106"/>
      <c r="AI134" s="106"/>
      <c r="AK134" s="104"/>
      <c r="AR134" s="104"/>
      <c r="AV134" s="104"/>
      <c r="AX134" s="104"/>
      <c r="BB134" s="104"/>
      <c r="BC134" s="104"/>
      <c r="BE134" s="104"/>
      <c r="BF134" s="119"/>
      <c r="BH134" s="99"/>
      <c r="BI134" s="190" t="s">
        <v>246</v>
      </c>
      <c r="BJ134" s="187" t="s">
        <v>408</v>
      </c>
      <c r="BK134" s="196">
        <v>2.1621000000000001</v>
      </c>
      <c r="BL134" s="187" t="s">
        <v>409</v>
      </c>
      <c r="BM134" s="189">
        <v>3.0299999999999997E-3</v>
      </c>
      <c r="BN134" s="189">
        <v>3.0299999999999997E-3</v>
      </c>
      <c r="BO134" s="188" t="s">
        <v>241</v>
      </c>
      <c r="BP134" s="195">
        <v>3.7900000000000003E-2</v>
      </c>
      <c r="BQ134" s="195">
        <f t="shared" si="96"/>
        <v>3.7900000000000006E-5</v>
      </c>
      <c r="BR134" s="187" t="s">
        <v>410</v>
      </c>
      <c r="BS134" s="189">
        <v>3.0000000000000001E-3</v>
      </c>
      <c r="BT134" s="189">
        <v>0.03</v>
      </c>
      <c r="BU134" s="187" t="s">
        <v>242</v>
      </c>
      <c r="BV134" s="195">
        <v>3.8E-3</v>
      </c>
      <c r="BW134" s="195">
        <f t="shared" si="97"/>
        <v>3.8E-6</v>
      </c>
      <c r="BX134" s="187" t="s">
        <v>515</v>
      </c>
      <c r="BY134" s="189">
        <v>2.9999999999999997E-4</v>
      </c>
      <c r="BZ134" s="189">
        <v>0.03</v>
      </c>
      <c r="CA134" s="187" t="s">
        <v>242</v>
      </c>
      <c r="CB134" s="181">
        <v>3.49</v>
      </c>
      <c r="CC134" s="195">
        <f t="shared" si="98"/>
        <v>3.49E-3</v>
      </c>
      <c r="CD134" s="187" t="s">
        <v>410</v>
      </c>
      <c r="CE134" s="189">
        <v>0.5</v>
      </c>
      <c r="CF134" s="189">
        <v>15.4</v>
      </c>
      <c r="CG134" s="187" t="s">
        <v>242</v>
      </c>
      <c r="CH134" s="181">
        <v>0.1138</v>
      </c>
      <c r="CI134" s="195">
        <f t="shared" si="99"/>
        <v>1.138E-4</v>
      </c>
      <c r="CJ134" s="187" t="s">
        <v>515</v>
      </c>
      <c r="CK134" s="189">
        <v>0.01</v>
      </c>
      <c r="CL134" s="189">
        <v>0.77</v>
      </c>
      <c r="CM134" s="187" t="s">
        <v>242</v>
      </c>
      <c r="CN134" s="116"/>
      <c r="CO134" s="100">
        <v>0.15</v>
      </c>
      <c r="CP134" s="100">
        <f t="shared" si="95"/>
        <v>0.17499999999999999</v>
      </c>
      <c r="CQ134" s="100">
        <v>0.2</v>
      </c>
      <c r="CR134" s="101">
        <v>0.15</v>
      </c>
      <c r="CS134" s="101">
        <v>0.2</v>
      </c>
    </row>
    <row r="135" spans="1:97" s="101" customFormat="1" ht="17.25" hidden="1" thickBot="1" x14ac:dyDescent="0.3">
      <c r="A135" s="99"/>
      <c r="V135" s="103"/>
      <c r="AA135" s="104"/>
      <c r="AB135" s="104"/>
      <c r="AD135" s="104"/>
      <c r="AE135" s="105"/>
      <c r="AH135" s="106"/>
      <c r="AI135" s="106"/>
      <c r="AK135" s="104"/>
      <c r="AR135" s="104"/>
      <c r="AV135" s="104"/>
      <c r="AX135" s="104"/>
      <c r="BB135" s="104"/>
      <c r="BC135" s="104"/>
      <c r="BE135" s="104"/>
      <c r="BF135" s="119"/>
      <c r="BH135" s="99"/>
      <c r="BI135" s="190" t="s">
        <v>247</v>
      </c>
      <c r="BJ135" s="187" t="s">
        <v>408</v>
      </c>
      <c r="BK135" s="196">
        <v>1.8321000000000001</v>
      </c>
      <c r="BL135" s="187" t="s">
        <v>409</v>
      </c>
      <c r="BM135" s="189">
        <v>7.0720000000000005E-2</v>
      </c>
      <c r="BN135" s="189">
        <v>7.0720000000000005E-2</v>
      </c>
      <c r="BO135" s="188" t="s">
        <v>241</v>
      </c>
      <c r="BP135" s="195">
        <v>3.3500000000000002E-2</v>
      </c>
      <c r="BQ135" s="195">
        <f t="shared" si="96"/>
        <v>3.3500000000000001E-5</v>
      </c>
      <c r="BR135" s="187" t="s">
        <v>410</v>
      </c>
      <c r="BS135" s="189">
        <v>3.0000000000000001E-3</v>
      </c>
      <c r="BT135" s="189">
        <v>0.03</v>
      </c>
      <c r="BU135" s="187" t="s">
        <v>242</v>
      </c>
      <c r="BV135" s="195">
        <v>3.3999999999999998E-3</v>
      </c>
      <c r="BW135" s="195">
        <f t="shared" si="97"/>
        <v>3.3999999999999996E-6</v>
      </c>
      <c r="BX135" s="187" t="s">
        <v>515</v>
      </c>
      <c r="BY135" s="189">
        <v>2.9999999999999997E-4</v>
      </c>
      <c r="BZ135" s="189">
        <v>0.03</v>
      </c>
      <c r="CA135" s="187" t="s">
        <v>242</v>
      </c>
      <c r="CB135" s="181">
        <v>3.0825</v>
      </c>
      <c r="CC135" s="195">
        <f t="shared" si="98"/>
        <v>3.0825000000000002E-3</v>
      </c>
      <c r="CD135" s="187" t="s">
        <v>410</v>
      </c>
      <c r="CE135" s="189">
        <v>0.5</v>
      </c>
      <c r="CF135" s="189">
        <v>15.4</v>
      </c>
      <c r="CG135" s="187" t="s">
        <v>242</v>
      </c>
      <c r="CH135" s="181">
        <v>0.10050000000000001</v>
      </c>
      <c r="CI135" s="195">
        <f t="shared" si="99"/>
        <v>1.005E-4</v>
      </c>
      <c r="CJ135" s="187" t="s">
        <v>515</v>
      </c>
      <c r="CK135" s="189">
        <v>0.01</v>
      </c>
      <c r="CL135" s="189">
        <v>0.77</v>
      </c>
      <c r="CM135" s="187" t="s">
        <v>242</v>
      </c>
      <c r="CN135" s="116"/>
      <c r="CO135" s="100">
        <v>0.15</v>
      </c>
      <c r="CP135" s="100">
        <f t="shared" si="95"/>
        <v>0.17499999999999999</v>
      </c>
      <c r="CQ135" s="100">
        <v>0.2</v>
      </c>
      <c r="CR135" s="101">
        <v>0.15</v>
      </c>
      <c r="CS135" s="101">
        <v>0.2</v>
      </c>
    </row>
    <row r="136" spans="1:97" s="101" customFormat="1" ht="17.25" hidden="1" thickBot="1" x14ac:dyDescent="0.3">
      <c r="A136" s="99"/>
      <c r="V136" s="103"/>
      <c r="AA136" s="104"/>
      <c r="AB136" s="104"/>
      <c r="AD136" s="104"/>
      <c r="AE136" s="105"/>
      <c r="AH136" s="106"/>
      <c r="AI136" s="106"/>
      <c r="AK136" s="104"/>
      <c r="AR136" s="104"/>
      <c r="AV136" s="104"/>
      <c r="AX136" s="104"/>
      <c r="BB136" s="104"/>
      <c r="BC136" s="104"/>
      <c r="BE136" s="104"/>
      <c r="BF136" s="119"/>
      <c r="BH136" s="99"/>
      <c r="BI136" s="190" t="s">
        <v>275</v>
      </c>
      <c r="BJ136" s="187" t="s">
        <v>408</v>
      </c>
      <c r="BK136" s="196">
        <v>4.6929999999999996</v>
      </c>
      <c r="BL136" s="187" t="s">
        <v>409</v>
      </c>
      <c r="BM136" s="189">
        <v>2.6000000000000002E-2</v>
      </c>
      <c r="BN136" s="189">
        <v>2.6000000000000002E-2</v>
      </c>
      <c r="BO136" s="188" t="s">
        <v>241</v>
      </c>
      <c r="BP136" s="195">
        <v>9.9199999999999997E-2</v>
      </c>
      <c r="BQ136" s="195">
        <f t="shared" si="96"/>
        <v>9.9199999999999999E-5</v>
      </c>
      <c r="BR136" s="187" t="s">
        <v>410</v>
      </c>
      <c r="BS136" s="189">
        <v>3.0000000000000001E-3</v>
      </c>
      <c r="BT136" s="189">
        <v>0.03</v>
      </c>
      <c r="BU136" s="187" t="s">
        <v>242</v>
      </c>
      <c r="BV136" s="195">
        <v>9.9000000000000008E-3</v>
      </c>
      <c r="BW136" s="195">
        <f t="shared" si="97"/>
        <v>9.9000000000000001E-6</v>
      </c>
      <c r="BX136" s="187" t="s">
        <v>515</v>
      </c>
      <c r="BY136" s="189">
        <v>2.9999999999999997E-4</v>
      </c>
      <c r="BZ136" s="189">
        <v>0.03</v>
      </c>
      <c r="CA136" s="187" t="s">
        <v>242</v>
      </c>
      <c r="CB136" s="181">
        <v>6.1513</v>
      </c>
      <c r="CC136" s="195">
        <f t="shared" si="98"/>
        <v>6.1513000000000002E-3</v>
      </c>
      <c r="CD136" s="187" t="s">
        <v>410</v>
      </c>
      <c r="CE136" s="189">
        <v>0</v>
      </c>
      <c r="CF136" s="189">
        <v>0</v>
      </c>
      <c r="CG136" s="187" t="s">
        <v>242</v>
      </c>
      <c r="CH136" s="181">
        <v>1.9800000000000002E-2</v>
      </c>
      <c r="CI136" s="195">
        <f t="shared" si="99"/>
        <v>1.98E-5</v>
      </c>
      <c r="CJ136" s="187" t="s">
        <v>515</v>
      </c>
      <c r="CK136" s="189">
        <v>0</v>
      </c>
      <c r="CL136" s="189">
        <v>0</v>
      </c>
      <c r="CM136" s="187" t="s">
        <v>242</v>
      </c>
      <c r="CN136" s="116"/>
      <c r="CO136" s="100">
        <v>0.15</v>
      </c>
      <c r="CP136" s="100">
        <f t="shared" si="95"/>
        <v>0.17499999999999999</v>
      </c>
      <c r="CQ136" s="100">
        <v>0.2</v>
      </c>
      <c r="CR136" s="101">
        <v>0.15</v>
      </c>
      <c r="CS136" s="101">
        <v>0.2</v>
      </c>
    </row>
    <row r="137" spans="1:97" s="101" customFormat="1" ht="17.25" hidden="1" thickBot="1" x14ac:dyDescent="0.3">
      <c r="A137" s="99"/>
      <c r="V137" s="103"/>
      <c r="AA137" s="104"/>
      <c r="AB137" s="104"/>
      <c r="AD137" s="104"/>
      <c r="AE137" s="105"/>
      <c r="AH137" s="106"/>
      <c r="AI137" s="106"/>
      <c r="AK137" s="104"/>
      <c r="AR137" s="104"/>
      <c r="AV137" s="104"/>
      <c r="AX137" s="104"/>
      <c r="BB137" s="104"/>
      <c r="BC137" s="104"/>
      <c r="BE137" s="104"/>
      <c r="BF137" s="119"/>
      <c r="BH137" s="99"/>
      <c r="BI137" s="190" t="s">
        <v>7</v>
      </c>
      <c r="BJ137" s="187" t="s">
        <v>408</v>
      </c>
      <c r="BK137" s="196">
        <v>5.5792000000000002</v>
      </c>
      <c r="BL137" s="187" t="s">
        <v>409</v>
      </c>
      <c r="BM137" s="189">
        <v>2.5219999999999999E-2</v>
      </c>
      <c r="BN137" s="189">
        <v>2.5219999999999999E-2</v>
      </c>
      <c r="BO137" s="188" t="s">
        <v>241</v>
      </c>
      <c r="BP137" s="195">
        <v>8.6300000000000002E-2</v>
      </c>
      <c r="BQ137" s="195">
        <f t="shared" si="96"/>
        <v>8.6299999999999997E-5</v>
      </c>
      <c r="BR137" s="187" t="s">
        <v>410</v>
      </c>
      <c r="BS137" s="189">
        <v>3.0000000000000001E-3</v>
      </c>
      <c r="BT137" s="189">
        <v>0.03</v>
      </c>
      <c r="BU137" s="187" t="s">
        <v>242</v>
      </c>
      <c r="BV137" s="195">
        <v>8.6E-3</v>
      </c>
      <c r="BW137" s="195">
        <f t="shared" si="97"/>
        <v>8.6000000000000007E-6</v>
      </c>
      <c r="BX137" s="187" t="s">
        <v>515</v>
      </c>
      <c r="BY137" s="189">
        <v>2.9999999999999997E-4</v>
      </c>
      <c r="BZ137" s="189">
        <v>0.03</v>
      </c>
      <c r="CA137" s="187" t="s">
        <v>242</v>
      </c>
      <c r="CB137" s="181">
        <v>5.3475999999999999</v>
      </c>
      <c r="CC137" s="195">
        <f t="shared" si="98"/>
        <v>5.3476000000000001E-3</v>
      </c>
      <c r="CD137" s="187" t="s">
        <v>410</v>
      </c>
      <c r="CE137" s="189">
        <v>0</v>
      </c>
      <c r="CF137" s="189">
        <v>0</v>
      </c>
      <c r="CG137" s="187" t="s">
        <v>242</v>
      </c>
      <c r="CH137" s="181">
        <v>1.7299999999999999E-2</v>
      </c>
      <c r="CI137" s="195">
        <f t="shared" si="99"/>
        <v>1.73E-5</v>
      </c>
      <c r="CJ137" s="187" t="s">
        <v>515</v>
      </c>
      <c r="CK137" s="189">
        <v>0</v>
      </c>
      <c r="CL137" s="189">
        <v>0</v>
      </c>
      <c r="CM137" s="187" t="s">
        <v>242</v>
      </c>
      <c r="CN137" s="116"/>
      <c r="CO137" s="100">
        <v>0.15</v>
      </c>
      <c r="CP137" s="100">
        <f t="shared" si="95"/>
        <v>0.17499999999999999</v>
      </c>
      <c r="CQ137" s="100">
        <v>0.2</v>
      </c>
      <c r="CR137" s="101">
        <v>0.15</v>
      </c>
      <c r="CS137" s="101">
        <v>0.2</v>
      </c>
    </row>
    <row r="138" spans="1:97" s="101" customFormat="1" ht="17.25" hidden="1" thickBot="1" x14ac:dyDescent="0.3">
      <c r="A138" s="99"/>
      <c r="V138" s="103"/>
      <c r="AA138" s="104"/>
      <c r="AB138" s="104"/>
      <c r="AD138" s="104"/>
      <c r="AE138" s="105"/>
      <c r="AH138" s="106"/>
      <c r="AI138" s="106"/>
      <c r="AK138" s="104"/>
      <c r="AR138" s="104"/>
      <c r="AV138" s="104"/>
      <c r="AX138" s="104"/>
      <c r="BB138" s="104"/>
      <c r="BC138" s="104"/>
      <c r="BE138" s="104"/>
      <c r="BF138" s="119"/>
      <c r="BH138" s="99"/>
      <c r="BI138" s="190" t="s">
        <v>248</v>
      </c>
      <c r="BJ138" s="187" t="s">
        <v>408</v>
      </c>
      <c r="BK138" s="196">
        <v>2.2818000000000001</v>
      </c>
      <c r="BL138" s="187" t="s">
        <v>409</v>
      </c>
      <c r="BM138" s="189">
        <v>2.8499999999999997E-3</v>
      </c>
      <c r="BN138" s="189">
        <v>2.8499999999999997E-3</v>
      </c>
      <c r="BO138" s="188" t="s">
        <v>241</v>
      </c>
      <c r="BP138" s="195">
        <v>4.0599999999999997E-2</v>
      </c>
      <c r="BQ138" s="195">
        <f t="shared" si="96"/>
        <v>4.0599999999999998E-5</v>
      </c>
      <c r="BR138" s="187" t="s">
        <v>410</v>
      </c>
      <c r="BS138" s="189">
        <v>3.0000000000000001E-3</v>
      </c>
      <c r="BT138" s="189">
        <v>0.03</v>
      </c>
      <c r="BU138" s="187" t="s">
        <v>242</v>
      </c>
      <c r="BV138" s="195">
        <v>4.1000000000000003E-3</v>
      </c>
      <c r="BW138" s="195">
        <f t="shared" si="97"/>
        <v>4.1000000000000006E-6</v>
      </c>
      <c r="BX138" s="187" t="s">
        <v>515</v>
      </c>
      <c r="BY138" s="189">
        <v>2.9999999999999997E-4</v>
      </c>
      <c r="BZ138" s="189">
        <v>0.03</v>
      </c>
      <c r="CA138" s="187" t="s">
        <v>242</v>
      </c>
      <c r="CB138" s="181">
        <v>0</v>
      </c>
      <c r="CC138" s="195">
        <f t="shared" si="98"/>
        <v>0</v>
      </c>
      <c r="CD138" s="187" t="s">
        <v>410</v>
      </c>
      <c r="CE138" s="189">
        <v>0</v>
      </c>
      <c r="CF138" s="189">
        <v>0</v>
      </c>
      <c r="CG138" s="187" t="s">
        <v>242</v>
      </c>
      <c r="CH138" s="181">
        <v>0</v>
      </c>
      <c r="CI138" s="195">
        <f t="shared" si="99"/>
        <v>0</v>
      </c>
      <c r="CJ138" s="187" t="s">
        <v>515</v>
      </c>
      <c r="CK138" s="189">
        <v>0</v>
      </c>
      <c r="CL138" s="189">
        <v>0</v>
      </c>
      <c r="CM138" s="187" t="s">
        <v>242</v>
      </c>
      <c r="CN138" s="116"/>
      <c r="CO138" s="100">
        <v>0.15</v>
      </c>
      <c r="CP138" s="100">
        <f t="shared" si="95"/>
        <v>0.17499999999999999</v>
      </c>
      <c r="CQ138" s="100">
        <v>0.2</v>
      </c>
      <c r="CR138" s="101">
        <v>0.15</v>
      </c>
      <c r="CS138" s="101">
        <v>0.2</v>
      </c>
    </row>
    <row r="139" spans="1:97" s="101" customFormat="1" ht="17.25" hidden="1" thickBot="1" x14ac:dyDescent="0.3">
      <c r="A139" s="99"/>
      <c r="V139" s="103"/>
      <c r="AA139" s="104"/>
      <c r="AB139" s="104"/>
      <c r="AD139" s="104"/>
      <c r="AE139" s="105"/>
      <c r="AH139" s="106"/>
      <c r="AI139" s="106"/>
      <c r="AK139" s="104"/>
      <c r="AR139" s="104"/>
      <c r="AV139" s="104"/>
      <c r="AX139" s="104"/>
      <c r="BB139" s="104"/>
      <c r="BC139" s="104"/>
      <c r="BE139" s="104"/>
      <c r="BF139" s="119"/>
      <c r="BH139" s="99"/>
      <c r="BI139" s="190" t="s">
        <v>369</v>
      </c>
      <c r="BJ139" s="187" t="s">
        <v>408</v>
      </c>
      <c r="BK139" s="196">
        <v>1.9420999999999999</v>
      </c>
      <c r="BL139" s="187" t="s">
        <v>409</v>
      </c>
      <c r="BM139" s="189">
        <v>0.10070999999999999</v>
      </c>
      <c r="BN139" s="189">
        <v>0.10070999999999999</v>
      </c>
      <c r="BO139" s="188" t="s">
        <v>241</v>
      </c>
      <c r="BP139" s="195">
        <v>3.5499999999999997E-2</v>
      </c>
      <c r="BQ139" s="195">
        <f t="shared" si="96"/>
        <v>3.5499999999999996E-5</v>
      </c>
      <c r="BR139" s="187" t="s">
        <v>410</v>
      </c>
      <c r="BS139" s="189">
        <v>3.0000000000000001E-3</v>
      </c>
      <c r="BT139" s="189">
        <v>0.03</v>
      </c>
      <c r="BU139" s="187" t="s">
        <v>242</v>
      </c>
      <c r="BV139" s="195">
        <v>3.5999999999999999E-3</v>
      </c>
      <c r="BW139" s="195">
        <f t="shared" si="97"/>
        <v>3.5999999999999998E-6</v>
      </c>
      <c r="BX139" s="187" t="s">
        <v>515</v>
      </c>
      <c r="BY139" s="189">
        <v>2.9999999999999997E-4</v>
      </c>
      <c r="BZ139" s="189">
        <v>0.03</v>
      </c>
      <c r="CA139" s="187" t="s">
        <v>242</v>
      </c>
      <c r="CB139" s="181">
        <v>3.2690000000000001</v>
      </c>
      <c r="CC139" s="195">
        <f t="shared" si="98"/>
        <v>3.2690000000000002E-3</v>
      </c>
      <c r="CD139" s="187" t="s">
        <v>410</v>
      </c>
      <c r="CE139" s="189">
        <v>0.5</v>
      </c>
      <c r="CF139" s="189">
        <v>15.4</v>
      </c>
      <c r="CG139" s="187" t="s">
        <v>242</v>
      </c>
      <c r="CH139" s="181">
        <v>0.1066</v>
      </c>
      <c r="CI139" s="195">
        <f t="shared" si="99"/>
        <v>1.066E-4</v>
      </c>
      <c r="CJ139" s="187" t="s">
        <v>515</v>
      </c>
      <c r="CK139" s="189">
        <v>0.01</v>
      </c>
      <c r="CL139" s="189">
        <v>0.77</v>
      </c>
      <c r="CM139" s="187" t="s">
        <v>242</v>
      </c>
      <c r="CN139" s="116"/>
      <c r="CO139" s="100">
        <v>0.15</v>
      </c>
      <c r="CP139" s="100">
        <f t="shared" si="95"/>
        <v>0.17499999999999999</v>
      </c>
      <c r="CQ139" s="100">
        <v>0.2</v>
      </c>
      <c r="CR139" s="101">
        <v>0.15</v>
      </c>
      <c r="CS139" s="101">
        <v>0.2</v>
      </c>
    </row>
    <row r="140" spans="1:97" s="101" customFormat="1" ht="17.25" hidden="1" thickBot="1" x14ac:dyDescent="0.3">
      <c r="A140" s="99"/>
      <c r="V140" s="103"/>
      <c r="AA140" s="104"/>
      <c r="AB140" s="104"/>
      <c r="AD140" s="104"/>
      <c r="AE140" s="105"/>
      <c r="AH140" s="106"/>
      <c r="AI140" s="106"/>
      <c r="AK140" s="104"/>
      <c r="AR140" s="104"/>
      <c r="AV140" s="104"/>
      <c r="AX140" s="104"/>
      <c r="BB140" s="104"/>
      <c r="BC140" s="104"/>
      <c r="BE140" s="104"/>
      <c r="BF140" s="119"/>
      <c r="BH140" s="99"/>
      <c r="BI140" s="190" t="s">
        <v>370</v>
      </c>
      <c r="BJ140" s="187" t="s">
        <v>408</v>
      </c>
      <c r="BK140" s="196">
        <v>2.101</v>
      </c>
      <c r="BL140" s="187" t="s">
        <v>409</v>
      </c>
      <c r="BM140" s="189">
        <v>6.6460000000000005E-2</v>
      </c>
      <c r="BN140" s="189">
        <v>6.6460000000000005E-2</v>
      </c>
      <c r="BO140" s="188" t="s">
        <v>241</v>
      </c>
      <c r="BP140" s="195">
        <v>3.73E-2</v>
      </c>
      <c r="BQ140" s="195">
        <f t="shared" si="96"/>
        <v>3.7299999999999999E-5</v>
      </c>
      <c r="BR140" s="187" t="s">
        <v>410</v>
      </c>
      <c r="BS140" s="189">
        <v>3.0000000000000001E-3</v>
      </c>
      <c r="BT140" s="189">
        <v>0.03</v>
      </c>
      <c r="BU140" s="187" t="s">
        <v>242</v>
      </c>
      <c r="BV140" s="195">
        <v>3.7000000000000002E-3</v>
      </c>
      <c r="BW140" s="195">
        <f t="shared" si="97"/>
        <v>3.7000000000000002E-6</v>
      </c>
      <c r="BX140" s="187" t="s">
        <v>515</v>
      </c>
      <c r="BY140" s="189">
        <v>2.9999999999999997E-4</v>
      </c>
      <c r="BZ140" s="189">
        <v>0.03</v>
      </c>
      <c r="CA140" s="187" t="s">
        <v>242</v>
      </c>
      <c r="CB140" s="181">
        <v>3.4272999999999998</v>
      </c>
      <c r="CC140" s="195">
        <f t="shared" si="98"/>
        <v>3.4272999999999999E-3</v>
      </c>
      <c r="CD140" s="187" t="s">
        <v>410</v>
      </c>
      <c r="CE140" s="189">
        <v>0.5</v>
      </c>
      <c r="CF140" s="189">
        <v>15.4</v>
      </c>
      <c r="CG140" s="187" t="s">
        <v>242</v>
      </c>
      <c r="CH140" s="181">
        <v>0.1118</v>
      </c>
      <c r="CI140" s="195">
        <f t="shared" si="99"/>
        <v>1.1179999999999999E-4</v>
      </c>
      <c r="CJ140" s="187" t="s">
        <v>515</v>
      </c>
      <c r="CK140" s="189">
        <v>0.01</v>
      </c>
      <c r="CL140" s="189">
        <v>0.77</v>
      </c>
      <c r="CM140" s="187" t="s">
        <v>242</v>
      </c>
      <c r="CN140" s="116"/>
      <c r="CO140" s="100">
        <v>0.15</v>
      </c>
      <c r="CP140" s="100">
        <f t="shared" si="95"/>
        <v>0.17499999999999999</v>
      </c>
      <c r="CQ140" s="100">
        <v>0.2</v>
      </c>
      <c r="CR140" s="101">
        <v>0.15</v>
      </c>
      <c r="CS140" s="101">
        <v>0.2</v>
      </c>
    </row>
    <row r="141" spans="1:97" s="101" customFormat="1" ht="17.25" hidden="1" thickBot="1" x14ac:dyDescent="0.3">
      <c r="A141" s="99"/>
      <c r="V141" s="103"/>
      <c r="AA141" s="104"/>
      <c r="AB141" s="104"/>
      <c r="AD141" s="104"/>
      <c r="AE141" s="105"/>
      <c r="AH141" s="106"/>
      <c r="AI141" s="106"/>
      <c r="AK141" s="104"/>
      <c r="AR141" s="104"/>
      <c r="AV141" s="104"/>
      <c r="AX141" s="104"/>
      <c r="BB141" s="104"/>
      <c r="BC141" s="104"/>
      <c r="BE141" s="104"/>
      <c r="BF141" s="119"/>
      <c r="BH141" s="99"/>
      <c r="BI141" s="190" t="s">
        <v>371</v>
      </c>
      <c r="BJ141" s="187" t="s">
        <v>408</v>
      </c>
      <c r="BK141" s="196">
        <v>2.1795</v>
      </c>
      <c r="BL141" s="187" t="s">
        <v>409</v>
      </c>
      <c r="BM141" s="189">
        <v>4.79E-3</v>
      </c>
      <c r="BN141" s="189">
        <v>4.79E-3</v>
      </c>
      <c r="BO141" s="188" t="s">
        <v>241</v>
      </c>
      <c r="BP141" s="195">
        <v>3.85E-2</v>
      </c>
      <c r="BQ141" s="195">
        <f>BP141/1000</f>
        <v>3.8500000000000001E-5</v>
      </c>
      <c r="BR141" s="187" t="s">
        <v>410</v>
      </c>
      <c r="BS141" s="189">
        <v>3.0000000000000001E-3</v>
      </c>
      <c r="BT141" s="189">
        <v>0.03</v>
      </c>
      <c r="BU141" s="187" t="s">
        <v>242</v>
      </c>
      <c r="BV141" s="195">
        <v>3.8E-3</v>
      </c>
      <c r="BW141" s="195">
        <f>BV141/1000</f>
        <v>3.8E-6</v>
      </c>
      <c r="BX141" s="187" t="s">
        <v>515</v>
      </c>
      <c r="BY141" s="189">
        <v>2.9999999999999997E-4</v>
      </c>
      <c r="BZ141" s="189">
        <v>0.03</v>
      </c>
      <c r="CA141" s="187" t="s">
        <v>242</v>
      </c>
      <c r="CB141" s="181">
        <v>3.5390999999999999</v>
      </c>
      <c r="CC141" s="195">
        <f>CB141/1000</f>
        <v>3.5390999999999999E-3</v>
      </c>
      <c r="CD141" s="187" t="s">
        <v>410</v>
      </c>
      <c r="CE141" s="189">
        <v>0.5</v>
      </c>
      <c r="CF141" s="189">
        <v>15.4</v>
      </c>
      <c r="CG141" s="187" t="s">
        <v>242</v>
      </c>
      <c r="CH141" s="181">
        <v>0.1154</v>
      </c>
      <c r="CI141" s="195">
        <f>CH141/1000</f>
        <v>1.154E-4</v>
      </c>
      <c r="CJ141" s="187" t="s">
        <v>515</v>
      </c>
      <c r="CK141" s="189">
        <v>0.01</v>
      </c>
      <c r="CL141" s="189">
        <v>0.77</v>
      </c>
      <c r="CM141" s="187" t="s">
        <v>242</v>
      </c>
      <c r="CN141" s="116"/>
      <c r="CO141" s="100">
        <v>0.15</v>
      </c>
      <c r="CP141" s="100">
        <f t="shared" si="95"/>
        <v>0.17499999999999999</v>
      </c>
      <c r="CQ141" s="100">
        <v>0.2</v>
      </c>
      <c r="CR141" s="101">
        <v>0.15</v>
      </c>
      <c r="CS141" s="101">
        <v>0.2</v>
      </c>
    </row>
    <row r="142" spans="1:97" s="101" customFormat="1" ht="16.5" hidden="1" customHeight="1" thickBot="1" x14ac:dyDescent="0.3">
      <c r="A142" s="99"/>
      <c r="V142" s="103"/>
      <c r="AA142" s="104"/>
      <c r="AB142" s="104"/>
      <c r="AD142" s="104"/>
      <c r="AE142" s="105"/>
      <c r="AH142" s="106"/>
      <c r="AI142" s="106"/>
      <c r="AK142" s="104"/>
      <c r="AR142" s="104"/>
      <c r="AV142" s="104"/>
      <c r="AX142" s="104"/>
      <c r="BB142" s="104"/>
      <c r="BC142" s="104"/>
      <c r="BE142" s="104"/>
      <c r="BF142" s="119"/>
      <c r="BH142" s="99"/>
      <c r="BI142" s="190" t="s">
        <v>356</v>
      </c>
      <c r="BJ142" s="181" t="s">
        <v>49</v>
      </c>
      <c r="BK142" s="196">
        <f>(3.13757879682717*99.5%)</f>
        <v>3.1218909028430342</v>
      </c>
      <c r="BL142" s="196" t="s">
        <v>423</v>
      </c>
      <c r="BM142" s="189">
        <v>0.02</v>
      </c>
      <c r="BN142" s="189">
        <v>0.5</v>
      </c>
      <c r="BO142" s="188" t="s">
        <v>382</v>
      </c>
      <c r="BP142" s="195">
        <v>0</v>
      </c>
      <c r="BQ142" s="195">
        <f>BP142/1000</f>
        <v>0</v>
      </c>
      <c r="BR142" s="187" t="s">
        <v>410</v>
      </c>
      <c r="BS142" s="189">
        <v>0</v>
      </c>
      <c r="BT142" s="189">
        <v>0</v>
      </c>
      <c r="BU142" s="187"/>
      <c r="BV142" s="195">
        <v>0</v>
      </c>
      <c r="BW142" s="195">
        <f>BV142/1000</f>
        <v>0</v>
      </c>
      <c r="BX142" s="187" t="s">
        <v>515</v>
      </c>
      <c r="BY142" s="189">
        <v>0</v>
      </c>
      <c r="BZ142" s="189">
        <v>0</v>
      </c>
      <c r="CA142" s="187"/>
      <c r="CB142" s="181">
        <v>0</v>
      </c>
      <c r="CC142" s="195">
        <f>CB142/1000</f>
        <v>0</v>
      </c>
      <c r="CD142" s="187" t="s">
        <v>410</v>
      </c>
      <c r="CE142" s="189">
        <v>0</v>
      </c>
      <c r="CF142" s="189">
        <v>0</v>
      </c>
      <c r="CG142" s="187"/>
      <c r="CH142" s="181">
        <v>0</v>
      </c>
      <c r="CI142" s="195">
        <f>CH142/1000</f>
        <v>0</v>
      </c>
      <c r="CJ142" s="187" t="s">
        <v>515</v>
      </c>
      <c r="CK142" s="189">
        <v>0</v>
      </c>
      <c r="CL142" s="189">
        <v>0</v>
      </c>
      <c r="CM142" s="187"/>
      <c r="CN142" s="116"/>
      <c r="CO142" s="100">
        <v>0.15</v>
      </c>
      <c r="CP142" s="100">
        <f t="shared" si="95"/>
        <v>0.17499999999999999</v>
      </c>
      <c r="CQ142" s="100">
        <v>0.2</v>
      </c>
      <c r="CR142" s="101">
        <v>0.15</v>
      </c>
      <c r="CS142" s="101">
        <v>0.2</v>
      </c>
    </row>
    <row r="143" spans="1:97" s="101" customFormat="1" ht="17.25" hidden="1" thickBot="1" x14ac:dyDescent="0.3">
      <c r="A143" s="99"/>
      <c r="V143" s="103"/>
      <c r="AA143" s="104"/>
      <c r="AB143" s="104"/>
      <c r="AD143" s="104"/>
      <c r="AE143" s="105"/>
      <c r="AH143" s="106"/>
      <c r="AI143" s="106"/>
      <c r="AK143" s="104"/>
      <c r="AR143" s="104"/>
      <c r="AV143" s="104"/>
      <c r="AX143" s="104"/>
      <c r="BB143" s="104"/>
      <c r="BC143" s="104"/>
      <c r="BE143" s="104"/>
      <c r="BF143" s="119"/>
      <c r="BH143" s="99"/>
      <c r="BI143" s="190" t="s">
        <v>349</v>
      </c>
      <c r="BJ143" s="187" t="s">
        <v>49</v>
      </c>
      <c r="BK143" s="196">
        <v>3.38</v>
      </c>
      <c r="BL143" s="187" t="s">
        <v>404</v>
      </c>
      <c r="BM143" s="189">
        <v>0.1</v>
      </c>
      <c r="BN143" s="189">
        <v>0.2</v>
      </c>
      <c r="BO143" s="188" t="s">
        <v>494</v>
      </c>
      <c r="BP143" s="195">
        <v>0</v>
      </c>
      <c r="BQ143" s="195">
        <f t="shared" si="96"/>
        <v>0</v>
      </c>
      <c r="BR143" s="187" t="s">
        <v>410</v>
      </c>
      <c r="BS143" s="189">
        <v>0</v>
      </c>
      <c r="BT143" s="189">
        <v>0</v>
      </c>
      <c r="BU143" s="187"/>
      <c r="BV143" s="195">
        <v>0</v>
      </c>
      <c r="BW143" s="195">
        <f t="shared" si="97"/>
        <v>0</v>
      </c>
      <c r="BX143" s="187" t="s">
        <v>515</v>
      </c>
      <c r="BY143" s="189">
        <v>0</v>
      </c>
      <c r="BZ143" s="189">
        <v>0</v>
      </c>
      <c r="CA143" s="187"/>
      <c r="CB143" s="181">
        <v>0</v>
      </c>
      <c r="CC143" s="195">
        <f t="shared" si="98"/>
        <v>0</v>
      </c>
      <c r="CD143" s="187" t="s">
        <v>410</v>
      </c>
      <c r="CE143" s="189">
        <v>0</v>
      </c>
      <c r="CF143" s="189">
        <v>0</v>
      </c>
      <c r="CG143" s="187"/>
      <c r="CH143" s="181">
        <v>0</v>
      </c>
      <c r="CI143" s="195">
        <f t="shared" si="99"/>
        <v>0</v>
      </c>
      <c r="CJ143" s="187" t="s">
        <v>515</v>
      </c>
      <c r="CK143" s="189">
        <v>0</v>
      </c>
      <c r="CL143" s="189">
        <v>0</v>
      </c>
      <c r="CM143" s="187"/>
      <c r="CN143" s="116"/>
      <c r="CO143" s="100">
        <v>0.15</v>
      </c>
      <c r="CP143" s="100">
        <f t="shared" si="95"/>
        <v>0.17499999999999999</v>
      </c>
      <c r="CQ143" s="100">
        <v>0.2</v>
      </c>
      <c r="CR143" s="101">
        <v>0.15</v>
      </c>
      <c r="CS143" s="101">
        <v>0.2</v>
      </c>
    </row>
    <row r="144" spans="1:97" s="101" customFormat="1" ht="15.75" hidden="1" thickBot="1" x14ac:dyDescent="0.3">
      <c r="A144" s="99"/>
      <c r="V144" s="103"/>
      <c r="AA144" s="104"/>
      <c r="AB144" s="104"/>
      <c r="AD144" s="104"/>
      <c r="AE144" s="105"/>
      <c r="AH144" s="106"/>
      <c r="AI144" s="106"/>
      <c r="AK144" s="104"/>
      <c r="AR144" s="104"/>
      <c r="AV144" s="104"/>
      <c r="AX144" s="104"/>
      <c r="BB144" s="104"/>
      <c r="BC144" s="104"/>
      <c r="BE144" s="104"/>
      <c r="BH144" s="99"/>
      <c r="BI144" s="102"/>
      <c r="BJ144" s="178"/>
      <c r="BK144" s="178"/>
      <c r="BL144" s="178"/>
      <c r="BM144" s="169"/>
      <c r="BN144" s="169"/>
      <c r="BO144" s="169"/>
      <c r="BP144" s="192"/>
      <c r="BQ144" s="192"/>
      <c r="BR144" s="192"/>
      <c r="BS144" s="192"/>
      <c r="BT144" s="192"/>
      <c r="BU144" s="192"/>
      <c r="BV144" s="178"/>
      <c r="BW144" s="192"/>
      <c r="BX144" s="192"/>
      <c r="BY144" s="178"/>
      <c r="BZ144" s="178"/>
      <c r="CA144" s="178"/>
      <c r="CB144" s="180"/>
      <c r="CC144" s="192"/>
      <c r="CD144" s="192"/>
      <c r="CE144" s="180"/>
      <c r="CF144" s="180"/>
      <c r="CG144" s="180"/>
      <c r="CH144" s="180"/>
      <c r="CI144" s="192"/>
      <c r="CJ144" s="192"/>
      <c r="CK144" s="180"/>
      <c r="CL144" s="180"/>
      <c r="CM144" s="180"/>
      <c r="CN144" s="116"/>
      <c r="CO144" s="100"/>
      <c r="CP144" s="100"/>
      <c r="CQ144" s="100"/>
    </row>
    <row r="145" spans="1:97" s="101" customFormat="1" ht="27" hidden="1" customHeight="1" x14ac:dyDescent="0.25">
      <c r="A145" s="99"/>
      <c r="V145" s="103"/>
      <c r="AA145" s="104"/>
      <c r="AB145" s="104"/>
      <c r="AD145" s="104"/>
      <c r="AE145" s="105"/>
      <c r="AH145" s="106"/>
      <c r="AI145" s="106"/>
      <c r="AK145" s="104"/>
      <c r="AR145" s="104"/>
      <c r="AV145" s="104"/>
      <c r="AX145" s="104"/>
      <c r="BB145" s="104"/>
      <c r="BC145" s="104"/>
      <c r="BE145" s="104"/>
      <c r="BH145" s="99"/>
      <c r="BI145" s="1606" t="s">
        <v>255</v>
      </c>
      <c r="BJ145" s="251"/>
      <c r="BK145" s="1606" t="s">
        <v>276</v>
      </c>
      <c r="BL145" s="251"/>
      <c r="BM145" s="1606" t="s">
        <v>233</v>
      </c>
      <c r="BN145" s="1606" t="s">
        <v>233</v>
      </c>
      <c r="BO145" s="1606" t="s">
        <v>240</v>
      </c>
      <c r="BP145" s="251"/>
      <c r="BQ145" s="1606" t="s">
        <v>276</v>
      </c>
      <c r="BR145" s="251"/>
      <c r="BS145" s="1606" t="s">
        <v>233</v>
      </c>
      <c r="BT145" s="1606" t="s">
        <v>233</v>
      </c>
      <c r="BU145" s="1606" t="s">
        <v>240</v>
      </c>
      <c r="BV145" s="178"/>
      <c r="BW145" s="192"/>
      <c r="BX145" s="192"/>
      <c r="BY145" s="178"/>
      <c r="BZ145" s="178"/>
      <c r="CA145" s="178"/>
      <c r="CB145" s="180"/>
      <c r="CC145" s="192"/>
      <c r="CD145" s="192"/>
      <c r="CE145" s="180"/>
      <c r="CF145" s="180"/>
      <c r="CG145" s="180"/>
      <c r="CH145" s="180"/>
      <c r="CI145" s="192"/>
      <c r="CJ145" s="192"/>
      <c r="CK145" s="180"/>
      <c r="CL145" s="180"/>
      <c r="CM145" s="180"/>
      <c r="CN145" s="116"/>
      <c r="CO145" s="100"/>
      <c r="CP145" s="100"/>
      <c r="CQ145" s="100"/>
    </row>
    <row r="146" spans="1:97" s="101" customFormat="1" ht="53.25" hidden="1" customHeight="1" thickBot="1" x14ac:dyDescent="0.3">
      <c r="A146" s="99"/>
      <c r="V146" s="103"/>
      <c r="AA146" s="104"/>
      <c r="AB146" s="104"/>
      <c r="AD146" s="104"/>
      <c r="AE146" s="105"/>
      <c r="AH146" s="106"/>
      <c r="AI146" s="106"/>
      <c r="AK146" s="104"/>
      <c r="AR146" s="104"/>
      <c r="AV146" s="104"/>
      <c r="AX146" s="104"/>
      <c r="BB146" s="104"/>
      <c r="BC146" s="104"/>
      <c r="BE146" s="104"/>
      <c r="BH146" s="99"/>
      <c r="BI146" s="1607"/>
      <c r="BJ146" s="252" t="s">
        <v>253</v>
      </c>
      <c r="BK146" s="1607"/>
      <c r="BL146" s="252" t="s">
        <v>251</v>
      </c>
      <c r="BM146" s="1607"/>
      <c r="BN146" s="1607"/>
      <c r="BO146" s="1607"/>
      <c r="BP146" s="252" t="s">
        <v>253</v>
      </c>
      <c r="BQ146" s="1607"/>
      <c r="BR146" s="252" t="s">
        <v>251</v>
      </c>
      <c r="BS146" s="1607"/>
      <c r="BT146" s="1607"/>
      <c r="BU146" s="1607"/>
      <c r="BV146" s="178"/>
      <c r="BW146" s="192"/>
      <c r="BX146" s="192"/>
      <c r="BY146" s="178"/>
      <c r="BZ146" s="178"/>
      <c r="CA146" s="178"/>
      <c r="CB146" s="180"/>
      <c r="CC146" s="192"/>
      <c r="CD146" s="192"/>
      <c r="CE146" s="180"/>
      <c r="CF146" s="180"/>
      <c r="CG146" s="180"/>
      <c r="CH146" s="180"/>
      <c r="CI146" s="192"/>
      <c r="CJ146" s="192"/>
      <c r="CK146" s="180"/>
      <c r="CL146" s="180"/>
      <c r="CM146" s="180"/>
      <c r="CN146" s="116"/>
      <c r="CO146" s="100"/>
      <c r="CP146" s="100"/>
      <c r="CQ146" s="100"/>
    </row>
    <row r="147" spans="1:97" s="101" customFormat="1" ht="18.75" hidden="1" thickBot="1" x14ac:dyDescent="0.3">
      <c r="A147" s="99"/>
      <c r="V147" s="103"/>
      <c r="AA147" s="104"/>
      <c r="AB147" s="104"/>
      <c r="AD147" s="104"/>
      <c r="AE147" s="105"/>
      <c r="AH147" s="106"/>
      <c r="AI147" s="106"/>
      <c r="AK147" s="104"/>
      <c r="AR147" s="104"/>
      <c r="AV147" s="104"/>
      <c r="AX147" s="104"/>
      <c r="BB147" s="104"/>
      <c r="BC147" s="104"/>
      <c r="BE147" s="104"/>
      <c r="BH147" s="99"/>
      <c r="BI147" s="190" t="s">
        <v>176</v>
      </c>
      <c r="BJ147" s="187" t="s">
        <v>49</v>
      </c>
      <c r="BK147" s="196">
        <v>4660</v>
      </c>
      <c r="BL147" s="187" t="s">
        <v>411</v>
      </c>
      <c r="BM147" s="189">
        <v>0.01</v>
      </c>
      <c r="BN147" s="189">
        <v>0.5</v>
      </c>
      <c r="BO147" s="188" t="s">
        <v>311</v>
      </c>
      <c r="BP147" s="187" t="s">
        <v>49</v>
      </c>
      <c r="BQ147" s="196">
        <v>4750</v>
      </c>
      <c r="BR147" s="187" t="s">
        <v>411</v>
      </c>
      <c r="BS147" s="189">
        <v>0.01</v>
      </c>
      <c r="BT147" s="189">
        <v>0.5</v>
      </c>
      <c r="BU147" s="188" t="s">
        <v>254</v>
      </c>
      <c r="BV147" s="102"/>
      <c r="BW147" s="102"/>
      <c r="BX147" s="102"/>
      <c r="BY147" s="102"/>
      <c r="BZ147" s="102"/>
      <c r="CA147" s="102"/>
      <c r="CB147" s="102"/>
      <c r="CC147" s="102"/>
      <c r="CD147" s="102"/>
      <c r="CE147" s="180"/>
      <c r="CF147" s="180"/>
      <c r="CG147" s="180"/>
      <c r="CH147" s="180"/>
      <c r="CI147" s="178"/>
      <c r="CJ147" s="178"/>
      <c r="CK147" s="180"/>
      <c r="CL147" s="180"/>
      <c r="CM147" s="180"/>
      <c r="CN147" s="116"/>
      <c r="CO147" s="100">
        <v>0.01</v>
      </c>
      <c r="CP147" s="100">
        <f t="shared" ref="CP147:CP168" si="100">(CO147+CQ147)/2</f>
        <v>0.255</v>
      </c>
      <c r="CQ147" s="100">
        <v>0.5</v>
      </c>
      <c r="CR147" s="101">
        <v>0.01</v>
      </c>
      <c r="CS147" s="101">
        <v>0.5</v>
      </c>
    </row>
    <row r="148" spans="1:97" s="101" customFormat="1" ht="18.75" hidden="1" thickBot="1" x14ac:dyDescent="0.3">
      <c r="A148" s="99"/>
      <c r="V148" s="103"/>
      <c r="AA148" s="104"/>
      <c r="AB148" s="104"/>
      <c r="AD148" s="104"/>
      <c r="AE148" s="105"/>
      <c r="AH148" s="106"/>
      <c r="AI148" s="106"/>
      <c r="AK148" s="104"/>
      <c r="AR148" s="104"/>
      <c r="AV148" s="104"/>
      <c r="AX148" s="104"/>
      <c r="BB148" s="104"/>
      <c r="BC148" s="104"/>
      <c r="BE148" s="104"/>
      <c r="BH148" s="99"/>
      <c r="BI148" s="190" t="s">
        <v>177</v>
      </c>
      <c r="BJ148" s="187" t="s">
        <v>49</v>
      </c>
      <c r="BK148" s="196">
        <v>10200</v>
      </c>
      <c r="BL148" s="187" t="s">
        <v>411</v>
      </c>
      <c r="BM148" s="189">
        <v>0.01</v>
      </c>
      <c r="BN148" s="189">
        <v>0.5</v>
      </c>
      <c r="BO148" s="188" t="s">
        <v>311</v>
      </c>
      <c r="BP148" s="187" t="s">
        <v>49</v>
      </c>
      <c r="BQ148" s="196">
        <v>10900</v>
      </c>
      <c r="BR148" s="187" t="s">
        <v>411</v>
      </c>
      <c r="BS148" s="189">
        <v>0.01</v>
      </c>
      <c r="BT148" s="189">
        <v>0.5</v>
      </c>
      <c r="BU148" s="188" t="s">
        <v>254</v>
      </c>
      <c r="BV148" s="102"/>
      <c r="BW148" s="102"/>
      <c r="BX148" s="102"/>
      <c r="BY148" s="102"/>
      <c r="BZ148" s="102"/>
      <c r="CA148" s="102"/>
      <c r="CB148" s="102"/>
      <c r="CC148" s="102"/>
      <c r="CD148" s="102"/>
      <c r="CE148" s="192"/>
      <c r="CF148" s="192"/>
      <c r="CG148" s="192"/>
      <c r="CH148" s="197"/>
      <c r="CI148" s="192"/>
      <c r="CJ148" s="192"/>
      <c r="CK148" s="197"/>
      <c r="CL148" s="197"/>
      <c r="CM148" s="192"/>
      <c r="CN148" s="116"/>
      <c r="CO148" s="100">
        <v>0.01</v>
      </c>
      <c r="CP148" s="100">
        <f t="shared" si="100"/>
        <v>0.255</v>
      </c>
      <c r="CQ148" s="100">
        <v>0.5</v>
      </c>
      <c r="CR148" s="101">
        <v>0.01</v>
      </c>
      <c r="CS148" s="101">
        <v>0.5</v>
      </c>
    </row>
    <row r="149" spans="1:97" s="101" customFormat="1" ht="18.75" hidden="1" thickBot="1" x14ac:dyDescent="0.3">
      <c r="A149" s="99"/>
      <c r="V149" s="103"/>
      <c r="AA149" s="104"/>
      <c r="AB149" s="104"/>
      <c r="AD149" s="104"/>
      <c r="AE149" s="105"/>
      <c r="AH149" s="106"/>
      <c r="AI149" s="106"/>
      <c r="AK149" s="104"/>
      <c r="AR149" s="104"/>
      <c r="AV149" s="104"/>
      <c r="AX149" s="104"/>
      <c r="BB149" s="104"/>
      <c r="BC149" s="104"/>
      <c r="BE149" s="104"/>
      <c r="BH149" s="99"/>
      <c r="BI149" s="190" t="s">
        <v>178</v>
      </c>
      <c r="BJ149" s="187" t="s">
        <v>49</v>
      </c>
      <c r="BK149" s="196">
        <v>1760</v>
      </c>
      <c r="BL149" s="187" t="s">
        <v>411</v>
      </c>
      <c r="BM149" s="189">
        <v>0.01</v>
      </c>
      <c r="BN149" s="189">
        <v>0.5</v>
      </c>
      <c r="BO149" s="188" t="s">
        <v>311</v>
      </c>
      <c r="BP149" s="187" t="s">
        <v>49</v>
      </c>
      <c r="BQ149" s="196">
        <v>1810</v>
      </c>
      <c r="BR149" s="187" t="s">
        <v>411</v>
      </c>
      <c r="BS149" s="189">
        <v>0.01</v>
      </c>
      <c r="BT149" s="189">
        <v>0.5</v>
      </c>
      <c r="BU149" s="188" t="s">
        <v>254</v>
      </c>
      <c r="BV149" s="102"/>
      <c r="BW149" s="102"/>
      <c r="BX149" s="102"/>
      <c r="BY149" s="102"/>
      <c r="BZ149" s="102"/>
      <c r="CA149" s="102"/>
      <c r="CB149" s="102"/>
      <c r="CC149" s="102"/>
      <c r="CD149" s="102"/>
      <c r="CE149" s="192"/>
      <c r="CF149" s="192"/>
      <c r="CG149" s="192"/>
      <c r="CH149" s="197"/>
      <c r="CI149" s="192"/>
      <c r="CJ149" s="192"/>
      <c r="CK149" s="197"/>
      <c r="CL149" s="197"/>
      <c r="CM149" s="192"/>
      <c r="CN149" s="116"/>
      <c r="CO149" s="100">
        <v>0.01</v>
      </c>
      <c r="CP149" s="100">
        <f t="shared" si="100"/>
        <v>0.255</v>
      </c>
      <c r="CQ149" s="100">
        <v>0.5</v>
      </c>
      <c r="CR149" s="101">
        <v>0.01</v>
      </c>
      <c r="CS149" s="101">
        <v>0.5</v>
      </c>
    </row>
    <row r="150" spans="1:97" s="101" customFormat="1" ht="18.75" hidden="1" thickBot="1" x14ac:dyDescent="0.3">
      <c r="A150" s="99"/>
      <c r="V150" s="103"/>
      <c r="AA150" s="104"/>
      <c r="AB150" s="104"/>
      <c r="AD150" s="104"/>
      <c r="AE150" s="105"/>
      <c r="AH150" s="106"/>
      <c r="AI150" s="106"/>
      <c r="AK150" s="104"/>
      <c r="AR150" s="104"/>
      <c r="AV150" s="104"/>
      <c r="AX150" s="104"/>
      <c r="BB150" s="104"/>
      <c r="BC150" s="104"/>
      <c r="BE150" s="104"/>
      <c r="BH150" s="99"/>
      <c r="BI150" s="190" t="s">
        <v>357</v>
      </c>
      <c r="BJ150" s="187" t="s">
        <v>49</v>
      </c>
      <c r="BK150" s="196">
        <v>782</v>
      </c>
      <c r="BL150" s="187" t="s">
        <v>411</v>
      </c>
      <c r="BM150" s="189">
        <v>0.01</v>
      </c>
      <c r="BN150" s="189">
        <v>0.5</v>
      </c>
      <c r="BO150" s="188" t="s">
        <v>311</v>
      </c>
      <c r="BP150" s="187"/>
      <c r="BQ150" s="196"/>
      <c r="BR150" s="187"/>
      <c r="BS150" s="189"/>
      <c r="BT150" s="189"/>
      <c r="BU150" s="188"/>
      <c r="BV150" s="102"/>
      <c r="BW150" s="102"/>
      <c r="BX150" s="102"/>
      <c r="BY150" s="102"/>
      <c r="BZ150" s="102"/>
      <c r="CA150" s="102"/>
      <c r="CB150" s="102"/>
      <c r="CC150" s="102"/>
      <c r="CD150" s="102"/>
      <c r="CE150" s="192"/>
      <c r="CF150" s="192"/>
      <c r="CG150" s="192"/>
      <c r="CH150" s="197"/>
      <c r="CI150" s="192"/>
      <c r="CJ150" s="192"/>
      <c r="CK150" s="197"/>
      <c r="CL150" s="197"/>
      <c r="CM150" s="192"/>
      <c r="CN150" s="116"/>
      <c r="CO150" s="100">
        <v>0.01</v>
      </c>
      <c r="CP150" s="100">
        <f t="shared" si="100"/>
        <v>0.255</v>
      </c>
      <c r="CQ150" s="100">
        <v>0.5</v>
      </c>
    </row>
    <row r="151" spans="1:97" s="101" customFormat="1" ht="18.75" hidden="1" thickBot="1" x14ac:dyDescent="0.3">
      <c r="A151" s="99"/>
      <c r="V151" s="103"/>
      <c r="AA151" s="104"/>
      <c r="AB151" s="104"/>
      <c r="AD151" s="104"/>
      <c r="AE151" s="105"/>
      <c r="AH151" s="106"/>
      <c r="AI151" s="106"/>
      <c r="AK151" s="104"/>
      <c r="AR151" s="104"/>
      <c r="AV151" s="104"/>
      <c r="AX151" s="104"/>
      <c r="BB151" s="104"/>
      <c r="BC151" s="104"/>
      <c r="BE151" s="104"/>
      <c r="BH151" s="99"/>
      <c r="BI151" s="190" t="s">
        <v>179</v>
      </c>
      <c r="BJ151" s="187" t="s">
        <v>49</v>
      </c>
      <c r="BK151" s="196">
        <v>12400</v>
      </c>
      <c r="BL151" s="187" t="s">
        <v>411</v>
      </c>
      <c r="BM151" s="189">
        <v>0.01</v>
      </c>
      <c r="BN151" s="189">
        <v>0.5</v>
      </c>
      <c r="BO151" s="188" t="s">
        <v>311</v>
      </c>
      <c r="BP151" s="187" t="s">
        <v>49</v>
      </c>
      <c r="BQ151" s="196">
        <v>14800</v>
      </c>
      <c r="BR151" s="187" t="s">
        <v>411</v>
      </c>
      <c r="BS151" s="189">
        <v>0.01</v>
      </c>
      <c r="BT151" s="189">
        <v>0.5</v>
      </c>
      <c r="BU151" s="188" t="s">
        <v>254</v>
      </c>
      <c r="BV151" s="102"/>
      <c r="BW151" s="102"/>
      <c r="BX151" s="102"/>
      <c r="BY151" s="102"/>
      <c r="BZ151" s="102"/>
      <c r="CA151" s="102"/>
      <c r="CB151" s="102"/>
      <c r="CC151" s="102"/>
      <c r="CD151" s="102"/>
      <c r="CE151" s="192"/>
      <c r="CF151" s="192"/>
      <c r="CG151" s="192"/>
      <c r="CH151" s="197"/>
      <c r="CI151" s="192"/>
      <c r="CJ151" s="192"/>
      <c r="CK151" s="197"/>
      <c r="CL151" s="197"/>
      <c r="CM151" s="192"/>
      <c r="CN151" s="116"/>
      <c r="CO151" s="100">
        <v>0.01</v>
      </c>
      <c r="CP151" s="100">
        <f t="shared" si="100"/>
        <v>0.255</v>
      </c>
      <c r="CQ151" s="100">
        <v>0.5</v>
      </c>
      <c r="CR151" s="101">
        <v>0.01</v>
      </c>
      <c r="CS151" s="101">
        <v>0.5</v>
      </c>
    </row>
    <row r="152" spans="1:97" s="101" customFormat="1" ht="18.75" hidden="1" thickBot="1" x14ac:dyDescent="0.3">
      <c r="A152" s="99"/>
      <c r="V152" s="103"/>
      <c r="AA152" s="104"/>
      <c r="AB152" s="104"/>
      <c r="AD152" s="104"/>
      <c r="AE152" s="105"/>
      <c r="AH152" s="106"/>
      <c r="AI152" s="106"/>
      <c r="AK152" s="104"/>
      <c r="AR152" s="104"/>
      <c r="AV152" s="104"/>
      <c r="AX152" s="104"/>
      <c r="BB152" s="104"/>
      <c r="BC152" s="104"/>
      <c r="BE152" s="104"/>
      <c r="BH152" s="99"/>
      <c r="BI152" s="190" t="s">
        <v>180</v>
      </c>
      <c r="BJ152" s="187" t="s">
        <v>49</v>
      </c>
      <c r="BK152" s="196">
        <v>677</v>
      </c>
      <c r="BL152" s="187" t="s">
        <v>411</v>
      </c>
      <c r="BM152" s="189">
        <v>0.01</v>
      </c>
      <c r="BN152" s="189">
        <v>0.5</v>
      </c>
      <c r="BO152" s="188" t="s">
        <v>311</v>
      </c>
      <c r="BP152" s="187" t="s">
        <v>49</v>
      </c>
      <c r="BQ152" s="196">
        <v>675</v>
      </c>
      <c r="BR152" s="187" t="s">
        <v>411</v>
      </c>
      <c r="BS152" s="189">
        <v>0.01</v>
      </c>
      <c r="BT152" s="189">
        <v>0.5</v>
      </c>
      <c r="BU152" s="188" t="s">
        <v>254</v>
      </c>
      <c r="BV152" s="102"/>
      <c r="BW152" s="102"/>
      <c r="BX152" s="102"/>
      <c r="BY152" s="102"/>
      <c r="BZ152" s="102"/>
      <c r="CA152" s="102"/>
      <c r="CB152" s="102"/>
      <c r="CC152" s="102"/>
      <c r="CD152" s="102"/>
      <c r="CE152" s="192"/>
      <c r="CF152" s="192"/>
      <c r="CG152" s="192"/>
      <c r="CH152" s="197"/>
      <c r="CI152" s="192"/>
      <c r="CJ152" s="192"/>
      <c r="CK152" s="197"/>
      <c r="CL152" s="197"/>
      <c r="CM152" s="192"/>
      <c r="CN152" s="116"/>
      <c r="CO152" s="100">
        <v>0.01</v>
      </c>
      <c r="CP152" s="100">
        <f t="shared" si="100"/>
        <v>0.255</v>
      </c>
      <c r="CQ152" s="100">
        <v>0.5</v>
      </c>
      <c r="CR152" s="101">
        <v>0.01</v>
      </c>
      <c r="CS152" s="101">
        <v>0.5</v>
      </c>
    </row>
    <row r="153" spans="1:97" s="101" customFormat="1" ht="18.75" hidden="1" thickBot="1" x14ac:dyDescent="0.3">
      <c r="A153" s="99"/>
      <c r="V153" s="103"/>
      <c r="AA153" s="104"/>
      <c r="AB153" s="104"/>
      <c r="AD153" s="104"/>
      <c r="AE153" s="105"/>
      <c r="AH153" s="106"/>
      <c r="AI153" s="106"/>
      <c r="AK153" s="104"/>
      <c r="AR153" s="104"/>
      <c r="AV153" s="104"/>
      <c r="AX153" s="104"/>
      <c r="BB153" s="104"/>
      <c r="BC153" s="104"/>
      <c r="BE153" s="104"/>
      <c r="BH153" s="99"/>
      <c r="BI153" s="190" t="s">
        <v>360</v>
      </c>
      <c r="BJ153" s="187" t="s">
        <v>49</v>
      </c>
      <c r="BK153" s="196">
        <v>3170</v>
      </c>
      <c r="BL153" s="187" t="s">
        <v>411</v>
      </c>
      <c r="BM153" s="189">
        <v>0.01</v>
      </c>
      <c r="BN153" s="189">
        <v>0.5</v>
      </c>
      <c r="BO153" s="188" t="s">
        <v>311</v>
      </c>
      <c r="BP153" s="187"/>
      <c r="BQ153" s="196"/>
      <c r="BR153" s="187"/>
      <c r="BS153" s="189"/>
      <c r="BT153" s="189"/>
      <c r="BU153" s="188"/>
      <c r="BV153" s="102"/>
      <c r="BW153" s="102"/>
      <c r="BX153" s="102"/>
      <c r="BY153" s="102"/>
      <c r="BZ153" s="102"/>
      <c r="CA153" s="102"/>
      <c r="CB153" s="102"/>
      <c r="CC153" s="102"/>
      <c r="CD153" s="102"/>
      <c r="CE153" s="192"/>
      <c r="CF153" s="192"/>
      <c r="CG153" s="192"/>
      <c r="CH153" s="197"/>
      <c r="CI153" s="192"/>
      <c r="CJ153" s="192"/>
      <c r="CK153" s="197"/>
      <c r="CL153" s="197"/>
      <c r="CM153" s="192"/>
      <c r="CN153" s="116"/>
      <c r="CO153" s="100">
        <v>0.01</v>
      </c>
      <c r="CP153" s="100">
        <f t="shared" si="100"/>
        <v>0.255</v>
      </c>
      <c r="CQ153" s="100">
        <v>0.5</v>
      </c>
      <c r="CR153" s="101">
        <v>0.01</v>
      </c>
      <c r="CS153" s="101">
        <v>0.5</v>
      </c>
    </row>
    <row r="154" spans="1:97" s="101" customFormat="1" ht="18.75" hidden="1" thickBot="1" x14ac:dyDescent="0.3">
      <c r="A154" s="99"/>
      <c r="V154" s="103"/>
      <c r="AA154" s="104"/>
      <c r="AB154" s="104"/>
      <c r="AD154" s="104"/>
      <c r="AE154" s="105"/>
      <c r="AH154" s="106"/>
      <c r="AI154" s="106"/>
      <c r="AK154" s="104"/>
      <c r="AR154" s="104"/>
      <c r="AV154" s="104"/>
      <c r="AX154" s="104"/>
      <c r="BB154" s="104"/>
      <c r="BC154" s="104"/>
      <c r="BE154" s="104"/>
      <c r="BH154" s="99"/>
      <c r="BI154" s="190" t="s">
        <v>181</v>
      </c>
      <c r="BJ154" s="187" t="s">
        <v>49</v>
      </c>
      <c r="BK154" s="196">
        <v>1120</v>
      </c>
      <c r="BL154" s="187" t="s">
        <v>411</v>
      </c>
      <c r="BM154" s="189">
        <v>0.01</v>
      </c>
      <c r="BN154" s="189">
        <v>0.5</v>
      </c>
      <c r="BO154" s="188" t="s">
        <v>311</v>
      </c>
      <c r="BP154" s="187" t="s">
        <v>49</v>
      </c>
      <c r="BQ154" s="196">
        <v>1100</v>
      </c>
      <c r="BR154" s="187" t="s">
        <v>411</v>
      </c>
      <c r="BS154" s="189">
        <v>0.01</v>
      </c>
      <c r="BT154" s="189">
        <v>0.5</v>
      </c>
      <c r="BU154" s="188" t="s">
        <v>254</v>
      </c>
      <c r="BV154" s="102"/>
      <c r="BW154" s="102"/>
      <c r="BX154" s="102"/>
      <c r="BY154" s="102"/>
      <c r="BZ154" s="102"/>
      <c r="CA154" s="102"/>
      <c r="CB154" s="102"/>
      <c r="CC154" s="102"/>
      <c r="CD154" s="102"/>
      <c r="CE154" s="192"/>
      <c r="CF154" s="192"/>
      <c r="CG154" s="192"/>
      <c r="CH154" s="197"/>
      <c r="CI154" s="192"/>
      <c r="CJ154" s="192"/>
      <c r="CK154" s="197"/>
      <c r="CL154" s="197"/>
      <c r="CM154" s="192"/>
      <c r="CN154" s="116"/>
      <c r="CO154" s="100">
        <v>0.01</v>
      </c>
      <c r="CP154" s="100">
        <f t="shared" si="100"/>
        <v>0.255</v>
      </c>
      <c r="CQ154" s="100">
        <v>0.5</v>
      </c>
      <c r="CR154" s="101">
        <v>0.01</v>
      </c>
      <c r="CS154" s="101">
        <v>0.5</v>
      </c>
    </row>
    <row r="155" spans="1:97" s="101" customFormat="1" ht="18.75" hidden="1" thickBot="1" x14ac:dyDescent="0.3">
      <c r="A155" s="99"/>
      <c r="V155" s="103"/>
      <c r="AA155" s="104"/>
      <c r="AB155" s="104"/>
      <c r="AD155" s="104"/>
      <c r="AE155" s="105"/>
      <c r="AH155" s="106"/>
      <c r="AI155" s="106"/>
      <c r="AK155" s="104"/>
      <c r="AR155" s="104"/>
      <c r="AV155" s="104"/>
      <c r="AX155" s="104"/>
      <c r="BB155" s="104"/>
      <c r="BC155" s="104"/>
      <c r="BE155" s="104"/>
      <c r="BH155" s="99"/>
      <c r="BI155" s="190" t="s">
        <v>182</v>
      </c>
      <c r="BJ155" s="187" t="s">
        <v>49</v>
      </c>
      <c r="BK155" s="196">
        <v>1300</v>
      </c>
      <c r="BL155" s="187" t="s">
        <v>411</v>
      </c>
      <c r="BM155" s="189">
        <v>0.01</v>
      </c>
      <c r="BN155" s="189">
        <v>0.5</v>
      </c>
      <c r="BO155" s="188" t="s">
        <v>311</v>
      </c>
      <c r="BP155" s="187" t="s">
        <v>49</v>
      </c>
      <c r="BQ155" s="196">
        <v>1430</v>
      </c>
      <c r="BR155" s="187" t="s">
        <v>411</v>
      </c>
      <c r="BS155" s="189">
        <v>0.01</v>
      </c>
      <c r="BT155" s="189">
        <v>0.5</v>
      </c>
      <c r="BU155" s="188" t="s">
        <v>254</v>
      </c>
      <c r="BV155" s="102"/>
      <c r="BW155" s="102"/>
      <c r="BX155" s="102"/>
      <c r="BY155" s="102"/>
      <c r="BZ155" s="102"/>
      <c r="CA155" s="102"/>
      <c r="CB155" s="102"/>
      <c r="CC155" s="102"/>
      <c r="CD155" s="102"/>
      <c r="CE155" s="192"/>
      <c r="CF155" s="192"/>
      <c r="CG155" s="192"/>
      <c r="CH155" s="197"/>
      <c r="CI155" s="192"/>
      <c r="CJ155" s="192"/>
      <c r="CK155" s="197"/>
      <c r="CL155" s="197"/>
      <c r="CM155" s="192"/>
      <c r="CN155" s="116"/>
      <c r="CO155" s="100">
        <v>0.01</v>
      </c>
      <c r="CP155" s="100">
        <f t="shared" si="100"/>
        <v>0.255</v>
      </c>
      <c r="CQ155" s="100">
        <v>0.5</v>
      </c>
      <c r="CR155" s="101">
        <v>0.01</v>
      </c>
      <c r="CS155" s="101">
        <v>0.5</v>
      </c>
    </row>
    <row r="156" spans="1:97" s="101" customFormat="1" ht="18.75" hidden="1" thickBot="1" x14ac:dyDescent="0.3">
      <c r="A156" s="99"/>
      <c r="V156" s="103"/>
      <c r="AA156" s="104"/>
      <c r="AB156" s="104"/>
      <c r="AD156" s="104"/>
      <c r="AE156" s="105"/>
      <c r="AH156" s="106"/>
      <c r="AI156" s="106"/>
      <c r="AK156" s="104"/>
      <c r="AR156" s="104"/>
      <c r="AV156" s="104"/>
      <c r="AX156" s="104"/>
      <c r="BB156" s="104"/>
      <c r="BC156" s="104"/>
      <c r="BE156" s="104"/>
      <c r="BH156" s="99"/>
      <c r="BI156" s="190" t="s">
        <v>186</v>
      </c>
      <c r="BJ156" s="187" t="s">
        <v>49</v>
      </c>
      <c r="BK156" s="196">
        <v>328</v>
      </c>
      <c r="BL156" s="187" t="s">
        <v>411</v>
      </c>
      <c r="BM156" s="189">
        <v>0.01</v>
      </c>
      <c r="BN156" s="189">
        <v>0.5</v>
      </c>
      <c r="BO156" s="188" t="s">
        <v>311</v>
      </c>
      <c r="BP156" s="187" t="s">
        <v>49</v>
      </c>
      <c r="BQ156" s="196">
        <v>353</v>
      </c>
      <c r="BR156" s="187" t="s">
        <v>411</v>
      </c>
      <c r="BS156" s="189">
        <v>0.01</v>
      </c>
      <c r="BT156" s="189">
        <v>0.5</v>
      </c>
      <c r="BU156" s="188" t="s">
        <v>254</v>
      </c>
      <c r="BV156" s="102"/>
      <c r="BW156" s="102"/>
      <c r="BX156" s="102"/>
      <c r="BY156" s="102"/>
      <c r="BZ156" s="102"/>
      <c r="CA156" s="102"/>
      <c r="CB156" s="102"/>
      <c r="CC156" s="102"/>
      <c r="CD156" s="102"/>
      <c r="CE156" s="192"/>
      <c r="CF156" s="192"/>
      <c r="CG156" s="192"/>
      <c r="CH156" s="197"/>
      <c r="CI156" s="192"/>
      <c r="CJ156" s="192"/>
      <c r="CK156" s="197"/>
      <c r="CL156" s="197"/>
      <c r="CM156" s="192"/>
      <c r="CN156" s="116"/>
      <c r="CO156" s="100">
        <v>0.01</v>
      </c>
      <c r="CP156" s="100">
        <f t="shared" si="100"/>
        <v>0.255</v>
      </c>
      <c r="CQ156" s="100">
        <v>0.5</v>
      </c>
      <c r="CR156" s="101">
        <v>0.01</v>
      </c>
      <c r="CS156" s="101">
        <v>0.5</v>
      </c>
    </row>
    <row r="157" spans="1:97" s="101" customFormat="1" ht="18.75" hidden="1" thickBot="1" x14ac:dyDescent="0.3">
      <c r="A157" s="99"/>
      <c r="V157" s="103"/>
      <c r="AA157" s="104"/>
      <c r="AB157" s="104"/>
      <c r="AD157" s="104"/>
      <c r="AE157" s="105"/>
      <c r="AH157" s="106"/>
      <c r="AI157" s="106"/>
      <c r="AK157" s="104"/>
      <c r="AR157" s="104"/>
      <c r="AV157" s="104"/>
      <c r="AX157" s="104"/>
      <c r="BB157" s="104"/>
      <c r="BC157" s="104"/>
      <c r="BE157" s="104"/>
      <c r="BH157" s="99"/>
      <c r="BI157" s="190" t="s">
        <v>187</v>
      </c>
      <c r="BJ157" s="187" t="s">
        <v>49</v>
      </c>
      <c r="BK157" s="196">
        <v>4800</v>
      </c>
      <c r="BL157" s="187" t="s">
        <v>411</v>
      </c>
      <c r="BM157" s="189">
        <v>0.01</v>
      </c>
      <c r="BN157" s="189">
        <v>0.5</v>
      </c>
      <c r="BO157" s="188" t="s">
        <v>311</v>
      </c>
      <c r="BP157" s="187" t="s">
        <v>49</v>
      </c>
      <c r="BQ157" s="196">
        <v>4470</v>
      </c>
      <c r="BR157" s="187" t="s">
        <v>411</v>
      </c>
      <c r="BS157" s="189">
        <v>0.01</v>
      </c>
      <c r="BT157" s="189">
        <v>0.5</v>
      </c>
      <c r="BU157" s="188" t="s">
        <v>254</v>
      </c>
      <c r="BV157" s="102"/>
      <c r="BW157" s="102"/>
      <c r="BX157" s="102"/>
      <c r="BY157" s="102"/>
      <c r="BZ157" s="102"/>
      <c r="CA157" s="102"/>
      <c r="CB157" s="102"/>
      <c r="CC157" s="102"/>
      <c r="CD157" s="102"/>
      <c r="CE157" s="192"/>
      <c r="CF157" s="192"/>
      <c r="CG157" s="192"/>
      <c r="CH157" s="197"/>
      <c r="CI157" s="192"/>
      <c r="CJ157" s="192"/>
      <c r="CK157" s="197"/>
      <c r="CL157" s="197"/>
      <c r="CM157" s="192"/>
      <c r="CN157" s="116"/>
      <c r="CO157" s="100">
        <v>0.01</v>
      </c>
      <c r="CP157" s="100">
        <f t="shared" si="100"/>
        <v>0.255</v>
      </c>
      <c r="CQ157" s="100">
        <v>0.5</v>
      </c>
      <c r="CR157" s="101">
        <v>0.01</v>
      </c>
      <c r="CS157" s="101">
        <v>0.5</v>
      </c>
    </row>
    <row r="158" spans="1:97" s="101" customFormat="1" ht="18.75" hidden="1" thickBot="1" x14ac:dyDescent="0.3">
      <c r="A158" s="99"/>
      <c r="V158" s="103"/>
      <c r="AA158" s="104"/>
      <c r="AB158" s="104"/>
      <c r="AD158" s="104"/>
      <c r="AE158" s="105"/>
      <c r="AH158" s="106"/>
      <c r="AI158" s="106"/>
      <c r="AK158" s="104"/>
      <c r="AR158" s="104"/>
      <c r="AV158" s="104"/>
      <c r="AX158" s="104"/>
      <c r="BB158" s="104"/>
      <c r="BC158" s="104"/>
      <c r="BE158" s="104"/>
      <c r="BH158" s="99"/>
      <c r="BI158" s="190" t="s">
        <v>395</v>
      </c>
      <c r="BJ158" s="187" t="s">
        <v>49</v>
      </c>
      <c r="BK158" s="196">
        <v>3350</v>
      </c>
      <c r="BL158" s="187" t="s">
        <v>411</v>
      </c>
      <c r="BM158" s="189">
        <v>0.01</v>
      </c>
      <c r="BN158" s="189">
        <v>0.5</v>
      </c>
      <c r="BO158" s="188" t="s">
        <v>311</v>
      </c>
      <c r="BP158" s="187"/>
      <c r="BQ158" s="196"/>
      <c r="BR158" s="187"/>
      <c r="BS158" s="189"/>
      <c r="BT158" s="189"/>
      <c r="BU158" s="188"/>
      <c r="BV158" s="102"/>
      <c r="BW158" s="102"/>
      <c r="BX158" s="102"/>
      <c r="BY158" s="102"/>
      <c r="BZ158" s="102"/>
      <c r="CA158" s="102"/>
      <c r="CB158" s="102"/>
      <c r="CC158" s="102"/>
      <c r="CD158" s="102"/>
      <c r="CE158" s="192"/>
      <c r="CF158" s="192"/>
      <c r="CG158" s="192"/>
      <c r="CH158" s="197"/>
      <c r="CI158" s="192"/>
      <c r="CJ158" s="192"/>
      <c r="CK158" s="197"/>
      <c r="CL158" s="197"/>
      <c r="CM158" s="192"/>
      <c r="CN158" s="116"/>
      <c r="CO158" s="100">
        <v>0.01</v>
      </c>
      <c r="CP158" s="100">
        <f t="shared" si="100"/>
        <v>0.255</v>
      </c>
      <c r="CQ158" s="100">
        <v>0.5</v>
      </c>
    </row>
    <row r="159" spans="1:97" s="101" customFormat="1" ht="90.75" hidden="1" thickBot="1" x14ac:dyDescent="0.3">
      <c r="A159" s="99"/>
      <c r="V159" s="103"/>
      <c r="AA159" s="104"/>
      <c r="AB159" s="104"/>
      <c r="AD159" s="104"/>
      <c r="AE159" s="105"/>
      <c r="AH159" s="106"/>
      <c r="AI159" s="106"/>
      <c r="AK159" s="104"/>
      <c r="AR159" s="104"/>
      <c r="AV159" s="104"/>
      <c r="AX159" s="104"/>
      <c r="BB159" s="104"/>
      <c r="BC159" s="104"/>
      <c r="BE159" s="104"/>
      <c r="BH159" s="99"/>
      <c r="BI159" s="190" t="s">
        <v>359</v>
      </c>
      <c r="BJ159" s="187" t="s">
        <v>49</v>
      </c>
      <c r="BK159" s="196">
        <f>(BK155*4%)+(BK153*44%)+(BK157*52%)</f>
        <v>3942.8</v>
      </c>
      <c r="BL159" s="187" t="s">
        <v>411</v>
      </c>
      <c r="BM159" s="189">
        <v>0.01</v>
      </c>
      <c r="BN159" s="189">
        <v>0.5</v>
      </c>
      <c r="BO159" s="188" t="s">
        <v>383</v>
      </c>
      <c r="BP159" s="187" t="s">
        <v>49</v>
      </c>
      <c r="BQ159" s="196">
        <v>3922</v>
      </c>
      <c r="BR159" s="187" t="s">
        <v>411</v>
      </c>
      <c r="BS159" s="189">
        <v>0.01</v>
      </c>
      <c r="BT159" s="189">
        <v>0.5</v>
      </c>
      <c r="BU159" s="198" t="s">
        <v>358</v>
      </c>
      <c r="BV159" s="102"/>
      <c r="BW159" s="102"/>
      <c r="BX159" s="102"/>
      <c r="BY159" s="102"/>
      <c r="BZ159" s="102"/>
      <c r="CA159" s="102"/>
      <c r="CB159" s="102"/>
      <c r="CC159" s="102"/>
      <c r="CD159" s="102"/>
      <c r="CE159" s="192"/>
      <c r="CF159" s="192"/>
      <c r="CG159" s="192"/>
      <c r="CH159" s="197"/>
      <c r="CI159" s="192"/>
      <c r="CJ159" s="192"/>
      <c r="CK159" s="197"/>
      <c r="CL159" s="197"/>
      <c r="CM159" s="192"/>
      <c r="CN159" s="116"/>
      <c r="CO159" s="100">
        <v>0.01</v>
      </c>
      <c r="CP159" s="100">
        <f t="shared" si="100"/>
        <v>0.255</v>
      </c>
      <c r="CQ159" s="100">
        <v>0.5</v>
      </c>
      <c r="CR159" s="101">
        <v>0.01</v>
      </c>
      <c r="CS159" s="101">
        <v>0.5</v>
      </c>
    </row>
    <row r="160" spans="1:97" s="101" customFormat="1" ht="128.25" hidden="1" thickBot="1" x14ac:dyDescent="0.3">
      <c r="A160" s="99"/>
      <c r="V160" s="103"/>
      <c r="AA160" s="104"/>
      <c r="AB160" s="104"/>
      <c r="AD160" s="104"/>
      <c r="AE160" s="105"/>
      <c r="AH160" s="106"/>
      <c r="AI160" s="106"/>
      <c r="AK160" s="104"/>
      <c r="AR160" s="104"/>
      <c r="AV160" s="104"/>
      <c r="AX160" s="104"/>
      <c r="BB160" s="104"/>
      <c r="BC160" s="104"/>
      <c r="BE160" s="104"/>
      <c r="BH160" s="99"/>
      <c r="BI160" s="190" t="s">
        <v>185</v>
      </c>
      <c r="BJ160" s="187" t="s">
        <v>49</v>
      </c>
      <c r="BK160" s="196">
        <f>(BK155*52%)+(BK153*25%)+(BK152*23%)</f>
        <v>1624.21</v>
      </c>
      <c r="BL160" s="187" t="s">
        <v>411</v>
      </c>
      <c r="BM160" s="189">
        <v>0.01</v>
      </c>
      <c r="BN160" s="189">
        <v>0.5</v>
      </c>
      <c r="BO160" s="188" t="s">
        <v>384</v>
      </c>
      <c r="BP160" s="187" t="s">
        <v>49</v>
      </c>
      <c r="BQ160" s="196">
        <v>1774</v>
      </c>
      <c r="BR160" s="187" t="s">
        <v>411</v>
      </c>
      <c r="BS160" s="189">
        <v>0.01</v>
      </c>
      <c r="BT160" s="189">
        <v>0.5</v>
      </c>
      <c r="BU160" s="188" t="s">
        <v>254</v>
      </c>
      <c r="BV160" s="102"/>
      <c r="BW160" s="102"/>
      <c r="BX160" s="102"/>
      <c r="BY160" s="102"/>
      <c r="BZ160" s="102"/>
      <c r="CA160" s="102"/>
      <c r="CB160" s="102"/>
      <c r="CC160" s="102"/>
      <c r="CD160" s="102"/>
      <c r="CE160" s="192"/>
      <c r="CF160" s="192"/>
      <c r="CG160" s="192"/>
      <c r="CH160" s="197"/>
      <c r="CI160" s="192"/>
      <c r="CJ160" s="192"/>
      <c r="CK160" s="197"/>
      <c r="CL160" s="197"/>
      <c r="CM160" s="192"/>
      <c r="CN160" s="116"/>
      <c r="CO160" s="100">
        <v>0.01</v>
      </c>
      <c r="CP160" s="100">
        <f t="shared" si="100"/>
        <v>0.255</v>
      </c>
      <c r="CQ160" s="100">
        <v>0.5</v>
      </c>
      <c r="CR160" s="101">
        <v>0.01</v>
      </c>
      <c r="CS160" s="101">
        <v>0.5</v>
      </c>
    </row>
    <row r="161" spans="1:97" s="101" customFormat="1" ht="128.25" hidden="1" thickBot="1" x14ac:dyDescent="0.3">
      <c r="A161" s="99"/>
      <c r="V161" s="103"/>
      <c r="AA161" s="104"/>
      <c r="AB161" s="104"/>
      <c r="AD161" s="104"/>
      <c r="AE161" s="105"/>
      <c r="AH161" s="106"/>
      <c r="AI161" s="106"/>
      <c r="AK161" s="104"/>
      <c r="AR161" s="104"/>
      <c r="AV161" s="104"/>
      <c r="AX161" s="104"/>
      <c r="BB161" s="104"/>
      <c r="BC161" s="104"/>
      <c r="BE161" s="104"/>
      <c r="BH161" s="99"/>
      <c r="BI161" s="190" t="s">
        <v>184</v>
      </c>
      <c r="BJ161" s="187" t="s">
        <v>49</v>
      </c>
      <c r="BK161" s="196">
        <f>(BK153*50%)+(BK152*50%)</f>
        <v>1923.5</v>
      </c>
      <c r="BL161" s="187" t="s">
        <v>411</v>
      </c>
      <c r="BM161" s="189">
        <v>0.01</v>
      </c>
      <c r="BN161" s="189">
        <v>0.5</v>
      </c>
      <c r="BO161" s="188" t="s">
        <v>385</v>
      </c>
      <c r="BP161" s="187" t="s">
        <v>49</v>
      </c>
      <c r="BQ161" s="196">
        <v>2088</v>
      </c>
      <c r="BR161" s="187" t="s">
        <v>411</v>
      </c>
      <c r="BS161" s="189">
        <v>0.01</v>
      </c>
      <c r="BT161" s="189">
        <v>0.5</v>
      </c>
      <c r="BU161" s="188" t="s">
        <v>254</v>
      </c>
      <c r="BV161" s="102"/>
      <c r="BW161" s="102"/>
      <c r="BX161" s="102"/>
      <c r="BY161" s="102"/>
      <c r="BZ161" s="102"/>
      <c r="CA161" s="102"/>
      <c r="CB161" s="102"/>
      <c r="CC161" s="102"/>
      <c r="CD161" s="102"/>
      <c r="CE161" s="192"/>
      <c r="CF161" s="192"/>
      <c r="CG161" s="192"/>
      <c r="CH161" s="197"/>
      <c r="CI161" s="192"/>
      <c r="CJ161" s="192"/>
      <c r="CK161" s="197"/>
      <c r="CL161" s="197"/>
      <c r="CM161" s="192"/>
      <c r="CN161" s="116"/>
      <c r="CO161" s="100">
        <v>0.01</v>
      </c>
      <c r="CP161" s="100">
        <f t="shared" si="100"/>
        <v>0.255</v>
      </c>
      <c r="CQ161" s="100">
        <v>0.5</v>
      </c>
      <c r="CR161" s="101">
        <v>0.01</v>
      </c>
      <c r="CS161" s="101">
        <v>0.5</v>
      </c>
    </row>
    <row r="162" spans="1:97" s="101" customFormat="1" ht="128.25" hidden="1" thickBot="1" x14ac:dyDescent="0.3">
      <c r="A162" s="99"/>
      <c r="V162" s="103"/>
      <c r="AA162" s="104"/>
      <c r="AB162" s="104"/>
      <c r="AD162" s="104"/>
      <c r="AE162" s="105"/>
      <c r="AH162" s="106"/>
      <c r="AI162" s="106"/>
      <c r="AK162" s="104"/>
      <c r="AR162" s="104"/>
      <c r="AV162" s="104"/>
      <c r="AX162" s="104"/>
      <c r="BB162" s="104"/>
      <c r="BC162" s="104"/>
      <c r="BE162" s="104"/>
      <c r="BH162" s="99"/>
      <c r="BI162" s="190" t="s">
        <v>188</v>
      </c>
      <c r="BJ162" s="187" t="s">
        <v>49</v>
      </c>
      <c r="BK162" s="196">
        <f>(BK153*65.1%)+(BK155*31.5%)+(BK166*3.4%)</f>
        <v>2473.2039999999997</v>
      </c>
      <c r="BL162" s="187" t="s">
        <v>411</v>
      </c>
      <c r="BM162" s="189">
        <v>0.01</v>
      </c>
      <c r="BN162" s="189">
        <v>0.5</v>
      </c>
      <c r="BO162" s="188" t="s">
        <v>386</v>
      </c>
      <c r="BP162" s="187" t="s">
        <v>49</v>
      </c>
      <c r="BQ162" s="196">
        <v>2729</v>
      </c>
      <c r="BR162" s="187" t="s">
        <v>411</v>
      </c>
      <c r="BS162" s="189">
        <v>0.01</v>
      </c>
      <c r="BT162" s="189">
        <v>0.5</v>
      </c>
      <c r="BU162" s="188" t="s">
        <v>254</v>
      </c>
      <c r="BV162" s="102"/>
      <c r="BW162" s="102"/>
      <c r="BX162" s="102"/>
      <c r="BY162" s="102"/>
      <c r="BZ162" s="102"/>
      <c r="CA162" s="102"/>
      <c r="CB162" s="102"/>
      <c r="CC162" s="102"/>
      <c r="CD162" s="102"/>
      <c r="CE162" s="192"/>
      <c r="CF162" s="192"/>
      <c r="CG162" s="192"/>
      <c r="CH162" s="197"/>
      <c r="CI162" s="192"/>
      <c r="CJ162" s="192"/>
      <c r="CK162" s="197"/>
      <c r="CL162" s="197"/>
      <c r="CM162" s="192"/>
      <c r="CN162" s="116"/>
      <c r="CO162" s="100">
        <v>0.01</v>
      </c>
      <c r="CP162" s="100">
        <f t="shared" si="100"/>
        <v>0.255</v>
      </c>
      <c r="CQ162" s="100">
        <v>0.5</v>
      </c>
      <c r="CR162" s="101">
        <v>0.01</v>
      </c>
      <c r="CS162" s="101">
        <v>0.5</v>
      </c>
    </row>
    <row r="163" spans="1:97" s="101" customFormat="1" ht="18.75" hidden="1" thickBot="1" x14ac:dyDescent="0.3">
      <c r="A163" s="99"/>
      <c r="V163" s="103"/>
      <c r="AA163" s="104"/>
      <c r="AB163" s="104"/>
      <c r="AD163" s="104"/>
      <c r="AE163" s="105"/>
      <c r="AH163" s="106"/>
      <c r="AI163" s="106"/>
      <c r="AK163" s="104"/>
      <c r="AR163" s="104"/>
      <c r="AV163" s="104"/>
      <c r="AX163" s="104"/>
      <c r="BB163" s="104"/>
      <c r="BC163" s="104"/>
      <c r="BE163" s="104"/>
      <c r="BH163" s="99"/>
      <c r="BI163" s="190" t="s">
        <v>183</v>
      </c>
      <c r="BJ163" s="187" t="s">
        <v>49</v>
      </c>
      <c r="BK163" s="196">
        <v>6630</v>
      </c>
      <c r="BL163" s="187" t="s">
        <v>411</v>
      </c>
      <c r="BM163" s="189">
        <v>0.01</v>
      </c>
      <c r="BN163" s="189">
        <v>0.5</v>
      </c>
      <c r="BO163" s="188" t="s">
        <v>311</v>
      </c>
      <c r="BP163" s="187" t="s">
        <v>49</v>
      </c>
      <c r="BQ163" s="196">
        <v>7390</v>
      </c>
      <c r="BR163" s="187" t="s">
        <v>411</v>
      </c>
      <c r="BS163" s="189">
        <v>0.01</v>
      </c>
      <c r="BT163" s="189">
        <v>0.5</v>
      </c>
      <c r="BU163" s="188" t="s">
        <v>254</v>
      </c>
      <c r="BV163" s="102"/>
      <c r="BW163" s="102"/>
      <c r="BX163" s="102"/>
      <c r="BY163" s="102"/>
      <c r="BZ163" s="102"/>
      <c r="CA163" s="102"/>
      <c r="CB163" s="102"/>
      <c r="CC163" s="102"/>
      <c r="CD163" s="102"/>
      <c r="CE163" s="192"/>
      <c r="CF163" s="192"/>
      <c r="CG163" s="192"/>
      <c r="CH163" s="180"/>
      <c r="CI163" s="192"/>
      <c r="CJ163" s="192"/>
      <c r="CK163" s="180"/>
      <c r="CL163" s="180"/>
      <c r="CM163" s="192"/>
      <c r="CN163" s="116"/>
      <c r="CO163" s="100">
        <v>0.01</v>
      </c>
      <c r="CP163" s="100">
        <f t="shared" si="100"/>
        <v>0.255</v>
      </c>
      <c r="CQ163" s="100">
        <v>0.5</v>
      </c>
      <c r="CR163" s="101">
        <v>0.01</v>
      </c>
      <c r="CS163" s="101">
        <v>0.5</v>
      </c>
    </row>
    <row r="164" spans="1:97" s="101" customFormat="1" ht="18.75" hidden="1" thickBot="1" x14ac:dyDescent="0.3">
      <c r="A164" s="99"/>
      <c r="V164" s="103"/>
      <c r="AA164" s="104"/>
      <c r="AB164" s="104"/>
      <c r="AD164" s="104"/>
      <c r="AE164" s="105"/>
      <c r="AH164" s="106"/>
      <c r="AI164" s="106"/>
      <c r="AK164" s="104"/>
      <c r="AR164" s="104"/>
      <c r="AV164" s="104"/>
      <c r="AX164" s="104"/>
      <c r="BB164" s="104"/>
      <c r="BC164" s="104"/>
      <c r="BE164" s="104"/>
      <c r="BH164" s="99"/>
      <c r="BI164" s="190" t="s">
        <v>394</v>
      </c>
      <c r="BJ164" s="187" t="s">
        <v>49</v>
      </c>
      <c r="BK164" s="196">
        <v>182</v>
      </c>
      <c r="BL164" s="187" t="s">
        <v>411</v>
      </c>
      <c r="BM164" s="189">
        <v>0.01</v>
      </c>
      <c r="BN164" s="189">
        <v>0.5</v>
      </c>
      <c r="BO164" s="188" t="s">
        <v>311</v>
      </c>
      <c r="BP164" s="187"/>
      <c r="BQ164" s="196"/>
      <c r="BR164" s="187"/>
      <c r="BS164" s="189"/>
      <c r="BT164" s="189"/>
      <c r="BU164" s="188"/>
      <c r="BV164" s="102"/>
      <c r="BW164" s="102"/>
      <c r="BX164" s="102"/>
      <c r="BY164" s="102"/>
      <c r="BZ164" s="102"/>
      <c r="CA164" s="102"/>
      <c r="CB164" s="102"/>
      <c r="CC164" s="102"/>
      <c r="CD164" s="102"/>
      <c r="CE164" s="192"/>
      <c r="CF164" s="192"/>
      <c r="CG164" s="192"/>
      <c r="CH164" s="180"/>
      <c r="CI164" s="192"/>
      <c r="CJ164" s="192"/>
      <c r="CK164" s="180"/>
      <c r="CL164" s="180"/>
      <c r="CM164" s="192"/>
      <c r="CN164" s="116"/>
      <c r="CO164" s="100">
        <v>0.01</v>
      </c>
      <c r="CP164" s="100">
        <f t="shared" si="100"/>
        <v>0.255</v>
      </c>
      <c r="CQ164" s="100">
        <v>0.5</v>
      </c>
    </row>
    <row r="165" spans="1:97" s="101" customFormat="1" ht="105.75" hidden="1" thickBot="1" x14ac:dyDescent="0.3">
      <c r="A165" s="99"/>
      <c r="V165" s="103"/>
      <c r="AA165" s="104"/>
      <c r="AB165" s="104"/>
      <c r="AD165" s="104"/>
      <c r="AE165" s="105"/>
      <c r="AH165" s="106"/>
      <c r="AI165" s="106"/>
      <c r="AK165" s="104"/>
      <c r="AR165" s="104"/>
      <c r="AV165" s="104"/>
      <c r="AX165" s="104"/>
      <c r="BB165" s="104"/>
      <c r="BC165" s="104"/>
      <c r="BE165" s="104"/>
      <c r="BH165" s="99"/>
      <c r="BI165" s="190" t="s">
        <v>361</v>
      </c>
      <c r="BJ165" s="187" t="s">
        <v>49</v>
      </c>
      <c r="BK165" s="196">
        <v>3</v>
      </c>
      <c r="BL165" s="187" t="s">
        <v>411</v>
      </c>
      <c r="BM165" s="189">
        <v>0.01</v>
      </c>
      <c r="BN165" s="189">
        <v>0.5</v>
      </c>
      <c r="BO165" s="198" t="s">
        <v>312</v>
      </c>
      <c r="BP165" s="187" t="s">
        <v>49</v>
      </c>
      <c r="BQ165" s="196">
        <v>3</v>
      </c>
      <c r="BR165" s="187" t="s">
        <v>411</v>
      </c>
      <c r="BS165" s="189">
        <v>0.01</v>
      </c>
      <c r="BT165" s="189">
        <v>0.5</v>
      </c>
      <c r="BU165" s="188" t="s">
        <v>254</v>
      </c>
      <c r="BV165" s="102"/>
      <c r="BW165" s="102"/>
      <c r="BX165" s="102"/>
      <c r="BY165" s="102"/>
      <c r="BZ165" s="102"/>
      <c r="CA165" s="102"/>
      <c r="CB165" s="102"/>
      <c r="CC165" s="102"/>
      <c r="CD165" s="102"/>
      <c r="CE165" s="192"/>
      <c r="CF165" s="192"/>
      <c r="CG165" s="192"/>
      <c r="CH165" s="197"/>
      <c r="CI165" s="192"/>
      <c r="CJ165" s="192"/>
      <c r="CK165" s="197"/>
      <c r="CL165" s="197"/>
      <c r="CM165" s="192"/>
      <c r="CN165" s="116"/>
      <c r="CO165" s="100">
        <v>0.01</v>
      </c>
      <c r="CP165" s="100">
        <f t="shared" si="100"/>
        <v>0.255</v>
      </c>
      <c r="CQ165" s="100">
        <v>0.5</v>
      </c>
      <c r="CR165" s="101">
        <v>0.01</v>
      </c>
      <c r="CS165" s="101">
        <v>0.5</v>
      </c>
    </row>
    <row r="166" spans="1:97" s="101" customFormat="1" ht="64.5" hidden="1" thickBot="1" x14ac:dyDescent="0.3">
      <c r="A166" s="99"/>
      <c r="V166" s="103"/>
      <c r="AA166" s="104"/>
      <c r="AB166" s="104"/>
      <c r="AD166" s="104"/>
      <c r="AE166" s="105"/>
      <c r="AH166" s="106"/>
      <c r="AI166" s="106"/>
      <c r="AK166" s="104"/>
      <c r="AR166" s="104"/>
      <c r="AV166" s="104"/>
      <c r="AX166" s="104"/>
      <c r="BB166" s="104"/>
      <c r="BC166" s="104"/>
      <c r="BE166" s="104"/>
      <c r="BH166" s="99"/>
      <c r="BI166" s="190" t="s">
        <v>362</v>
      </c>
      <c r="BJ166" s="187" t="s">
        <v>49</v>
      </c>
      <c r="BK166" s="196">
        <v>1</v>
      </c>
      <c r="BL166" s="187" t="s">
        <v>411</v>
      </c>
      <c r="BM166" s="189">
        <v>0.01</v>
      </c>
      <c r="BN166" s="189">
        <v>0.5</v>
      </c>
      <c r="BO166" s="188" t="s">
        <v>312</v>
      </c>
      <c r="BP166" s="187" t="s">
        <v>49</v>
      </c>
      <c r="BQ166" s="196">
        <v>3</v>
      </c>
      <c r="BR166" s="187" t="s">
        <v>411</v>
      </c>
      <c r="BS166" s="189">
        <v>0.01</v>
      </c>
      <c r="BT166" s="189">
        <v>0.5</v>
      </c>
      <c r="BU166" s="188" t="s">
        <v>254</v>
      </c>
      <c r="BV166" s="102"/>
      <c r="BW166" s="102"/>
      <c r="BX166" s="102"/>
      <c r="BY166" s="102"/>
      <c r="BZ166" s="102"/>
      <c r="CA166" s="102"/>
      <c r="CB166" s="102"/>
      <c r="CC166" s="102"/>
      <c r="CD166" s="102"/>
      <c r="CE166" s="192"/>
      <c r="CF166" s="192"/>
      <c r="CG166" s="192"/>
      <c r="CH166" s="197"/>
      <c r="CI166" s="192"/>
      <c r="CJ166" s="192"/>
      <c r="CK166" s="197"/>
      <c r="CL166" s="197"/>
      <c r="CM166" s="192"/>
      <c r="CN166" s="116"/>
      <c r="CO166" s="100">
        <v>0.01</v>
      </c>
      <c r="CP166" s="100">
        <f t="shared" si="100"/>
        <v>0.255</v>
      </c>
      <c r="CQ166" s="100">
        <v>0.5</v>
      </c>
      <c r="CR166" s="101">
        <v>0.01</v>
      </c>
      <c r="CS166" s="101">
        <v>0.5</v>
      </c>
    </row>
    <row r="167" spans="1:97" s="101" customFormat="1" ht="18.75" hidden="1" thickBot="1" x14ac:dyDescent="0.3">
      <c r="A167" s="99"/>
      <c r="V167" s="103"/>
      <c r="AA167" s="104"/>
      <c r="AB167" s="104"/>
      <c r="AD167" s="104"/>
      <c r="AE167" s="105"/>
      <c r="AH167" s="106"/>
      <c r="AI167" s="106"/>
      <c r="AK167" s="104"/>
      <c r="AR167" s="104"/>
      <c r="AV167" s="104"/>
      <c r="AX167" s="104"/>
      <c r="BB167" s="104"/>
      <c r="BC167" s="104"/>
      <c r="BE167" s="104"/>
      <c r="BH167" s="99"/>
      <c r="BI167" s="190" t="s">
        <v>192</v>
      </c>
      <c r="BJ167" s="187" t="s">
        <v>49</v>
      </c>
      <c r="BK167" s="196">
        <v>6290</v>
      </c>
      <c r="BL167" s="187" t="s">
        <v>411</v>
      </c>
      <c r="BM167" s="189">
        <v>0.01</v>
      </c>
      <c r="BN167" s="189">
        <v>0.5</v>
      </c>
      <c r="BO167" s="188" t="s">
        <v>311</v>
      </c>
      <c r="BP167" s="187" t="s">
        <v>49</v>
      </c>
      <c r="BQ167" s="196">
        <v>7140</v>
      </c>
      <c r="BR167" s="187" t="s">
        <v>411</v>
      </c>
      <c r="BS167" s="189">
        <v>0.01</v>
      </c>
      <c r="BT167" s="189">
        <v>0.5</v>
      </c>
      <c r="BU167" s="188" t="s">
        <v>254</v>
      </c>
      <c r="BV167" s="102"/>
      <c r="BW167" s="102"/>
      <c r="BX167" s="102"/>
      <c r="BY167" s="102"/>
      <c r="BZ167" s="102"/>
      <c r="CA167" s="102"/>
      <c r="CB167" s="102"/>
      <c r="CC167" s="102"/>
      <c r="CD167" s="102"/>
      <c r="CE167" s="192"/>
      <c r="CF167" s="192"/>
      <c r="CG167" s="192"/>
      <c r="CH167" s="197"/>
      <c r="CI167" s="192"/>
      <c r="CJ167" s="192"/>
      <c r="CK167" s="197"/>
      <c r="CL167" s="197"/>
      <c r="CM167" s="192"/>
      <c r="CN167" s="116"/>
      <c r="CO167" s="100">
        <v>0.01</v>
      </c>
      <c r="CP167" s="100">
        <f t="shared" si="100"/>
        <v>0.255</v>
      </c>
      <c r="CQ167" s="100">
        <v>0.5</v>
      </c>
      <c r="CR167" s="101">
        <v>0.01</v>
      </c>
      <c r="CS167" s="101">
        <v>0.5</v>
      </c>
    </row>
    <row r="168" spans="1:97" s="101" customFormat="1" ht="15.75" hidden="1" thickBot="1" x14ac:dyDescent="0.3">
      <c r="A168" s="99"/>
      <c r="V168" s="103"/>
      <c r="AA168" s="104"/>
      <c r="AB168" s="104"/>
      <c r="AD168" s="104"/>
      <c r="AE168" s="105"/>
      <c r="AH168" s="106"/>
      <c r="AI168" s="106"/>
      <c r="AK168" s="104"/>
      <c r="AR168" s="104"/>
      <c r="AV168" s="104"/>
      <c r="AX168" s="104"/>
      <c r="BB168" s="104"/>
      <c r="BC168" s="104"/>
      <c r="BE168" s="104"/>
      <c r="BH168" s="99"/>
      <c r="BI168" s="190"/>
      <c r="BJ168" s="187"/>
      <c r="BK168" s="196"/>
      <c r="BL168" s="187"/>
      <c r="BM168" s="189"/>
      <c r="BN168" s="189"/>
      <c r="BO168" s="188"/>
      <c r="BP168" s="187"/>
      <c r="BQ168" s="196"/>
      <c r="BR168" s="187"/>
      <c r="BS168" s="189"/>
      <c r="BT168" s="189"/>
      <c r="BU168" s="188"/>
      <c r="BV168" s="102"/>
      <c r="BW168" s="102"/>
      <c r="BX168" s="102"/>
      <c r="BY168" s="102"/>
      <c r="BZ168" s="102"/>
      <c r="CA168" s="102"/>
      <c r="CB168" s="102"/>
      <c r="CC168" s="102"/>
      <c r="CD168" s="102"/>
      <c r="CE168" s="192"/>
      <c r="CF168" s="192"/>
      <c r="CG168" s="192"/>
      <c r="CH168" s="180"/>
      <c r="CI168" s="192"/>
      <c r="CJ168" s="192"/>
      <c r="CK168" s="180"/>
      <c r="CL168" s="180"/>
      <c r="CM168" s="192"/>
      <c r="CN168" s="116"/>
      <c r="CO168" s="100">
        <v>0.01</v>
      </c>
      <c r="CP168" s="100">
        <f t="shared" si="100"/>
        <v>0.255</v>
      </c>
      <c r="CQ168" s="100">
        <v>0.5</v>
      </c>
      <c r="CR168" s="101">
        <v>0.01</v>
      </c>
      <c r="CS168" s="101">
        <v>0.5</v>
      </c>
    </row>
    <row r="169" spans="1:97" s="101" customFormat="1" hidden="1" x14ac:dyDescent="0.25">
      <c r="A169" s="99"/>
      <c r="V169" s="103"/>
      <c r="AA169" s="104"/>
      <c r="AB169" s="104"/>
      <c r="AD169" s="104"/>
      <c r="AE169" s="105"/>
      <c r="AH169" s="106"/>
      <c r="AI169" s="106"/>
      <c r="AK169" s="104"/>
      <c r="AR169" s="104"/>
      <c r="AV169" s="104"/>
      <c r="AX169" s="104"/>
      <c r="BB169" s="104"/>
      <c r="BC169" s="104"/>
      <c r="BE169" s="104"/>
      <c r="BH169" s="99"/>
      <c r="BI169" s="102"/>
      <c r="BJ169" s="178"/>
      <c r="BK169" s="178"/>
      <c r="BL169" s="178"/>
      <c r="BM169" s="169"/>
      <c r="BN169" s="169"/>
      <c r="BO169" s="169"/>
      <c r="BP169" s="192"/>
      <c r="BQ169" s="192"/>
      <c r="BR169" s="192"/>
      <c r="BS169" s="192"/>
      <c r="BT169" s="192"/>
      <c r="BU169" s="192"/>
      <c r="BV169" s="178"/>
      <c r="BW169" s="192"/>
      <c r="BX169" s="192"/>
      <c r="BY169" s="178"/>
      <c r="BZ169" s="178"/>
      <c r="CA169" s="178"/>
      <c r="CB169" s="192"/>
      <c r="CC169" s="192"/>
      <c r="CD169" s="192"/>
      <c r="CE169" s="192"/>
      <c r="CF169" s="192"/>
      <c r="CG169" s="192"/>
      <c r="CH169" s="180"/>
      <c r="CI169" s="192"/>
      <c r="CJ169" s="192"/>
      <c r="CK169" s="180"/>
      <c r="CL169" s="180"/>
      <c r="CM169" s="192"/>
      <c r="CN169" s="116"/>
      <c r="CO169" s="100"/>
      <c r="CP169" s="100"/>
      <c r="CQ169" s="100"/>
    </row>
    <row r="170" spans="1:97" s="101" customFormat="1" ht="15.75" hidden="1" thickBot="1" x14ac:dyDescent="0.3">
      <c r="A170" s="99"/>
      <c r="V170" s="103"/>
      <c r="AA170" s="104"/>
      <c r="AB170" s="104"/>
      <c r="AD170" s="104"/>
      <c r="AE170" s="105"/>
      <c r="AH170" s="106"/>
      <c r="AI170" s="106"/>
      <c r="AK170" s="104"/>
      <c r="AR170" s="104"/>
      <c r="AV170" s="104"/>
      <c r="AX170" s="104"/>
      <c r="BB170" s="104"/>
      <c r="BC170" s="104"/>
      <c r="BE170" s="104"/>
      <c r="BH170" s="99"/>
      <c r="BI170" s="102"/>
      <c r="BJ170" s="178"/>
      <c r="BK170" s="178"/>
      <c r="BL170" s="178"/>
      <c r="BM170" s="169"/>
      <c r="BN170" s="169"/>
      <c r="BO170" s="169"/>
      <c r="BP170" s="178"/>
      <c r="BQ170" s="178"/>
      <c r="BR170" s="178"/>
      <c r="BS170" s="178"/>
      <c r="BT170" s="178"/>
      <c r="BU170" s="178"/>
      <c r="BV170" s="178"/>
      <c r="BW170" s="178"/>
      <c r="BX170" s="178"/>
      <c r="BY170" s="178"/>
      <c r="BZ170" s="178"/>
      <c r="CA170" s="178"/>
      <c r="CB170" s="180"/>
      <c r="CC170" s="178"/>
      <c r="CD170" s="178"/>
      <c r="CE170" s="180"/>
      <c r="CF170" s="180"/>
      <c r="CG170" s="180"/>
      <c r="CH170" s="180"/>
      <c r="CI170" s="178"/>
      <c r="CJ170" s="178"/>
      <c r="CK170" s="180"/>
      <c r="CL170" s="180"/>
      <c r="CM170" s="180"/>
      <c r="CN170" s="116"/>
      <c r="CO170" s="100"/>
      <c r="CP170" s="100"/>
      <c r="CQ170" s="100"/>
    </row>
    <row r="171" spans="1:97" s="101" customFormat="1" ht="33.75" hidden="1" customHeight="1" x14ac:dyDescent="0.25">
      <c r="A171" s="99"/>
      <c r="V171" s="103"/>
      <c r="AA171" s="104"/>
      <c r="AB171" s="104"/>
      <c r="AD171" s="104"/>
      <c r="AE171" s="105"/>
      <c r="AH171" s="106"/>
      <c r="AI171" s="106"/>
      <c r="AK171" s="104"/>
      <c r="AR171" s="104"/>
      <c r="AV171" s="104"/>
      <c r="AX171" s="104"/>
      <c r="BB171" s="104"/>
      <c r="BC171" s="104"/>
      <c r="BE171" s="104"/>
      <c r="BH171" s="99"/>
      <c r="BI171" s="1606" t="s">
        <v>250</v>
      </c>
      <c r="BJ171" s="251"/>
      <c r="BK171" s="1606" t="s">
        <v>276</v>
      </c>
      <c r="BL171" s="251"/>
      <c r="BM171" s="1606" t="s">
        <v>233</v>
      </c>
      <c r="BN171" s="1606" t="s">
        <v>233</v>
      </c>
      <c r="BO171" s="1606" t="s">
        <v>240</v>
      </c>
      <c r="BP171" s="251"/>
      <c r="BQ171" s="1606" t="s">
        <v>276</v>
      </c>
      <c r="BR171" s="251"/>
      <c r="BS171" s="1606" t="s">
        <v>233</v>
      </c>
      <c r="BT171" s="1606" t="s">
        <v>233</v>
      </c>
      <c r="BU171" s="1606" t="s">
        <v>240</v>
      </c>
      <c r="BV171" s="178"/>
      <c r="BW171" s="178"/>
      <c r="BX171" s="178"/>
      <c r="BY171" s="178"/>
      <c r="BZ171" s="178"/>
      <c r="CA171" s="178"/>
      <c r="CB171" s="180"/>
      <c r="CC171" s="178"/>
      <c r="CD171" s="178"/>
      <c r="CE171" s="180"/>
      <c r="CF171" s="180"/>
      <c r="CG171" s="180"/>
      <c r="CH171" s="180"/>
      <c r="CI171" s="178"/>
      <c r="CJ171" s="178"/>
      <c r="CK171" s="180"/>
      <c r="CL171" s="180"/>
      <c r="CM171" s="180"/>
      <c r="CN171" s="116"/>
      <c r="CO171" s="100"/>
      <c r="CP171" s="100"/>
      <c r="CQ171" s="100"/>
    </row>
    <row r="172" spans="1:97" s="101" customFormat="1" ht="37.5" hidden="1" customHeight="1" thickBot="1" x14ac:dyDescent="0.3">
      <c r="A172" s="99"/>
      <c r="V172" s="103"/>
      <c r="AA172" s="104"/>
      <c r="AB172" s="104"/>
      <c r="AD172" s="104"/>
      <c r="AE172" s="105"/>
      <c r="AH172" s="106"/>
      <c r="AI172" s="106"/>
      <c r="AK172" s="104"/>
      <c r="AR172" s="104"/>
      <c r="AV172" s="104"/>
      <c r="AX172" s="104"/>
      <c r="BB172" s="104"/>
      <c r="BC172" s="104"/>
      <c r="BE172" s="104"/>
      <c r="BH172" s="99"/>
      <c r="BI172" s="1607"/>
      <c r="BJ172" s="252" t="s">
        <v>253</v>
      </c>
      <c r="BK172" s="1607"/>
      <c r="BL172" s="252" t="s">
        <v>251</v>
      </c>
      <c r="BM172" s="1607"/>
      <c r="BN172" s="1607"/>
      <c r="BO172" s="1607"/>
      <c r="BP172" s="252" t="s">
        <v>253</v>
      </c>
      <c r="BQ172" s="1607"/>
      <c r="BR172" s="252" t="s">
        <v>251</v>
      </c>
      <c r="BS172" s="1607"/>
      <c r="BT172" s="1607"/>
      <c r="BU172" s="1607"/>
      <c r="BV172" s="178"/>
      <c r="BW172" s="178"/>
      <c r="BX172" s="178"/>
      <c r="BY172" s="178"/>
      <c r="BZ172" s="178"/>
      <c r="CA172" s="178"/>
      <c r="CB172" s="180"/>
      <c r="CC172" s="178"/>
      <c r="CD172" s="178"/>
      <c r="CE172" s="180"/>
      <c r="CF172" s="180"/>
      <c r="CG172" s="180"/>
      <c r="CH172" s="180"/>
      <c r="CI172" s="178"/>
      <c r="CJ172" s="178"/>
      <c r="CK172" s="180"/>
      <c r="CL172" s="180"/>
      <c r="CM172" s="180"/>
      <c r="CN172" s="116"/>
      <c r="CO172" s="100"/>
      <c r="CP172" s="100"/>
      <c r="CQ172" s="100"/>
    </row>
    <row r="173" spans="1:97" s="101" customFormat="1" ht="18.75" hidden="1" thickBot="1" x14ac:dyDescent="0.3">
      <c r="A173" s="99"/>
      <c r="V173" s="103"/>
      <c r="AA173" s="104"/>
      <c r="AB173" s="104"/>
      <c r="AD173" s="104"/>
      <c r="AE173" s="105"/>
      <c r="AH173" s="106"/>
      <c r="AI173" s="106"/>
      <c r="AK173" s="104"/>
      <c r="AR173" s="104"/>
      <c r="AV173" s="104"/>
      <c r="AX173" s="104"/>
      <c r="BB173" s="104"/>
      <c r="BC173" s="104"/>
      <c r="BE173" s="104"/>
      <c r="BH173" s="99"/>
      <c r="BI173" s="190" t="s">
        <v>373</v>
      </c>
      <c r="BJ173" s="187" t="s">
        <v>49</v>
      </c>
      <c r="BK173" s="196">
        <v>1</v>
      </c>
      <c r="BL173" s="187" t="s">
        <v>411</v>
      </c>
      <c r="BM173" s="189">
        <v>0.01</v>
      </c>
      <c r="BN173" s="189">
        <v>0.5</v>
      </c>
      <c r="BO173" s="188" t="s">
        <v>311</v>
      </c>
      <c r="BP173" s="187" t="s">
        <v>49</v>
      </c>
      <c r="BQ173" s="196">
        <v>1</v>
      </c>
      <c r="BR173" s="187" t="s">
        <v>411</v>
      </c>
      <c r="BS173" s="189">
        <v>0.01</v>
      </c>
      <c r="BT173" s="189">
        <v>0.5</v>
      </c>
      <c r="BU173" s="188" t="s">
        <v>254</v>
      </c>
      <c r="BV173" s="178"/>
      <c r="BW173" s="178"/>
      <c r="BX173" s="178"/>
      <c r="BY173" s="178"/>
      <c r="BZ173" s="178"/>
      <c r="CA173" s="178"/>
      <c r="CB173" s="180"/>
      <c r="CC173" s="178"/>
      <c r="CD173" s="178"/>
      <c r="CE173" s="180"/>
      <c r="CF173" s="180"/>
      <c r="CG173" s="180"/>
      <c r="CH173" s="180"/>
      <c r="CI173" s="178"/>
      <c r="CJ173" s="178"/>
      <c r="CK173" s="180"/>
      <c r="CL173" s="180"/>
      <c r="CM173" s="180"/>
      <c r="CN173" s="116"/>
      <c r="CO173" s="100">
        <v>0.01</v>
      </c>
      <c r="CP173" s="100">
        <f>(CO173+CQ173)/2</f>
        <v>0.255</v>
      </c>
      <c r="CQ173" s="100">
        <v>0.5</v>
      </c>
      <c r="CR173" s="101">
        <v>0.01</v>
      </c>
      <c r="CS173" s="101">
        <v>0.5</v>
      </c>
    </row>
    <row r="174" spans="1:97" s="101" customFormat="1" ht="18.75" hidden="1" thickBot="1" x14ac:dyDescent="0.3">
      <c r="A174" s="99"/>
      <c r="V174" s="103"/>
      <c r="AA174" s="104"/>
      <c r="AB174" s="104"/>
      <c r="AD174" s="104"/>
      <c r="AE174" s="105"/>
      <c r="AH174" s="106"/>
      <c r="AI174" s="106"/>
      <c r="AK174" s="104"/>
      <c r="AR174" s="104"/>
      <c r="AV174" s="104"/>
      <c r="AX174" s="104"/>
      <c r="BB174" s="104"/>
      <c r="BC174" s="104"/>
      <c r="BE174" s="104"/>
      <c r="BH174" s="99"/>
      <c r="BI174" s="190" t="s">
        <v>374</v>
      </c>
      <c r="BJ174" s="187" t="s">
        <v>49</v>
      </c>
      <c r="BK174" s="196">
        <v>79</v>
      </c>
      <c r="BL174" s="187" t="s">
        <v>411</v>
      </c>
      <c r="BM174" s="189">
        <v>0.01</v>
      </c>
      <c r="BN174" s="189">
        <v>0.5</v>
      </c>
      <c r="BO174" s="188" t="s">
        <v>311</v>
      </c>
      <c r="BP174" s="187" t="s">
        <v>49</v>
      </c>
      <c r="BQ174" s="196">
        <v>77</v>
      </c>
      <c r="BR174" s="187" t="s">
        <v>411</v>
      </c>
      <c r="BS174" s="189">
        <v>0.01</v>
      </c>
      <c r="BT174" s="189">
        <v>0.5</v>
      </c>
      <c r="BU174" s="188" t="s">
        <v>254</v>
      </c>
      <c r="BV174" s="178"/>
      <c r="BW174" s="178"/>
      <c r="BX174" s="178"/>
      <c r="BY174" s="178"/>
      <c r="BZ174" s="178"/>
      <c r="CA174" s="178"/>
      <c r="CB174" s="178"/>
      <c r="CC174" s="178"/>
      <c r="CD174" s="178"/>
      <c r="CE174" s="178"/>
      <c r="CF174" s="178"/>
      <c r="CG174" s="178"/>
      <c r="CH174" s="178"/>
      <c r="CI174" s="178"/>
      <c r="CJ174" s="178"/>
      <c r="CK174" s="178"/>
      <c r="CL174" s="178"/>
      <c r="CM174" s="178"/>
      <c r="CN174" s="116"/>
      <c r="CO174" s="100">
        <v>0.01</v>
      </c>
      <c r="CP174" s="100">
        <f>(CO174+CQ174)/2</f>
        <v>0.255</v>
      </c>
      <c r="CQ174" s="100">
        <v>0.5</v>
      </c>
      <c r="CR174" s="101">
        <v>0.01</v>
      </c>
      <c r="CS174" s="101">
        <v>0.5</v>
      </c>
    </row>
    <row r="175" spans="1:97" s="101" customFormat="1" hidden="1" x14ac:dyDescent="0.25">
      <c r="A175" s="99"/>
      <c r="V175" s="103"/>
      <c r="AA175" s="104"/>
      <c r="AB175" s="104"/>
      <c r="AD175" s="104"/>
      <c r="AE175" s="105"/>
      <c r="AH175" s="106"/>
      <c r="AI175" s="106"/>
      <c r="AK175" s="104"/>
      <c r="AR175" s="104"/>
      <c r="AV175" s="104"/>
      <c r="AX175" s="104"/>
      <c r="BB175" s="104"/>
      <c r="BC175" s="104"/>
      <c r="BE175" s="104"/>
      <c r="BH175" s="99"/>
      <c r="BI175" s="102"/>
      <c r="BJ175" s="178"/>
      <c r="BK175" s="178"/>
      <c r="BL175" s="178"/>
      <c r="BM175" s="169"/>
      <c r="BN175" s="169"/>
      <c r="BO175" s="169"/>
      <c r="BP175" s="178"/>
      <c r="BQ175" s="178"/>
      <c r="BR175" s="178"/>
      <c r="BS175" s="178"/>
      <c r="BT175" s="178"/>
      <c r="BU175" s="178"/>
      <c r="BV175" s="180"/>
      <c r="BW175" s="178"/>
      <c r="BX175" s="178"/>
      <c r="BY175" s="180"/>
      <c r="BZ175" s="180"/>
      <c r="CA175" s="180"/>
      <c r="CB175" s="178"/>
      <c r="CC175" s="178"/>
      <c r="CD175" s="178"/>
      <c r="CE175" s="178"/>
      <c r="CF175" s="178"/>
      <c r="CG175" s="178"/>
      <c r="CH175" s="178"/>
      <c r="CI175" s="178"/>
      <c r="CJ175" s="178"/>
      <c r="CK175" s="178"/>
      <c r="CL175" s="178"/>
      <c r="CM175" s="178"/>
      <c r="CN175" s="118"/>
      <c r="CO175" s="100"/>
      <c r="CP175" s="100"/>
      <c r="CQ175" s="100"/>
    </row>
    <row r="176" spans="1:97" s="101" customFormat="1" ht="15.75" hidden="1" thickBot="1" x14ac:dyDescent="0.3">
      <c r="A176" s="99"/>
      <c r="V176" s="103"/>
      <c r="AA176" s="104"/>
      <c r="AB176" s="104"/>
      <c r="AD176" s="104"/>
      <c r="AE176" s="105"/>
      <c r="AH176" s="106"/>
      <c r="AI176" s="106"/>
      <c r="AK176" s="104"/>
      <c r="AR176" s="104"/>
      <c r="AV176" s="104"/>
      <c r="AX176" s="104"/>
      <c r="BB176" s="104"/>
      <c r="BC176" s="104"/>
      <c r="BE176" s="104"/>
      <c r="BH176" s="99"/>
      <c r="BI176" s="102"/>
      <c r="BJ176" s="178"/>
      <c r="BK176" s="178"/>
      <c r="BL176" s="178"/>
      <c r="BM176" s="169"/>
      <c r="BN176" s="169"/>
      <c r="BO176" s="169"/>
      <c r="BP176" s="178"/>
      <c r="BQ176" s="178"/>
      <c r="BR176" s="178"/>
      <c r="BS176" s="178"/>
      <c r="BT176" s="178"/>
      <c r="BU176" s="178"/>
      <c r="BV176" s="180"/>
      <c r="BW176" s="178"/>
      <c r="BX176" s="178"/>
      <c r="BY176" s="180"/>
      <c r="BZ176" s="180"/>
      <c r="CA176" s="180"/>
      <c r="CB176" s="178"/>
      <c r="CC176" s="178"/>
      <c r="CD176" s="178"/>
      <c r="CE176" s="178"/>
      <c r="CF176" s="178"/>
      <c r="CG176" s="178"/>
      <c r="CH176" s="178"/>
      <c r="CI176" s="178"/>
      <c r="CJ176" s="178"/>
      <c r="CK176" s="178"/>
      <c r="CL176" s="178"/>
      <c r="CM176" s="178"/>
      <c r="CN176" s="118"/>
      <c r="CO176" s="100"/>
      <c r="CP176" s="100"/>
      <c r="CQ176" s="100"/>
    </row>
    <row r="177" spans="1:97" s="101" customFormat="1" hidden="1" x14ac:dyDescent="0.25">
      <c r="A177" s="99"/>
      <c r="V177" s="103"/>
      <c r="AA177" s="104"/>
      <c r="AB177" s="104"/>
      <c r="AD177" s="104"/>
      <c r="AE177" s="105"/>
      <c r="AH177" s="106"/>
      <c r="AI177" s="106"/>
      <c r="AK177" s="104"/>
      <c r="AR177" s="104"/>
      <c r="AV177" s="104"/>
      <c r="AX177" s="104"/>
      <c r="BB177" s="104"/>
      <c r="BC177" s="104"/>
      <c r="BE177" s="104"/>
      <c r="BH177" s="99"/>
      <c r="BI177" s="1606" t="s">
        <v>249</v>
      </c>
      <c r="BJ177" s="251"/>
      <c r="BK177" s="1606" t="s">
        <v>277</v>
      </c>
      <c r="BL177" s="251"/>
      <c r="BM177" s="1606" t="s">
        <v>233</v>
      </c>
      <c r="BN177" s="1606" t="s">
        <v>233</v>
      </c>
      <c r="BO177" s="1606" t="s">
        <v>240</v>
      </c>
      <c r="BP177" s="178"/>
      <c r="BQ177" s="178"/>
      <c r="BR177" s="178"/>
      <c r="BS177" s="178"/>
      <c r="BT177" s="178"/>
      <c r="BU177" s="178"/>
      <c r="BV177" s="180"/>
      <c r="BW177" s="178"/>
      <c r="BX177" s="178"/>
      <c r="BY177" s="180"/>
      <c r="BZ177" s="180"/>
      <c r="CA177" s="180"/>
      <c r="CB177" s="199"/>
      <c r="CC177" s="178"/>
      <c r="CD177" s="178"/>
      <c r="CE177" s="199"/>
      <c r="CF177" s="199"/>
      <c r="CG177" s="199"/>
      <c r="CH177" s="199"/>
      <c r="CI177" s="178"/>
      <c r="CJ177" s="178"/>
      <c r="CK177" s="199"/>
      <c r="CL177" s="199"/>
      <c r="CM177" s="199"/>
      <c r="CN177" s="118"/>
      <c r="CO177" s="100"/>
      <c r="CP177" s="100"/>
      <c r="CQ177" s="100"/>
    </row>
    <row r="178" spans="1:97" s="101" customFormat="1" ht="49.5" hidden="1" customHeight="1" thickBot="1" x14ac:dyDescent="0.3">
      <c r="A178" s="99"/>
      <c r="V178" s="103"/>
      <c r="AA178" s="104"/>
      <c r="AB178" s="104"/>
      <c r="AD178" s="104"/>
      <c r="AE178" s="105"/>
      <c r="AH178" s="106"/>
      <c r="AI178" s="106"/>
      <c r="AK178" s="104"/>
      <c r="AR178" s="104"/>
      <c r="AV178" s="104"/>
      <c r="AX178" s="104"/>
      <c r="BB178" s="104"/>
      <c r="BC178" s="104"/>
      <c r="BE178" s="104"/>
      <c r="BH178" s="99"/>
      <c r="BI178" s="1607"/>
      <c r="BJ178" s="252" t="s">
        <v>253</v>
      </c>
      <c r="BK178" s="1607"/>
      <c r="BL178" s="252" t="s">
        <v>251</v>
      </c>
      <c r="BM178" s="1607"/>
      <c r="BN178" s="1607"/>
      <c r="BO178" s="1607"/>
      <c r="BP178" s="178"/>
      <c r="BQ178" s="178"/>
      <c r="BR178" s="178"/>
      <c r="BS178" s="178"/>
      <c r="BT178" s="178"/>
      <c r="BU178" s="178"/>
      <c r="BV178" s="180"/>
      <c r="BW178" s="178"/>
      <c r="BX178" s="178"/>
      <c r="BY178" s="180"/>
      <c r="BZ178" s="180"/>
      <c r="CA178" s="180"/>
      <c r="CB178" s="199"/>
      <c r="CC178" s="178"/>
      <c r="CD178" s="178"/>
      <c r="CE178" s="199"/>
      <c r="CF178" s="199"/>
      <c r="CG178" s="199"/>
      <c r="CH178" s="199"/>
      <c r="CI178" s="178"/>
      <c r="CJ178" s="178"/>
      <c r="CK178" s="199"/>
      <c r="CL178" s="199"/>
      <c r="CM178" s="199"/>
      <c r="CN178" s="118"/>
      <c r="CO178" s="100"/>
      <c r="CP178" s="100"/>
      <c r="CQ178" s="100"/>
    </row>
    <row r="179" spans="1:97" s="101" customFormat="1" ht="15.75" hidden="1" thickBot="1" x14ac:dyDescent="0.3">
      <c r="A179" s="99"/>
      <c r="V179" s="103"/>
      <c r="AA179" s="104"/>
      <c r="AB179" s="104"/>
      <c r="AD179" s="104"/>
      <c r="AE179" s="105"/>
      <c r="AH179" s="106"/>
      <c r="AI179" s="106"/>
      <c r="AK179" s="104"/>
      <c r="AR179" s="104"/>
      <c r="AV179" s="104"/>
      <c r="AX179" s="104"/>
      <c r="BB179" s="104"/>
      <c r="BC179" s="104"/>
      <c r="BE179" s="104"/>
      <c r="BH179" s="99"/>
      <c r="BI179" s="190" t="s">
        <v>256</v>
      </c>
      <c r="BJ179" s="187" t="s">
        <v>75</v>
      </c>
      <c r="BK179" s="196">
        <v>1.7829504000000003E-3</v>
      </c>
      <c r="BL179" s="187" t="s">
        <v>278</v>
      </c>
      <c r="BM179" s="189">
        <v>0.01</v>
      </c>
      <c r="BN179" s="189">
        <v>0.5</v>
      </c>
      <c r="BO179" s="188" t="s">
        <v>258</v>
      </c>
      <c r="BP179" s="178"/>
      <c r="BQ179" s="178"/>
      <c r="BR179" s="178"/>
      <c r="BS179" s="178"/>
      <c r="BT179" s="178"/>
      <c r="BU179" s="178"/>
      <c r="BV179" s="180"/>
      <c r="BW179" s="178"/>
      <c r="BX179" s="178"/>
      <c r="BY179" s="180"/>
      <c r="BZ179" s="180"/>
      <c r="CA179" s="180"/>
      <c r="CB179" s="180"/>
      <c r="CC179" s="178"/>
      <c r="CD179" s="178"/>
      <c r="CE179" s="180"/>
      <c r="CF179" s="180"/>
      <c r="CG179" s="180"/>
      <c r="CH179" s="180"/>
      <c r="CI179" s="178"/>
      <c r="CJ179" s="178"/>
      <c r="CK179" s="180"/>
      <c r="CL179" s="180"/>
      <c r="CM179" s="180"/>
      <c r="CN179" s="116"/>
      <c r="CO179" s="100">
        <v>0.15</v>
      </c>
      <c r="CP179" s="100">
        <f>(CO179+CQ179)/2</f>
        <v>0.17499999999999999</v>
      </c>
      <c r="CQ179" s="100">
        <v>0.2</v>
      </c>
      <c r="CR179" s="101">
        <v>0.15</v>
      </c>
      <c r="CS179" s="101">
        <v>0.2</v>
      </c>
    </row>
    <row r="180" spans="1:97" s="101" customFormat="1" ht="15.75" hidden="1" thickBot="1" x14ac:dyDescent="0.3">
      <c r="A180" s="99"/>
      <c r="V180" s="103"/>
      <c r="AA180" s="104"/>
      <c r="AB180" s="104"/>
      <c r="AD180" s="104"/>
      <c r="AE180" s="105"/>
      <c r="AH180" s="106"/>
      <c r="AI180" s="106"/>
      <c r="AK180" s="104"/>
      <c r="AR180" s="104"/>
      <c r="AV180" s="104"/>
      <c r="AX180" s="104"/>
      <c r="BB180" s="104"/>
      <c r="BC180" s="104"/>
      <c r="BE180" s="104"/>
      <c r="BH180" s="99"/>
      <c r="BI180" s="190" t="s">
        <v>257</v>
      </c>
      <c r="BJ180" s="187" t="s">
        <v>49</v>
      </c>
      <c r="BK180" s="196">
        <v>5.8960000000000013E-4</v>
      </c>
      <c r="BL180" s="187" t="s">
        <v>259</v>
      </c>
      <c r="BM180" s="189">
        <v>0.01</v>
      </c>
      <c r="BN180" s="189">
        <v>0.5</v>
      </c>
      <c r="BO180" s="188" t="s">
        <v>258</v>
      </c>
      <c r="BP180" s="178"/>
      <c r="BQ180" s="178"/>
      <c r="BR180" s="178"/>
      <c r="BS180" s="178"/>
      <c r="BT180" s="178"/>
      <c r="BU180" s="178"/>
      <c r="BV180" s="180"/>
      <c r="BW180" s="178"/>
      <c r="BX180" s="178"/>
      <c r="BY180" s="180"/>
      <c r="BZ180" s="180"/>
      <c r="CA180" s="180"/>
      <c r="CB180" s="180"/>
      <c r="CC180" s="178"/>
      <c r="CD180" s="178"/>
      <c r="CE180" s="180"/>
      <c r="CF180" s="180"/>
      <c r="CG180" s="180"/>
      <c r="CH180" s="180"/>
      <c r="CI180" s="178"/>
      <c r="CJ180" s="178"/>
      <c r="CK180" s="180"/>
      <c r="CL180" s="180"/>
      <c r="CM180" s="180"/>
      <c r="CN180" s="116"/>
      <c r="CO180" s="100">
        <v>0.15</v>
      </c>
      <c r="CP180" s="100">
        <f>(CO180+CQ180)/2</f>
        <v>0.17499999999999999</v>
      </c>
      <c r="CQ180" s="100">
        <v>0.2</v>
      </c>
      <c r="CR180" s="101">
        <v>0.15</v>
      </c>
      <c r="CS180" s="101">
        <v>0.2</v>
      </c>
    </row>
    <row r="181" spans="1:97" s="101" customFormat="1" hidden="1" x14ac:dyDescent="0.25">
      <c r="A181" s="99"/>
      <c r="V181" s="103"/>
      <c r="AA181" s="104"/>
      <c r="AB181" s="104"/>
      <c r="AD181" s="104"/>
      <c r="AE181" s="105"/>
      <c r="AH181" s="106"/>
      <c r="AI181" s="106"/>
      <c r="AK181" s="104"/>
      <c r="AR181" s="104"/>
      <c r="AV181" s="104"/>
      <c r="AX181" s="104"/>
      <c r="BB181" s="104"/>
      <c r="BC181" s="104"/>
      <c r="BE181" s="104"/>
      <c r="BH181" s="99"/>
      <c r="BI181" s="102"/>
      <c r="BJ181" s="178"/>
      <c r="BK181" s="178"/>
      <c r="BL181" s="178"/>
      <c r="BM181" s="169"/>
      <c r="BN181" s="169"/>
      <c r="BO181" s="169"/>
      <c r="BP181" s="178"/>
      <c r="BQ181" s="178"/>
      <c r="BR181" s="178"/>
      <c r="BS181" s="178"/>
      <c r="BT181" s="178"/>
      <c r="BU181" s="178"/>
      <c r="BV181" s="180"/>
      <c r="BW181" s="178"/>
      <c r="BX181" s="178"/>
      <c r="BY181" s="180"/>
      <c r="BZ181" s="180"/>
      <c r="CA181" s="180"/>
      <c r="CB181" s="180"/>
      <c r="CC181" s="178"/>
      <c r="CD181" s="178"/>
      <c r="CE181" s="180"/>
      <c r="CF181" s="180"/>
      <c r="CG181" s="180"/>
      <c r="CH181" s="180"/>
      <c r="CI181" s="178"/>
      <c r="CJ181" s="178"/>
      <c r="CK181" s="180"/>
      <c r="CL181" s="180"/>
      <c r="CM181" s="180"/>
      <c r="CN181" s="116"/>
      <c r="CO181" s="100"/>
      <c r="CP181" s="100"/>
      <c r="CQ181" s="100"/>
    </row>
    <row r="182" spans="1:97" s="101" customFormat="1" ht="15.75" hidden="1" thickBot="1" x14ac:dyDescent="0.3">
      <c r="A182" s="99"/>
      <c r="V182" s="103"/>
      <c r="AA182" s="104"/>
      <c r="AB182" s="104"/>
      <c r="AD182" s="104"/>
      <c r="AE182" s="105"/>
      <c r="AH182" s="106"/>
      <c r="AI182" s="106"/>
      <c r="AK182" s="104"/>
      <c r="AR182" s="104"/>
      <c r="AV182" s="104"/>
      <c r="AX182" s="104"/>
      <c r="BB182" s="104"/>
      <c r="BC182" s="104"/>
      <c r="BE182" s="104"/>
      <c r="BH182" s="99"/>
      <c r="BI182" s="102"/>
      <c r="BJ182" s="178"/>
      <c r="BK182" s="178"/>
      <c r="BL182" s="178"/>
      <c r="BM182" s="169"/>
      <c r="BN182" s="169"/>
      <c r="BO182" s="169"/>
      <c r="BP182" s="178"/>
      <c r="BQ182" s="178"/>
      <c r="BR182" s="178"/>
      <c r="BS182" s="178"/>
      <c r="BT182" s="178"/>
      <c r="BU182" s="178"/>
      <c r="BV182" s="180"/>
      <c r="BW182" s="178"/>
      <c r="BX182" s="178"/>
      <c r="BY182" s="180"/>
      <c r="BZ182" s="180"/>
      <c r="CA182" s="180"/>
      <c r="CB182" s="180"/>
      <c r="CC182" s="178"/>
      <c r="CD182" s="178"/>
      <c r="CE182" s="180"/>
      <c r="CF182" s="180"/>
      <c r="CG182" s="180"/>
      <c r="CH182" s="180"/>
      <c r="CI182" s="178"/>
      <c r="CJ182" s="178"/>
      <c r="CK182" s="180"/>
      <c r="CL182" s="180"/>
      <c r="CM182" s="180"/>
      <c r="CN182" s="116"/>
      <c r="CO182" s="100"/>
      <c r="CP182" s="100"/>
      <c r="CQ182" s="100"/>
    </row>
    <row r="183" spans="1:97" s="101" customFormat="1" hidden="1" x14ac:dyDescent="0.25">
      <c r="A183" s="99"/>
      <c r="V183" s="103"/>
      <c r="AA183" s="104"/>
      <c r="AB183" s="104"/>
      <c r="AD183" s="104"/>
      <c r="AE183" s="105"/>
      <c r="AH183" s="106"/>
      <c r="AI183" s="106"/>
      <c r="AK183" s="104"/>
      <c r="AR183" s="104"/>
      <c r="AV183" s="104"/>
      <c r="AX183" s="104"/>
      <c r="BB183" s="104"/>
      <c r="BC183" s="104"/>
      <c r="BE183" s="104"/>
      <c r="BH183" s="99"/>
      <c r="BI183" s="1606" t="s">
        <v>171</v>
      </c>
      <c r="BJ183" s="251"/>
      <c r="BK183" s="1606" t="s">
        <v>276</v>
      </c>
      <c r="BL183" s="251"/>
      <c r="BM183" s="1606" t="s">
        <v>233</v>
      </c>
      <c r="BN183" s="1606" t="s">
        <v>233</v>
      </c>
      <c r="BO183" s="1606" t="s">
        <v>240</v>
      </c>
      <c r="BP183" s="178"/>
      <c r="BQ183" s="178"/>
      <c r="BR183" s="178"/>
      <c r="BS183" s="178"/>
      <c r="BT183" s="178"/>
      <c r="BU183" s="178"/>
      <c r="BV183" s="180"/>
      <c r="BW183" s="178"/>
      <c r="BX183" s="178"/>
      <c r="BY183" s="180"/>
      <c r="BZ183" s="180"/>
      <c r="CA183" s="180"/>
      <c r="CB183" s="180"/>
      <c r="CC183" s="178"/>
      <c r="CD183" s="178"/>
      <c r="CE183" s="180"/>
      <c r="CF183" s="180"/>
      <c r="CG183" s="180"/>
      <c r="CH183" s="180"/>
      <c r="CI183" s="178"/>
      <c r="CJ183" s="178"/>
      <c r="CK183" s="180"/>
      <c r="CL183" s="180"/>
      <c r="CM183" s="180"/>
      <c r="CN183" s="116"/>
      <c r="CO183" s="100"/>
      <c r="CP183" s="100"/>
      <c r="CQ183" s="100"/>
    </row>
    <row r="184" spans="1:97" s="101" customFormat="1" ht="41.25" hidden="1" customHeight="1" thickBot="1" x14ac:dyDescent="0.3">
      <c r="A184" s="99"/>
      <c r="V184" s="103"/>
      <c r="AA184" s="104"/>
      <c r="AB184" s="104"/>
      <c r="AD184" s="104"/>
      <c r="AE184" s="105"/>
      <c r="AH184" s="106"/>
      <c r="AI184" s="106"/>
      <c r="AK184" s="104"/>
      <c r="AR184" s="104"/>
      <c r="AV184" s="104"/>
      <c r="AX184" s="104"/>
      <c r="BB184" s="104"/>
      <c r="BC184" s="104"/>
      <c r="BE184" s="104"/>
      <c r="BH184" s="99"/>
      <c r="BI184" s="1607"/>
      <c r="BJ184" s="252" t="s">
        <v>253</v>
      </c>
      <c r="BK184" s="1607"/>
      <c r="BL184" s="252" t="s">
        <v>251</v>
      </c>
      <c r="BM184" s="1607"/>
      <c r="BN184" s="1607"/>
      <c r="BO184" s="1607"/>
      <c r="BP184" s="178"/>
      <c r="BQ184" s="178"/>
      <c r="BR184" s="178"/>
      <c r="BS184" s="178"/>
      <c r="BT184" s="178"/>
      <c r="BU184" s="178"/>
      <c r="BV184" s="180"/>
      <c r="BW184" s="178"/>
      <c r="BX184" s="178"/>
      <c r="BY184" s="180"/>
      <c r="BZ184" s="180"/>
      <c r="CA184" s="180"/>
      <c r="CB184" s="180"/>
      <c r="CC184" s="178"/>
      <c r="CD184" s="178"/>
      <c r="CE184" s="180"/>
      <c r="CF184" s="180"/>
      <c r="CG184" s="180"/>
      <c r="CH184" s="180"/>
      <c r="CI184" s="178"/>
      <c r="CJ184" s="178"/>
      <c r="CK184" s="180"/>
      <c r="CL184" s="180"/>
      <c r="CM184" s="180"/>
      <c r="CN184" s="116"/>
      <c r="CO184" s="100"/>
      <c r="CP184" s="100"/>
      <c r="CQ184" s="100"/>
    </row>
    <row r="185" spans="1:97" s="101" customFormat="1" ht="18.75" hidden="1" thickBot="1" x14ac:dyDescent="0.3">
      <c r="A185" s="99"/>
      <c r="V185" s="103"/>
      <c r="AA185" s="104"/>
      <c r="AB185" s="104"/>
      <c r="AD185" s="104"/>
      <c r="AE185" s="105"/>
      <c r="AH185" s="106"/>
      <c r="AI185" s="106"/>
      <c r="AK185" s="104"/>
      <c r="AR185" s="104"/>
      <c r="AV185" s="104"/>
      <c r="AX185" s="104"/>
      <c r="BB185" s="104"/>
      <c r="BC185" s="104"/>
      <c r="BE185" s="104"/>
      <c r="BH185" s="99"/>
      <c r="BI185" s="190" t="s">
        <v>170</v>
      </c>
      <c r="BJ185" s="187" t="s">
        <v>49</v>
      </c>
      <c r="BK185" s="196">
        <v>1</v>
      </c>
      <c r="BL185" s="187" t="s">
        <v>411</v>
      </c>
      <c r="BM185" s="189">
        <v>0.01</v>
      </c>
      <c r="BN185" s="189">
        <v>0.5</v>
      </c>
      <c r="BO185" s="188" t="s">
        <v>311</v>
      </c>
      <c r="BP185" s="178"/>
      <c r="BQ185" s="178"/>
      <c r="BR185" s="178"/>
      <c r="BS185" s="178"/>
      <c r="BT185" s="178"/>
      <c r="BU185" s="178"/>
      <c r="BV185" s="180"/>
      <c r="BW185" s="178"/>
      <c r="BX185" s="178"/>
      <c r="BY185" s="180"/>
      <c r="BZ185" s="180"/>
      <c r="CA185" s="180"/>
      <c r="CB185" s="180"/>
      <c r="CC185" s="178"/>
      <c r="CD185" s="178"/>
      <c r="CE185" s="180"/>
      <c r="CF185" s="180"/>
      <c r="CG185" s="180"/>
      <c r="CH185" s="180"/>
      <c r="CI185" s="178"/>
      <c r="CJ185" s="178"/>
      <c r="CK185" s="180"/>
      <c r="CL185" s="180"/>
      <c r="CM185" s="180"/>
      <c r="CN185" s="116"/>
      <c r="CO185" s="100">
        <v>0.01</v>
      </c>
      <c r="CP185" s="100">
        <f>(CO185+CQ185)/2</f>
        <v>0.255</v>
      </c>
      <c r="CQ185" s="100">
        <v>0.5</v>
      </c>
      <c r="CR185" s="101">
        <v>0.01</v>
      </c>
      <c r="CS185" s="101">
        <v>0.5</v>
      </c>
    </row>
    <row r="186" spans="1:97" s="101" customFormat="1" hidden="1" x14ac:dyDescent="0.25">
      <c r="A186" s="99"/>
      <c r="V186" s="103"/>
      <c r="AA186" s="104"/>
      <c r="AB186" s="104"/>
      <c r="AD186" s="104"/>
      <c r="AE186" s="105"/>
      <c r="AH186" s="106"/>
      <c r="AI186" s="106"/>
      <c r="AK186" s="104"/>
      <c r="AR186" s="104"/>
      <c r="AV186" s="104"/>
      <c r="AX186" s="104"/>
      <c r="BB186" s="104"/>
      <c r="BC186" s="104"/>
      <c r="BE186" s="104"/>
      <c r="BH186" s="99"/>
      <c r="BI186" s="200"/>
      <c r="BJ186" s="201"/>
      <c r="BK186" s="201"/>
      <c r="BL186" s="201"/>
      <c r="BM186" s="202"/>
      <c r="BN186" s="202"/>
      <c r="BO186" s="202"/>
      <c r="BP186" s="178"/>
      <c r="BQ186" s="178"/>
      <c r="BR186" s="178"/>
      <c r="BS186" s="178"/>
      <c r="BT186" s="178"/>
      <c r="BU186" s="178"/>
      <c r="BV186" s="180"/>
      <c r="BW186" s="178"/>
      <c r="BX186" s="178"/>
      <c r="BY186" s="180"/>
      <c r="BZ186" s="180"/>
      <c r="CA186" s="180"/>
      <c r="CB186" s="180"/>
      <c r="CC186" s="178"/>
      <c r="CD186" s="178"/>
      <c r="CE186" s="180"/>
      <c r="CF186" s="180"/>
      <c r="CG186" s="180"/>
      <c r="CH186" s="180"/>
      <c r="CI186" s="178"/>
      <c r="CJ186" s="178"/>
      <c r="CK186" s="180"/>
      <c r="CL186" s="180"/>
      <c r="CM186" s="180"/>
      <c r="CN186" s="116"/>
      <c r="CO186" s="100"/>
      <c r="CP186" s="100"/>
      <c r="CQ186" s="100"/>
    </row>
    <row r="187" spans="1:97" s="101" customFormat="1" ht="15.75" hidden="1" thickBot="1" x14ac:dyDescent="0.3">
      <c r="A187" s="99"/>
      <c r="V187" s="103"/>
      <c r="AA187" s="104"/>
      <c r="AB187" s="104"/>
      <c r="AD187" s="104"/>
      <c r="AE187" s="105"/>
      <c r="AH187" s="106"/>
      <c r="AI187" s="106"/>
      <c r="AK187" s="104"/>
      <c r="AR187" s="104"/>
      <c r="AV187" s="104"/>
      <c r="AX187" s="104"/>
      <c r="BB187" s="104"/>
      <c r="BC187" s="104"/>
      <c r="BE187" s="104"/>
      <c r="BH187" s="99"/>
      <c r="BI187" s="200"/>
      <c r="BJ187" s="201"/>
      <c r="BK187" s="201"/>
      <c r="BL187" s="201"/>
      <c r="BM187" s="202"/>
      <c r="BN187" s="202"/>
      <c r="BO187" s="202"/>
      <c r="BP187" s="178"/>
      <c r="BQ187" s="178"/>
      <c r="BR187" s="178"/>
      <c r="BS187" s="178"/>
      <c r="BT187" s="178"/>
      <c r="BU187" s="178"/>
      <c r="BV187" s="180"/>
      <c r="BW187" s="178"/>
      <c r="BX187" s="178"/>
      <c r="BY187" s="180"/>
      <c r="BZ187" s="180"/>
      <c r="CA187" s="180"/>
      <c r="CB187" s="180"/>
      <c r="CC187" s="178"/>
      <c r="CD187" s="178"/>
      <c r="CE187" s="180"/>
      <c r="CF187" s="180"/>
      <c r="CG187" s="180"/>
      <c r="CH187" s="180"/>
      <c r="CI187" s="178"/>
      <c r="CJ187" s="178"/>
      <c r="CK187" s="180"/>
      <c r="CL187" s="180"/>
      <c r="CM187" s="180"/>
      <c r="CN187" s="116"/>
      <c r="CO187" s="100"/>
      <c r="CP187" s="100"/>
      <c r="CQ187" s="100"/>
    </row>
    <row r="188" spans="1:97" s="101" customFormat="1" hidden="1" x14ac:dyDescent="0.25">
      <c r="A188" s="99"/>
      <c r="V188" s="103"/>
      <c r="AA188" s="104"/>
      <c r="AB188" s="104"/>
      <c r="AD188" s="104"/>
      <c r="AE188" s="105"/>
      <c r="AH188" s="106"/>
      <c r="AI188" s="106"/>
      <c r="AK188" s="104"/>
      <c r="AR188" s="104"/>
      <c r="AV188" s="104"/>
      <c r="AX188" s="104"/>
      <c r="BB188" s="104"/>
      <c r="BC188" s="104"/>
      <c r="BE188" s="104"/>
      <c r="BH188" s="99"/>
      <c r="BI188" s="1606" t="s">
        <v>264</v>
      </c>
      <c r="BJ188" s="251"/>
      <c r="BK188" s="1606" t="s">
        <v>276</v>
      </c>
      <c r="BL188" s="251"/>
      <c r="BM188" s="1606" t="s">
        <v>233</v>
      </c>
      <c r="BN188" s="1606" t="s">
        <v>233</v>
      </c>
      <c r="BO188" s="1606" t="s">
        <v>240</v>
      </c>
      <c r="BP188" s="251"/>
      <c r="BQ188" s="1606" t="s">
        <v>276</v>
      </c>
      <c r="BR188" s="251"/>
      <c r="BS188" s="1606" t="s">
        <v>233</v>
      </c>
      <c r="BT188" s="1606" t="s">
        <v>233</v>
      </c>
      <c r="BU188" s="1606" t="s">
        <v>240</v>
      </c>
      <c r="BV188" s="180"/>
      <c r="BW188" s="178"/>
      <c r="BX188" s="178"/>
      <c r="BY188" s="180"/>
      <c r="BZ188" s="180"/>
      <c r="CA188" s="180"/>
      <c r="CB188" s="180"/>
      <c r="CC188" s="178"/>
      <c r="CD188" s="178"/>
      <c r="CE188" s="180"/>
      <c r="CF188" s="180"/>
      <c r="CG188" s="180"/>
      <c r="CH188" s="180"/>
      <c r="CI188" s="178"/>
      <c r="CJ188" s="178"/>
      <c r="CK188" s="180"/>
      <c r="CL188" s="180"/>
      <c r="CM188" s="180"/>
      <c r="CN188" s="116"/>
      <c r="CO188" s="100"/>
      <c r="CP188" s="100"/>
      <c r="CQ188" s="100"/>
    </row>
    <row r="189" spans="1:97" s="101" customFormat="1" ht="15.75" hidden="1" thickBot="1" x14ac:dyDescent="0.3">
      <c r="A189" s="99"/>
      <c r="V189" s="103"/>
      <c r="AA189" s="104"/>
      <c r="AB189" s="104"/>
      <c r="AD189" s="104"/>
      <c r="AE189" s="105"/>
      <c r="AH189" s="106"/>
      <c r="AI189" s="106"/>
      <c r="AK189" s="104"/>
      <c r="AR189" s="104"/>
      <c r="AV189" s="104"/>
      <c r="AX189" s="104"/>
      <c r="BB189" s="104"/>
      <c r="BC189" s="104"/>
      <c r="BE189" s="104"/>
      <c r="BH189" s="99"/>
      <c r="BI189" s="1607"/>
      <c r="BJ189" s="252" t="s">
        <v>253</v>
      </c>
      <c r="BK189" s="1607"/>
      <c r="BL189" s="252" t="s">
        <v>251</v>
      </c>
      <c r="BM189" s="1607"/>
      <c r="BN189" s="1607"/>
      <c r="BO189" s="1607"/>
      <c r="BP189" s="252" t="s">
        <v>253</v>
      </c>
      <c r="BQ189" s="1607"/>
      <c r="BR189" s="252" t="s">
        <v>251</v>
      </c>
      <c r="BS189" s="1607"/>
      <c r="BT189" s="1607"/>
      <c r="BU189" s="1607"/>
      <c r="BV189" s="180"/>
      <c r="BW189" s="178"/>
      <c r="BX189" s="178"/>
      <c r="BY189" s="180"/>
      <c r="BZ189" s="180"/>
      <c r="CA189" s="180"/>
      <c r="CB189" s="180"/>
      <c r="CC189" s="178"/>
      <c r="CD189" s="178"/>
      <c r="CE189" s="180"/>
      <c r="CF189" s="180"/>
      <c r="CG189" s="180"/>
      <c r="CH189" s="180"/>
      <c r="CI189" s="178"/>
      <c r="CJ189" s="178"/>
      <c r="CK189" s="180"/>
      <c r="CL189" s="180"/>
      <c r="CM189" s="180"/>
      <c r="CN189" s="116"/>
      <c r="CO189" s="100"/>
      <c r="CP189" s="100"/>
      <c r="CQ189" s="100"/>
    </row>
    <row r="190" spans="1:97" s="101" customFormat="1" ht="18.75" hidden="1" thickBot="1" x14ac:dyDescent="0.3">
      <c r="A190" s="99"/>
      <c r="V190" s="103"/>
      <c r="AA190" s="104"/>
      <c r="AB190" s="104"/>
      <c r="AD190" s="104"/>
      <c r="AE190" s="105"/>
      <c r="AH190" s="106"/>
      <c r="AI190" s="106"/>
      <c r="AK190" s="104"/>
      <c r="AR190" s="104"/>
      <c r="AV190" s="104"/>
      <c r="AX190" s="104"/>
      <c r="BB190" s="104"/>
      <c r="BC190" s="104"/>
      <c r="BE190" s="104"/>
      <c r="BH190" s="99"/>
      <c r="BI190" s="190" t="s">
        <v>8</v>
      </c>
      <c r="BJ190" s="187" t="s">
        <v>49</v>
      </c>
      <c r="BK190" s="196">
        <f>BJ433</f>
        <v>23500</v>
      </c>
      <c r="BL190" s="187" t="s">
        <v>411</v>
      </c>
      <c r="BM190" s="189">
        <v>0.01</v>
      </c>
      <c r="BN190" s="189">
        <v>0.5</v>
      </c>
      <c r="BO190" s="188" t="s">
        <v>311</v>
      </c>
      <c r="BP190" s="187" t="s">
        <v>49</v>
      </c>
      <c r="BQ190" s="196">
        <v>22800</v>
      </c>
      <c r="BR190" s="187" t="s">
        <v>411</v>
      </c>
      <c r="BS190" s="189">
        <v>0.01</v>
      </c>
      <c r="BT190" s="189">
        <v>0.5</v>
      </c>
      <c r="BU190" s="188" t="s">
        <v>254</v>
      </c>
      <c r="BV190" s="180"/>
      <c r="BW190" s="178"/>
      <c r="BX190" s="178"/>
      <c r="BY190" s="180"/>
      <c r="BZ190" s="180"/>
      <c r="CA190" s="180"/>
      <c r="CB190" s="180"/>
      <c r="CC190" s="178"/>
      <c r="CD190" s="178"/>
      <c r="CE190" s="180"/>
      <c r="CF190" s="180"/>
      <c r="CG190" s="180"/>
      <c r="CH190" s="180"/>
      <c r="CI190" s="178"/>
      <c r="CJ190" s="178"/>
      <c r="CK190" s="180"/>
      <c r="CL190" s="180"/>
      <c r="CM190" s="180"/>
      <c r="CN190" s="116"/>
      <c r="CO190" s="100">
        <v>0.01</v>
      </c>
      <c r="CP190" s="100">
        <f>(CO190+CQ190)/2</f>
        <v>0.255</v>
      </c>
      <c r="CQ190" s="100">
        <v>0.5</v>
      </c>
      <c r="CR190" s="101">
        <v>0.01</v>
      </c>
      <c r="CS190" s="101">
        <v>0.5</v>
      </c>
    </row>
    <row r="191" spans="1:97" s="101" customFormat="1" hidden="1" x14ac:dyDescent="0.25">
      <c r="A191" s="99"/>
      <c r="V191" s="103"/>
      <c r="AA191" s="104"/>
      <c r="AB191" s="104"/>
      <c r="AD191" s="104"/>
      <c r="AE191" s="105"/>
      <c r="AH191" s="106"/>
      <c r="AI191" s="106"/>
      <c r="AK191" s="104"/>
      <c r="AR191" s="104"/>
      <c r="AV191" s="104"/>
      <c r="AX191" s="104"/>
      <c r="BB191" s="104"/>
      <c r="BC191" s="104"/>
      <c r="BE191" s="104"/>
      <c r="BH191" s="99"/>
      <c r="BI191" s="200"/>
      <c r="BJ191" s="201"/>
      <c r="BK191" s="201"/>
      <c r="BL191" s="201"/>
      <c r="BM191" s="202"/>
      <c r="BN191" s="202"/>
      <c r="BO191" s="202"/>
      <c r="BP191" s="178"/>
      <c r="BQ191" s="178"/>
      <c r="BR191" s="178"/>
      <c r="BS191" s="178"/>
      <c r="BT191" s="178"/>
      <c r="BU191" s="178"/>
      <c r="BV191" s="180"/>
      <c r="BW191" s="178"/>
      <c r="BX191" s="178"/>
      <c r="BY191" s="180"/>
      <c r="BZ191" s="180"/>
      <c r="CA191" s="180"/>
      <c r="CB191" s="180"/>
      <c r="CC191" s="178"/>
      <c r="CD191" s="178"/>
      <c r="CE191" s="180"/>
      <c r="CF191" s="180"/>
      <c r="CG191" s="180"/>
      <c r="CH191" s="180"/>
      <c r="CI191" s="178"/>
      <c r="CJ191" s="178"/>
      <c r="CK191" s="180"/>
      <c r="CL191" s="180"/>
      <c r="CM191" s="180"/>
      <c r="CN191" s="116"/>
      <c r="CO191" s="100"/>
      <c r="CP191" s="100"/>
      <c r="CQ191" s="100"/>
    </row>
    <row r="192" spans="1:97" s="101" customFormat="1" hidden="1" x14ac:dyDescent="0.25">
      <c r="A192" s="99"/>
      <c r="V192" s="103"/>
      <c r="AA192" s="104"/>
      <c r="AB192" s="104"/>
      <c r="AD192" s="104"/>
      <c r="AE192" s="105"/>
      <c r="AH192" s="106"/>
      <c r="AI192" s="106"/>
      <c r="AK192" s="104"/>
      <c r="AR192" s="104"/>
      <c r="AV192" s="104"/>
      <c r="AX192" s="104"/>
      <c r="BB192" s="104"/>
      <c r="BC192" s="104"/>
      <c r="BE192" s="104"/>
      <c r="BH192" s="99"/>
      <c r="BI192" s="200"/>
      <c r="BJ192" s="201"/>
      <c r="BK192" s="201"/>
      <c r="BL192" s="201"/>
      <c r="BM192" s="202"/>
      <c r="BN192" s="202"/>
      <c r="BO192" s="202"/>
      <c r="BP192" s="178"/>
      <c r="BQ192" s="178"/>
      <c r="BR192" s="178"/>
      <c r="BS192" s="178"/>
      <c r="BT192" s="178"/>
      <c r="BU192" s="178"/>
      <c r="BV192" s="180"/>
      <c r="BW192" s="178"/>
      <c r="BX192" s="178"/>
      <c r="BY192" s="180"/>
      <c r="BZ192" s="180"/>
      <c r="CA192" s="180"/>
      <c r="CB192" s="180"/>
      <c r="CC192" s="178"/>
      <c r="CD192" s="178"/>
      <c r="CE192" s="180"/>
      <c r="CF192" s="180"/>
      <c r="CG192" s="180"/>
      <c r="CH192" s="180"/>
      <c r="CI192" s="178"/>
      <c r="CJ192" s="178"/>
      <c r="CK192" s="180"/>
      <c r="CL192" s="180"/>
      <c r="CM192" s="180"/>
      <c r="CN192" s="116"/>
      <c r="CO192" s="100"/>
      <c r="CP192" s="100"/>
      <c r="CQ192" s="100"/>
    </row>
    <row r="193" spans="1:97" s="101" customFormat="1" hidden="1" x14ac:dyDescent="0.25">
      <c r="A193" s="99"/>
      <c r="V193" s="103"/>
      <c r="AA193" s="104"/>
      <c r="AB193" s="104"/>
      <c r="AD193" s="104"/>
      <c r="AE193" s="105"/>
      <c r="AH193" s="106"/>
      <c r="AI193" s="106"/>
      <c r="AK193" s="104"/>
      <c r="AR193" s="104"/>
      <c r="AV193" s="104"/>
      <c r="AX193" s="104"/>
      <c r="BB193" s="104"/>
      <c r="BC193" s="104"/>
      <c r="BE193" s="104"/>
      <c r="BH193" s="99"/>
      <c r="BI193" s="200"/>
      <c r="BJ193" s="201"/>
      <c r="BK193" s="201"/>
      <c r="BL193" s="201"/>
      <c r="BM193" s="202"/>
      <c r="BN193" s="202"/>
      <c r="BO193" s="202"/>
      <c r="BP193" s="178"/>
      <c r="BQ193" s="178"/>
      <c r="BR193" s="178"/>
      <c r="BS193" s="178"/>
      <c r="BT193" s="178"/>
      <c r="BU193" s="178"/>
      <c r="BV193" s="180"/>
      <c r="BW193" s="178"/>
      <c r="BX193" s="178"/>
      <c r="BY193" s="180"/>
      <c r="BZ193" s="180"/>
      <c r="CA193" s="180"/>
      <c r="CB193" s="180"/>
      <c r="CC193" s="178"/>
      <c r="CD193" s="178"/>
      <c r="CE193" s="180"/>
      <c r="CF193" s="180"/>
      <c r="CG193" s="180"/>
      <c r="CH193" s="180"/>
      <c r="CI193" s="178"/>
      <c r="CJ193" s="178"/>
      <c r="CK193" s="180"/>
      <c r="CL193" s="180"/>
      <c r="CM193" s="180"/>
      <c r="CN193" s="116"/>
      <c r="CO193" s="100"/>
      <c r="CP193" s="100"/>
      <c r="CQ193" s="100"/>
    </row>
    <row r="194" spans="1:97" s="101" customFormat="1" ht="15.75" hidden="1" thickBot="1" x14ac:dyDescent="0.3">
      <c r="A194" s="99"/>
      <c r="V194" s="103"/>
      <c r="AA194" s="104"/>
      <c r="AB194" s="104"/>
      <c r="AD194" s="104"/>
      <c r="AE194" s="105"/>
      <c r="AH194" s="106"/>
      <c r="AI194" s="106"/>
      <c r="AK194" s="104"/>
      <c r="AR194" s="104"/>
      <c r="AV194" s="104"/>
      <c r="AX194" s="104"/>
      <c r="BB194" s="104"/>
      <c r="BC194" s="104"/>
      <c r="BE194" s="104"/>
      <c r="BH194" s="99"/>
      <c r="BI194" s="102"/>
      <c r="BJ194" s="178"/>
      <c r="BK194" s="178"/>
      <c r="BL194" s="178"/>
      <c r="BM194" s="169"/>
      <c r="BN194" s="169"/>
      <c r="BO194" s="169"/>
      <c r="BP194" s="178"/>
      <c r="BQ194" s="178"/>
      <c r="BR194" s="178"/>
      <c r="BS194" s="178"/>
      <c r="BT194" s="178"/>
      <c r="BU194" s="178"/>
      <c r="BV194" s="180"/>
      <c r="BW194" s="178"/>
      <c r="BX194" s="178"/>
      <c r="BY194" s="180"/>
      <c r="BZ194" s="180"/>
      <c r="CA194" s="180"/>
      <c r="CB194" s="180"/>
      <c r="CC194" s="178"/>
      <c r="CD194" s="178"/>
      <c r="CE194" s="180"/>
      <c r="CF194" s="180"/>
      <c r="CG194" s="180"/>
      <c r="CH194" s="180"/>
      <c r="CI194" s="178"/>
      <c r="CJ194" s="178"/>
      <c r="CK194" s="180"/>
      <c r="CL194" s="180"/>
      <c r="CM194" s="180"/>
      <c r="CN194" s="116"/>
      <c r="CO194" s="100"/>
      <c r="CP194" s="100"/>
      <c r="CQ194" s="100"/>
    </row>
    <row r="195" spans="1:97" s="101" customFormat="1" ht="27" hidden="1" customHeight="1" x14ac:dyDescent="0.25">
      <c r="A195" s="99"/>
      <c r="V195" s="103"/>
      <c r="AA195" s="104"/>
      <c r="AB195" s="104"/>
      <c r="AD195" s="104"/>
      <c r="AE195" s="105"/>
      <c r="AH195" s="106"/>
      <c r="AI195" s="106"/>
      <c r="AK195" s="104"/>
      <c r="AR195" s="104"/>
      <c r="AV195" s="104"/>
      <c r="AX195" s="104"/>
      <c r="BB195" s="104"/>
      <c r="BC195" s="104"/>
      <c r="BE195" s="104"/>
      <c r="BH195" s="99"/>
      <c r="BI195" s="1606" t="s">
        <v>260</v>
      </c>
      <c r="BJ195" s="251"/>
      <c r="BK195" s="1606" t="s">
        <v>276</v>
      </c>
      <c r="BL195" s="251"/>
      <c r="BM195" s="1606" t="s">
        <v>233</v>
      </c>
      <c r="BN195" s="1606" t="s">
        <v>233</v>
      </c>
      <c r="BO195" s="1606" t="s">
        <v>240</v>
      </c>
      <c r="BP195" s="178"/>
      <c r="BQ195" s="178"/>
      <c r="BR195" s="178"/>
      <c r="BS195" s="178"/>
      <c r="BT195" s="178"/>
      <c r="BU195" s="178"/>
      <c r="BV195" s="180"/>
      <c r="BW195" s="178"/>
      <c r="BX195" s="178"/>
      <c r="BY195" s="180"/>
      <c r="BZ195" s="180"/>
      <c r="CA195" s="180"/>
      <c r="CB195" s="180"/>
      <c r="CC195" s="178"/>
      <c r="CD195" s="178"/>
      <c r="CE195" s="180"/>
      <c r="CF195" s="180"/>
      <c r="CG195" s="180"/>
      <c r="CH195" s="180"/>
      <c r="CI195" s="178"/>
      <c r="CJ195" s="178"/>
      <c r="CK195" s="180"/>
      <c r="CL195" s="180"/>
      <c r="CM195" s="180"/>
      <c r="CN195" s="116"/>
      <c r="CO195" s="100"/>
      <c r="CP195" s="100"/>
      <c r="CQ195" s="100"/>
    </row>
    <row r="196" spans="1:97" s="101" customFormat="1" ht="34.5" hidden="1" customHeight="1" thickBot="1" x14ac:dyDescent="0.3">
      <c r="A196" s="99"/>
      <c r="V196" s="103"/>
      <c r="AA196" s="104"/>
      <c r="AB196" s="104"/>
      <c r="AD196" s="104"/>
      <c r="AE196" s="105"/>
      <c r="AH196" s="106"/>
      <c r="AI196" s="106"/>
      <c r="AK196" s="104"/>
      <c r="AR196" s="104"/>
      <c r="AV196" s="104"/>
      <c r="AX196" s="104"/>
      <c r="BB196" s="104"/>
      <c r="BC196" s="104"/>
      <c r="BE196" s="104"/>
      <c r="BH196" s="99"/>
      <c r="BI196" s="1607"/>
      <c r="BJ196" s="252" t="s">
        <v>253</v>
      </c>
      <c r="BK196" s="1607"/>
      <c r="BL196" s="252" t="s">
        <v>251</v>
      </c>
      <c r="BM196" s="1607"/>
      <c r="BN196" s="1607"/>
      <c r="BO196" s="1607"/>
      <c r="BP196" s="178"/>
      <c r="BQ196" s="178"/>
      <c r="BR196" s="178"/>
      <c r="BS196" s="178"/>
      <c r="BT196" s="178"/>
      <c r="BU196" s="178"/>
      <c r="BV196" s="180"/>
      <c r="BW196" s="178"/>
      <c r="BX196" s="178"/>
      <c r="BY196" s="180"/>
      <c r="BZ196" s="180"/>
      <c r="CA196" s="180"/>
      <c r="CB196" s="180"/>
      <c r="CC196" s="178"/>
      <c r="CD196" s="178"/>
      <c r="CE196" s="180"/>
      <c r="CF196" s="180"/>
      <c r="CG196" s="180"/>
      <c r="CH196" s="180"/>
      <c r="CI196" s="178"/>
      <c r="CJ196" s="178"/>
      <c r="CK196" s="180"/>
      <c r="CL196" s="180"/>
      <c r="CM196" s="180"/>
      <c r="CN196" s="116"/>
      <c r="CO196" s="100"/>
      <c r="CP196" s="100"/>
      <c r="CQ196" s="100"/>
    </row>
    <row r="197" spans="1:97" s="101" customFormat="1" ht="102.75" hidden="1" thickBot="1" x14ac:dyDescent="0.3">
      <c r="A197" s="99"/>
      <c r="V197" s="103"/>
      <c r="AA197" s="104"/>
      <c r="AB197" s="104"/>
      <c r="AD197" s="104"/>
      <c r="AE197" s="105"/>
      <c r="AH197" s="106"/>
      <c r="AI197" s="106"/>
      <c r="AK197" s="104"/>
      <c r="AR197" s="104"/>
      <c r="AV197" s="104"/>
      <c r="AX197" s="104"/>
      <c r="BB197" s="104"/>
      <c r="BC197" s="104"/>
      <c r="BD197" s="100">
        <f>(10+0.9)*(0.67)</f>
        <v>7.3030000000000008</v>
      </c>
      <c r="BE197" s="100">
        <f>25*(0.67)</f>
        <v>16.75</v>
      </c>
      <c r="BF197" s="100">
        <f>(18+2.5)*(0.67)</f>
        <v>13.735000000000001</v>
      </c>
      <c r="BG197" s="100">
        <f>(25+4)*(0.67)</f>
        <v>19.43</v>
      </c>
      <c r="BH197" s="120" t="s">
        <v>52</v>
      </c>
      <c r="BI197" s="203" t="s">
        <v>10</v>
      </c>
      <c r="BJ197" s="190" t="s">
        <v>615</v>
      </c>
      <c r="BK197" s="196">
        <f>BG197</f>
        <v>19.43</v>
      </c>
      <c r="BL197" s="190" t="s">
        <v>634</v>
      </c>
      <c r="BM197" s="189">
        <v>0.5</v>
      </c>
      <c r="BN197" s="189">
        <v>3</v>
      </c>
      <c r="BO197" s="188" t="s">
        <v>429</v>
      </c>
      <c r="BP197" s="178"/>
      <c r="BQ197" s="102"/>
      <c r="BR197" s="102"/>
      <c r="BS197" s="178"/>
      <c r="BT197" s="178"/>
      <c r="BU197" s="178"/>
      <c r="BV197" s="180"/>
      <c r="BW197" s="178"/>
      <c r="BX197" s="196">
        <v>312.39</v>
      </c>
      <c r="BY197" s="190" t="s">
        <v>635</v>
      </c>
      <c r="BZ197" s="180"/>
      <c r="CA197" s="180"/>
      <c r="CB197" s="180"/>
      <c r="CC197" s="178"/>
      <c r="CD197" s="178"/>
      <c r="CE197" s="180"/>
      <c r="CF197" s="180"/>
      <c r="CG197" s="180"/>
      <c r="CH197" s="180"/>
      <c r="CI197" s="178"/>
      <c r="CJ197" s="178"/>
      <c r="CK197" s="180"/>
      <c r="CL197" s="180"/>
      <c r="CM197" s="180"/>
      <c r="CN197" s="116"/>
      <c r="CO197" s="218">
        <f>BM197</f>
        <v>0.5</v>
      </c>
      <c r="CP197" s="100">
        <f>(CO197+CQ197)/2</f>
        <v>1.75</v>
      </c>
      <c r="CQ197" s="218">
        <f>BN197</f>
        <v>3</v>
      </c>
      <c r="CR197" s="101">
        <v>0.05</v>
      </c>
      <c r="CS197" s="101">
        <v>0.3</v>
      </c>
    </row>
    <row r="198" spans="1:97" s="101" customFormat="1" ht="102.75" hidden="1" thickBot="1" x14ac:dyDescent="0.3">
      <c r="A198" s="99"/>
      <c r="V198" s="103"/>
      <c r="AA198" s="104"/>
      <c r="AB198" s="104"/>
      <c r="AD198" s="104"/>
      <c r="AE198" s="105"/>
      <c r="AH198" s="106"/>
      <c r="AI198" s="106"/>
      <c r="AK198" s="104"/>
      <c r="AR198" s="104"/>
      <c r="AV198" s="104"/>
      <c r="AX198" s="104"/>
      <c r="BB198" s="104"/>
      <c r="BC198" s="104"/>
      <c r="BD198" s="100">
        <f>(0.31+0)*(0.67)</f>
        <v>0.20770000000000002</v>
      </c>
      <c r="BE198" s="100">
        <f>25*(0.67)</f>
        <v>16.75</v>
      </c>
      <c r="BF198" s="100">
        <f>(1.2+0.1)*(0.67)</f>
        <v>0.87100000000000011</v>
      </c>
      <c r="BG198" s="100">
        <f>(2+0.2)*(0.67)</f>
        <v>1.4740000000000002</v>
      </c>
      <c r="BH198" s="120" t="s">
        <v>52</v>
      </c>
      <c r="BI198" s="203" t="s">
        <v>11</v>
      </c>
      <c r="BJ198" s="190" t="s">
        <v>615</v>
      </c>
      <c r="BK198" s="196">
        <f>BG198</f>
        <v>1.4740000000000002</v>
      </c>
      <c r="BL198" s="190" t="s">
        <v>634</v>
      </c>
      <c r="BM198" s="189">
        <v>0.5</v>
      </c>
      <c r="BN198" s="189">
        <v>3</v>
      </c>
      <c r="BO198" s="188" t="s">
        <v>430</v>
      </c>
      <c r="BP198" s="178"/>
      <c r="BQ198" s="102"/>
      <c r="BR198" s="102"/>
      <c r="BS198" s="178"/>
      <c r="BT198" s="178"/>
      <c r="BU198" s="178"/>
      <c r="BV198" s="180"/>
      <c r="BW198" s="178"/>
      <c r="BX198" s="196">
        <v>20.94</v>
      </c>
      <c r="BY198" s="190" t="s">
        <v>635</v>
      </c>
      <c r="BZ198" s="180"/>
      <c r="CA198" s="180"/>
      <c r="CB198" s="180"/>
      <c r="CC198" s="178"/>
      <c r="CD198" s="178"/>
      <c r="CE198" s="180"/>
      <c r="CF198" s="180"/>
      <c r="CG198" s="180"/>
      <c r="CH198" s="180"/>
      <c r="CI198" s="178"/>
      <c r="CJ198" s="178"/>
      <c r="CK198" s="180"/>
      <c r="CL198" s="180"/>
      <c r="CM198" s="180"/>
      <c r="CN198" s="116"/>
      <c r="CO198" s="218">
        <f t="shared" ref="CO198:CO261" si="101">BM198</f>
        <v>0.5</v>
      </c>
      <c r="CP198" s="100">
        <f t="shared" ref="CP198:CP261" si="102">(CO198+CQ198)/2</f>
        <v>1.75</v>
      </c>
      <c r="CQ198" s="218">
        <f t="shared" ref="CQ198:CQ261" si="103">BN198</f>
        <v>3</v>
      </c>
      <c r="CR198" s="101">
        <v>0.05</v>
      </c>
      <c r="CS198" s="101">
        <v>0.3</v>
      </c>
    </row>
    <row r="199" spans="1:97" s="101" customFormat="1" ht="141" hidden="1" thickBot="1" x14ac:dyDescent="0.3">
      <c r="A199" s="99"/>
      <c r="V199" s="103"/>
      <c r="AA199" s="104"/>
      <c r="AB199" s="104"/>
      <c r="AD199" s="104"/>
      <c r="AE199" s="105"/>
      <c r="AH199" s="106"/>
      <c r="AI199" s="106"/>
      <c r="AK199" s="104"/>
      <c r="AR199" s="104"/>
      <c r="AV199" s="104"/>
      <c r="AX199" s="104"/>
      <c r="BB199" s="104"/>
      <c r="BC199" s="104"/>
      <c r="BE199" s="104"/>
      <c r="BH199" s="120" t="s">
        <v>347</v>
      </c>
      <c r="BI199" s="203" t="s">
        <v>345</v>
      </c>
      <c r="BJ199" s="203" t="s">
        <v>346</v>
      </c>
      <c r="BK199" s="196">
        <v>36.5</v>
      </c>
      <c r="BL199" s="190" t="s">
        <v>424</v>
      </c>
      <c r="BM199" s="189">
        <v>0.9</v>
      </c>
      <c r="BN199" s="189">
        <v>1.06</v>
      </c>
      <c r="BO199" s="188" t="s">
        <v>348</v>
      </c>
      <c r="BP199" s="178"/>
      <c r="BQ199" s="102"/>
      <c r="BR199" s="102"/>
      <c r="BS199" s="178"/>
      <c r="BT199" s="178"/>
      <c r="BU199" s="178"/>
      <c r="BV199" s="180"/>
      <c r="BW199" s="178"/>
      <c r="BX199" s="196">
        <v>20.94</v>
      </c>
      <c r="BY199" s="190" t="s">
        <v>635</v>
      </c>
      <c r="BZ199" s="180"/>
      <c r="CA199" s="180"/>
      <c r="CB199" s="180"/>
      <c r="CC199" s="178"/>
      <c r="CD199" s="178"/>
      <c r="CE199" s="180"/>
      <c r="CF199" s="180"/>
      <c r="CG199" s="180"/>
      <c r="CH199" s="180"/>
      <c r="CI199" s="178"/>
      <c r="CJ199" s="178"/>
      <c r="CK199" s="180"/>
      <c r="CL199" s="180"/>
      <c r="CM199" s="180"/>
      <c r="CN199" s="116"/>
      <c r="CO199" s="218">
        <f t="shared" si="101"/>
        <v>0.9</v>
      </c>
      <c r="CP199" s="100">
        <f t="shared" si="102"/>
        <v>0.98</v>
      </c>
      <c r="CQ199" s="218">
        <f t="shared" si="103"/>
        <v>1.06</v>
      </c>
      <c r="CR199" s="101">
        <v>0.9</v>
      </c>
      <c r="CS199" s="101">
        <v>1.06</v>
      </c>
    </row>
    <row r="200" spans="1:97" s="101" customFormat="1" ht="18.75" hidden="1" thickBot="1" x14ac:dyDescent="0.3">
      <c r="A200" s="99"/>
      <c r="V200" s="103"/>
      <c r="AA200" s="104"/>
      <c r="AB200" s="104"/>
      <c r="AD200" s="104"/>
      <c r="AE200" s="105"/>
      <c r="AH200" s="106"/>
      <c r="AI200" s="106"/>
      <c r="AK200" s="104"/>
      <c r="AR200" s="104"/>
      <c r="AV200" s="104"/>
      <c r="AX200" s="104"/>
      <c r="BB200" s="104"/>
      <c r="BC200" s="104"/>
      <c r="BE200" s="104"/>
      <c r="BG200" s="100"/>
      <c r="BH200" s="120" t="s">
        <v>53</v>
      </c>
      <c r="BI200" s="203" t="s">
        <v>12</v>
      </c>
      <c r="BJ200" s="203" t="s">
        <v>615</v>
      </c>
      <c r="BK200" s="196">
        <v>1E-4</v>
      </c>
      <c r="BL200" s="190" t="s">
        <v>627</v>
      </c>
      <c r="BM200" s="189">
        <v>0.1</v>
      </c>
      <c r="BN200" s="189">
        <v>0.25</v>
      </c>
      <c r="BO200" s="188" t="s">
        <v>258</v>
      </c>
      <c r="BP200" s="215" t="s">
        <v>615</v>
      </c>
      <c r="BQ200" s="216">
        <v>560</v>
      </c>
      <c r="BR200" s="215" t="s">
        <v>637</v>
      </c>
      <c r="BS200" s="217">
        <v>0.1</v>
      </c>
      <c r="BT200" s="217">
        <v>0.25</v>
      </c>
      <c r="BU200" s="188" t="s">
        <v>258</v>
      </c>
      <c r="BV200" s="180"/>
      <c r="BW200" s="178"/>
      <c r="BX200" s="196">
        <v>12.5</v>
      </c>
      <c r="BY200" s="190" t="s">
        <v>635</v>
      </c>
      <c r="BZ200" s="180"/>
      <c r="CA200" s="180"/>
      <c r="CB200" s="180"/>
      <c r="CC200" s="178"/>
      <c r="CD200" s="178"/>
      <c r="CE200" s="180"/>
      <c r="CF200" s="180"/>
      <c r="CG200" s="180"/>
      <c r="CH200" s="180"/>
      <c r="CI200" s="178"/>
      <c r="CJ200" s="178"/>
      <c r="CK200" s="180"/>
      <c r="CL200" s="180"/>
      <c r="CM200" s="180"/>
      <c r="CN200" s="116"/>
      <c r="CO200" s="218">
        <f t="shared" si="101"/>
        <v>0.1</v>
      </c>
      <c r="CP200" s="100">
        <f t="shared" si="102"/>
        <v>0.17499999999999999</v>
      </c>
      <c r="CQ200" s="218">
        <f t="shared" si="103"/>
        <v>0.25</v>
      </c>
      <c r="CR200" s="101">
        <v>0.02</v>
      </c>
      <c r="CS200" s="101">
        <v>0.5</v>
      </c>
    </row>
    <row r="201" spans="1:97" s="101" customFormat="1" ht="26.25" hidden="1" thickBot="1" x14ac:dyDescent="0.3">
      <c r="A201" s="99"/>
      <c r="V201" s="103"/>
      <c r="AA201" s="104"/>
      <c r="AB201" s="104"/>
      <c r="AD201" s="104"/>
      <c r="AE201" s="105"/>
      <c r="AH201" s="106"/>
      <c r="AI201" s="106"/>
      <c r="AK201" s="104"/>
      <c r="AR201" s="104"/>
      <c r="AV201" s="104"/>
      <c r="AX201" s="104"/>
      <c r="BB201" s="104"/>
      <c r="BC201" s="104"/>
      <c r="BE201" s="104"/>
      <c r="BH201" s="120" t="s">
        <v>53</v>
      </c>
      <c r="BI201" s="203" t="s">
        <v>343</v>
      </c>
      <c r="BJ201" s="203" t="s">
        <v>615</v>
      </c>
      <c r="BK201" s="196">
        <v>1000</v>
      </c>
      <c r="BL201" s="190" t="s">
        <v>627</v>
      </c>
      <c r="BM201" s="189">
        <v>0.02</v>
      </c>
      <c r="BN201" s="189">
        <v>0.5</v>
      </c>
      <c r="BO201" s="188" t="s">
        <v>387</v>
      </c>
      <c r="BP201" s="178"/>
      <c r="BQ201" s="102"/>
      <c r="BR201" s="102"/>
      <c r="BS201" s="178"/>
      <c r="BT201" s="178"/>
      <c r="BU201" s="178"/>
      <c r="BV201" s="180"/>
      <c r="BW201" s="178"/>
      <c r="BX201" s="196"/>
      <c r="BY201" s="190"/>
      <c r="BZ201" s="180"/>
      <c r="CA201" s="180"/>
      <c r="CB201" s="180"/>
      <c r="CC201" s="178"/>
      <c r="CD201" s="178"/>
      <c r="CE201" s="180"/>
      <c r="CF201" s="180"/>
      <c r="CG201" s="180"/>
      <c r="CH201" s="180"/>
      <c r="CI201" s="178"/>
      <c r="CJ201" s="178"/>
      <c r="CK201" s="180"/>
      <c r="CL201" s="180"/>
      <c r="CM201" s="180"/>
      <c r="CN201" s="116"/>
      <c r="CO201" s="218">
        <f t="shared" si="101"/>
        <v>0.02</v>
      </c>
      <c r="CP201" s="100">
        <f t="shared" si="102"/>
        <v>0.26</v>
      </c>
      <c r="CQ201" s="218">
        <f t="shared" si="103"/>
        <v>0.5</v>
      </c>
      <c r="CR201" s="101">
        <v>0.02</v>
      </c>
      <c r="CS201" s="101">
        <v>0.5</v>
      </c>
    </row>
    <row r="202" spans="1:97" s="101" customFormat="1" ht="16.5" hidden="1" thickBot="1" x14ac:dyDescent="0.3">
      <c r="A202" s="99"/>
      <c r="V202" s="103"/>
      <c r="AA202" s="104"/>
      <c r="AB202" s="104"/>
      <c r="AD202" s="104"/>
      <c r="AE202" s="105"/>
      <c r="AH202" s="106"/>
      <c r="AI202" s="106"/>
      <c r="AK202" s="104"/>
      <c r="AR202" s="104"/>
      <c r="AV202" s="104"/>
      <c r="AX202" s="104"/>
      <c r="BB202" s="104"/>
      <c r="BC202" s="104"/>
      <c r="BE202" s="104"/>
      <c r="BH202" s="120"/>
      <c r="BI202" s="203" t="s">
        <v>438</v>
      </c>
      <c r="BJ202" s="190" t="s">
        <v>626</v>
      </c>
      <c r="BK202" s="196">
        <v>520</v>
      </c>
      <c r="BL202" s="190" t="s">
        <v>628</v>
      </c>
      <c r="BM202" s="189">
        <v>0.01</v>
      </c>
      <c r="BN202" s="189">
        <v>0.35</v>
      </c>
      <c r="BO202" s="188" t="s">
        <v>258</v>
      </c>
      <c r="BP202" s="178"/>
      <c r="BQ202" s="102"/>
      <c r="BR202" s="102"/>
      <c r="BS202" s="178"/>
      <c r="BT202" s="178"/>
      <c r="BU202" s="178"/>
      <c r="BV202" s="180"/>
      <c r="BW202" s="178"/>
      <c r="BX202" s="196"/>
      <c r="BY202" s="190"/>
      <c r="BZ202" s="180"/>
      <c r="CA202" s="180"/>
      <c r="CB202" s="180"/>
      <c r="CC202" s="178"/>
      <c r="CD202" s="178"/>
      <c r="CE202" s="180"/>
      <c r="CF202" s="180"/>
      <c r="CG202" s="180"/>
      <c r="CH202" s="180"/>
      <c r="CI202" s="178"/>
      <c r="CJ202" s="178"/>
      <c r="CK202" s="180"/>
      <c r="CL202" s="180"/>
      <c r="CM202" s="180"/>
      <c r="CN202" s="116"/>
      <c r="CO202" s="218">
        <f t="shared" si="101"/>
        <v>0.01</v>
      </c>
      <c r="CP202" s="100">
        <f t="shared" si="102"/>
        <v>0.18</v>
      </c>
      <c r="CQ202" s="218">
        <f t="shared" si="103"/>
        <v>0.35</v>
      </c>
    </row>
    <row r="203" spans="1:97" s="101" customFormat="1" ht="16.5" hidden="1" thickBot="1" x14ac:dyDescent="0.3">
      <c r="A203" s="99"/>
      <c r="V203" s="103"/>
      <c r="AA203" s="104"/>
      <c r="AB203" s="104"/>
      <c r="AD203" s="104"/>
      <c r="AE203" s="105"/>
      <c r="AH203" s="106"/>
      <c r="AI203" s="106"/>
      <c r="AK203" s="104"/>
      <c r="AR203" s="104"/>
      <c r="AV203" s="104"/>
      <c r="AX203" s="104"/>
      <c r="BB203" s="104"/>
      <c r="BC203" s="104"/>
      <c r="BE203" s="104"/>
      <c r="BH203" s="120" t="s">
        <v>53</v>
      </c>
      <c r="BI203" s="203" t="s">
        <v>13</v>
      </c>
      <c r="BJ203" s="190" t="s">
        <v>615</v>
      </c>
      <c r="BK203" s="196">
        <v>750</v>
      </c>
      <c r="BL203" s="190" t="s">
        <v>629</v>
      </c>
      <c r="BM203" s="189">
        <v>0.02</v>
      </c>
      <c r="BN203" s="189">
        <v>0.15</v>
      </c>
      <c r="BO203" s="188" t="s">
        <v>258</v>
      </c>
      <c r="BP203" s="178"/>
      <c r="BQ203" s="102"/>
      <c r="BR203" s="102"/>
      <c r="BS203" s="178"/>
      <c r="BT203" s="178"/>
      <c r="BU203" s="178"/>
      <c r="BV203" s="180"/>
      <c r="BW203" s="178"/>
      <c r="BX203" s="196">
        <v>790</v>
      </c>
      <c r="BY203" s="190" t="s">
        <v>635</v>
      </c>
      <c r="BZ203" s="180"/>
      <c r="CA203" s="180"/>
      <c r="CB203" s="180"/>
      <c r="CC203" s="178"/>
      <c r="CD203" s="178"/>
      <c r="CE203" s="180"/>
      <c r="CF203" s="180"/>
      <c r="CG203" s="180"/>
      <c r="CH203" s="180"/>
      <c r="CI203" s="178"/>
      <c r="CJ203" s="178"/>
      <c r="CK203" s="180"/>
      <c r="CL203" s="180"/>
      <c r="CM203" s="180"/>
      <c r="CN203" s="116"/>
      <c r="CO203" s="218">
        <f t="shared" si="101"/>
        <v>0.02</v>
      </c>
      <c r="CP203" s="100">
        <f t="shared" si="102"/>
        <v>8.4999999999999992E-2</v>
      </c>
      <c r="CQ203" s="218">
        <f t="shared" si="103"/>
        <v>0.15</v>
      </c>
      <c r="CR203" s="101">
        <v>0.02</v>
      </c>
      <c r="CS203" s="101">
        <v>0.5</v>
      </c>
    </row>
    <row r="204" spans="1:97" s="101" customFormat="1" ht="16.5" hidden="1" thickBot="1" x14ac:dyDescent="0.3">
      <c r="A204" s="99"/>
      <c r="V204" s="103"/>
      <c r="AA204" s="104"/>
      <c r="AB204" s="104"/>
      <c r="AD204" s="104"/>
      <c r="AE204" s="105"/>
      <c r="AH204" s="106"/>
      <c r="AI204" s="106"/>
      <c r="AK204" s="104"/>
      <c r="AR204" s="104"/>
      <c r="AV204" s="104"/>
      <c r="AX204" s="104"/>
      <c r="BB204" s="104"/>
      <c r="BC204" s="104"/>
      <c r="BE204" s="104"/>
      <c r="BH204" s="120" t="s">
        <v>53</v>
      </c>
      <c r="BI204" s="203" t="s">
        <v>14</v>
      </c>
      <c r="BJ204" s="190" t="s">
        <v>615</v>
      </c>
      <c r="BK204" s="196">
        <v>860</v>
      </c>
      <c r="BL204" s="190" t="s">
        <v>629</v>
      </c>
      <c r="BM204" s="189">
        <v>0.02</v>
      </c>
      <c r="BN204" s="189">
        <v>0.15</v>
      </c>
      <c r="BO204" s="188" t="s">
        <v>258</v>
      </c>
      <c r="BP204" s="178"/>
      <c r="BQ204" s="102"/>
      <c r="BR204" s="102"/>
      <c r="BS204" s="178"/>
      <c r="BT204" s="178"/>
      <c r="BU204" s="178"/>
      <c r="BV204" s="180"/>
      <c r="BW204" s="178"/>
      <c r="BX204" s="196">
        <v>910</v>
      </c>
      <c r="BY204" s="190" t="s">
        <v>635</v>
      </c>
      <c r="BZ204" s="180"/>
      <c r="CA204" s="180"/>
      <c r="CB204" s="180"/>
      <c r="CC204" s="178"/>
      <c r="CD204" s="178"/>
      <c r="CE204" s="180"/>
      <c r="CF204" s="180"/>
      <c r="CG204" s="180"/>
      <c r="CH204" s="180"/>
      <c r="CI204" s="178"/>
      <c r="CJ204" s="178"/>
      <c r="CK204" s="180"/>
      <c r="CL204" s="180"/>
      <c r="CM204" s="180"/>
      <c r="CN204" s="116"/>
      <c r="CO204" s="218">
        <f t="shared" si="101"/>
        <v>0.02</v>
      </c>
      <c r="CP204" s="100">
        <f t="shared" si="102"/>
        <v>8.4999999999999992E-2</v>
      </c>
      <c r="CQ204" s="218">
        <f t="shared" si="103"/>
        <v>0.15</v>
      </c>
      <c r="CR204" s="101">
        <v>0.02</v>
      </c>
      <c r="CS204" s="101">
        <v>0.5</v>
      </c>
    </row>
    <row r="205" spans="1:97" s="101" customFormat="1" ht="16.5" hidden="1" thickBot="1" x14ac:dyDescent="0.3">
      <c r="A205" s="99"/>
      <c r="V205" s="103"/>
      <c r="AA205" s="104"/>
      <c r="AB205" s="104"/>
      <c r="AD205" s="104"/>
      <c r="AE205" s="105"/>
      <c r="AH205" s="106"/>
      <c r="AI205" s="106"/>
      <c r="AK205" s="104"/>
      <c r="AR205" s="104"/>
      <c r="AV205" s="104"/>
      <c r="AX205" s="104"/>
      <c r="BB205" s="104"/>
      <c r="BC205" s="104"/>
      <c r="BE205" s="104"/>
      <c r="BH205" s="120"/>
      <c r="BI205" s="203" t="s">
        <v>431</v>
      </c>
      <c r="BJ205" s="190" t="s">
        <v>615</v>
      </c>
      <c r="BK205" s="196">
        <v>439.71</v>
      </c>
      <c r="BL205" s="190" t="s">
        <v>629</v>
      </c>
      <c r="BM205" s="189">
        <v>0.02</v>
      </c>
      <c r="BN205" s="189">
        <v>0.15</v>
      </c>
      <c r="BO205" s="188" t="s">
        <v>258</v>
      </c>
      <c r="BP205" s="178"/>
      <c r="BQ205" s="102"/>
      <c r="BR205" s="102"/>
      <c r="BS205" s="178"/>
      <c r="BT205" s="178"/>
      <c r="BU205" s="178"/>
      <c r="BV205" s="180"/>
      <c r="BW205" s="178"/>
      <c r="BX205" s="196"/>
      <c r="BY205" s="190"/>
      <c r="BZ205" s="180"/>
      <c r="CA205" s="180"/>
      <c r="CB205" s="180"/>
      <c r="CC205" s="178"/>
      <c r="CD205" s="178"/>
      <c r="CE205" s="180"/>
      <c r="CF205" s="180"/>
      <c r="CG205" s="180"/>
      <c r="CH205" s="180"/>
      <c r="CI205" s="178"/>
      <c r="CJ205" s="178"/>
      <c r="CK205" s="180"/>
      <c r="CL205" s="180"/>
      <c r="CM205" s="180"/>
      <c r="CN205" s="116"/>
      <c r="CO205" s="218">
        <f t="shared" si="101"/>
        <v>0.02</v>
      </c>
      <c r="CP205" s="100">
        <f t="shared" si="102"/>
        <v>8.4999999999999992E-2</v>
      </c>
      <c r="CQ205" s="218">
        <f t="shared" si="103"/>
        <v>0.15</v>
      </c>
    </row>
    <row r="206" spans="1:97" s="101" customFormat="1" ht="16.5" hidden="1" thickBot="1" x14ac:dyDescent="0.3">
      <c r="A206" s="99"/>
      <c r="V206" s="103"/>
      <c r="AA206" s="104"/>
      <c r="AB206" s="104"/>
      <c r="AD206" s="104"/>
      <c r="AE206" s="105"/>
      <c r="AH206" s="106"/>
      <c r="AI206" s="106"/>
      <c r="AK206" s="104"/>
      <c r="AR206" s="104"/>
      <c r="AV206" s="104"/>
      <c r="AX206" s="104"/>
      <c r="BB206" s="104"/>
      <c r="BC206" s="104"/>
      <c r="BE206" s="104"/>
      <c r="BH206" s="120"/>
      <c r="BI206" s="203" t="s">
        <v>432</v>
      </c>
      <c r="BJ206" s="190" t="s">
        <v>615</v>
      </c>
      <c r="BK206" s="196">
        <v>521.97</v>
      </c>
      <c r="BL206" s="190" t="s">
        <v>629</v>
      </c>
      <c r="BM206" s="189">
        <v>0.02</v>
      </c>
      <c r="BN206" s="189">
        <v>0.15</v>
      </c>
      <c r="BO206" s="188" t="s">
        <v>258</v>
      </c>
      <c r="BP206" s="178"/>
      <c r="BQ206" s="102"/>
      <c r="BR206" s="102"/>
      <c r="BS206" s="178"/>
      <c r="BT206" s="178"/>
      <c r="BU206" s="178"/>
      <c r="BV206" s="180"/>
      <c r="BW206" s="178"/>
      <c r="BX206" s="196"/>
      <c r="BY206" s="190"/>
      <c r="BZ206" s="180"/>
      <c r="CA206" s="180"/>
      <c r="CB206" s="180"/>
      <c r="CC206" s="178"/>
      <c r="CD206" s="178"/>
      <c r="CE206" s="180"/>
      <c r="CF206" s="180"/>
      <c r="CG206" s="180"/>
      <c r="CH206" s="180"/>
      <c r="CI206" s="178"/>
      <c r="CJ206" s="178"/>
      <c r="CK206" s="180"/>
      <c r="CL206" s="180"/>
      <c r="CM206" s="180"/>
      <c r="CN206" s="116"/>
      <c r="CO206" s="218">
        <f t="shared" si="101"/>
        <v>0.02</v>
      </c>
      <c r="CP206" s="100">
        <f t="shared" si="102"/>
        <v>8.4999999999999992E-2</v>
      </c>
      <c r="CQ206" s="218">
        <f t="shared" si="103"/>
        <v>0.15</v>
      </c>
    </row>
    <row r="207" spans="1:97" s="101" customFormat="1" ht="16.5" hidden="1" thickBot="1" x14ac:dyDescent="0.3">
      <c r="A207" s="99"/>
      <c r="V207" s="103"/>
      <c r="AA207" s="104"/>
      <c r="AB207" s="104"/>
      <c r="AD207" s="104"/>
      <c r="AE207" s="105"/>
      <c r="AH207" s="106"/>
      <c r="AI207" s="106"/>
      <c r="AK207" s="104"/>
      <c r="AR207" s="104"/>
      <c r="AV207" s="104"/>
      <c r="AX207" s="104"/>
      <c r="BB207" s="104"/>
      <c r="BC207" s="104"/>
      <c r="BE207" s="104"/>
      <c r="BH207" s="120"/>
      <c r="BI207" s="203" t="s">
        <v>433</v>
      </c>
      <c r="BJ207" s="190" t="s">
        <v>615</v>
      </c>
      <c r="BK207" s="196">
        <v>477.32</v>
      </c>
      <c r="BL207" s="190" t="s">
        <v>629</v>
      </c>
      <c r="BM207" s="189">
        <v>0.02</v>
      </c>
      <c r="BN207" s="189">
        <v>0.15</v>
      </c>
      <c r="BO207" s="188" t="s">
        <v>258</v>
      </c>
      <c r="BP207" s="178"/>
      <c r="BQ207" s="102"/>
      <c r="BR207" s="102"/>
      <c r="BS207" s="178"/>
      <c r="BT207" s="178"/>
      <c r="BU207" s="178"/>
      <c r="BV207" s="180"/>
      <c r="BW207" s="178"/>
      <c r="BX207" s="196"/>
      <c r="BY207" s="190"/>
      <c r="BZ207" s="180"/>
      <c r="CA207" s="180"/>
      <c r="CB207" s="180"/>
      <c r="CC207" s="178"/>
      <c r="CD207" s="178"/>
      <c r="CE207" s="180"/>
      <c r="CF207" s="180"/>
      <c r="CG207" s="180"/>
      <c r="CH207" s="180"/>
      <c r="CI207" s="178"/>
      <c r="CJ207" s="178"/>
      <c r="CK207" s="180"/>
      <c r="CL207" s="180"/>
      <c r="CM207" s="180"/>
      <c r="CN207" s="116"/>
      <c r="CO207" s="218">
        <f t="shared" si="101"/>
        <v>0.02</v>
      </c>
      <c r="CP207" s="100">
        <f t="shared" si="102"/>
        <v>8.4999999999999992E-2</v>
      </c>
      <c r="CQ207" s="218">
        <f t="shared" si="103"/>
        <v>0.15</v>
      </c>
    </row>
    <row r="208" spans="1:97" s="101" customFormat="1" ht="16.5" hidden="1" thickBot="1" x14ac:dyDescent="0.3">
      <c r="A208" s="99"/>
      <c r="V208" s="103"/>
      <c r="AA208" s="104"/>
      <c r="AB208" s="104"/>
      <c r="AD208" s="104"/>
      <c r="AE208" s="105"/>
      <c r="AH208" s="106"/>
      <c r="AI208" s="106"/>
      <c r="AK208" s="104"/>
      <c r="AR208" s="104"/>
      <c r="AV208" s="104"/>
      <c r="AX208" s="104"/>
      <c r="BB208" s="104"/>
      <c r="BC208" s="104"/>
      <c r="BE208" s="104"/>
      <c r="BH208" s="120"/>
      <c r="BI208" s="203" t="s">
        <v>434</v>
      </c>
      <c r="BJ208" s="190" t="s">
        <v>615</v>
      </c>
      <c r="BK208" s="196">
        <v>379.87</v>
      </c>
      <c r="BL208" s="190" t="s">
        <v>629</v>
      </c>
      <c r="BM208" s="189">
        <v>0.02</v>
      </c>
      <c r="BN208" s="189">
        <v>0.15</v>
      </c>
      <c r="BO208" s="188" t="s">
        <v>258</v>
      </c>
      <c r="BP208" s="178"/>
      <c r="BQ208" s="102"/>
      <c r="BR208" s="102"/>
      <c r="BS208" s="178"/>
      <c r="BT208" s="178"/>
      <c r="BU208" s="178"/>
      <c r="BV208" s="180"/>
      <c r="BW208" s="178"/>
      <c r="BX208" s="196"/>
      <c r="BY208" s="190"/>
      <c r="BZ208" s="180"/>
      <c r="CA208" s="180"/>
      <c r="CB208" s="180"/>
      <c r="CC208" s="178"/>
      <c r="CD208" s="178"/>
      <c r="CE208" s="180"/>
      <c r="CF208" s="180"/>
      <c r="CG208" s="180"/>
      <c r="CH208" s="180"/>
      <c r="CI208" s="178"/>
      <c r="CJ208" s="178"/>
      <c r="CK208" s="180"/>
      <c r="CL208" s="180"/>
      <c r="CM208" s="180"/>
      <c r="CN208" s="116"/>
      <c r="CO208" s="218">
        <f t="shared" si="101"/>
        <v>0.02</v>
      </c>
      <c r="CP208" s="100">
        <f t="shared" si="102"/>
        <v>8.4999999999999992E-2</v>
      </c>
      <c r="CQ208" s="218">
        <f t="shared" si="103"/>
        <v>0.15</v>
      </c>
    </row>
    <row r="209" spans="1:97" s="101" customFormat="1" ht="16.5" hidden="1" thickBot="1" x14ac:dyDescent="0.3">
      <c r="A209" s="99"/>
      <c r="V209" s="103"/>
      <c r="AA209" s="104"/>
      <c r="AB209" s="104"/>
      <c r="AD209" s="104"/>
      <c r="AE209" s="105"/>
      <c r="AH209" s="106"/>
      <c r="AI209" s="106"/>
      <c r="AK209" s="104"/>
      <c r="AR209" s="104"/>
      <c r="AV209" s="104"/>
      <c r="AX209" s="104"/>
      <c r="BB209" s="104"/>
      <c r="BC209" s="104"/>
      <c r="BE209" s="104"/>
      <c r="BH209" s="120"/>
      <c r="BI209" s="203" t="s">
        <v>436</v>
      </c>
      <c r="BJ209" s="190" t="s">
        <v>615</v>
      </c>
      <c r="BK209" s="196">
        <v>382.86</v>
      </c>
      <c r="BL209" s="190" t="s">
        <v>629</v>
      </c>
      <c r="BM209" s="189">
        <v>0.02</v>
      </c>
      <c r="BN209" s="189">
        <v>0.15</v>
      </c>
      <c r="BO209" s="188" t="s">
        <v>258</v>
      </c>
      <c r="BP209" s="178"/>
      <c r="BQ209" s="102"/>
      <c r="BR209" s="102"/>
      <c r="BS209" s="178"/>
      <c r="BT209" s="178"/>
      <c r="BU209" s="178"/>
      <c r="BV209" s="180"/>
      <c r="BW209" s="178"/>
      <c r="BX209" s="196"/>
      <c r="BY209" s="190"/>
      <c r="BZ209" s="180"/>
      <c r="CA209" s="180"/>
      <c r="CB209" s="180"/>
      <c r="CC209" s="178"/>
      <c r="CD209" s="178"/>
      <c r="CE209" s="180"/>
      <c r="CF209" s="180"/>
      <c r="CG209" s="180"/>
      <c r="CH209" s="180"/>
      <c r="CI209" s="178"/>
      <c r="CJ209" s="178"/>
      <c r="CK209" s="180"/>
      <c r="CL209" s="180"/>
      <c r="CM209" s="180"/>
      <c r="CN209" s="116"/>
      <c r="CO209" s="218">
        <f t="shared" si="101"/>
        <v>0.02</v>
      </c>
      <c r="CP209" s="100">
        <f t="shared" si="102"/>
        <v>8.4999999999999992E-2</v>
      </c>
      <c r="CQ209" s="218">
        <f t="shared" si="103"/>
        <v>0.15</v>
      </c>
    </row>
    <row r="210" spans="1:97" s="101" customFormat="1" ht="16.5" hidden="1" thickBot="1" x14ac:dyDescent="0.3">
      <c r="A210" s="99"/>
      <c r="V210" s="103"/>
      <c r="AA210" s="104"/>
      <c r="AB210" s="104"/>
      <c r="AD210" s="104"/>
      <c r="AE210" s="105"/>
      <c r="AH210" s="106"/>
      <c r="AI210" s="106"/>
      <c r="AK210" s="104"/>
      <c r="AR210" s="104"/>
      <c r="AV210" s="104"/>
      <c r="AX210" s="104"/>
      <c r="BB210" s="104"/>
      <c r="BC210" s="104"/>
      <c r="BE210" s="104"/>
      <c r="BH210" s="120"/>
      <c r="BI210" s="203" t="s">
        <v>437</v>
      </c>
      <c r="BJ210" s="190" t="s">
        <v>615</v>
      </c>
      <c r="BK210" s="196">
        <v>414.92</v>
      </c>
      <c r="BL210" s="190" t="s">
        <v>629</v>
      </c>
      <c r="BM210" s="189">
        <v>0.02</v>
      </c>
      <c r="BN210" s="189">
        <v>0.15</v>
      </c>
      <c r="BO210" s="188" t="s">
        <v>258</v>
      </c>
      <c r="BP210" s="178"/>
      <c r="BQ210" s="102"/>
      <c r="BR210" s="102"/>
      <c r="BS210" s="178"/>
      <c r="BT210" s="178"/>
      <c r="BU210" s="178"/>
      <c r="BV210" s="180"/>
      <c r="BW210" s="178"/>
      <c r="BX210" s="196"/>
      <c r="BY210" s="190"/>
      <c r="BZ210" s="180"/>
      <c r="CA210" s="180"/>
      <c r="CB210" s="180"/>
      <c r="CC210" s="178"/>
      <c r="CD210" s="178"/>
      <c r="CE210" s="180"/>
      <c r="CF210" s="180"/>
      <c r="CG210" s="180"/>
      <c r="CH210" s="180"/>
      <c r="CI210" s="178"/>
      <c r="CJ210" s="178"/>
      <c r="CK210" s="180"/>
      <c r="CL210" s="180"/>
      <c r="CM210" s="180"/>
      <c r="CN210" s="116"/>
      <c r="CO210" s="218">
        <f t="shared" si="101"/>
        <v>0.02</v>
      </c>
      <c r="CP210" s="100">
        <f t="shared" si="102"/>
        <v>8.4999999999999992E-2</v>
      </c>
      <c r="CQ210" s="218">
        <f t="shared" si="103"/>
        <v>0.15</v>
      </c>
    </row>
    <row r="211" spans="1:97" s="101" customFormat="1" ht="16.5" hidden="1" thickBot="1" x14ac:dyDescent="0.3">
      <c r="A211" s="99"/>
      <c r="V211" s="103"/>
      <c r="AA211" s="104"/>
      <c r="AB211" s="104"/>
      <c r="AD211" s="104"/>
      <c r="AE211" s="105"/>
      <c r="AH211" s="106"/>
      <c r="AI211" s="106"/>
      <c r="AK211" s="104"/>
      <c r="AR211" s="104"/>
      <c r="AV211" s="104"/>
      <c r="AX211" s="104"/>
      <c r="BB211" s="104"/>
      <c r="BC211" s="104"/>
      <c r="BE211" s="104"/>
      <c r="BH211" s="120"/>
      <c r="BI211" s="203" t="s">
        <v>435</v>
      </c>
      <c r="BJ211" s="190" t="s">
        <v>615</v>
      </c>
      <c r="BK211" s="196">
        <v>475.72</v>
      </c>
      <c r="BL211" s="190" t="s">
        <v>629</v>
      </c>
      <c r="BM211" s="189">
        <v>0.02</v>
      </c>
      <c r="BN211" s="189">
        <v>0.15</v>
      </c>
      <c r="BO211" s="188" t="s">
        <v>258</v>
      </c>
      <c r="BP211" s="178"/>
      <c r="BQ211" s="102"/>
      <c r="BR211" s="102"/>
      <c r="BS211" s="178"/>
      <c r="BT211" s="178"/>
      <c r="BU211" s="178"/>
      <c r="BV211" s="180"/>
      <c r="BW211" s="178"/>
      <c r="BX211" s="196"/>
      <c r="BY211" s="190"/>
      <c r="BZ211" s="180"/>
      <c r="CA211" s="180"/>
      <c r="CB211" s="180"/>
      <c r="CC211" s="178"/>
      <c r="CD211" s="178"/>
      <c r="CE211" s="180"/>
      <c r="CF211" s="180"/>
      <c r="CG211" s="180"/>
      <c r="CH211" s="180"/>
      <c r="CI211" s="178"/>
      <c r="CJ211" s="178"/>
      <c r="CK211" s="180"/>
      <c r="CL211" s="180"/>
      <c r="CM211" s="180"/>
      <c r="CN211" s="116"/>
      <c r="CO211" s="218">
        <f t="shared" si="101"/>
        <v>0.02</v>
      </c>
      <c r="CP211" s="100">
        <f t="shared" si="102"/>
        <v>8.4999999999999992E-2</v>
      </c>
      <c r="CQ211" s="218">
        <f t="shared" si="103"/>
        <v>0.15</v>
      </c>
    </row>
    <row r="212" spans="1:97" s="101" customFormat="1" ht="16.5" hidden="1" thickBot="1" x14ac:dyDescent="0.3">
      <c r="A212" s="99"/>
      <c r="V212" s="103"/>
      <c r="AA212" s="104"/>
      <c r="AB212" s="104"/>
      <c r="AD212" s="104"/>
      <c r="AE212" s="105"/>
      <c r="AH212" s="106"/>
      <c r="AI212" s="106"/>
      <c r="AK212" s="104"/>
      <c r="AR212" s="104"/>
      <c r="AV212" s="104"/>
      <c r="AX212" s="104"/>
      <c r="BB212" s="104"/>
      <c r="BC212" s="104"/>
      <c r="BE212" s="104"/>
      <c r="BH212" s="120"/>
      <c r="BI212" s="203" t="s">
        <v>439</v>
      </c>
      <c r="BJ212" s="203" t="s">
        <v>49</v>
      </c>
      <c r="BK212" s="196">
        <v>0.21</v>
      </c>
      <c r="BL212" s="190" t="s">
        <v>629</v>
      </c>
      <c r="BM212" s="189">
        <v>0.1</v>
      </c>
      <c r="BN212" s="189">
        <v>0.6</v>
      </c>
      <c r="BO212" s="188" t="s">
        <v>258</v>
      </c>
      <c r="BP212" s="178"/>
      <c r="BQ212" s="102"/>
      <c r="BR212" s="102"/>
      <c r="BS212" s="178"/>
      <c r="BT212" s="178"/>
      <c r="BU212" s="178"/>
      <c r="BV212" s="180"/>
      <c r="BW212" s="178"/>
      <c r="BX212" s="196"/>
      <c r="BY212" s="190"/>
      <c r="BZ212" s="180"/>
      <c r="CA212" s="180"/>
      <c r="CB212" s="180"/>
      <c r="CC212" s="178"/>
      <c r="CD212" s="178"/>
      <c r="CE212" s="180"/>
      <c r="CF212" s="180"/>
      <c r="CG212" s="180"/>
      <c r="CH212" s="180"/>
      <c r="CI212" s="178"/>
      <c r="CJ212" s="178"/>
      <c r="CK212" s="180"/>
      <c r="CL212" s="180"/>
      <c r="CM212" s="180"/>
      <c r="CN212" s="116"/>
      <c r="CO212" s="218">
        <f t="shared" si="101"/>
        <v>0.1</v>
      </c>
      <c r="CP212" s="100">
        <f t="shared" si="102"/>
        <v>0.35</v>
      </c>
      <c r="CQ212" s="218">
        <f t="shared" si="103"/>
        <v>0.6</v>
      </c>
    </row>
    <row r="213" spans="1:97" s="101" customFormat="1" ht="16.5" hidden="1" thickBot="1" x14ac:dyDescent="0.3">
      <c r="A213" s="99"/>
      <c r="V213" s="103"/>
      <c r="AA213" s="104"/>
      <c r="AB213" s="104"/>
      <c r="AD213" s="104"/>
      <c r="AE213" s="105"/>
      <c r="AH213" s="106"/>
      <c r="AI213" s="106"/>
      <c r="AK213" s="104"/>
      <c r="AR213" s="104"/>
      <c r="AV213" s="104"/>
      <c r="AX213" s="104"/>
      <c r="BB213" s="104"/>
      <c r="BC213" s="104"/>
      <c r="BE213" s="104"/>
      <c r="BH213" s="120"/>
      <c r="BI213" s="203" t="s">
        <v>577</v>
      </c>
      <c r="BJ213" s="203" t="s">
        <v>49</v>
      </c>
      <c r="BK213" s="196">
        <v>0.25</v>
      </c>
      <c r="BL213" s="190" t="s">
        <v>629</v>
      </c>
      <c r="BM213" s="189">
        <v>0.1</v>
      </c>
      <c r="BN213" s="189">
        <v>0.6</v>
      </c>
      <c r="BO213" s="188" t="s">
        <v>258</v>
      </c>
      <c r="BP213" s="178"/>
      <c r="BQ213" s="102"/>
      <c r="BR213" s="102"/>
      <c r="BS213" s="178"/>
      <c r="BT213" s="178"/>
      <c r="BU213" s="178"/>
      <c r="BV213" s="180"/>
      <c r="BW213" s="178"/>
      <c r="BX213" s="196"/>
      <c r="BY213" s="190"/>
      <c r="BZ213" s="180"/>
      <c r="CA213" s="180"/>
      <c r="CB213" s="180"/>
      <c r="CC213" s="178"/>
      <c r="CD213" s="178"/>
      <c r="CE213" s="180"/>
      <c r="CF213" s="180"/>
      <c r="CG213" s="180"/>
      <c r="CH213" s="180"/>
      <c r="CI213" s="178"/>
      <c r="CJ213" s="178"/>
      <c r="CK213" s="180"/>
      <c r="CL213" s="180"/>
      <c r="CM213" s="180"/>
      <c r="CN213" s="116"/>
      <c r="CO213" s="218">
        <f t="shared" si="101"/>
        <v>0.1</v>
      </c>
      <c r="CP213" s="100">
        <f t="shared" si="102"/>
        <v>0.35</v>
      </c>
      <c r="CQ213" s="218">
        <f t="shared" si="103"/>
        <v>0.6</v>
      </c>
    </row>
    <row r="214" spans="1:97" s="101" customFormat="1" ht="16.5" hidden="1" thickBot="1" x14ac:dyDescent="0.3">
      <c r="A214" s="99"/>
      <c r="V214" s="103"/>
      <c r="AA214" s="104"/>
      <c r="AB214" s="104"/>
      <c r="AD214" s="104"/>
      <c r="AE214" s="105"/>
      <c r="AH214" s="106"/>
      <c r="AI214" s="106"/>
      <c r="AK214" s="104"/>
      <c r="AR214" s="104"/>
      <c r="AV214" s="104"/>
      <c r="AX214" s="104"/>
      <c r="BB214" s="104"/>
      <c r="BC214" s="104"/>
      <c r="BE214" s="104"/>
      <c r="BH214" s="120"/>
      <c r="BI214" s="203" t="s">
        <v>441</v>
      </c>
      <c r="BJ214" s="203" t="s">
        <v>49</v>
      </c>
      <c r="BK214" s="196">
        <v>0.1</v>
      </c>
      <c r="BL214" s="190" t="s">
        <v>629</v>
      </c>
      <c r="BM214" s="189">
        <v>0.1</v>
      </c>
      <c r="BN214" s="189">
        <v>0.6</v>
      </c>
      <c r="BO214" s="188" t="s">
        <v>258</v>
      </c>
      <c r="BP214" s="178"/>
      <c r="BQ214" s="102"/>
      <c r="BR214" s="102"/>
      <c r="BS214" s="178"/>
      <c r="BT214" s="178"/>
      <c r="BU214" s="178"/>
      <c r="BV214" s="180"/>
      <c r="BW214" s="178"/>
      <c r="BX214" s="196"/>
      <c r="BY214" s="190"/>
      <c r="BZ214" s="180"/>
      <c r="CA214" s="180"/>
      <c r="CB214" s="180"/>
      <c r="CC214" s="178"/>
      <c r="CD214" s="178"/>
      <c r="CE214" s="180"/>
      <c r="CF214" s="180"/>
      <c r="CG214" s="180"/>
      <c r="CH214" s="180"/>
      <c r="CI214" s="178"/>
      <c r="CJ214" s="178"/>
      <c r="CK214" s="180"/>
      <c r="CL214" s="180"/>
      <c r="CM214" s="180"/>
      <c r="CN214" s="116"/>
      <c r="CO214" s="218">
        <f t="shared" si="101"/>
        <v>0.1</v>
      </c>
      <c r="CP214" s="100">
        <f t="shared" si="102"/>
        <v>0.35</v>
      </c>
      <c r="CQ214" s="218">
        <f t="shared" si="103"/>
        <v>0.6</v>
      </c>
    </row>
    <row r="215" spans="1:97" s="101" customFormat="1" ht="16.5" hidden="1" thickBot="1" x14ac:dyDescent="0.3">
      <c r="A215" s="99"/>
      <c r="V215" s="103"/>
      <c r="AA215" s="104"/>
      <c r="AB215" s="104"/>
      <c r="AD215" s="104"/>
      <c r="AE215" s="105"/>
      <c r="AH215" s="106"/>
      <c r="AI215" s="106"/>
      <c r="AK215" s="104"/>
      <c r="AR215" s="104"/>
      <c r="AV215" s="104"/>
      <c r="AX215" s="104"/>
      <c r="BB215" s="104"/>
      <c r="BC215" s="104"/>
      <c r="BE215" s="104"/>
      <c r="BH215" s="120"/>
      <c r="BI215" s="203" t="s">
        <v>442</v>
      </c>
      <c r="BJ215" s="203" t="s">
        <v>49</v>
      </c>
      <c r="BK215" s="196">
        <v>0.2</v>
      </c>
      <c r="BL215" s="190" t="s">
        <v>629</v>
      </c>
      <c r="BM215" s="189">
        <v>0.1</v>
      </c>
      <c r="BN215" s="189">
        <v>0.6</v>
      </c>
      <c r="BO215" s="188" t="s">
        <v>258</v>
      </c>
      <c r="BP215" s="178"/>
      <c r="BQ215" s="102"/>
      <c r="BR215" s="102"/>
      <c r="BS215" s="178"/>
      <c r="BT215" s="178"/>
      <c r="BU215" s="178"/>
      <c r="BV215" s="180"/>
      <c r="BW215" s="178"/>
      <c r="BX215" s="196"/>
      <c r="BY215" s="190"/>
      <c r="BZ215" s="180"/>
      <c r="CA215" s="180"/>
      <c r="CB215" s="180"/>
      <c r="CC215" s="178"/>
      <c r="CD215" s="178"/>
      <c r="CE215" s="180"/>
      <c r="CF215" s="180"/>
      <c r="CG215" s="180"/>
      <c r="CH215" s="180"/>
      <c r="CI215" s="178"/>
      <c r="CJ215" s="178"/>
      <c r="CK215" s="180"/>
      <c r="CL215" s="180"/>
      <c r="CM215" s="180"/>
      <c r="CN215" s="116"/>
      <c r="CO215" s="218">
        <f t="shared" si="101"/>
        <v>0.1</v>
      </c>
      <c r="CP215" s="100">
        <f t="shared" si="102"/>
        <v>0.35</v>
      </c>
      <c r="CQ215" s="218">
        <f t="shared" si="103"/>
        <v>0.6</v>
      </c>
    </row>
    <row r="216" spans="1:97" s="101" customFormat="1" ht="16.5" hidden="1" thickBot="1" x14ac:dyDescent="0.3">
      <c r="A216" s="99"/>
      <c r="V216" s="103"/>
      <c r="AA216" s="104"/>
      <c r="AB216" s="104"/>
      <c r="AD216" s="104"/>
      <c r="AE216" s="105"/>
      <c r="AH216" s="106"/>
      <c r="AI216" s="106"/>
      <c r="AK216" s="104"/>
      <c r="AR216" s="104"/>
      <c r="AV216" s="104"/>
      <c r="AX216" s="104"/>
      <c r="BB216" s="104"/>
      <c r="BC216" s="104"/>
      <c r="BE216" s="104"/>
      <c r="BH216" s="120"/>
      <c r="BI216" s="203" t="s">
        <v>440</v>
      </c>
      <c r="BJ216" s="203" t="s">
        <v>49</v>
      </c>
      <c r="BK216" s="196">
        <v>0.03</v>
      </c>
      <c r="BL216" s="190" t="s">
        <v>629</v>
      </c>
      <c r="BM216" s="189">
        <v>0.1</v>
      </c>
      <c r="BN216" s="189">
        <v>0.6</v>
      </c>
      <c r="BO216" s="188" t="s">
        <v>258</v>
      </c>
      <c r="BP216" s="178"/>
      <c r="BQ216" s="102"/>
      <c r="BR216" s="102"/>
      <c r="BS216" s="178"/>
      <c r="BT216" s="178"/>
      <c r="BU216" s="178"/>
      <c r="BV216" s="180"/>
      <c r="BW216" s="178"/>
      <c r="BX216" s="196"/>
      <c r="BY216" s="190"/>
      <c r="BZ216" s="180"/>
      <c r="CA216" s="180"/>
      <c r="CB216" s="180"/>
      <c r="CC216" s="178"/>
      <c r="CD216" s="178"/>
      <c r="CE216" s="180"/>
      <c r="CF216" s="180"/>
      <c r="CG216" s="180"/>
      <c r="CH216" s="180"/>
      <c r="CI216" s="178"/>
      <c r="CJ216" s="178"/>
      <c r="CK216" s="180"/>
      <c r="CL216" s="180"/>
      <c r="CM216" s="180"/>
      <c r="CN216" s="116"/>
      <c r="CO216" s="218">
        <f t="shared" si="101"/>
        <v>0.1</v>
      </c>
      <c r="CP216" s="100">
        <f t="shared" si="102"/>
        <v>0.35</v>
      </c>
      <c r="CQ216" s="218">
        <f t="shared" si="103"/>
        <v>0.6</v>
      </c>
    </row>
    <row r="217" spans="1:97" s="101" customFormat="1" ht="15.75" hidden="1" thickBot="1" x14ac:dyDescent="0.3">
      <c r="A217" s="99"/>
      <c r="V217" s="103"/>
      <c r="AA217" s="104"/>
      <c r="AB217" s="104"/>
      <c r="AD217" s="104"/>
      <c r="AE217" s="105"/>
      <c r="AH217" s="106"/>
      <c r="AI217" s="106"/>
      <c r="AK217" s="104"/>
      <c r="AR217" s="104"/>
      <c r="AV217" s="104"/>
      <c r="AX217" s="104"/>
      <c r="BB217" s="104"/>
      <c r="BC217" s="104"/>
      <c r="BE217" s="104"/>
      <c r="BH217" s="120"/>
      <c r="BI217" s="203" t="s">
        <v>15</v>
      </c>
      <c r="BJ217" s="190" t="s">
        <v>636</v>
      </c>
      <c r="BK217" s="196">
        <v>3273</v>
      </c>
      <c r="BL217" s="190" t="s">
        <v>630</v>
      </c>
      <c r="BM217" s="189">
        <v>0.02</v>
      </c>
      <c r="BN217" s="189">
        <v>0.05</v>
      </c>
      <c r="BO217" s="188" t="s">
        <v>258</v>
      </c>
      <c r="BP217" s="178"/>
      <c r="BQ217" s="102"/>
      <c r="BR217" s="102"/>
      <c r="BS217" s="178"/>
      <c r="BT217" s="178"/>
      <c r="BU217" s="178"/>
      <c r="BV217" s="180"/>
      <c r="BW217" s="178"/>
      <c r="BX217" s="196"/>
      <c r="BY217" s="190"/>
      <c r="BZ217" s="180"/>
      <c r="CA217" s="180"/>
      <c r="CB217" s="180"/>
      <c r="CC217" s="178"/>
      <c r="CD217" s="178"/>
      <c r="CE217" s="180"/>
      <c r="CF217" s="180"/>
      <c r="CG217" s="180"/>
      <c r="CH217" s="180"/>
      <c r="CI217" s="178"/>
      <c r="CJ217" s="178"/>
      <c r="CK217" s="180"/>
      <c r="CL217" s="180"/>
      <c r="CM217" s="180"/>
      <c r="CN217" s="116"/>
      <c r="CO217" s="218">
        <f t="shared" si="101"/>
        <v>0.02</v>
      </c>
      <c r="CP217" s="100">
        <f t="shared" si="102"/>
        <v>3.5000000000000003E-2</v>
      </c>
      <c r="CQ217" s="218">
        <f t="shared" si="103"/>
        <v>0.05</v>
      </c>
    </row>
    <row r="218" spans="1:97" s="101" customFormat="1" ht="26.25" hidden="1" thickBot="1" x14ac:dyDescent="0.3">
      <c r="A218" s="99"/>
      <c r="V218" s="103"/>
      <c r="AA218" s="104"/>
      <c r="AB218" s="104"/>
      <c r="AD218" s="104"/>
      <c r="AE218" s="105"/>
      <c r="AH218" s="106"/>
      <c r="AI218" s="106"/>
      <c r="AK218" s="104"/>
      <c r="AR218" s="104"/>
      <c r="AV218" s="104"/>
      <c r="AX218" s="104"/>
      <c r="BB218" s="104"/>
      <c r="BC218" s="104"/>
      <c r="BE218" s="104"/>
      <c r="BH218" s="120" t="s">
        <v>53</v>
      </c>
      <c r="BI218" s="203" t="s">
        <v>344</v>
      </c>
      <c r="BJ218" s="203" t="s">
        <v>615</v>
      </c>
      <c r="BK218" s="196">
        <f>(3.13757879682717*1000)</f>
        <v>3137.5787968271702</v>
      </c>
      <c r="BL218" s="190" t="s">
        <v>629</v>
      </c>
      <c r="BM218" s="189">
        <v>0.02</v>
      </c>
      <c r="BN218" s="189">
        <v>0.5</v>
      </c>
      <c r="BO218" s="188" t="s">
        <v>382</v>
      </c>
      <c r="BP218" s="178"/>
      <c r="BQ218" s="102"/>
      <c r="BR218" s="102"/>
      <c r="BS218" s="178"/>
      <c r="BT218" s="178"/>
      <c r="BU218" s="178"/>
      <c r="BV218" s="180"/>
      <c r="BW218" s="178"/>
      <c r="BX218" s="196"/>
      <c r="BY218" s="190"/>
      <c r="BZ218" s="180"/>
      <c r="CA218" s="180"/>
      <c r="CB218" s="180"/>
      <c r="CC218" s="178"/>
      <c r="CD218" s="178"/>
      <c r="CE218" s="180"/>
      <c r="CF218" s="180"/>
      <c r="CG218" s="180"/>
      <c r="CH218" s="180"/>
      <c r="CI218" s="178"/>
      <c r="CJ218" s="178"/>
      <c r="CK218" s="180"/>
      <c r="CL218" s="180"/>
      <c r="CM218" s="180"/>
      <c r="CN218" s="116"/>
      <c r="CO218" s="218">
        <f t="shared" si="101"/>
        <v>0.02</v>
      </c>
      <c r="CP218" s="100">
        <f t="shared" si="102"/>
        <v>0.26</v>
      </c>
      <c r="CQ218" s="218">
        <f t="shared" si="103"/>
        <v>0.5</v>
      </c>
      <c r="CR218" s="101">
        <v>0.02</v>
      </c>
      <c r="CS218" s="101">
        <v>0.5</v>
      </c>
    </row>
    <row r="219" spans="1:97" s="101" customFormat="1" ht="16.5" hidden="1" thickBot="1" x14ac:dyDescent="0.3">
      <c r="A219" s="99"/>
      <c r="V219" s="103"/>
      <c r="AA219" s="104"/>
      <c r="AB219" s="104"/>
      <c r="AD219" s="104"/>
      <c r="AE219" s="105"/>
      <c r="AH219" s="106"/>
      <c r="AI219" s="106"/>
      <c r="AK219" s="104"/>
      <c r="AR219" s="104"/>
      <c r="AV219" s="104"/>
      <c r="AX219" s="104"/>
      <c r="BB219" s="104"/>
      <c r="BC219" s="104"/>
      <c r="BE219" s="104"/>
      <c r="BH219" s="120" t="s">
        <v>53</v>
      </c>
      <c r="BI219" s="203" t="s">
        <v>495</v>
      </c>
      <c r="BJ219" s="203" t="s">
        <v>615</v>
      </c>
      <c r="BK219" s="196">
        <v>9</v>
      </c>
      <c r="BL219" s="190" t="s">
        <v>631</v>
      </c>
      <c r="BM219" s="189">
        <v>0.1</v>
      </c>
      <c r="BN219" s="189">
        <v>0.4</v>
      </c>
      <c r="BO219" s="188" t="s">
        <v>258</v>
      </c>
      <c r="BP219" s="178"/>
      <c r="BQ219" s="102"/>
      <c r="BR219" s="102"/>
      <c r="BS219" s="178"/>
      <c r="BT219" s="178"/>
      <c r="BU219" s="178"/>
      <c r="BV219" s="180"/>
      <c r="BW219" s="178"/>
      <c r="BX219" s="196">
        <v>1500</v>
      </c>
      <c r="BY219" s="190" t="s">
        <v>635</v>
      </c>
      <c r="BZ219" s="180"/>
      <c r="CA219" s="180"/>
      <c r="CB219" s="180"/>
      <c r="CC219" s="178"/>
      <c r="CD219" s="178"/>
      <c r="CE219" s="180"/>
      <c r="CF219" s="180"/>
      <c r="CG219" s="180"/>
      <c r="CH219" s="180"/>
      <c r="CI219" s="178"/>
      <c r="CJ219" s="178"/>
      <c r="CK219" s="180"/>
      <c r="CL219" s="180"/>
      <c r="CM219" s="180"/>
      <c r="CN219" s="116"/>
      <c r="CO219" s="218">
        <f t="shared" si="101"/>
        <v>0.1</v>
      </c>
      <c r="CP219" s="100">
        <f t="shared" si="102"/>
        <v>0.25</v>
      </c>
      <c r="CQ219" s="218">
        <f t="shared" si="103"/>
        <v>0.4</v>
      </c>
      <c r="CR219" s="101">
        <v>0.02</v>
      </c>
      <c r="CS219" s="101">
        <v>0.5</v>
      </c>
    </row>
    <row r="220" spans="1:97" s="101" customFormat="1" ht="16.5" hidden="1" thickBot="1" x14ac:dyDescent="0.3">
      <c r="A220" s="99"/>
      <c r="V220" s="103"/>
      <c r="AA220" s="104"/>
      <c r="AB220" s="104"/>
      <c r="AD220" s="104"/>
      <c r="AE220" s="105"/>
      <c r="AH220" s="106"/>
      <c r="AI220" s="106"/>
      <c r="AK220" s="104"/>
      <c r="AR220" s="104"/>
      <c r="AV220" s="104"/>
      <c r="AX220" s="104"/>
      <c r="BB220" s="104"/>
      <c r="BC220" s="104"/>
      <c r="BE220" s="104"/>
      <c r="BH220" s="120" t="s">
        <v>97</v>
      </c>
      <c r="BI220" s="203" t="s">
        <v>517</v>
      </c>
      <c r="BJ220" s="190" t="s">
        <v>428</v>
      </c>
      <c r="BK220" s="196">
        <f>0.25*0.1</f>
        <v>2.5000000000000001E-2</v>
      </c>
      <c r="BL220" s="190" t="s">
        <v>412</v>
      </c>
      <c r="BM220" s="189">
        <v>0.05</v>
      </c>
      <c r="BN220" s="189">
        <v>1.04</v>
      </c>
      <c r="BO220" s="188" t="s">
        <v>258</v>
      </c>
      <c r="BP220" s="178"/>
      <c r="BQ220" s="102"/>
      <c r="BR220" s="102"/>
      <c r="BS220" s="178"/>
      <c r="BT220" s="178"/>
      <c r="BU220" s="178"/>
      <c r="BV220" s="180"/>
      <c r="BW220" s="178"/>
      <c r="BX220" s="196">
        <f>0.25*0.9*25</f>
        <v>5.625</v>
      </c>
      <c r="BY220" s="190" t="s">
        <v>298</v>
      </c>
      <c r="BZ220" s="180"/>
      <c r="CA220" s="180"/>
      <c r="CB220" s="180"/>
      <c r="CC220" s="178"/>
      <c r="CD220" s="178"/>
      <c r="CE220" s="180"/>
      <c r="CF220" s="180"/>
      <c r="CG220" s="180"/>
      <c r="CH220" s="180"/>
      <c r="CI220" s="178"/>
      <c r="CJ220" s="178"/>
      <c r="CK220" s="180"/>
      <c r="CL220" s="180"/>
      <c r="CM220" s="180"/>
      <c r="CN220" s="116"/>
      <c r="CO220" s="218">
        <f t="shared" si="101"/>
        <v>0.05</v>
      </c>
      <c r="CP220" s="100">
        <f t="shared" si="102"/>
        <v>0.54500000000000004</v>
      </c>
      <c r="CQ220" s="218">
        <f t="shared" si="103"/>
        <v>1.04</v>
      </c>
      <c r="CR220" s="101">
        <v>0.05</v>
      </c>
      <c r="CS220" s="101">
        <v>0.3</v>
      </c>
    </row>
    <row r="221" spans="1:97" s="101" customFormat="1" ht="16.5" hidden="1" thickBot="1" x14ac:dyDescent="0.3">
      <c r="A221" s="99"/>
      <c r="V221" s="103"/>
      <c r="AA221" s="104"/>
      <c r="AB221" s="104"/>
      <c r="AD221" s="104"/>
      <c r="AE221" s="105"/>
      <c r="AH221" s="106"/>
      <c r="AI221" s="106"/>
      <c r="AK221" s="104"/>
      <c r="AR221" s="104"/>
      <c r="AV221" s="104"/>
      <c r="AX221" s="104"/>
      <c r="BB221" s="104"/>
      <c r="BC221" s="104"/>
      <c r="BF221" s="219">
        <f t="shared" ref="BF221:BF236" si="104">BK221*25</f>
        <v>0</v>
      </c>
      <c r="BH221" s="120"/>
      <c r="BI221" s="203" t="s">
        <v>516</v>
      </c>
      <c r="BJ221" s="190" t="s">
        <v>428</v>
      </c>
      <c r="BK221" s="196">
        <f>0*0.25</f>
        <v>0</v>
      </c>
      <c r="BL221" s="190" t="s">
        <v>412</v>
      </c>
      <c r="BM221" s="189">
        <v>0.05</v>
      </c>
      <c r="BN221" s="189">
        <v>1</v>
      </c>
      <c r="BO221" s="188" t="s">
        <v>258</v>
      </c>
      <c r="BP221" s="178"/>
      <c r="BQ221" s="102"/>
      <c r="BR221" s="102"/>
      <c r="BS221" s="178"/>
      <c r="BT221" s="178"/>
      <c r="BU221" s="178"/>
      <c r="BV221" s="180"/>
      <c r="BW221" s="178"/>
      <c r="BX221" s="196"/>
      <c r="BY221" s="190"/>
      <c r="BZ221" s="180"/>
      <c r="CA221" s="180"/>
      <c r="CB221" s="180"/>
      <c r="CC221" s="178"/>
      <c r="CD221" s="178"/>
      <c r="CE221" s="180"/>
      <c r="CF221" s="180"/>
      <c r="CG221" s="180"/>
      <c r="CH221" s="180"/>
      <c r="CI221" s="178"/>
      <c r="CJ221" s="178"/>
      <c r="CK221" s="180"/>
      <c r="CL221" s="180"/>
      <c r="CM221" s="180"/>
      <c r="CN221" s="116"/>
      <c r="CO221" s="218">
        <f t="shared" si="101"/>
        <v>0.05</v>
      </c>
      <c r="CP221" s="100">
        <f t="shared" si="102"/>
        <v>0.52500000000000002</v>
      </c>
      <c r="CQ221" s="218">
        <f t="shared" si="103"/>
        <v>1</v>
      </c>
    </row>
    <row r="222" spans="1:97" s="101" customFormat="1" ht="16.5" hidden="1" thickBot="1" x14ac:dyDescent="0.3">
      <c r="A222" s="99"/>
      <c r="V222" s="103"/>
      <c r="AA222" s="104"/>
      <c r="AB222" s="104"/>
      <c r="AD222" s="104"/>
      <c r="AE222" s="105"/>
      <c r="AH222" s="106"/>
      <c r="AI222" s="106"/>
      <c r="AK222" s="104"/>
      <c r="AR222" s="104"/>
      <c r="AV222" s="104"/>
      <c r="AX222" s="104"/>
      <c r="BB222" s="104"/>
      <c r="BC222" s="104"/>
      <c r="BF222" s="219">
        <f t="shared" si="104"/>
        <v>1.875</v>
      </c>
      <c r="BH222" s="120"/>
      <c r="BI222" s="203" t="s">
        <v>518</v>
      </c>
      <c r="BJ222" s="190" t="s">
        <v>428</v>
      </c>
      <c r="BK222" s="196">
        <f>0.25*0.3</f>
        <v>7.4999999999999997E-2</v>
      </c>
      <c r="BL222" s="190" t="s">
        <v>412</v>
      </c>
      <c r="BM222" s="189">
        <f>0.2/0.3</f>
        <v>0.66666666666666674</v>
      </c>
      <c r="BN222" s="189">
        <f>0.4/0.3</f>
        <v>1.3333333333333335</v>
      </c>
      <c r="BO222" s="188" t="s">
        <v>258</v>
      </c>
      <c r="BP222" s="178"/>
      <c r="BQ222" s="102"/>
      <c r="BR222" s="102"/>
      <c r="BS222" s="178"/>
      <c r="BT222" s="178"/>
      <c r="BU222" s="178"/>
      <c r="BV222" s="180"/>
      <c r="BW222" s="178"/>
      <c r="BX222" s="196"/>
      <c r="BY222" s="190"/>
      <c r="BZ222" s="180"/>
      <c r="CA222" s="180"/>
      <c r="CB222" s="180"/>
      <c r="CC222" s="178"/>
      <c r="CD222" s="178"/>
      <c r="CE222" s="180"/>
      <c r="CF222" s="180"/>
      <c r="CG222" s="180"/>
      <c r="CH222" s="180"/>
      <c r="CI222" s="178"/>
      <c r="CJ222" s="178"/>
      <c r="CK222" s="180"/>
      <c r="CL222" s="180"/>
      <c r="CM222" s="180"/>
      <c r="CN222" s="116"/>
      <c r="CO222" s="218">
        <f t="shared" si="101"/>
        <v>0.66666666666666674</v>
      </c>
      <c r="CP222" s="100">
        <f t="shared" si="102"/>
        <v>1</v>
      </c>
      <c r="CQ222" s="218">
        <f t="shared" si="103"/>
        <v>1.3333333333333335</v>
      </c>
    </row>
    <row r="223" spans="1:97" s="101" customFormat="1" ht="16.5" hidden="1" thickBot="1" x14ac:dyDescent="0.3">
      <c r="A223" s="99"/>
      <c r="V223" s="103"/>
      <c r="AA223" s="104"/>
      <c r="AB223" s="104"/>
      <c r="AD223" s="104"/>
      <c r="AE223" s="105"/>
      <c r="AH223" s="106"/>
      <c r="AI223" s="106"/>
      <c r="AK223" s="104"/>
      <c r="AR223" s="104"/>
      <c r="AV223" s="104"/>
      <c r="AX223" s="104"/>
      <c r="BB223" s="104"/>
      <c r="BC223" s="104"/>
      <c r="BF223" s="219">
        <f t="shared" si="104"/>
        <v>5</v>
      </c>
      <c r="BG223" s="100">
        <f>0.4*21</f>
        <v>8.4</v>
      </c>
      <c r="BH223" s="120"/>
      <c r="BI223" s="203" t="s">
        <v>519</v>
      </c>
      <c r="BJ223" s="190" t="s">
        <v>428</v>
      </c>
      <c r="BK223" s="196">
        <f>0.25*0.8</f>
        <v>0.2</v>
      </c>
      <c r="BL223" s="190" t="s">
        <v>412</v>
      </c>
      <c r="BM223" s="189">
        <f>0.8/0.8</f>
        <v>1</v>
      </c>
      <c r="BN223" s="189">
        <f>1/0.8</f>
        <v>1.25</v>
      </c>
      <c r="BO223" s="188" t="s">
        <v>258</v>
      </c>
      <c r="BP223" s="178"/>
      <c r="BQ223" s="102"/>
      <c r="BR223" s="102"/>
      <c r="BS223" s="178"/>
      <c r="BT223" s="178"/>
      <c r="BU223" s="178"/>
      <c r="BV223" s="180"/>
      <c r="BW223" s="178"/>
      <c r="BX223" s="196"/>
      <c r="BY223" s="190"/>
      <c r="BZ223" s="180"/>
      <c r="CA223" s="180"/>
      <c r="CB223" s="180"/>
      <c r="CC223" s="178"/>
      <c r="CD223" s="178"/>
      <c r="CE223" s="180"/>
      <c r="CF223" s="180"/>
      <c r="CG223" s="180"/>
      <c r="CH223" s="180"/>
      <c r="CI223" s="178"/>
      <c r="CJ223" s="178"/>
      <c r="CK223" s="180"/>
      <c r="CL223" s="180"/>
      <c r="CM223" s="180"/>
      <c r="CN223" s="116"/>
      <c r="CO223" s="218">
        <f t="shared" si="101"/>
        <v>1</v>
      </c>
      <c r="CP223" s="100">
        <f t="shared" si="102"/>
        <v>1.125</v>
      </c>
      <c r="CQ223" s="218">
        <f t="shared" si="103"/>
        <v>1.25</v>
      </c>
    </row>
    <row r="224" spans="1:97" s="101" customFormat="1" ht="16.5" hidden="1" thickBot="1" x14ac:dyDescent="0.3">
      <c r="A224" s="99"/>
      <c r="V224" s="103"/>
      <c r="AA224" s="104"/>
      <c r="AB224" s="104"/>
      <c r="AD224" s="104"/>
      <c r="AE224" s="105"/>
      <c r="AH224" s="106"/>
      <c r="AI224" s="106"/>
      <c r="AK224" s="104"/>
      <c r="AR224" s="104"/>
      <c r="AV224" s="104"/>
      <c r="AX224" s="104"/>
      <c r="BB224" s="104"/>
      <c r="BC224" s="104"/>
      <c r="BF224" s="219">
        <f t="shared" si="104"/>
        <v>5</v>
      </c>
      <c r="BH224" s="120"/>
      <c r="BI224" s="203" t="s">
        <v>520</v>
      </c>
      <c r="BJ224" s="190" t="s">
        <v>428</v>
      </c>
      <c r="BK224" s="196">
        <f>0.25*0.8</f>
        <v>0.2</v>
      </c>
      <c r="BL224" s="190" t="s">
        <v>412</v>
      </c>
      <c r="BM224" s="189">
        <f>0.8/0.8</f>
        <v>1</v>
      </c>
      <c r="BN224" s="189">
        <f>1/0.8</f>
        <v>1.25</v>
      </c>
      <c r="BO224" s="188" t="s">
        <v>258</v>
      </c>
      <c r="BP224" s="178"/>
      <c r="BQ224" s="102"/>
      <c r="BR224" s="102"/>
      <c r="BS224" s="178"/>
      <c r="BT224" s="178"/>
      <c r="BU224" s="178"/>
      <c r="BV224" s="180"/>
      <c r="BW224" s="178"/>
      <c r="BX224" s="196"/>
      <c r="BY224" s="190"/>
      <c r="BZ224" s="180"/>
      <c r="CA224" s="180"/>
      <c r="CB224" s="180"/>
      <c r="CC224" s="178"/>
      <c r="CD224" s="178"/>
      <c r="CE224" s="180"/>
      <c r="CF224" s="180"/>
      <c r="CG224" s="180"/>
      <c r="CH224" s="180"/>
      <c r="CI224" s="178"/>
      <c r="CJ224" s="178"/>
      <c r="CK224" s="180"/>
      <c r="CL224" s="180"/>
      <c r="CM224" s="180"/>
      <c r="CN224" s="116"/>
      <c r="CO224" s="218">
        <f t="shared" si="101"/>
        <v>1</v>
      </c>
      <c r="CP224" s="100">
        <f t="shared" si="102"/>
        <v>1.125</v>
      </c>
      <c r="CQ224" s="218">
        <f t="shared" si="103"/>
        <v>1.25</v>
      </c>
    </row>
    <row r="225" spans="1:97" s="101" customFormat="1" ht="16.5" hidden="1" thickBot="1" x14ac:dyDescent="0.3">
      <c r="A225" s="99"/>
      <c r="V225" s="103"/>
      <c r="AA225" s="104"/>
      <c r="AB225" s="104"/>
      <c r="AD225" s="104"/>
      <c r="AE225" s="105"/>
      <c r="AH225" s="106"/>
      <c r="AI225" s="106"/>
      <c r="AK225" s="104"/>
      <c r="AR225" s="104"/>
      <c r="AU225" s="233"/>
      <c r="AV225" s="104"/>
      <c r="AX225" s="104"/>
      <c r="BB225" s="104"/>
      <c r="BC225" s="104"/>
      <c r="BF225" s="219">
        <f t="shared" si="104"/>
        <v>1.25</v>
      </c>
      <c r="BH225" s="120"/>
      <c r="BI225" s="203" t="s">
        <v>521</v>
      </c>
      <c r="BJ225" s="190" t="s">
        <v>428</v>
      </c>
      <c r="BK225" s="196">
        <f>0.25*0.2</f>
        <v>0.05</v>
      </c>
      <c r="BL225" s="190" t="s">
        <v>412</v>
      </c>
      <c r="BM225" s="189">
        <f>0/0.2</f>
        <v>0</v>
      </c>
      <c r="BN225" s="189">
        <f>0.3/0.2</f>
        <v>1.4999999999999998</v>
      </c>
      <c r="BO225" s="188" t="s">
        <v>258</v>
      </c>
      <c r="BP225" s="178"/>
      <c r="BQ225" s="102"/>
      <c r="BR225" s="102"/>
      <c r="BS225" s="178"/>
      <c r="BT225" s="178"/>
      <c r="BU225" s="178"/>
      <c r="BV225" s="180"/>
      <c r="BW225" s="178"/>
      <c r="BX225" s="196"/>
      <c r="BY225" s="190"/>
      <c r="BZ225" s="180"/>
      <c r="CA225" s="180"/>
      <c r="CB225" s="180"/>
      <c r="CC225" s="178"/>
      <c r="CD225" s="178"/>
      <c r="CE225" s="180"/>
      <c r="CF225" s="180"/>
      <c r="CG225" s="180"/>
      <c r="CH225" s="180"/>
      <c r="CI225" s="178"/>
      <c r="CJ225" s="178"/>
      <c r="CK225" s="180"/>
      <c r="CL225" s="180"/>
      <c r="CM225" s="180"/>
      <c r="CN225" s="116"/>
      <c r="CO225" s="218">
        <f t="shared" si="101"/>
        <v>0</v>
      </c>
      <c r="CP225" s="100">
        <f t="shared" si="102"/>
        <v>0.74999999999999989</v>
      </c>
      <c r="CQ225" s="218">
        <f t="shared" si="103"/>
        <v>1.4999999999999998</v>
      </c>
    </row>
    <row r="226" spans="1:97" s="101" customFormat="1" ht="16.5" hidden="1" thickBot="1" x14ac:dyDescent="0.3">
      <c r="A226" s="99"/>
      <c r="V226" s="103"/>
      <c r="AA226" s="104"/>
      <c r="AB226" s="104"/>
      <c r="AD226" s="104"/>
      <c r="AE226" s="105"/>
      <c r="AH226" s="106"/>
      <c r="AI226" s="106"/>
      <c r="AK226" s="104"/>
      <c r="AR226" s="104"/>
      <c r="AV226" s="104"/>
      <c r="AX226" s="104"/>
      <c r="BB226" s="104"/>
      <c r="BC226" s="104"/>
      <c r="BF226" s="219">
        <f t="shared" si="104"/>
        <v>5</v>
      </c>
      <c r="BH226" s="120"/>
      <c r="BI226" s="203" t="s">
        <v>522</v>
      </c>
      <c r="BJ226" s="190" t="s">
        <v>428</v>
      </c>
      <c r="BK226" s="196">
        <f>0.25*0.8</f>
        <v>0.2</v>
      </c>
      <c r="BL226" s="190" t="s">
        <v>412</v>
      </c>
      <c r="BM226" s="189">
        <f>0.8/0.8</f>
        <v>1</v>
      </c>
      <c r="BN226" s="189">
        <f>1/0.8</f>
        <v>1.25</v>
      </c>
      <c r="BO226" s="188" t="s">
        <v>258</v>
      </c>
      <c r="BP226" s="178"/>
      <c r="BQ226" s="102"/>
      <c r="BR226" s="102"/>
      <c r="BS226" s="178"/>
      <c r="BT226" s="178"/>
      <c r="BU226" s="178"/>
      <c r="BV226" s="180"/>
      <c r="BW226" s="178"/>
      <c r="BX226" s="196"/>
      <c r="BY226" s="190"/>
      <c r="BZ226" s="180"/>
      <c r="CA226" s="180"/>
      <c r="CB226" s="180"/>
      <c r="CC226" s="178"/>
      <c r="CD226" s="178"/>
      <c r="CE226" s="180"/>
      <c r="CF226" s="180"/>
      <c r="CG226" s="180"/>
      <c r="CH226" s="180"/>
      <c r="CI226" s="178"/>
      <c r="CJ226" s="178"/>
      <c r="CK226" s="180"/>
      <c r="CL226" s="180"/>
      <c r="CM226" s="180"/>
      <c r="CN226" s="116"/>
      <c r="CO226" s="218">
        <f t="shared" si="101"/>
        <v>1</v>
      </c>
      <c r="CP226" s="100">
        <f t="shared" si="102"/>
        <v>1.125</v>
      </c>
      <c r="CQ226" s="218">
        <f t="shared" si="103"/>
        <v>1.25</v>
      </c>
    </row>
    <row r="227" spans="1:97" s="101" customFormat="1" ht="16.5" hidden="1" thickBot="1" x14ac:dyDescent="0.3">
      <c r="A227" s="99"/>
      <c r="V227" s="103"/>
      <c r="AA227" s="104"/>
      <c r="AB227" s="104"/>
      <c r="AD227" s="104"/>
      <c r="AE227" s="105"/>
      <c r="AH227" s="106"/>
      <c r="AI227" s="106"/>
      <c r="AK227" s="104"/>
      <c r="AR227" s="104"/>
      <c r="AV227" s="104"/>
      <c r="AX227" s="104"/>
      <c r="BB227" s="104"/>
      <c r="BC227" s="104"/>
      <c r="BF227" s="219">
        <f t="shared" si="104"/>
        <v>1.5</v>
      </c>
      <c r="BH227" s="120"/>
      <c r="BI227" s="203" t="s">
        <v>578</v>
      </c>
      <c r="BJ227" s="190" t="s">
        <v>569</v>
      </c>
      <c r="BK227" s="196">
        <v>0.06</v>
      </c>
      <c r="BL227" s="190" t="s">
        <v>568</v>
      </c>
      <c r="BM227" s="189">
        <v>0.57999999999999996</v>
      </c>
      <c r="BN227" s="189">
        <v>1.04</v>
      </c>
      <c r="BO227" s="188" t="s">
        <v>258</v>
      </c>
      <c r="BP227" s="178"/>
      <c r="BQ227" s="102"/>
      <c r="BR227" s="102"/>
      <c r="BS227" s="178"/>
      <c r="BT227" s="178"/>
      <c r="BU227" s="178"/>
      <c r="BV227" s="180"/>
      <c r="BW227" s="178"/>
      <c r="BX227" s="196"/>
      <c r="BY227" s="190"/>
      <c r="BZ227" s="180"/>
      <c r="CA227" s="180"/>
      <c r="CB227" s="180"/>
      <c r="CC227" s="178"/>
      <c r="CD227" s="178"/>
      <c r="CE227" s="180"/>
      <c r="CF227" s="180"/>
      <c r="CG227" s="180"/>
      <c r="CH227" s="180"/>
      <c r="CI227" s="178"/>
      <c r="CJ227" s="178"/>
      <c r="CK227" s="180"/>
      <c r="CL227" s="180"/>
      <c r="CM227" s="180"/>
      <c r="CN227" s="116"/>
      <c r="CO227" s="218">
        <f t="shared" si="101"/>
        <v>0.57999999999999996</v>
      </c>
      <c r="CP227" s="100">
        <f t="shared" si="102"/>
        <v>0.81</v>
      </c>
      <c r="CQ227" s="218">
        <f t="shared" si="103"/>
        <v>1.04</v>
      </c>
    </row>
    <row r="228" spans="1:97" s="101" customFormat="1" ht="16.5" hidden="1" thickBot="1" x14ac:dyDescent="0.3">
      <c r="A228" s="99"/>
      <c r="V228" s="103"/>
      <c r="AA228" s="104"/>
      <c r="AB228" s="104"/>
      <c r="AD228" s="104"/>
      <c r="AE228" s="105"/>
      <c r="AH228" s="106"/>
      <c r="AI228" s="106"/>
      <c r="AK228" s="104"/>
      <c r="AR228" s="104"/>
      <c r="AV228" s="104"/>
      <c r="AX228" s="104"/>
      <c r="BB228" s="104"/>
      <c r="BC228" s="104"/>
      <c r="BF228" s="219">
        <f t="shared" si="104"/>
        <v>7.5</v>
      </c>
      <c r="BH228" s="120"/>
      <c r="BI228" s="203" t="s">
        <v>579</v>
      </c>
      <c r="BJ228" s="190" t="s">
        <v>569</v>
      </c>
      <c r="BK228" s="196">
        <v>0.3</v>
      </c>
      <c r="BL228" s="190" t="s">
        <v>568</v>
      </c>
      <c r="BM228" s="189">
        <v>0.57999999999999996</v>
      </c>
      <c r="BN228" s="189">
        <f>0.4/0.3</f>
        <v>1.3333333333333335</v>
      </c>
      <c r="BO228" s="188" t="s">
        <v>258</v>
      </c>
      <c r="BP228" s="178"/>
      <c r="BQ228" s="102"/>
      <c r="BR228" s="102"/>
      <c r="BS228" s="178"/>
      <c r="BT228" s="178"/>
      <c r="BU228" s="178"/>
      <c r="BV228" s="180"/>
      <c r="BW228" s="178"/>
      <c r="BX228" s="196"/>
      <c r="BY228" s="190"/>
      <c r="BZ228" s="180"/>
      <c r="CA228" s="180"/>
      <c r="CB228" s="180"/>
      <c r="CC228" s="178"/>
      <c r="CD228" s="178"/>
      <c r="CE228" s="180"/>
      <c r="CF228" s="180"/>
      <c r="CG228" s="180"/>
      <c r="CH228" s="180"/>
      <c r="CI228" s="178"/>
      <c r="CJ228" s="178"/>
      <c r="CK228" s="180"/>
      <c r="CL228" s="180"/>
      <c r="CM228" s="180"/>
      <c r="CN228" s="116"/>
      <c r="CO228" s="218">
        <f t="shared" si="101"/>
        <v>0.57999999999999996</v>
      </c>
      <c r="CP228" s="100">
        <f t="shared" si="102"/>
        <v>0.95666666666666678</v>
      </c>
      <c r="CQ228" s="218">
        <f t="shared" si="103"/>
        <v>1.3333333333333335</v>
      </c>
    </row>
    <row r="229" spans="1:97" s="101" customFormat="1" ht="26.25" hidden="1" thickBot="1" x14ac:dyDescent="0.3">
      <c r="A229" s="99"/>
      <c r="V229" s="103"/>
      <c r="AA229" s="104"/>
      <c r="AB229" s="104"/>
      <c r="AD229" s="104"/>
      <c r="AE229" s="105"/>
      <c r="AH229" s="106"/>
      <c r="AI229" s="106"/>
      <c r="AK229" s="104"/>
      <c r="AR229" s="104"/>
      <c r="AV229" s="104"/>
      <c r="AX229" s="104"/>
      <c r="BB229" s="104"/>
      <c r="BC229" s="104"/>
      <c r="BF229" s="219">
        <f t="shared" si="104"/>
        <v>0</v>
      </c>
      <c r="BG229" s="100">
        <f>0.4*21</f>
        <v>8.4</v>
      </c>
      <c r="BH229" s="120"/>
      <c r="BI229" s="203" t="s">
        <v>580</v>
      </c>
      <c r="BJ229" s="190" t="s">
        <v>569</v>
      </c>
      <c r="BK229" s="196">
        <v>0</v>
      </c>
      <c r="BL229" s="190" t="s">
        <v>568</v>
      </c>
      <c r="BM229" s="189">
        <f>0.8/0.8</f>
        <v>1</v>
      </c>
      <c r="BN229" s="189">
        <f>1/0.8</f>
        <v>1.25</v>
      </c>
      <c r="BO229" s="188" t="s">
        <v>258</v>
      </c>
      <c r="BP229" s="178"/>
      <c r="BQ229" s="102"/>
      <c r="BR229" s="102"/>
      <c r="BS229" s="178"/>
      <c r="BT229" s="178"/>
      <c r="BU229" s="178"/>
      <c r="BV229" s="180"/>
      <c r="BW229" s="178"/>
      <c r="BX229" s="196"/>
      <c r="BY229" s="190"/>
      <c r="BZ229" s="180"/>
      <c r="CA229" s="180"/>
      <c r="CB229" s="180"/>
      <c r="CC229" s="178"/>
      <c r="CD229" s="178"/>
      <c r="CE229" s="180"/>
      <c r="CF229" s="180"/>
      <c r="CG229" s="180"/>
      <c r="CH229" s="180"/>
      <c r="CI229" s="178"/>
      <c r="CJ229" s="178"/>
      <c r="CK229" s="180"/>
      <c r="CL229" s="180"/>
      <c r="CM229" s="180"/>
      <c r="CN229" s="116"/>
      <c r="CO229" s="218">
        <f t="shared" si="101"/>
        <v>1</v>
      </c>
      <c r="CP229" s="100">
        <f t="shared" si="102"/>
        <v>1.125</v>
      </c>
      <c r="CQ229" s="218">
        <f t="shared" si="103"/>
        <v>1.25</v>
      </c>
    </row>
    <row r="230" spans="1:97" s="101" customFormat="1" ht="16.5" hidden="1" thickBot="1" x14ac:dyDescent="0.3">
      <c r="A230" s="99"/>
      <c r="V230" s="103"/>
      <c r="AA230" s="104"/>
      <c r="AB230" s="104"/>
      <c r="AD230" s="104"/>
      <c r="AE230" s="105"/>
      <c r="AH230" s="106"/>
      <c r="AI230" s="106"/>
      <c r="AK230" s="104"/>
      <c r="AR230" s="104"/>
      <c r="AV230" s="104"/>
      <c r="AX230" s="104"/>
      <c r="BB230" s="104"/>
      <c r="BC230" s="104"/>
      <c r="BF230" s="219">
        <f t="shared" si="104"/>
        <v>0</v>
      </c>
      <c r="BH230" s="120"/>
      <c r="BI230" s="203" t="s">
        <v>581</v>
      </c>
      <c r="BJ230" s="190" t="s">
        <v>569</v>
      </c>
      <c r="BK230" s="196">
        <v>0</v>
      </c>
      <c r="BL230" s="190" t="s">
        <v>568</v>
      </c>
      <c r="BM230" s="189">
        <f>0.8/0.8</f>
        <v>1</v>
      </c>
      <c r="BN230" s="189">
        <f>1/0.8</f>
        <v>1.25</v>
      </c>
      <c r="BO230" s="188" t="s">
        <v>258</v>
      </c>
      <c r="BP230" s="178"/>
      <c r="BQ230" s="102"/>
      <c r="BR230" s="102"/>
      <c r="BS230" s="178"/>
      <c r="BT230" s="178"/>
      <c r="BU230" s="178"/>
      <c r="BV230" s="180"/>
      <c r="BW230" s="178"/>
      <c r="BX230" s="196"/>
      <c r="BY230" s="190"/>
      <c r="BZ230" s="180"/>
      <c r="CA230" s="180"/>
      <c r="CB230" s="180"/>
      <c r="CC230" s="178"/>
      <c r="CD230" s="178"/>
      <c r="CE230" s="180"/>
      <c r="CF230" s="180"/>
      <c r="CG230" s="180"/>
      <c r="CH230" s="180"/>
      <c r="CI230" s="178"/>
      <c r="CJ230" s="178"/>
      <c r="CK230" s="180"/>
      <c r="CL230" s="180"/>
      <c r="CM230" s="180"/>
      <c r="CN230" s="116"/>
      <c r="CO230" s="218">
        <f t="shared" si="101"/>
        <v>1</v>
      </c>
      <c r="CP230" s="100">
        <f t="shared" si="102"/>
        <v>1.125</v>
      </c>
      <c r="CQ230" s="218">
        <f t="shared" si="103"/>
        <v>1.25</v>
      </c>
    </row>
    <row r="231" spans="1:97" s="101" customFormat="1" ht="16.5" hidden="1" thickBot="1" x14ac:dyDescent="0.3">
      <c r="A231" s="99"/>
      <c r="V231" s="103"/>
      <c r="AA231" s="104"/>
      <c r="AB231" s="104"/>
      <c r="AD231" s="104"/>
      <c r="AE231" s="105"/>
      <c r="AH231" s="106"/>
      <c r="AI231" s="106"/>
      <c r="AK231" s="104"/>
      <c r="AR231" s="104"/>
      <c r="AU231" s="233"/>
      <c r="AV231" s="104"/>
      <c r="AX231" s="104"/>
      <c r="BB231" s="104"/>
      <c r="BC231" s="104"/>
      <c r="BF231" s="219">
        <f t="shared" si="104"/>
        <v>4.5</v>
      </c>
      <c r="BH231" s="120"/>
      <c r="BI231" s="203" t="s">
        <v>582</v>
      </c>
      <c r="BJ231" s="190" t="s">
        <v>569</v>
      </c>
      <c r="BK231" s="196">
        <v>0.18</v>
      </c>
      <c r="BL231" s="190" t="s">
        <v>568</v>
      </c>
      <c r="BM231" s="189">
        <v>0.42</v>
      </c>
      <c r="BN231" s="189">
        <f>0.3/0.2</f>
        <v>1.4999999999999998</v>
      </c>
      <c r="BO231" s="188" t="s">
        <v>258</v>
      </c>
      <c r="BP231" s="178"/>
      <c r="BQ231" s="102"/>
      <c r="BR231" s="102"/>
      <c r="BS231" s="178"/>
      <c r="BT231" s="178"/>
      <c r="BU231" s="178"/>
      <c r="BV231" s="180"/>
      <c r="BW231" s="178"/>
      <c r="BX231" s="196"/>
      <c r="BY231" s="190"/>
      <c r="BZ231" s="180"/>
      <c r="CA231" s="180"/>
      <c r="CB231" s="180"/>
      <c r="CC231" s="178"/>
      <c r="CD231" s="178"/>
      <c r="CE231" s="180"/>
      <c r="CF231" s="180"/>
      <c r="CG231" s="180"/>
      <c r="CH231" s="180"/>
      <c r="CI231" s="178"/>
      <c r="CJ231" s="178"/>
      <c r="CK231" s="180"/>
      <c r="CL231" s="180"/>
      <c r="CM231" s="180"/>
      <c r="CN231" s="116"/>
      <c r="CO231" s="218">
        <f t="shared" si="101"/>
        <v>0.42</v>
      </c>
      <c r="CP231" s="100">
        <f t="shared" si="102"/>
        <v>0.95999999999999985</v>
      </c>
      <c r="CQ231" s="218">
        <f t="shared" si="103"/>
        <v>1.4999999999999998</v>
      </c>
    </row>
    <row r="232" spans="1:97" s="101" customFormat="1" ht="16.5" hidden="1" thickBot="1" x14ac:dyDescent="0.3">
      <c r="A232" s="99"/>
      <c r="V232" s="103"/>
      <c r="AA232" s="104"/>
      <c r="AB232" s="104"/>
      <c r="AD232" s="104"/>
      <c r="AE232" s="105"/>
      <c r="AH232" s="106"/>
      <c r="AI232" s="106"/>
      <c r="AK232" s="104"/>
      <c r="AR232" s="104"/>
      <c r="AV232" s="104"/>
      <c r="AX232" s="104"/>
      <c r="BB232" s="104"/>
      <c r="BC232" s="104"/>
      <c r="BF232" s="219">
        <f t="shared" si="104"/>
        <v>12</v>
      </c>
      <c r="BH232" s="120"/>
      <c r="BI232" s="203" t="s">
        <v>583</v>
      </c>
      <c r="BJ232" s="190" t="s">
        <v>569</v>
      </c>
      <c r="BK232" s="196">
        <v>0.48</v>
      </c>
      <c r="BL232" s="190" t="s">
        <v>568</v>
      </c>
      <c r="BM232" s="189">
        <v>0.32</v>
      </c>
      <c r="BN232" s="189">
        <f>0.4/0.3</f>
        <v>1.3333333333333335</v>
      </c>
      <c r="BO232" s="188" t="s">
        <v>258</v>
      </c>
      <c r="BP232" s="178"/>
      <c r="BQ232" s="102"/>
      <c r="BR232" s="102"/>
      <c r="BS232" s="178"/>
      <c r="BT232" s="178"/>
      <c r="BU232" s="178"/>
      <c r="BV232" s="180"/>
      <c r="BW232" s="178"/>
      <c r="BX232" s="196"/>
      <c r="BY232" s="190"/>
      <c r="BZ232" s="180"/>
      <c r="CA232" s="180"/>
      <c r="CB232" s="180"/>
      <c r="CC232" s="178"/>
      <c r="CD232" s="178"/>
      <c r="CE232" s="180"/>
      <c r="CF232" s="180"/>
      <c r="CG232" s="180"/>
      <c r="CH232" s="180"/>
      <c r="CI232" s="178"/>
      <c r="CJ232" s="178"/>
      <c r="CK232" s="180"/>
      <c r="CL232" s="180"/>
      <c r="CM232" s="180"/>
      <c r="CN232" s="116"/>
      <c r="CO232" s="218">
        <f t="shared" si="101"/>
        <v>0.32</v>
      </c>
      <c r="CP232" s="100">
        <f t="shared" si="102"/>
        <v>0.82666666666666677</v>
      </c>
      <c r="CQ232" s="218">
        <f t="shared" si="103"/>
        <v>1.3333333333333335</v>
      </c>
    </row>
    <row r="233" spans="1:97" s="101" customFormat="1" ht="16.5" hidden="1" thickBot="1" x14ac:dyDescent="0.3">
      <c r="A233" s="99"/>
      <c r="V233" s="103"/>
      <c r="AA233" s="104"/>
      <c r="AB233" s="104"/>
      <c r="AD233" s="104"/>
      <c r="AE233" s="105"/>
      <c r="AH233" s="106"/>
      <c r="AI233" s="106"/>
      <c r="AK233" s="104"/>
      <c r="AR233" s="104"/>
      <c r="AV233" s="104"/>
      <c r="AX233" s="104"/>
      <c r="BB233" s="104"/>
      <c r="BC233" s="104"/>
      <c r="BF233" s="219">
        <f t="shared" si="104"/>
        <v>12</v>
      </c>
      <c r="BG233" s="100">
        <f>0.4*21</f>
        <v>8.4</v>
      </c>
      <c r="BH233" s="120"/>
      <c r="BI233" s="203" t="s">
        <v>584</v>
      </c>
      <c r="BJ233" s="190" t="s">
        <v>569</v>
      </c>
      <c r="BK233" s="196">
        <v>0.48</v>
      </c>
      <c r="BL233" s="190" t="s">
        <v>568</v>
      </c>
      <c r="BM233" s="189">
        <v>0.32</v>
      </c>
      <c r="BN233" s="189">
        <f>1/0.8</f>
        <v>1.25</v>
      </c>
      <c r="BO233" s="188" t="s">
        <v>258</v>
      </c>
      <c r="BP233" s="178"/>
      <c r="BQ233" s="102"/>
      <c r="BR233" s="102"/>
      <c r="BS233" s="178"/>
      <c r="BT233" s="178"/>
      <c r="BU233" s="178"/>
      <c r="BV233" s="180"/>
      <c r="BW233" s="178"/>
      <c r="BX233" s="196"/>
      <c r="BY233" s="190"/>
      <c r="BZ233" s="180"/>
      <c r="CA233" s="180"/>
      <c r="CB233" s="180"/>
      <c r="CC233" s="178"/>
      <c r="CD233" s="178"/>
      <c r="CE233" s="180"/>
      <c r="CF233" s="180"/>
      <c r="CG233" s="180"/>
      <c r="CH233" s="180"/>
      <c r="CI233" s="178"/>
      <c r="CJ233" s="178"/>
      <c r="CK233" s="180"/>
      <c r="CL233" s="180"/>
      <c r="CM233" s="180"/>
      <c r="CN233" s="116"/>
      <c r="CO233" s="218">
        <f t="shared" si="101"/>
        <v>0.32</v>
      </c>
      <c r="CP233" s="100">
        <f t="shared" si="102"/>
        <v>0.78500000000000003</v>
      </c>
      <c r="CQ233" s="218">
        <f t="shared" si="103"/>
        <v>1.25</v>
      </c>
    </row>
    <row r="234" spans="1:97" s="101" customFormat="1" ht="16.5" hidden="1" thickBot="1" x14ac:dyDescent="0.3">
      <c r="A234" s="99"/>
      <c r="V234" s="103"/>
      <c r="AA234" s="104"/>
      <c r="AB234" s="104"/>
      <c r="AD234" s="104"/>
      <c r="AE234" s="105"/>
      <c r="AH234" s="106"/>
      <c r="AI234" s="106"/>
      <c r="AK234" s="104"/>
      <c r="AR234" s="104"/>
      <c r="AV234" s="104"/>
      <c r="AX234" s="104"/>
      <c r="BB234" s="104"/>
      <c r="BC234" s="104"/>
      <c r="BF234" s="219">
        <f t="shared" si="104"/>
        <v>3</v>
      </c>
      <c r="BH234" s="120"/>
      <c r="BI234" s="203" t="s">
        <v>585</v>
      </c>
      <c r="BJ234" s="190" t="s">
        <v>569</v>
      </c>
      <c r="BK234" s="196">
        <v>0.12</v>
      </c>
      <c r="BL234" s="190" t="s">
        <v>568</v>
      </c>
      <c r="BM234" s="189">
        <v>0.42</v>
      </c>
      <c r="BN234" s="189">
        <f>1/0.8</f>
        <v>1.25</v>
      </c>
      <c r="BO234" s="188" t="s">
        <v>258</v>
      </c>
      <c r="BP234" s="178"/>
      <c r="BQ234" s="102"/>
      <c r="BR234" s="102"/>
      <c r="BS234" s="178"/>
      <c r="BT234" s="178"/>
      <c r="BU234" s="178"/>
      <c r="BV234" s="180"/>
      <c r="BW234" s="178"/>
      <c r="BX234" s="196"/>
      <c r="BY234" s="190"/>
      <c r="BZ234" s="180"/>
      <c r="CA234" s="180"/>
      <c r="CB234" s="180"/>
      <c r="CC234" s="178"/>
      <c r="CD234" s="178"/>
      <c r="CE234" s="180"/>
      <c r="CF234" s="180"/>
      <c r="CG234" s="180"/>
      <c r="CH234" s="180"/>
      <c r="CI234" s="178"/>
      <c r="CJ234" s="178"/>
      <c r="CK234" s="180"/>
      <c r="CL234" s="180"/>
      <c r="CM234" s="180"/>
      <c r="CN234" s="116"/>
      <c r="CO234" s="218">
        <f t="shared" si="101"/>
        <v>0.42</v>
      </c>
      <c r="CP234" s="100">
        <f t="shared" si="102"/>
        <v>0.83499999999999996</v>
      </c>
      <c r="CQ234" s="218">
        <f t="shared" si="103"/>
        <v>1.25</v>
      </c>
    </row>
    <row r="235" spans="1:97" s="101" customFormat="1" ht="16.5" hidden="1" thickBot="1" x14ac:dyDescent="0.3">
      <c r="A235" s="99"/>
      <c r="V235" s="103"/>
      <c r="AA235" s="104"/>
      <c r="AB235" s="104"/>
      <c r="AD235" s="104"/>
      <c r="AE235" s="105"/>
      <c r="AH235" s="106"/>
      <c r="AI235" s="106"/>
      <c r="AK235" s="104"/>
      <c r="AR235" s="104"/>
      <c r="AU235" s="233"/>
      <c r="AV235" s="104"/>
      <c r="AX235" s="104"/>
      <c r="BB235" s="104"/>
      <c r="BC235" s="104"/>
      <c r="BF235" s="219">
        <f t="shared" si="104"/>
        <v>12</v>
      </c>
      <c r="BH235" s="120"/>
      <c r="BI235" s="203" t="s">
        <v>586</v>
      </c>
      <c r="BJ235" s="190" t="s">
        <v>569</v>
      </c>
      <c r="BK235" s="196">
        <v>0.48</v>
      </c>
      <c r="BL235" s="190" t="s">
        <v>568</v>
      </c>
      <c r="BM235" s="189">
        <v>0.42</v>
      </c>
      <c r="BN235" s="189">
        <f>0.3/0.2</f>
        <v>1.4999999999999998</v>
      </c>
      <c r="BO235" s="188" t="s">
        <v>258</v>
      </c>
      <c r="BP235" s="178"/>
      <c r="BQ235" s="102"/>
      <c r="BR235" s="102"/>
      <c r="BS235" s="178"/>
      <c r="BT235" s="178"/>
      <c r="BU235" s="178"/>
      <c r="BV235" s="180"/>
      <c r="BW235" s="178"/>
      <c r="BX235" s="196"/>
      <c r="BY235" s="190"/>
      <c r="BZ235" s="180"/>
      <c r="CA235" s="180"/>
      <c r="CB235" s="180"/>
      <c r="CC235" s="178"/>
      <c r="CD235" s="178"/>
      <c r="CE235" s="180"/>
      <c r="CF235" s="180"/>
      <c r="CG235" s="180"/>
      <c r="CH235" s="180"/>
      <c r="CI235" s="178"/>
      <c r="CJ235" s="178"/>
      <c r="CK235" s="180"/>
      <c r="CL235" s="180"/>
      <c r="CM235" s="180"/>
      <c r="CN235" s="116"/>
      <c r="CO235" s="218">
        <f t="shared" si="101"/>
        <v>0.42</v>
      </c>
      <c r="CP235" s="100">
        <f t="shared" si="102"/>
        <v>0.95999999999999985</v>
      </c>
      <c r="CQ235" s="218">
        <f t="shared" si="103"/>
        <v>1.4999999999999998</v>
      </c>
    </row>
    <row r="236" spans="1:97" s="101" customFormat="1" ht="16.5" hidden="1" thickBot="1" x14ac:dyDescent="0.3">
      <c r="A236" s="99"/>
      <c r="V236" s="103"/>
      <c r="AA236" s="104"/>
      <c r="AB236" s="104"/>
      <c r="AD236" s="104"/>
      <c r="AE236" s="105"/>
      <c r="AH236" s="106"/>
      <c r="AI236" s="106"/>
      <c r="AK236" s="104"/>
      <c r="AR236" s="104"/>
      <c r="AV236" s="104"/>
      <c r="AX236" s="104"/>
      <c r="BB236" s="104"/>
      <c r="BC236" s="104"/>
      <c r="BF236" s="219">
        <f t="shared" si="104"/>
        <v>7.5</v>
      </c>
      <c r="BH236" s="120"/>
      <c r="BI236" s="203" t="s">
        <v>587</v>
      </c>
      <c r="BJ236" s="190" t="s">
        <v>569</v>
      </c>
      <c r="BK236" s="196">
        <v>0.3</v>
      </c>
      <c r="BL236" s="190" t="s">
        <v>568</v>
      </c>
      <c r="BM236" s="189">
        <v>0.3</v>
      </c>
      <c r="BN236" s="189">
        <f>1/0.8</f>
        <v>1.25</v>
      </c>
      <c r="BO236" s="188" t="s">
        <v>258</v>
      </c>
      <c r="BP236" s="178"/>
      <c r="BQ236" s="102"/>
      <c r="BR236" s="102"/>
      <c r="BS236" s="178"/>
      <c r="BT236" s="178"/>
      <c r="BU236" s="178"/>
      <c r="BV236" s="180"/>
      <c r="BW236" s="178"/>
      <c r="BX236" s="196"/>
      <c r="BY236" s="190"/>
      <c r="BZ236" s="180"/>
      <c r="CA236" s="180"/>
      <c r="CB236" s="180"/>
      <c r="CC236" s="178"/>
      <c r="CD236" s="178"/>
      <c r="CE236" s="180"/>
      <c r="CF236" s="180"/>
      <c r="CG236" s="180"/>
      <c r="CH236" s="180"/>
      <c r="CI236" s="178"/>
      <c r="CJ236" s="178"/>
      <c r="CK236" s="180"/>
      <c r="CL236" s="180"/>
      <c r="CM236" s="180"/>
      <c r="CN236" s="116"/>
      <c r="CO236" s="218">
        <f t="shared" si="101"/>
        <v>0.3</v>
      </c>
      <c r="CP236" s="100">
        <f t="shared" si="102"/>
        <v>0.77500000000000002</v>
      </c>
      <c r="CQ236" s="218">
        <f t="shared" si="103"/>
        <v>1.25</v>
      </c>
    </row>
    <row r="237" spans="1:97" s="100" customFormat="1" ht="16.5" hidden="1" thickBot="1" x14ac:dyDescent="0.3">
      <c r="A237" s="147"/>
      <c r="V237" s="218"/>
      <c r="AA237" s="219"/>
      <c r="AB237" s="219"/>
      <c r="AD237" s="219"/>
      <c r="AE237" s="220"/>
      <c r="AH237" s="221"/>
      <c r="AI237" s="221"/>
      <c r="AK237" s="219"/>
      <c r="AR237" s="219"/>
      <c r="BD237" s="219"/>
      <c r="BF237" s="219"/>
      <c r="BH237" s="249" t="s">
        <v>315</v>
      </c>
      <c r="BI237" s="203" t="s">
        <v>570</v>
      </c>
      <c r="BJ237" s="190" t="s">
        <v>428</v>
      </c>
      <c r="BK237" s="196">
        <v>0.2</v>
      </c>
      <c r="BL237" s="190" t="s">
        <v>412</v>
      </c>
      <c r="BM237" s="189">
        <v>0.05</v>
      </c>
      <c r="BN237" s="189">
        <v>0.39</v>
      </c>
      <c r="BO237" s="188" t="s">
        <v>258</v>
      </c>
      <c r="BP237" s="224"/>
      <c r="BS237" s="224"/>
      <c r="BT237" s="224"/>
      <c r="BU237" s="224"/>
      <c r="BV237" s="225"/>
      <c r="BW237" s="224"/>
      <c r="BX237" s="223">
        <f>0.25*0.9*25</f>
        <v>5.625</v>
      </c>
      <c r="BY237" s="222" t="s">
        <v>298</v>
      </c>
      <c r="BZ237" s="225"/>
      <c r="CA237" s="225"/>
      <c r="CB237" s="225"/>
      <c r="CC237" s="224"/>
      <c r="CD237" s="224"/>
      <c r="CE237" s="225"/>
      <c r="CF237" s="225"/>
      <c r="CG237" s="225"/>
      <c r="CH237" s="225"/>
      <c r="CI237" s="224"/>
      <c r="CJ237" s="224"/>
      <c r="CK237" s="225"/>
      <c r="CL237" s="225"/>
      <c r="CM237" s="225"/>
      <c r="CN237" s="225"/>
      <c r="CO237" s="218">
        <f t="shared" si="101"/>
        <v>0.05</v>
      </c>
      <c r="CP237" s="100">
        <f t="shared" si="102"/>
        <v>0.22</v>
      </c>
      <c r="CQ237" s="218">
        <f t="shared" si="103"/>
        <v>0.39</v>
      </c>
      <c r="CR237" s="100">
        <v>0.05</v>
      </c>
      <c r="CS237" s="100">
        <v>0.3</v>
      </c>
    </row>
    <row r="238" spans="1:97" s="100" customFormat="1" ht="16.5" hidden="1" thickBot="1" x14ac:dyDescent="0.3">
      <c r="A238" s="147"/>
      <c r="V238" s="218"/>
      <c r="AA238" s="219"/>
      <c r="AB238" s="219"/>
      <c r="AD238" s="219"/>
      <c r="AE238" s="220"/>
      <c r="AH238" s="221"/>
      <c r="AI238" s="221"/>
      <c r="AK238" s="219"/>
      <c r="AR238" s="219"/>
      <c r="BD238" s="219"/>
      <c r="BF238" s="219"/>
      <c r="BH238" s="249" t="s">
        <v>315</v>
      </c>
      <c r="BI238" s="203" t="s">
        <v>588</v>
      </c>
      <c r="BJ238" s="190" t="s">
        <v>569</v>
      </c>
      <c r="BK238" s="196">
        <v>0.48</v>
      </c>
      <c r="BL238" s="190" t="s">
        <v>568</v>
      </c>
      <c r="BM238" s="189">
        <v>0.05</v>
      </c>
      <c r="BN238" s="189">
        <v>0.32</v>
      </c>
      <c r="BO238" s="188" t="s">
        <v>258</v>
      </c>
      <c r="BP238" s="224"/>
      <c r="BS238" s="224"/>
      <c r="BT238" s="224"/>
      <c r="BU238" s="224"/>
      <c r="BV238" s="225"/>
      <c r="BW238" s="224"/>
      <c r="BX238" s="223">
        <f>0.25*0.9*25</f>
        <v>5.625</v>
      </c>
      <c r="BY238" s="222" t="s">
        <v>298</v>
      </c>
      <c r="BZ238" s="225"/>
      <c r="CA238" s="225"/>
      <c r="CB238" s="225"/>
      <c r="CC238" s="224"/>
      <c r="CD238" s="224"/>
      <c r="CE238" s="225"/>
      <c r="CF238" s="225"/>
      <c r="CG238" s="225"/>
      <c r="CH238" s="225"/>
      <c r="CI238" s="224"/>
      <c r="CJ238" s="224"/>
      <c r="CK238" s="225"/>
      <c r="CL238" s="225"/>
      <c r="CM238" s="225"/>
      <c r="CN238" s="225"/>
      <c r="CO238" s="218">
        <f t="shared" si="101"/>
        <v>0.05</v>
      </c>
      <c r="CP238" s="100">
        <f t="shared" si="102"/>
        <v>0.185</v>
      </c>
      <c r="CQ238" s="218">
        <f t="shared" si="103"/>
        <v>0.32</v>
      </c>
      <c r="CR238" s="100">
        <v>0.05</v>
      </c>
      <c r="CS238" s="100">
        <v>0.3</v>
      </c>
    </row>
    <row r="239" spans="1:97" s="100" customFormat="1" ht="16.5" hidden="1" thickBot="1" x14ac:dyDescent="0.3">
      <c r="A239" s="147"/>
      <c r="V239" s="218"/>
      <c r="AA239" s="219"/>
      <c r="AB239" s="219"/>
      <c r="AD239" s="219"/>
      <c r="AE239" s="220"/>
      <c r="AH239" s="221"/>
      <c r="AI239" s="221"/>
      <c r="AK239" s="219"/>
      <c r="AR239" s="219"/>
      <c r="BF239" s="100" t="s">
        <v>497</v>
      </c>
      <c r="BG239" s="220">
        <f>AV254</f>
        <v>5.497666666666666E-2</v>
      </c>
      <c r="BH239" s="249" t="s">
        <v>97</v>
      </c>
      <c r="BI239" s="203" t="s">
        <v>589</v>
      </c>
      <c r="BJ239" s="190" t="s">
        <v>333</v>
      </c>
      <c r="BK239" s="250">
        <f>AV254</f>
        <v>5.497666666666666E-2</v>
      </c>
      <c r="BL239" s="190" t="s">
        <v>425</v>
      </c>
      <c r="BM239" s="189">
        <v>0.05</v>
      </c>
      <c r="BN239" s="189">
        <v>0.3</v>
      </c>
      <c r="BO239" s="188" t="s">
        <v>258</v>
      </c>
      <c r="BP239" s="224"/>
      <c r="BS239" s="224"/>
      <c r="BT239" s="224"/>
      <c r="BU239" s="224"/>
      <c r="BV239" s="225"/>
      <c r="BW239" s="224"/>
      <c r="BX239" s="223"/>
      <c r="BY239" s="222"/>
      <c r="BZ239" s="225"/>
      <c r="CA239" s="225"/>
      <c r="CB239" s="225"/>
      <c r="CC239" s="224"/>
      <c r="CD239" s="224"/>
      <c r="CE239" s="225"/>
      <c r="CF239" s="225"/>
      <c r="CG239" s="225"/>
      <c r="CH239" s="225"/>
      <c r="CI239" s="224"/>
      <c r="CJ239" s="224"/>
      <c r="CK239" s="225"/>
      <c r="CL239" s="225"/>
      <c r="CM239" s="225"/>
      <c r="CN239" s="225"/>
      <c r="CO239" s="218">
        <f t="shared" si="101"/>
        <v>0.05</v>
      </c>
      <c r="CP239" s="100">
        <f t="shared" si="102"/>
        <v>0.17499999999999999</v>
      </c>
      <c r="CQ239" s="218">
        <f t="shared" si="103"/>
        <v>0.3</v>
      </c>
      <c r="CR239" s="100">
        <v>0.28999999999999998</v>
      </c>
      <c r="CS239" s="100">
        <v>0.28999999999999998</v>
      </c>
    </row>
    <row r="240" spans="1:97" s="100" customFormat="1" ht="16.5" hidden="1" thickBot="1" x14ac:dyDescent="0.3">
      <c r="A240" s="147"/>
      <c r="V240" s="218"/>
      <c r="AA240" s="219"/>
      <c r="AB240" s="219"/>
      <c r="AD240" s="219"/>
      <c r="AE240" s="220"/>
      <c r="AH240" s="221"/>
      <c r="AI240" s="221"/>
      <c r="AK240" s="219"/>
      <c r="AR240" s="219"/>
      <c r="BG240" s="220"/>
      <c r="BH240" s="249"/>
      <c r="BI240" s="203" t="s">
        <v>564</v>
      </c>
      <c r="BJ240" s="190" t="s">
        <v>333</v>
      </c>
      <c r="BK240" s="250">
        <f>AW254</f>
        <v>2.748833333333333E-2</v>
      </c>
      <c r="BL240" s="190" t="s">
        <v>425</v>
      </c>
      <c r="BM240" s="189">
        <v>0.05</v>
      </c>
      <c r="BN240" s="189">
        <v>0.3</v>
      </c>
      <c r="BO240" s="188" t="s">
        <v>258</v>
      </c>
      <c r="BP240" s="224"/>
      <c r="BS240" s="224"/>
      <c r="BT240" s="224"/>
      <c r="BU240" s="224"/>
      <c r="BV240" s="225"/>
      <c r="BW240" s="224"/>
      <c r="BX240" s="223"/>
      <c r="BY240" s="222"/>
      <c r="BZ240" s="225"/>
      <c r="CA240" s="225"/>
      <c r="CB240" s="225"/>
      <c r="CC240" s="224"/>
      <c r="CD240" s="224"/>
      <c r="CE240" s="225"/>
      <c r="CF240" s="225"/>
      <c r="CG240" s="225"/>
      <c r="CH240" s="225"/>
      <c r="CI240" s="224"/>
      <c r="CJ240" s="224"/>
      <c r="CK240" s="225"/>
      <c r="CL240" s="225"/>
      <c r="CM240" s="225"/>
      <c r="CN240" s="225"/>
      <c r="CO240" s="218">
        <f t="shared" si="101"/>
        <v>0.05</v>
      </c>
      <c r="CP240" s="100">
        <f t="shared" si="102"/>
        <v>0.17499999999999999</v>
      </c>
      <c r="CQ240" s="218">
        <f t="shared" si="103"/>
        <v>0.3</v>
      </c>
    </row>
    <row r="241" spans="1:97" s="100" customFormat="1" ht="16.5" hidden="1" thickBot="1" x14ac:dyDescent="0.3">
      <c r="A241" s="147"/>
      <c r="V241" s="218"/>
      <c r="AA241" s="219"/>
      <c r="AB241" s="219"/>
      <c r="AD241" s="219"/>
      <c r="AE241" s="220"/>
      <c r="AH241" s="221"/>
      <c r="AI241" s="221"/>
      <c r="AK241" s="219"/>
      <c r="AR241" s="219"/>
      <c r="BG241" s="220"/>
      <c r="BH241" s="249"/>
      <c r="BI241" s="203" t="s">
        <v>565</v>
      </c>
      <c r="BJ241" s="190" t="s">
        <v>333</v>
      </c>
      <c r="BK241" s="250">
        <f>AX254</f>
        <v>3.9583199999999999E-2</v>
      </c>
      <c r="BL241" s="190" t="s">
        <v>425</v>
      </c>
      <c r="BM241" s="189">
        <v>0.05</v>
      </c>
      <c r="BN241" s="189">
        <v>0.3</v>
      </c>
      <c r="BO241" s="188" t="s">
        <v>258</v>
      </c>
      <c r="BP241" s="224"/>
      <c r="BS241" s="224"/>
      <c r="BT241" s="224"/>
      <c r="BU241" s="224"/>
      <c r="BV241" s="225"/>
      <c r="BW241" s="224"/>
      <c r="BX241" s="223"/>
      <c r="BY241" s="222"/>
      <c r="BZ241" s="225"/>
      <c r="CA241" s="225"/>
      <c r="CB241" s="225"/>
      <c r="CC241" s="224"/>
      <c r="CD241" s="224"/>
      <c r="CE241" s="225"/>
      <c r="CF241" s="225"/>
      <c r="CG241" s="225"/>
      <c r="CH241" s="225"/>
      <c r="CI241" s="224"/>
      <c r="CJ241" s="224"/>
      <c r="CK241" s="225"/>
      <c r="CL241" s="225"/>
      <c r="CM241" s="225"/>
      <c r="CN241" s="225"/>
      <c r="CO241" s="218">
        <f t="shared" si="101"/>
        <v>0.05</v>
      </c>
      <c r="CP241" s="100">
        <f t="shared" si="102"/>
        <v>0.17499999999999999</v>
      </c>
      <c r="CQ241" s="218">
        <f t="shared" si="103"/>
        <v>0.3</v>
      </c>
    </row>
    <row r="242" spans="1:97" s="100" customFormat="1" ht="16.5" hidden="1" thickBot="1" x14ac:dyDescent="0.3">
      <c r="A242" s="147"/>
      <c r="V242" s="218"/>
      <c r="AA242" s="219"/>
      <c r="AB242" s="219"/>
      <c r="AD242" s="219"/>
      <c r="AE242" s="220"/>
      <c r="AH242" s="221"/>
      <c r="AI242" s="221"/>
      <c r="AK242" s="219"/>
      <c r="AR242" s="219"/>
      <c r="BG242" s="220"/>
      <c r="BH242" s="249"/>
      <c r="BI242" s="203" t="s">
        <v>566</v>
      </c>
      <c r="BJ242" s="190" t="s">
        <v>333</v>
      </c>
      <c r="BK242" s="250">
        <f>AY254</f>
        <v>1.9791599999999999E-2</v>
      </c>
      <c r="BL242" s="190" t="s">
        <v>425</v>
      </c>
      <c r="BM242" s="189">
        <v>0.05</v>
      </c>
      <c r="BN242" s="189">
        <v>0.3</v>
      </c>
      <c r="BO242" s="188" t="s">
        <v>258</v>
      </c>
      <c r="BP242" s="224"/>
      <c r="BS242" s="224"/>
      <c r="BT242" s="224"/>
      <c r="BU242" s="224"/>
      <c r="BV242" s="225"/>
      <c r="BW242" s="224"/>
      <c r="BX242" s="223"/>
      <c r="BY242" s="222"/>
      <c r="BZ242" s="225"/>
      <c r="CA242" s="225"/>
      <c r="CB242" s="225"/>
      <c r="CC242" s="224"/>
      <c r="CD242" s="224"/>
      <c r="CE242" s="225"/>
      <c r="CF242" s="225"/>
      <c r="CG242" s="225"/>
      <c r="CH242" s="225"/>
      <c r="CI242" s="224"/>
      <c r="CJ242" s="224"/>
      <c r="CK242" s="225"/>
      <c r="CL242" s="225"/>
      <c r="CM242" s="225"/>
      <c r="CN242" s="225"/>
      <c r="CO242" s="218">
        <f t="shared" si="101"/>
        <v>0.05</v>
      </c>
      <c r="CP242" s="100">
        <f t="shared" si="102"/>
        <v>0.17499999999999999</v>
      </c>
      <c r="CQ242" s="218">
        <f t="shared" si="103"/>
        <v>0.3</v>
      </c>
    </row>
    <row r="243" spans="1:97" s="100" customFormat="1" ht="16.5" hidden="1" thickBot="1" x14ac:dyDescent="0.3">
      <c r="A243" s="147"/>
      <c r="V243" s="218"/>
      <c r="AA243" s="219"/>
      <c r="AB243" s="219"/>
      <c r="AD243" s="219"/>
      <c r="AE243" s="220"/>
      <c r="AH243" s="221"/>
      <c r="AI243" s="221"/>
      <c r="AK243" s="219"/>
      <c r="AR243" s="219"/>
      <c r="BG243" s="220"/>
      <c r="BH243" s="249"/>
      <c r="BI243" s="203" t="s">
        <v>589</v>
      </c>
      <c r="BJ243" s="190" t="s">
        <v>333</v>
      </c>
      <c r="BK243" s="250">
        <f>AZ254</f>
        <v>2.9687399999999996E-2</v>
      </c>
      <c r="BL243" s="190" t="s">
        <v>425</v>
      </c>
      <c r="BM243" s="189">
        <v>0.05</v>
      </c>
      <c r="BN243" s="189">
        <v>0.3</v>
      </c>
      <c r="BO243" s="188" t="s">
        <v>258</v>
      </c>
      <c r="BP243" s="224"/>
      <c r="BS243" s="224"/>
      <c r="BT243" s="224"/>
      <c r="BU243" s="224"/>
      <c r="BV243" s="225"/>
      <c r="BW243" s="224"/>
      <c r="BX243" s="223"/>
      <c r="BY243" s="222"/>
      <c r="BZ243" s="225"/>
      <c r="CA243" s="225"/>
      <c r="CB243" s="225"/>
      <c r="CC243" s="224"/>
      <c r="CD243" s="224"/>
      <c r="CE243" s="225"/>
      <c r="CF243" s="225"/>
      <c r="CG243" s="225"/>
      <c r="CH243" s="225"/>
      <c r="CI243" s="224"/>
      <c r="CJ243" s="224"/>
      <c r="CK243" s="225"/>
      <c r="CL243" s="225"/>
      <c r="CM243" s="225"/>
      <c r="CN243" s="225"/>
      <c r="CO243" s="218">
        <f t="shared" si="101"/>
        <v>0.05</v>
      </c>
      <c r="CP243" s="100">
        <f t="shared" si="102"/>
        <v>0.17499999999999999</v>
      </c>
      <c r="CQ243" s="218">
        <f t="shared" si="103"/>
        <v>0.3</v>
      </c>
    </row>
    <row r="244" spans="1:97" s="100" customFormat="1" ht="16.5" hidden="1" thickBot="1" x14ac:dyDescent="0.3">
      <c r="A244" s="147"/>
      <c r="V244" s="218"/>
      <c r="AA244" s="219"/>
      <c r="AB244" s="219"/>
      <c r="AD244" s="219"/>
      <c r="AE244" s="220"/>
      <c r="AH244" s="221"/>
      <c r="AI244" s="221"/>
      <c r="AK244" s="219"/>
      <c r="AR244" s="219"/>
      <c r="BG244" s="220"/>
      <c r="BH244" s="249"/>
      <c r="BI244" s="203" t="s">
        <v>590</v>
      </c>
      <c r="BJ244" s="190" t="s">
        <v>333</v>
      </c>
      <c r="BK244" s="250">
        <f>AV255</f>
        <v>1.6666666666666666E-2</v>
      </c>
      <c r="BL244" s="190" t="s">
        <v>425</v>
      </c>
      <c r="BM244" s="189">
        <v>0.05</v>
      </c>
      <c r="BN244" s="189">
        <v>0.3</v>
      </c>
      <c r="BO244" s="188" t="s">
        <v>258</v>
      </c>
      <c r="BP244" s="224"/>
      <c r="BS244" s="224"/>
      <c r="BT244" s="224"/>
      <c r="BU244" s="224"/>
      <c r="BV244" s="225"/>
      <c r="BW244" s="224"/>
      <c r="BX244" s="223"/>
      <c r="BY244" s="222"/>
      <c r="BZ244" s="225"/>
      <c r="CA244" s="225"/>
      <c r="CB244" s="225"/>
      <c r="CC244" s="224"/>
      <c r="CD244" s="224"/>
      <c r="CE244" s="225"/>
      <c r="CF244" s="225"/>
      <c r="CG244" s="225"/>
      <c r="CH244" s="225"/>
      <c r="CI244" s="224"/>
      <c r="CJ244" s="224"/>
      <c r="CK244" s="225"/>
      <c r="CL244" s="225"/>
      <c r="CM244" s="225"/>
      <c r="CN244" s="225"/>
      <c r="CO244" s="218">
        <f t="shared" si="101"/>
        <v>0.05</v>
      </c>
      <c r="CP244" s="100">
        <f t="shared" si="102"/>
        <v>0.17499999999999999</v>
      </c>
      <c r="CQ244" s="218">
        <f t="shared" si="103"/>
        <v>0.3</v>
      </c>
    </row>
    <row r="245" spans="1:97" s="100" customFormat="1" ht="16.5" hidden="1" thickBot="1" x14ac:dyDescent="0.3">
      <c r="A245" s="147"/>
      <c r="V245" s="218"/>
      <c r="AA245" s="219"/>
      <c r="AB245" s="219"/>
      <c r="AD245" s="219"/>
      <c r="AE245" s="220"/>
      <c r="AH245" s="221"/>
      <c r="AI245" s="221"/>
      <c r="AK245" s="219"/>
      <c r="AR245" s="219"/>
      <c r="BG245" s="220"/>
      <c r="BH245" s="249"/>
      <c r="BI245" s="203" t="s">
        <v>591</v>
      </c>
      <c r="BJ245" s="190" t="s">
        <v>333</v>
      </c>
      <c r="BK245" s="250">
        <f>AV256</f>
        <v>4.9999999999999996E-2</v>
      </c>
      <c r="BL245" s="190" t="s">
        <v>425</v>
      </c>
      <c r="BM245" s="189">
        <v>0.05</v>
      </c>
      <c r="BN245" s="189">
        <v>0.3</v>
      </c>
      <c r="BO245" s="188" t="s">
        <v>258</v>
      </c>
      <c r="BP245" s="224"/>
      <c r="BS245" s="224"/>
      <c r="BT245" s="224"/>
      <c r="BU245" s="224"/>
      <c r="BV245" s="225"/>
      <c r="BW245" s="224"/>
      <c r="BX245" s="223"/>
      <c r="BY245" s="222"/>
      <c r="BZ245" s="225"/>
      <c r="CA245" s="225"/>
      <c r="CB245" s="225"/>
      <c r="CC245" s="224"/>
      <c r="CD245" s="224"/>
      <c r="CE245" s="225"/>
      <c r="CF245" s="225"/>
      <c r="CG245" s="225"/>
      <c r="CH245" s="225"/>
      <c r="CI245" s="224"/>
      <c r="CJ245" s="224"/>
      <c r="CK245" s="225"/>
      <c r="CL245" s="225"/>
      <c r="CM245" s="225"/>
      <c r="CN245" s="225"/>
      <c r="CO245" s="218">
        <f t="shared" si="101"/>
        <v>0.05</v>
      </c>
      <c r="CP245" s="100">
        <f t="shared" si="102"/>
        <v>0.17499999999999999</v>
      </c>
      <c r="CQ245" s="218">
        <f t="shared" si="103"/>
        <v>0.3</v>
      </c>
    </row>
    <row r="246" spans="1:97" s="100" customFormat="1" ht="16.5" hidden="1" thickBot="1" x14ac:dyDescent="0.3">
      <c r="A246" s="147"/>
      <c r="V246" s="218"/>
      <c r="AA246" s="219"/>
      <c r="AB246" s="219"/>
      <c r="AD246" s="219"/>
      <c r="AE246" s="220"/>
      <c r="AH246" s="221"/>
      <c r="AI246" s="221"/>
      <c r="AK246" s="219"/>
      <c r="AR246" s="219"/>
      <c r="AV246" s="100">
        <f>(0.449*0.15)+(0.171*0.4)+(0.047*0.43)+(0.026*0.24)+(0.007*0.39)</f>
        <v>0.16492999999999999</v>
      </c>
      <c r="BG246" s="220"/>
      <c r="BH246" s="249"/>
      <c r="BI246" s="203" t="s">
        <v>592</v>
      </c>
      <c r="BJ246" s="190" t="s">
        <v>333</v>
      </c>
      <c r="BK246" s="250">
        <f>AV256</f>
        <v>4.9999999999999996E-2</v>
      </c>
      <c r="BL246" s="190" t="s">
        <v>425</v>
      </c>
      <c r="BM246" s="189">
        <v>0.05</v>
      </c>
      <c r="BN246" s="189">
        <v>0.3</v>
      </c>
      <c r="BO246" s="188" t="s">
        <v>258</v>
      </c>
      <c r="BP246" s="224"/>
      <c r="BS246" s="224"/>
      <c r="BT246" s="224"/>
      <c r="BU246" s="224"/>
      <c r="BV246" s="225"/>
      <c r="BW246" s="224"/>
      <c r="BX246" s="223"/>
      <c r="BY246" s="222"/>
      <c r="BZ246" s="225"/>
      <c r="CA246" s="225"/>
      <c r="CB246" s="225"/>
      <c r="CC246" s="224"/>
      <c r="CD246" s="224"/>
      <c r="CE246" s="225"/>
      <c r="CF246" s="225"/>
      <c r="CG246" s="225"/>
      <c r="CH246" s="225"/>
      <c r="CI246" s="224"/>
      <c r="CJ246" s="224"/>
      <c r="CK246" s="225"/>
      <c r="CL246" s="225"/>
      <c r="CM246" s="225"/>
      <c r="CN246" s="225"/>
      <c r="CO246" s="218">
        <f t="shared" si="101"/>
        <v>0.05</v>
      </c>
      <c r="CP246" s="100">
        <f t="shared" si="102"/>
        <v>0.17499999999999999</v>
      </c>
      <c r="CQ246" s="218">
        <f t="shared" si="103"/>
        <v>0.3</v>
      </c>
    </row>
    <row r="247" spans="1:97" s="100" customFormat="1" ht="16.5" hidden="1" thickBot="1" x14ac:dyDescent="0.3">
      <c r="A247" s="147"/>
      <c r="V247" s="218"/>
      <c r="AA247" s="219"/>
      <c r="AB247" s="219"/>
      <c r="AD247" s="219"/>
      <c r="AE247" s="220"/>
      <c r="AH247" s="221"/>
      <c r="AI247" s="221"/>
      <c r="AK247" s="219"/>
      <c r="AR247" s="219"/>
      <c r="BG247" s="220"/>
      <c r="BH247" s="249"/>
      <c r="BI247" s="203" t="s">
        <v>593</v>
      </c>
      <c r="BJ247" s="190" t="s">
        <v>333</v>
      </c>
      <c r="BK247" s="250">
        <f t="shared" ref="BK247:BK252" si="105">AV258</f>
        <v>7.9999999999999988E-2</v>
      </c>
      <c r="BL247" s="190" t="s">
        <v>425</v>
      </c>
      <c r="BM247" s="189">
        <v>0.05</v>
      </c>
      <c r="BN247" s="189">
        <v>0.3</v>
      </c>
      <c r="BO247" s="188" t="s">
        <v>258</v>
      </c>
      <c r="BP247" s="224"/>
      <c r="BS247" s="224"/>
      <c r="BT247" s="224"/>
      <c r="BU247" s="224"/>
      <c r="BV247" s="225"/>
      <c r="BW247" s="224"/>
      <c r="BX247" s="223"/>
      <c r="BY247" s="222"/>
      <c r="BZ247" s="225"/>
      <c r="CA247" s="225"/>
      <c r="CB247" s="225"/>
      <c r="CC247" s="224"/>
      <c r="CD247" s="224"/>
      <c r="CE247" s="225"/>
      <c r="CF247" s="225"/>
      <c r="CG247" s="225"/>
      <c r="CH247" s="225"/>
      <c r="CI247" s="224"/>
      <c r="CJ247" s="224"/>
      <c r="CK247" s="225"/>
      <c r="CL247" s="225"/>
      <c r="CM247" s="225"/>
      <c r="CN247" s="225"/>
      <c r="CO247" s="218">
        <f t="shared" si="101"/>
        <v>0.05</v>
      </c>
      <c r="CP247" s="100">
        <f t="shared" si="102"/>
        <v>0.17499999999999999</v>
      </c>
      <c r="CQ247" s="218">
        <f t="shared" si="103"/>
        <v>0.3</v>
      </c>
    </row>
    <row r="248" spans="1:97" s="100" customFormat="1" ht="16.5" hidden="1" thickBot="1" x14ac:dyDescent="0.3">
      <c r="A248" s="147"/>
      <c r="V248" s="218"/>
      <c r="AA248" s="219"/>
      <c r="AB248" s="219"/>
      <c r="AD248" s="219"/>
      <c r="AE248" s="220"/>
      <c r="AH248" s="221"/>
      <c r="AI248" s="221"/>
      <c r="AK248" s="219"/>
      <c r="AR248" s="219"/>
      <c r="BG248" s="220"/>
      <c r="BH248" s="249"/>
      <c r="BI248" s="203" t="s">
        <v>594</v>
      </c>
      <c r="BJ248" s="190" t="s">
        <v>333</v>
      </c>
      <c r="BK248" s="250">
        <f t="shared" si="105"/>
        <v>0.14333333333333331</v>
      </c>
      <c r="BL248" s="190" t="s">
        <v>425</v>
      </c>
      <c r="BM248" s="189">
        <v>0.05</v>
      </c>
      <c r="BN248" s="189">
        <v>0.3</v>
      </c>
      <c r="BO248" s="188" t="s">
        <v>258</v>
      </c>
      <c r="BP248" s="224"/>
      <c r="BS248" s="224"/>
      <c r="BT248" s="224"/>
      <c r="BU248" s="224"/>
      <c r="BV248" s="225"/>
      <c r="BW248" s="224"/>
      <c r="BX248" s="223"/>
      <c r="BY248" s="222"/>
      <c r="BZ248" s="225"/>
      <c r="CA248" s="225"/>
      <c r="CB248" s="225"/>
      <c r="CC248" s="224"/>
      <c r="CD248" s="224"/>
      <c r="CE248" s="225"/>
      <c r="CF248" s="225"/>
      <c r="CG248" s="225"/>
      <c r="CH248" s="225"/>
      <c r="CI248" s="224"/>
      <c r="CJ248" s="224"/>
      <c r="CK248" s="225"/>
      <c r="CL248" s="225"/>
      <c r="CM248" s="225"/>
      <c r="CN248" s="225"/>
      <c r="CO248" s="218">
        <f t="shared" si="101"/>
        <v>0.05</v>
      </c>
      <c r="CP248" s="100">
        <f t="shared" si="102"/>
        <v>0.17499999999999999</v>
      </c>
      <c r="CQ248" s="218">
        <f t="shared" si="103"/>
        <v>0.3</v>
      </c>
    </row>
    <row r="249" spans="1:97" s="100" customFormat="1" ht="16.5" hidden="1" thickBot="1" x14ac:dyDescent="0.3">
      <c r="A249" s="147"/>
      <c r="V249" s="218"/>
      <c r="AA249" s="219"/>
      <c r="AB249" s="219"/>
      <c r="AD249" s="219"/>
      <c r="AE249" s="220"/>
      <c r="AH249" s="221"/>
      <c r="AI249" s="221"/>
      <c r="AK249" s="219"/>
      <c r="AR249" s="219"/>
      <c r="BG249" s="220"/>
      <c r="BH249" s="249"/>
      <c r="BI249" s="203" t="s">
        <v>595</v>
      </c>
      <c r="BJ249" s="190" t="s">
        <v>333</v>
      </c>
      <c r="BK249" s="250">
        <f t="shared" si="105"/>
        <v>0.13333333333333333</v>
      </c>
      <c r="BL249" s="190" t="s">
        <v>425</v>
      </c>
      <c r="BM249" s="189">
        <v>0.05</v>
      </c>
      <c r="BN249" s="189">
        <v>0.3</v>
      </c>
      <c r="BO249" s="188" t="s">
        <v>258</v>
      </c>
      <c r="BP249" s="224"/>
      <c r="BS249" s="224"/>
      <c r="BT249" s="224"/>
      <c r="BU249" s="224"/>
      <c r="BV249" s="225"/>
      <c r="BW249" s="224"/>
      <c r="BX249" s="223"/>
      <c r="BY249" s="222"/>
      <c r="BZ249" s="225"/>
      <c r="CA249" s="225"/>
      <c r="CB249" s="225"/>
      <c r="CC249" s="224"/>
      <c r="CD249" s="224"/>
      <c r="CE249" s="225"/>
      <c r="CF249" s="225"/>
      <c r="CG249" s="225"/>
      <c r="CH249" s="225"/>
      <c r="CI249" s="224"/>
      <c r="CJ249" s="224"/>
      <c r="CK249" s="225"/>
      <c r="CL249" s="225"/>
      <c r="CM249" s="225"/>
      <c r="CN249" s="225"/>
      <c r="CO249" s="218">
        <f t="shared" si="101"/>
        <v>0.05</v>
      </c>
      <c r="CP249" s="100">
        <f t="shared" si="102"/>
        <v>0.17499999999999999</v>
      </c>
      <c r="CQ249" s="218">
        <f t="shared" si="103"/>
        <v>0.3</v>
      </c>
    </row>
    <row r="250" spans="1:97" s="100" customFormat="1" ht="16.5" hidden="1" thickBot="1" x14ac:dyDescent="0.3">
      <c r="A250" s="147"/>
      <c r="V250" s="218"/>
      <c r="AA250" s="219"/>
      <c r="AB250" s="219"/>
      <c r="AD250" s="219"/>
      <c r="AE250" s="220"/>
      <c r="AH250" s="221"/>
      <c r="AI250" s="221"/>
      <c r="AK250" s="219"/>
      <c r="AR250" s="219"/>
      <c r="BG250" s="220"/>
      <c r="BH250" s="249"/>
      <c r="BI250" s="203" t="s">
        <v>596</v>
      </c>
      <c r="BJ250" s="190" t="s">
        <v>333</v>
      </c>
      <c r="BK250" s="250">
        <f t="shared" si="105"/>
        <v>0.13</v>
      </c>
      <c r="BL250" s="190" t="s">
        <v>425</v>
      </c>
      <c r="BM250" s="189">
        <v>0.05</v>
      </c>
      <c r="BN250" s="189">
        <v>0.3</v>
      </c>
      <c r="BO250" s="188" t="s">
        <v>258</v>
      </c>
      <c r="BP250" s="224"/>
      <c r="BS250" s="224"/>
      <c r="BT250" s="224"/>
      <c r="BU250" s="224"/>
      <c r="BV250" s="225"/>
      <c r="BW250" s="224"/>
      <c r="BX250" s="223"/>
      <c r="BY250" s="222"/>
      <c r="BZ250" s="225"/>
      <c r="CA250" s="225"/>
      <c r="CB250" s="225"/>
      <c r="CC250" s="224"/>
      <c r="CD250" s="224"/>
      <c r="CE250" s="225"/>
      <c r="CF250" s="225"/>
      <c r="CG250" s="225"/>
      <c r="CH250" s="225"/>
      <c r="CI250" s="224"/>
      <c r="CJ250" s="224"/>
      <c r="CK250" s="225"/>
      <c r="CL250" s="225"/>
      <c r="CM250" s="225"/>
      <c r="CN250" s="225"/>
      <c r="CO250" s="218">
        <f t="shared" si="101"/>
        <v>0.05</v>
      </c>
      <c r="CP250" s="100">
        <f t="shared" si="102"/>
        <v>0.17499999999999999</v>
      </c>
      <c r="CQ250" s="218">
        <f t="shared" si="103"/>
        <v>0.3</v>
      </c>
    </row>
    <row r="251" spans="1:97" s="100" customFormat="1" ht="16.5" hidden="1" thickBot="1" x14ac:dyDescent="0.3">
      <c r="A251" s="147"/>
      <c r="V251" s="218"/>
      <c r="AA251" s="219"/>
      <c r="AB251" s="219"/>
      <c r="AD251" s="219"/>
      <c r="AE251" s="220"/>
      <c r="AH251" s="221"/>
      <c r="AI251" s="221"/>
      <c r="AK251" s="219"/>
      <c r="AR251" s="219"/>
      <c r="BG251" s="220"/>
      <c r="BH251" s="249"/>
      <c r="BI251" s="203" t="s">
        <v>597</v>
      </c>
      <c r="BJ251" s="190" t="s">
        <v>333</v>
      </c>
      <c r="BK251" s="250">
        <f t="shared" si="105"/>
        <v>1.3333333333333332E-2</v>
      </c>
      <c r="BL251" s="190" t="s">
        <v>425</v>
      </c>
      <c r="BM251" s="189">
        <v>0.05</v>
      </c>
      <c r="BN251" s="189">
        <v>0.3</v>
      </c>
      <c r="BO251" s="188" t="s">
        <v>258</v>
      </c>
      <c r="BP251" s="224"/>
      <c r="BS251" s="224"/>
      <c r="BT251" s="224"/>
      <c r="BU251" s="224"/>
      <c r="BV251" s="225"/>
      <c r="BW251" s="224"/>
      <c r="BX251" s="223"/>
      <c r="BY251" s="222"/>
      <c r="BZ251" s="225"/>
      <c r="CA251" s="225"/>
      <c r="CB251" s="225"/>
      <c r="CC251" s="224"/>
      <c r="CD251" s="224"/>
      <c r="CE251" s="225"/>
      <c r="CF251" s="225"/>
      <c r="CG251" s="225"/>
      <c r="CH251" s="225"/>
      <c r="CI251" s="224"/>
      <c r="CJ251" s="224"/>
      <c r="CK251" s="225"/>
      <c r="CL251" s="225"/>
      <c r="CM251" s="225"/>
      <c r="CN251" s="225"/>
      <c r="CO251" s="218">
        <f t="shared" si="101"/>
        <v>0.05</v>
      </c>
      <c r="CP251" s="100">
        <f t="shared" si="102"/>
        <v>0.17499999999999999</v>
      </c>
      <c r="CQ251" s="218">
        <f t="shared" si="103"/>
        <v>0.3</v>
      </c>
    </row>
    <row r="252" spans="1:97" s="100" customFormat="1" ht="16.5" hidden="1" thickBot="1" x14ac:dyDescent="0.3">
      <c r="A252" s="147"/>
      <c r="V252" s="218"/>
      <c r="AA252" s="219"/>
      <c r="AB252" s="219"/>
      <c r="AD252" s="219"/>
      <c r="AE252" s="220"/>
      <c r="AH252" s="221"/>
      <c r="AI252" s="221"/>
      <c r="AK252" s="219"/>
      <c r="AR252" s="219"/>
      <c r="AV252" s="236" t="s">
        <v>504</v>
      </c>
      <c r="BF252" s="100" t="s">
        <v>477</v>
      </c>
      <c r="BG252" s="220">
        <f>AW254</f>
        <v>2.748833333333333E-2</v>
      </c>
      <c r="BH252" s="249"/>
      <c r="BI252" s="203" t="s">
        <v>598</v>
      </c>
      <c r="BJ252" s="190" t="s">
        <v>333</v>
      </c>
      <c r="BK252" s="250">
        <f t="shared" si="105"/>
        <v>3.3333333333333331E-3</v>
      </c>
      <c r="BL252" s="190" t="s">
        <v>425</v>
      </c>
      <c r="BM252" s="189">
        <v>0.05</v>
      </c>
      <c r="BN252" s="189">
        <v>0.3</v>
      </c>
      <c r="BO252" s="188" t="s">
        <v>258</v>
      </c>
      <c r="BP252" s="224"/>
      <c r="BS252" s="224"/>
      <c r="BT252" s="224"/>
      <c r="BU252" s="224"/>
      <c r="BV252" s="225"/>
      <c r="BW252" s="224"/>
      <c r="BX252" s="223"/>
      <c r="BY252" s="222"/>
      <c r="BZ252" s="225"/>
      <c r="CA252" s="225"/>
      <c r="CB252" s="225"/>
      <c r="CC252" s="224"/>
      <c r="CD252" s="224"/>
      <c r="CE252" s="225"/>
      <c r="CF252" s="225"/>
      <c r="CG252" s="225"/>
      <c r="CH252" s="225"/>
      <c r="CI252" s="224"/>
      <c r="CJ252" s="224"/>
      <c r="CK252" s="225"/>
      <c r="CL252" s="225"/>
      <c r="CM252" s="225"/>
      <c r="CN252" s="225"/>
      <c r="CO252" s="218">
        <f t="shared" si="101"/>
        <v>0.05</v>
      </c>
      <c r="CP252" s="100">
        <f t="shared" si="102"/>
        <v>0.17499999999999999</v>
      </c>
      <c r="CQ252" s="218">
        <f t="shared" si="103"/>
        <v>0.3</v>
      </c>
    </row>
    <row r="253" spans="1:97" s="101" customFormat="1" ht="29.25" hidden="1" thickBot="1" x14ac:dyDescent="0.3">
      <c r="A253" s="99"/>
      <c r="V253" s="103"/>
      <c r="AA253" s="104"/>
      <c r="AB253" s="104"/>
      <c r="AD253" s="104"/>
      <c r="AE253" s="105"/>
      <c r="AH253" s="106"/>
      <c r="AI253" s="106"/>
      <c r="AK253" s="104"/>
      <c r="AR253" s="104"/>
      <c r="AT253" s="227"/>
      <c r="AU253" s="228" t="s">
        <v>484</v>
      </c>
      <c r="AV253" s="227" t="s">
        <v>496</v>
      </c>
      <c r="AW253" s="227" t="s">
        <v>479</v>
      </c>
      <c r="AX253" s="227" t="s">
        <v>561</v>
      </c>
      <c r="AY253" s="227" t="s">
        <v>480</v>
      </c>
      <c r="AZ253" s="227" t="s">
        <v>483</v>
      </c>
      <c r="BA253" s="229" t="s">
        <v>119</v>
      </c>
      <c r="BB253" s="230" t="s">
        <v>503</v>
      </c>
      <c r="BC253" s="230" t="s">
        <v>120</v>
      </c>
      <c r="BF253" s="100" t="s">
        <v>482</v>
      </c>
      <c r="BG253" s="220">
        <f>AX254</f>
        <v>3.9583199999999999E-2</v>
      </c>
      <c r="BH253" s="120" t="s">
        <v>97</v>
      </c>
      <c r="BI253" s="203" t="s">
        <v>573</v>
      </c>
      <c r="BJ253" s="190" t="s">
        <v>476</v>
      </c>
      <c r="BK253" s="196">
        <v>5.6000000000000004E-7</v>
      </c>
      <c r="BL253" s="190" t="s">
        <v>425</v>
      </c>
      <c r="BM253" s="189">
        <v>0.1</v>
      </c>
      <c r="BN253" s="189">
        <v>1</v>
      </c>
      <c r="BO253" s="188" t="s">
        <v>258</v>
      </c>
      <c r="BP253" s="190" t="s">
        <v>476</v>
      </c>
      <c r="BQ253" s="196">
        <v>9.7999999999999993E-6</v>
      </c>
      <c r="BR253" s="186" t="s">
        <v>426</v>
      </c>
      <c r="BS253" s="189">
        <v>0.1</v>
      </c>
      <c r="BT253" s="189">
        <v>1</v>
      </c>
      <c r="BU253" s="188" t="s">
        <v>258</v>
      </c>
      <c r="BV253" s="190" t="s">
        <v>476</v>
      </c>
      <c r="BW253" s="196">
        <v>0.14000000000000001</v>
      </c>
      <c r="BX253" s="186" t="s">
        <v>571</v>
      </c>
      <c r="BY253" s="189">
        <v>0.1</v>
      </c>
      <c r="BZ253" s="189">
        <v>1</v>
      </c>
      <c r="CA253" s="188" t="s">
        <v>258</v>
      </c>
      <c r="CB253" s="180"/>
      <c r="CC253" s="178"/>
      <c r="CD253" s="178"/>
      <c r="CE253" s="180"/>
      <c r="CF253" s="180"/>
      <c r="CG253" s="180"/>
      <c r="CH253" s="180"/>
      <c r="CI253" s="178"/>
      <c r="CJ253" s="178"/>
      <c r="CK253" s="180"/>
      <c r="CL253" s="180"/>
      <c r="CM253" s="180"/>
      <c r="CN253" s="116"/>
      <c r="CO253" s="218">
        <f t="shared" si="101"/>
        <v>0.1</v>
      </c>
      <c r="CP253" s="100">
        <f t="shared" si="102"/>
        <v>0.55000000000000004</v>
      </c>
      <c r="CQ253" s="218">
        <f t="shared" si="103"/>
        <v>1</v>
      </c>
      <c r="CR253" s="101">
        <v>0.4</v>
      </c>
      <c r="CS253" s="101">
        <v>1</v>
      </c>
    </row>
    <row r="254" spans="1:97" s="101" customFormat="1" ht="29.25" hidden="1" thickBot="1" x14ac:dyDescent="0.3">
      <c r="A254" s="99"/>
      <c r="V254" s="103"/>
      <c r="AA254" s="104"/>
      <c r="AB254" s="104"/>
      <c r="AD254" s="104"/>
      <c r="AE254" s="105"/>
      <c r="AH254" s="106"/>
      <c r="AI254" s="106"/>
      <c r="AK254" s="104"/>
      <c r="AR254" s="104"/>
      <c r="AT254" s="227" t="s">
        <v>486</v>
      </c>
      <c r="AU254" s="226" t="s">
        <v>498</v>
      </c>
      <c r="AV254" s="221">
        <f>((((0.449*0.15)+(0.171*0.4)+(0.047*0.43)+(0.026*0.24)+(0.007*0.39))*0.5*1)*0.5*(16/12))*(1-0)</f>
        <v>5.497666666666666E-2</v>
      </c>
      <c r="AW254" s="221">
        <f>((((0.449*0.15)+(0.171*0.4)+(0.047*0.43)+(0.026*0.24)+(0.007*0.39))*0.5*0.5)*0.5*(16/12))*(1-0)</f>
        <v>2.748833333333333E-2</v>
      </c>
      <c r="AX254" s="221">
        <f>((((0.449*0.15)+(0.171*0.4)+(0.047*0.43)+(0.026*0.24)+(0.007*0.39))*0.5*0.8)*0.5*(16/12))*(1-0.1)</f>
        <v>3.9583199999999999E-2</v>
      </c>
      <c r="AY254" s="221">
        <f>((((0.449*0.15)+(0.171*0.4)+(0.047*0.43)+(0.026*0.24)+(0.007*0.39))*0.5*0.4)*0.5*(16/12))*(1-0.1)</f>
        <v>1.9791599999999999E-2</v>
      </c>
      <c r="AZ254" s="221">
        <f>((((0.449*0.15)+(0.171*0.4)+(0.047*0.43)+(0.026*0.24)+(0.007*0.39))*0.5*0.6)*0.5*(16/12))*(1-0.1)</f>
        <v>2.9687399999999996E-2</v>
      </c>
      <c r="BA254" s="231">
        <f t="shared" ref="BA254:BA263" si="106">AVERAGE(AV254:AZ254)</f>
        <v>3.430544E-2</v>
      </c>
      <c r="BB254" s="231">
        <f t="shared" ref="BB254:BB263" si="107">STDEV(AV254:AZ254)</f>
        <v>1.3542573156662487E-2</v>
      </c>
      <c r="BC254" s="232">
        <f>1-((BA254-((BB254*2.78)/(SQRT(5))))/BA254)</f>
        <v>0.49079258210126564</v>
      </c>
      <c r="BF254" s="100" t="s">
        <v>481</v>
      </c>
      <c r="BG254" s="220">
        <f>AY254</f>
        <v>1.9791599999999999E-2</v>
      </c>
      <c r="BH254" s="120" t="s">
        <v>97</v>
      </c>
      <c r="BI254" s="203" t="s">
        <v>572</v>
      </c>
      <c r="BJ254" s="190" t="s">
        <v>476</v>
      </c>
      <c r="BK254" s="196">
        <v>2.3699999999999999E-4</v>
      </c>
      <c r="BL254" s="190" t="s">
        <v>425</v>
      </c>
      <c r="BM254" s="189">
        <v>0.1</v>
      </c>
      <c r="BN254" s="189">
        <v>1</v>
      </c>
      <c r="BO254" s="188" t="s">
        <v>258</v>
      </c>
      <c r="BP254" s="190" t="s">
        <v>476</v>
      </c>
      <c r="BQ254" s="196">
        <v>6.0000000000000002E-5</v>
      </c>
      <c r="BR254" s="186" t="s">
        <v>426</v>
      </c>
      <c r="BS254" s="189">
        <v>0.1</v>
      </c>
      <c r="BT254" s="189">
        <v>1</v>
      </c>
      <c r="BU254" s="188" t="s">
        <v>258</v>
      </c>
      <c r="BV254" s="190" t="s">
        <v>476</v>
      </c>
      <c r="BW254" s="196">
        <v>0.23</v>
      </c>
      <c r="BX254" s="186" t="s">
        <v>571</v>
      </c>
      <c r="BY254" s="189">
        <v>0.1</v>
      </c>
      <c r="BZ254" s="189">
        <v>1</v>
      </c>
      <c r="CA254" s="188" t="s">
        <v>258</v>
      </c>
      <c r="CB254" s="180"/>
      <c r="CC254" s="178"/>
      <c r="CD254" s="178"/>
      <c r="CE254" s="180"/>
      <c r="CF254" s="180"/>
      <c r="CG254" s="180"/>
      <c r="CH254" s="180"/>
      <c r="CI254" s="178"/>
      <c r="CJ254" s="178"/>
      <c r="CK254" s="180"/>
      <c r="CL254" s="180"/>
      <c r="CM254" s="180"/>
      <c r="CN254" s="116"/>
      <c r="CO254" s="218">
        <f t="shared" si="101"/>
        <v>0.1</v>
      </c>
      <c r="CP254" s="100">
        <f t="shared" si="102"/>
        <v>0.55000000000000004</v>
      </c>
      <c r="CQ254" s="218">
        <f t="shared" si="103"/>
        <v>1</v>
      </c>
      <c r="CR254" s="101">
        <v>0.4</v>
      </c>
      <c r="CS254" s="101">
        <v>1</v>
      </c>
    </row>
    <row r="255" spans="1:97" s="101" customFormat="1" ht="29.25" hidden="1" thickBot="1" x14ac:dyDescent="0.3">
      <c r="A255" s="99"/>
      <c r="V255" s="103"/>
      <c r="AA255" s="104"/>
      <c r="AB255" s="104"/>
      <c r="AD255" s="104"/>
      <c r="AE255" s="105"/>
      <c r="AH255" s="106"/>
      <c r="AI255" s="106"/>
      <c r="AK255" s="104"/>
      <c r="AR255" s="104"/>
      <c r="AT255" s="227" t="s">
        <v>562</v>
      </c>
      <c r="AU255" s="226">
        <v>0.05</v>
      </c>
      <c r="AV255" s="221">
        <f>((AU255*0.5*1)*0.5*(16/12))*(1-0)</f>
        <v>1.6666666666666666E-2</v>
      </c>
      <c r="AW255" s="221">
        <f>((AU255*0.5*0.5)*0.5*(16/12))*(1-0)</f>
        <v>8.3333333333333332E-3</v>
      </c>
      <c r="AX255" s="221">
        <f>((AU255*0.5*0.8)*0.5*(16/12))*(1-0.1)</f>
        <v>1.2000000000000002E-2</v>
      </c>
      <c r="AY255" s="221">
        <f t="shared" ref="AY255:AY263" si="108">((AU255*0.5*0.4)*0.5*(16/12))*(1-0.1)</f>
        <v>6.000000000000001E-3</v>
      </c>
      <c r="AZ255" s="221">
        <f t="shared" ref="AZ255:AZ263" si="109">((AU255*0.5*0.6)*0.5*(16/12))*(1-0.1)</f>
        <v>8.9999999999999993E-3</v>
      </c>
      <c r="BA255" s="231">
        <f t="shared" si="106"/>
        <v>1.0400000000000001E-2</v>
      </c>
      <c r="BB255" s="231">
        <f t="shared" si="107"/>
        <v>4.1055517967205765E-3</v>
      </c>
      <c r="BC255" s="232">
        <f>1-((BA255-((BB255*2.78)/(SQRT(5))))/BA255)</f>
        <v>0.49079258210126586</v>
      </c>
      <c r="BF255" s="100" t="s">
        <v>478</v>
      </c>
      <c r="BG255" s="220">
        <f>AZ254</f>
        <v>2.9687399999999996E-2</v>
      </c>
      <c r="BH255" s="120" t="s">
        <v>97</v>
      </c>
      <c r="BI255" s="203" t="s">
        <v>574</v>
      </c>
      <c r="BJ255" s="190" t="s">
        <v>476</v>
      </c>
      <c r="BK255" s="196">
        <v>6.4999999999999997E-3</v>
      </c>
      <c r="BL255" s="190" t="s">
        <v>425</v>
      </c>
      <c r="BM255" s="189">
        <v>0.1</v>
      </c>
      <c r="BN255" s="189">
        <v>1</v>
      </c>
      <c r="BO255" s="188" t="s">
        <v>258</v>
      </c>
      <c r="BP255" s="190" t="s">
        <v>476</v>
      </c>
      <c r="BQ255" s="196">
        <v>1.4999999999999999E-4</v>
      </c>
      <c r="BR255" s="186" t="s">
        <v>426</v>
      </c>
      <c r="BS255" s="189">
        <v>0.1</v>
      </c>
      <c r="BT255" s="189">
        <v>1</v>
      </c>
      <c r="BU255" s="188" t="s">
        <v>258</v>
      </c>
      <c r="BV255" s="190" t="s">
        <v>476</v>
      </c>
      <c r="BW255" s="196">
        <v>1.38</v>
      </c>
      <c r="BX255" s="186" t="s">
        <v>571</v>
      </c>
      <c r="BY255" s="189">
        <v>0.1</v>
      </c>
      <c r="BZ255" s="189">
        <v>1</v>
      </c>
      <c r="CA255" s="188" t="s">
        <v>258</v>
      </c>
      <c r="CB255" s="180"/>
      <c r="CC255" s="178"/>
      <c r="CD255" s="178"/>
      <c r="CE255" s="180"/>
      <c r="CF255" s="180"/>
      <c r="CG255" s="180"/>
      <c r="CH255" s="180"/>
      <c r="CI255" s="178"/>
      <c r="CJ255" s="178"/>
      <c r="CK255" s="180"/>
      <c r="CL255" s="180"/>
      <c r="CM255" s="180"/>
      <c r="CN255" s="116"/>
      <c r="CO255" s="218">
        <f t="shared" si="101"/>
        <v>0.1</v>
      </c>
      <c r="CP255" s="100">
        <f t="shared" si="102"/>
        <v>0.55000000000000004</v>
      </c>
      <c r="CQ255" s="218">
        <f t="shared" si="103"/>
        <v>1</v>
      </c>
      <c r="CR255" s="101">
        <v>0.4</v>
      </c>
      <c r="CS255" s="101">
        <v>1</v>
      </c>
    </row>
    <row r="256" spans="1:97" s="101" customFormat="1" ht="29.25" hidden="1" thickBot="1" x14ac:dyDescent="0.3">
      <c r="A256" s="99"/>
      <c r="V256" s="103"/>
      <c r="AA256" s="104"/>
      <c r="AB256" s="104"/>
      <c r="AD256" s="104"/>
      <c r="AE256" s="105"/>
      <c r="AH256" s="106"/>
      <c r="AI256" s="106"/>
      <c r="AK256" s="104"/>
      <c r="AR256" s="104"/>
      <c r="AT256" s="227" t="s">
        <v>485</v>
      </c>
      <c r="AU256" s="226">
        <v>0.15</v>
      </c>
      <c r="AV256" s="221">
        <f>((AU256*0.5*1)*0.5*(16/12))*(1-0)</f>
        <v>4.9999999999999996E-2</v>
      </c>
      <c r="AW256" s="221">
        <f>((AU256*0.5*0.5)*0.5*(16/12))*(1-0)</f>
        <v>2.4999999999999998E-2</v>
      </c>
      <c r="AX256" s="221">
        <f>((AU256*0.5*0.8)*0.5*(16/12))*(1-0.1)</f>
        <v>3.5999999999999997E-2</v>
      </c>
      <c r="AY256" s="221">
        <f t="shared" si="108"/>
        <v>1.7999999999999999E-2</v>
      </c>
      <c r="AZ256" s="221">
        <f t="shared" si="109"/>
        <v>2.7E-2</v>
      </c>
      <c r="BA256" s="231">
        <f t="shared" si="106"/>
        <v>3.1199999999999995E-2</v>
      </c>
      <c r="BB256" s="231">
        <f t="shared" si="107"/>
        <v>1.2316655390161741E-2</v>
      </c>
      <c r="BC256" s="232">
        <f t="shared" ref="BC256:BC263" si="110">1-((BA256-((BB256*2.78)/(SQRT(5))))/BA256)</f>
        <v>0.49079258210126642</v>
      </c>
      <c r="BF256" s="220"/>
      <c r="BG256" s="220"/>
      <c r="BH256" s="120" t="s">
        <v>97</v>
      </c>
      <c r="BI256" s="203" t="s">
        <v>575</v>
      </c>
      <c r="BJ256" s="190" t="s">
        <v>476</v>
      </c>
      <c r="BK256" s="196">
        <v>5.6000000000000004E-7</v>
      </c>
      <c r="BL256" s="190" t="s">
        <v>425</v>
      </c>
      <c r="BM256" s="189">
        <v>0.1</v>
      </c>
      <c r="BN256" s="189">
        <v>1</v>
      </c>
      <c r="BO256" s="188" t="s">
        <v>258</v>
      </c>
      <c r="BP256" s="190" t="s">
        <v>476</v>
      </c>
      <c r="BQ256" s="196">
        <v>1E-4</v>
      </c>
      <c r="BR256" s="186" t="s">
        <v>426</v>
      </c>
      <c r="BS256" s="189">
        <v>0.1</v>
      </c>
      <c r="BT256" s="189">
        <v>1</v>
      </c>
      <c r="BU256" s="188" t="s">
        <v>258</v>
      </c>
      <c r="BV256" s="190" t="s">
        <v>476</v>
      </c>
      <c r="BW256" s="196">
        <v>0.56999999999999995</v>
      </c>
      <c r="BX256" s="186" t="s">
        <v>571</v>
      </c>
      <c r="BY256" s="189">
        <v>0.1</v>
      </c>
      <c r="BZ256" s="189">
        <v>1</v>
      </c>
      <c r="CA256" s="188" t="s">
        <v>258</v>
      </c>
      <c r="CB256" s="180"/>
      <c r="CC256" s="178"/>
      <c r="CD256" s="178"/>
      <c r="CE256" s="180"/>
      <c r="CF256" s="180"/>
      <c r="CG256" s="180"/>
      <c r="CH256" s="180"/>
      <c r="CI256" s="178"/>
      <c r="CJ256" s="178"/>
      <c r="CK256" s="180"/>
      <c r="CL256" s="180"/>
      <c r="CM256" s="180"/>
      <c r="CN256" s="116"/>
      <c r="CO256" s="218">
        <f t="shared" si="101"/>
        <v>0.1</v>
      </c>
      <c r="CP256" s="100">
        <f t="shared" si="102"/>
        <v>0.55000000000000004</v>
      </c>
      <c r="CQ256" s="218">
        <f t="shared" si="103"/>
        <v>1</v>
      </c>
      <c r="CR256" s="101">
        <v>0.4</v>
      </c>
      <c r="CS256" s="101">
        <v>1</v>
      </c>
    </row>
    <row r="257" spans="1:113" s="101" customFormat="1" ht="29.25" hidden="1" thickBot="1" x14ac:dyDescent="0.3">
      <c r="A257" s="99"/>
      <c r="V257" s="103"/>
      <c r="AA257" s="104"/>
      <c r="AB257" s="104"/>
      <c r="AD257" s="104"/>
      <c r="AE257" s="105"/>
      <c r="AH257" s="106"/>
      <c r="AI257" s="106"/>
      <c r="AK257" s="104"/>
      <c r="AR257" s="104"/>
      <c r="AT257" s="227" t="s">
        <v>488</v>
      </c>
      <c r="AU257" s="226">
        <v>0.15</v>
      </c>
      <c r="AV257" s="221">
        <f t="shared" ref="AV257:AV263" si="111">((AU257*0.5*1)*0.5*(16/12))*(1-0)</f>
        <v>4.9999999999999996E-2</v>
      </c>
      <c r="AW257" s="221">
        <f t="shared" ref="AW257:AW263" si="112">((AU257*0.5*0.5)*0.5*(16/12))*(1-0)</f>
        <v>2.4999999999999998E-2</v>
      </c>
      <c r="AX257" s="221">
        <f t="shared" ref="AX257:AX263" si="113">((AU257*0.5*0.8)*0.5*(16/12))*(1-0.1)</f>
        <v>3.5999999999999997E-2</v>
      </c>
      <c r="AY257" s="221">
        <f t="shared" si="108"/>
        <v>1.7999999999999999E-2</v>
      </c>
      <c r="AZ257" s="221">
        <f t="shared" si="109"/>
        <v>2.7E-2</v>
      </c>
      <c r="BA257" s="231">
        <f t="shared" si="106"/>
        <v>3.1199999999999995E-2</v>
      </c>
      <c r="BB257" s="231">
        <f t="shared" si="107"/>
        <v>1.2316655390161741E-2</v>
      </c>
      <c r="BC257" s="232">
        <f t="shared" si="110"/>
        <v>0.49079258210126642</v>
      </c>
      <c r="BE257" s="220"/>
      <c r="BF257" s="220"/>
      <c r="BH257" s="120" t="s">
        <v>97</v>
      </c>
      <c r="BI257" s="203" t="s">
        <v>599</v>
      </c>
      <c r="BJ257" s="190" t="s">
        <v>476</v>
      </c>
      <c r="BK257" s="196">
        <v>5.6000000000000004E-7</v>
      </c>
      <c r="BL257" s="190" t="s">
        <v>425</v>
      </c>
      <c r="BM257" s="189">
        <v>0.1</v>
      </c>
      <c r="BN257" s="189">
        <v>1</v>
      </c>
      <c r="BO257" s="188" t="s">
        <v>258</v>
      </c>
      <c r="BP257" s="190" t="s">
        <v>476</v>
      </c>
      <c r="BQ257" s="196">
        <v>4.2000000000000002E-4</v>
      </c>
      <c r="BR257" s="186" t="s">
        <v>426</v>
      </c>
      <c r="BS257" s="189">
        <v>0.1</v>
      </c>
      <c r="BT257" s="189">
        <v>1</v>
      </c>
      <c r="BU257" s="188" t="s">
        <v>258</v>
      </c>
      <c r="BV257" s="190" t="s">
        <v>476</v>
      </c>
      <c r="BW257" s="196">
        <v>0.17</v>
      </c>
      <c r="BX257" s="186" t="s">
        <v>571</v>
      </c>
      <c r="BY257" s="189">
        <v>0.1</v>
      </c>
      <c r="BZ257" s="189">
        <v>1</v>
      </c>
      <c r="CA257" s="188" t="s">
        <v>258</v>
      </c>
      <c r="CB257" s="180"/>
      <c r="CC257" s="178"/>
      <c r="CD257" s="178"/>
      <c r="CE257" s="180"/>
      <c r="CF257" s="180"/>
      <c r="CG257" s="180"/>
      <c r="CH257" s="180"/>
      <c r="CI257" s="178"/>
      <c r="CJ257" s="178"/>
      <c r="CK257" s="180"/>
      <c r="CL257" s="180"/>
      <c r="CM257" s="180"/>
      <c r="CN257" s="116"/>
      <c r="CO257" s="218">
        <f t="shared" si="101"/>
        <v>0.1</v>
      </c>
      <c r="CP257" s="100">
        <f t="shared" si="102"/>
        <v>0.55000000000000004</v>
      </c>
      <c r="CQ257" s="218">
        <f t="shared" si="103"/>
        <v>1</v>
      </c>
      <c r="CR257" s="101">
        <v>0.4</v>
      </c>
      <c r="CS257" s="101">
        <v>1</v>
      </c>
    </row>
    <row r="258" spans="1:113" s="101" customFormat="1" ht="29.25" hidden="1" thickBot="1" x14ac:dyDescent="0.3">
      <c r="A258" s="99"/>
      <c r="V258" s="103"/>
      <c r="AA258" s="104"/>
      <c r="AB258" s="104"/>
      <c r="AD258" s="104"/>
      <c r="AE258" s="105"/>
      <c r="AH258" s="106"/>
      <c r="AI258" s="106"/>
      <c r="AK258" s="104"/>
      <c r="AR258" s="104"/>
      <c r="AT258" s="227" t="s">
        <v>487</v>
      </c>
      <c r="AU258" s="226">
        <v>0.24</v>
      </c>
      <c r="AV258" s="221">
        <f t="shared" si="111"/>
        <v>7.9999999999999988E-2</v>
      </c>
      <c r="AW258" s="221">
        <f t="shared" si="112"/>
        <v>3.9999999999999994E-2</v>
      </c>
      <c r="AX258" s="221">
        <f t="shared" si="113"/>
        <v>5.7600000000000005E-2</v>
      </c>
      <c r="AY258" s="221">
        <f t="shared" si="108"/>
        <v>2.8800000000000003E-2</v>
      </c>
      <c r="AZ258" s="221">
        <f t="shared" si="109"/>
        <v>4.3199999999999995E-2</v>
      </c>
      <c r="BA258" s="231">
        <f t="shared" si="106"/>
        <v>4.9919999999999992E-2</v>
      </c>
      <c r="BB258" s="231">
        <f t="shared" si="107"/>
        <v>1.9706648624258784E-2</v>
      </c>
      <c r="BC258" s="232">
        <f t="shared" si="110"/>
        <v>0.49079258210126631</v>
      </c>
      <c r="BE258" s="220"/>
      <c r="BF258" s="220"/>
      <c r="BH258" s="120" t="s">
        <v>97</v>
      </c>
      <c r="BI258" s="203" t="s">
        <v>600</v>
      </c>
      <c r="BJ258" s="190" t="s">
        <v>476</v>
      </c>
      <c r="BK258" s="196">
        <v>9.7000000000000003E-6</v>
      </c>
      <c r="BL258" s="190" t="s">
        <v>425</v>
      </c>
      <c r="BM258" s="189">
        <v>0.1</v>
      </c>
      <c r="BN258" s="189">
        <v>1</v>
      </c>
      <c r="BO258" s="188" t="s">
        <v>258</v>
      </c>
      <c r="BP258" s="190" t="s">
        <v>476</v>
      </c>
      <c r="BQ258" s="196">
        <v>8.9999999999999998E-4</v>
      </c>
      <c r="BR258" s="186" t="s">
        <v>426</v>
      </c>
      <c r="BS258" s="189">
        <v>0.1</v>
      </c>
      <c r="BT258" s="189">
        <v>1</v>
      </c>
      <c r="BU258" s="188" t="s">
        <v>258</v>
      </c>
      <c r="BV258" s="190" t="s">
        <v>476</v>
      </c>
      <c r="BW258" s="196">
        <v>0.57999999999999996</v>
      </c>
      <c r="BX258" s="186" t="s">
        <v>571</v>
      </c>
      <c r="BY258" s="189">
        <v>0.1</v>
      </c>
      <c r="BZ258" s="189">
        <v>1</v>
      </c>
      <c r="CA258" s="188" t="s">
        <v>258</v>
      </c>
      <c r="CB258" s="180"/>
      <c r="CC258" s="178"/>
      <c r="CD258" s="178"/>
      <c r="CE258" s="180"/>
      <c r="CF258" s="180"/>
      <c r="CG258" s="180"/>
      <c r="CH258" s="180"/>
      <c r="CI258" s="178"/>
      <c r="CJ258" s="178"/>
      <c r="CK258" s="180"/>
      <c r="CL258" s="180"/>
      <c r="CM258" s="180"/>
      <c r="CN258" s="116"/>
      <c r="CO258" s="218">
        <f t="shared" si="101"/>
        <v>0.1</v>
      </c>
      <c r="CP258" s="100">
        <f t="shared" si="102"/>
        <v>0.55000000000000004</v>
      </c>
      <c r="CQ258" s="218">
        <f t="shared" si="103"/>
        <v>1</v>
      </c>
      <c r="CR258" s="101">
        <v>0.4</v>
      </c>
      <c r="CS258" s="101">
        <v>1</v>
      </c>
    </row>
    <row r="259" spans="1:113" s="101" customFormat="1" ht="29.25" hidden="1" thickBot="1" x14ac:dyDescent="0.3">
      <c r="A259" s="99"/>
      <c r="V259" s="103"/>
      <c r="AA259" s="104"/>
      <c r="AB259" s="104"/>
      <c r="AD259" s="104"/>
      <c r="AE259" s="105"/>
      <c r="AH259" s="106"/>
      <c r="AI259" s="106"/>
      <c r="AK259" s="104"/>
      <c r="AR259" s="104"/>
      <c r="AT259" s="227" t="s">
        <v>489</v>
      </c>
      <c r="AU259" s="226">
        <v>0.43</v>
      </c>
      <c r="AV259" s="221">
        <f t="shared" si="111"/>
        <v>0.14333333333333331</v>
      </c>
      <c r="AW259" s="221">
        <f t="shared" si="112"/>
        <v>7.1666666666666656E-2</v>
      </c>
      <c r="AX259" s="221">
        <f t="shared" si="113"/>
        <v>0.1032</v>
      </c>
      <c r="AY259" s="221">
        <f t="shared" si="108"/>
        <v>5.16E-2</v>
      </c>
      <c r="AZ259" s="221">
        <f t="shared" si="109"/>
        <v>7.7399999999999997E-2</v>
      </c>
      <c r="BA259" s="231">
        <f t="shared" si="106"/>
        <v>8.9439999999999992E-2</v>
      </c>
      <c r="BB259" s="231">
        <f t="shared" si="107"/>
        <v>3.5307745451796956E-2</v>
      </c>
      <c r="BC259" s="232">
        <f t="shared" si="110"/>
        <v>0.49079258210126586</v>
      </c>
      <c r="BE259" s="220"/>
      <c r="BF259" s="220"/>
      <c r="BH259" s="120" t="s">
        <v>97</v>
      </c>
      <c r="BI259" s="203" t="s">
        <v>576</v>
      </c>
      <c r="BJ259" s="190" t="s">
        <v>476</v>
      </c>
      <c r="BK259" s="196">
        <v>9.7000000000000003E-6</v>
      </c>
      <c r="BL259" s="190" t="s">
        <v>425</v>
      </c>
      <c r="BM259" s="189">
        <v>0.1</v>
      </c>
      <c r="BN259" s="189">
        <v>1</v>
      </c>
      <c r="BO259" s="188" t="s">
        <v>258</v>
      </c>
      <c r="BP259" s="190" t="s">
        <v>476</v>
      </c>
      <c r="BQ259" s="196">
        <v>4.4999999999999999E-4</v>
      </c>
      <c r="BR259" s="186" t="s">
        <v>426</v>
      </c>
      <c r="BS259" s="189">
        <v>0.1</v>
      </c>
      <c r="BT259" s="189">
        <v>1</v>
      </c>
      <c r="BU259" s="188" t="s">
        <v>258</v>
      </c>
      <c r="BV259" s="190" t="s">
        <v>476</v>
      </c>
      <c r="BW259" s="196">
        <v>1.47</v>
      </c>
      <c r="BX259" s="186" t="s">
        <v>571</v>
      </c>
      <c r="BY259" s="189">
        <v>0.1</v>
      </c>
      <c r="BZ259" s="189">
        <v>1</v>
      </c>
      <c r="CA259" s="188" t="s">
        <v>258</v>
      </c>
      <c r="CB259" s="180"/>
      <c r="CC259" s="178"/>
      <c r="CD259" s="178"/>
      <c r="CE259" s="180"/>
      <c r="CF259" s="180"/>
      <c r="CG259" s="180"/>
      <c r="CH259" s="180"/>
      <c r="CI259" s="178"/>
      <c r="CJ259" s="178"/>
      <c r="CK259" s="180"/>
      <c r="CL259" s="180"/>
      <c r="CM259" s="180"/>
      <c r="CN259" s="116"/>
      <c r="CO259" s="218">
        <f t="shared" si="101"/>
        <v>0.1</v>
      </c>
      <c r="CP259" s="100">
        <f t="shared" si="102"/>
        <v>0.55000000000000004</v>
      </c>
      <c r="CQ259" s="218">
        <f t="shared" si="103"/>
        <v>1</v>
      </c>
      <c r="CR259" s="101">
        <v>0.4</v>
      </c>
      <c r="CS259" s="101">
        <v>1</v>
      </c>
    </row>
    <row r="260" spans="1:113" s="101" customFormat="1" hidden="1" x14ac:dyDescent="0.25">
      <c r="A260" s="99"/>
      <c r="V260" s="103"/>
      <c r="AA260" s="104"/>
      <c r="AB260" s="104"/>
      <c r="AD260" s="104"/>
      <c r="AE260" s="105"/>
      <c r="AH260" s="106"/>
      <c r="AI260" s="106"/>
      <c r="AK260" s="104"/>
      <c r="AR260" s="104"/>
      <c r="AT260" s="227" t="s">
        <v>490</v>
      </c>
      <c r="AU260" s="226">
        <v>0.4</v>
      </c>
      <c r="AV260" s="221">
        <f t="shared" si="111"/>
        <v>0.13333333333333333</v>
      </c>
      <c r="AW260" s="221">
        <f t="shared" si="112"/>
        <v>6.6666666666666666E-2</v>
      </c>
      <c r="AX260" s="221">
        <f t="shared" si="113"/>
        <v>9.6000000000000016E-2</v>
      </c>
      <c r="AY260" s="221">
        <f t="shared" si="108"/>
        <v>4.8000000000000008E-2</v>
      </c>
      <c r="AZ260" s="221">
        <f t="shared" si="109"/>
        <v>7.1999999999999995E-2</v>
      </c>
      <c r="BA260" s="231">
        <f t="shared" si="106"/>
        <v>8.320000000000001E-2</v>
      </c>
      <c r="BB260" s="231">
        <f t="shared" si="107"/>
        <v>3.2844414373764612E-2</v>
      </c>
      <c r="BC260" s="232">
        <f t="shared" si="110"/>
        <v>0.49079258210126586</v>
      </c>
      <c r="BE260" s="220"/>
      <c r="BF260" s="220"/>
      <c r="BH260" s="99"/>
      <c r="BI260" s="102"/>
      <c r="BJ260" s="178"/>
      <c r="BK260" s="178"/>
      <c r="BL260" s="178"/>
      <c r="BM260" s="169"/>
      <c r="BN260" s="169"/>
      <c r="BO260" s="169"/>
      <c r="BP260" s="178"/>
      <c r="BQ260" s="178"/>
      <c r="BR260" s="178"/>
      <c r="BS260" s="178"/>
      <c r="BT260" s="178"/>
      <c r="BU260" s="178"/>
      <c r="BV260" s="180"/>
      <c r="BW260" s="178"/>
      <c r="BX260" s="178"/>
      <c r="BY260" s="180"/>
      <c r="BZ260" s="180"/>
      <c r="CA260" s="180"/>
      <c r="CB260" s="180"/>
      <c r="CC260" s="178"/>
      <c r="CD260" s="178"/>
      <c r="CE260" s="180"/>
      <c r="CF260" s="180"/>
      <c r="CG260" s="180"/>
      <c r="CH260" s="180"/>
      <c r="CI260" s="178"/>
      <c r="CJ260" s="178"/>
      <c r="CK260" s="180"/>
      <c r="CL260" s="180"/>
      <c r="CM260" s="180"/>
      <c r="CN260" s="116"/>
      <c r="CO260" s="218">
        <f t="shared" si="101"/>
        <v>0</v>
      </c>
      <c r="CP260" s="100">
        <f t="shared" si="102"/>
        <v>0</v>
      </c>
      <c r="CQ260" s="218">
        <f t="shared" si="103"/>
        <v>0</v>
      </c>
    </row>
    <row r="261" spans="1:113" s="101" customFormat="1" ht="18.75" hidden="1" thickBot="1" x14ac:dyDescent="0.3">
      <c r="A261" s="99"/>
      <c r="V261" s="103"/>
      <c r="AA261" s="104"/>
      <c r="AB261" s="104"/>
      <c r="AD261" s="104"/>
      <c r="AE261" s="105"/>
      <c r="AH261" s="106"/>
      <c r="AI261" s="106"/>
      <c r="AK261" s="104"/>
      <c r="AR261" s="104"/>
      <c r="AT261" s="227" t="s">
        <v>491</v>
      </c>
      <c r="AU261" s="226">
        <v>0.39</v>
      </c>
      <c r="AV261" s="221">
        <f t="shared" si="111"/>
        <v>0.13</v>
      </c>
      <c r="AW261" s="221">
        <f t="shared" si="112"/>
        <v>6.5000000000000002E-2</v>
      </c>
      <c r="AX261" s="221">
        <f t="shared" si="113"/>
        <v>9.3600000000000017E-2</v>
      </c>
      <c r="AY261" s="221">
        <f t="shared" si="108"/>
        <v>4.6800000000000008E-2</v>
      </c>
      <c r="AZ261" s="221">
        <f t="shared" si="109"/>
        <v>7.0199999999999985E-2</v>
      </c>
      <c r="BA261" s="231">
        <f t="shared" si="106"/>
        <v>8.1119999999999998E-2</v>
      </c>
      <c r="BB261" s="231">
        <f t="shared" si="107"/>
        <v>3.2023304014420516E-2</v>
      </c>
      <c r="BC261" s="232">
        <f t="shared" si="110"/>
        <v>0.49079258210126619</v>
      </c>
      <c r="BE261" s="219"/>
      <c r="BH261" s="99"/>
      <c r="BI261" s="102"/>
      <c r="BJ261" s="178"/>
      <c r="BK261" s="178"/>
      <c r="BL261" s="178"/>
      <c r="BM261" s="169"/>
      <c r="BN261" s="169"/>
      <c r="BO261" s="169"/>
      <c r="BP261" s="178"/>
      <c r="BQ261" s="178"/>
      <c r="BR261" s="178"/>
      <c r="BS261" s="178"/>
      <c r="BT261" s="178"/>
      <c r="BU261" s="178"/>
      <c r="BV261" s="180"/>
      <c r="BW261" s="178"/>
      <c r="BX261" s="178"/>
      <c r="BY261" s="180"/>
      <c r="BZ261" s="180"/>
      <c r="CA261" s="180"/>
      <c r="CB261" s="102"/>
      <c r="CC261" s="102"/>
      <c r="CD261" s="102"/>
      <c r="CE261" s="102"/>
      <c r="CF261" s="102"/>
      <c r="CG261" s="102"/>
      <c r="CH261" s="102"/>
      <c r="CI261" s="102"/>
      <c r="CJ261" s="102"/>
      <c r="CK261" s="102"/>
      <c r="CL261" s="102"/>
      <c r="CM261" s="102"/>
      <c r="CO261" s="218">
        <f t="shared" si="101"/>
        <v>0</v>
      </c>
      <c r="CP261" s="100">
        <f t="shared" si="102"/>
        <v>0</v>
      </c>
      <c r="CQ261" s="218">
        <f t="shared" si="103"/>
        <v>0</v>
      </c>
      <c r="DC261" s="116" t="s">
        <v>377</v>
      </c>
      <c r="DD261" s="116" t="s">
        <v>378</v>
      </c>
      <c r="DF261" s="116" t="s">
        <v>388</v>
      </c>
      <c r="DG261" s="116"/>
      <c r="DH261" s="116"/>
      <c r="DI261" s="116"/>
    </row>
    <row r="262" spans="1:113" s="101" customFormat="1" ht="33" hidden="1" customHeight="1" x14ac:dyDescent="0.25">
      <c r="A262" s="99"/>
      <c r="V262" s="103"/>
      <c r="AA262" s="104"/>
      <c r="AB262" s="104"/>
      <c r="AD262" s="104"/>
      <c r="AE262" s="105"/>
      <c r="AH262" s="106"/>
      <c r="AI262" s="106"/>
      <c r="AK262" s="104"/>
      <c r="AR262" s="104"/>
      <c r="AT262" s="227" t="s">
        <v>499</v>
      </c>
      <c r="AU262" s="226">
        <v>0.04</v>
      </c>
      <c r="AV262" s="221">
        <f t="shared" si="111"/>
        <v>1.3333333333333332E-2</v>
      </c>
      <c r="AW262" s="221">
        <f t="shared" si="112"/>
        <v>6.6666666666666662E-3</v>
      </c>
      <c r="AX262" s="221">
        <f t="shared" si="113"/>
        <v>9.5999999999999992E-3</v>
      </c>
      <c r="AY262" s="221">
        <f t="shared" si="108"/>
        <v>4.7999999999999996E-3</v>
      </c>
      <c r="AZ262" s="221">
        <f t="shared" si="109"/>
        <v>7.2000000000000007E-3</v>
      </c>
      <c r="BA262" s="231">
        <f t="shared" si="106"/>
        <v>8.3199999999999975E-3</v>
      </c>
      <c r="BB262" s="231">
        <f t="shared" si="107"/>
        <v>3.2844414373764635E-3</v>
      </c>
      <c r="BC262" s="232">
        <f t="shared" si="110"/>
        <v>0.49079258210126642</v>
      </c>
      <c r="BE262" s="104"/>
      <c r="BH262" s="99"/>
      <c r="BI262" s="1606" t="s">
        <v>334</v>
      </c>
      <c r="BJ262" s="1606" t="s">
        <v>253</v>
      </c>
      <c r="BK262" s="1606" t="s">
        <v>279</v>
      </c>
      <c r="BL262" s="251"/>
      <c r="BM262" s="1606" t="s">
        <v>233</v>
      </c>
      <c r="BN262" s="1606" t="s">
        <v>233</v>
      </c>
      <c r="BO262" s="1606" t="s">
        <v>240</v>
      </c>
      <c r="BP262" s="178"/>
      <c r="BQ262" s="178"/>
      <c r="BR262" s="178"/>
      <c r="BS262" s="178"/>
      <c r="BT262" s="178"/>
      <c r="BU262" s="178"/>
      <c r="BV262" s="180"/>
      <c r="BW262" s="178"/>
      <c r="BX262" s="178"/>
      <c r="BY262" s="180"/>
      <c r="BZ262" s="180"/>
      <c r="CA262" s="180"/>
      <c r="CB262" s="102"/>
      <c r="CC262" s="102"/>
      <c r="CD262" s="102"/>
      <c r="CE262" s="102"/>
      <c r="CF262" s="102"/>
      <c r="CG262" s="102"/>
      <c r="CH262" s="102"/>
      <c r="CI262" s="102"/>
      <c r="CJ262" s="102"/>
      <c r="CK262" s="102"/>
      <c r="CL262" s="102"/>
      <c r="CM262" s="102"/>
      <c r="CO262" s="218" t="str">
        <f t="shared" ref="CO262:CO325" si="114">BM262</f>
        <v>Incertidumbre (+/- %)</v>
      </c>
      <c r="CP262" s="100" t="e">
        <f t="shared" ref="CP262:CP325" si="115">(CO262+CQ262)/2</f>
        <v>#VALUE!</v>
      </c>
      <c r="CQ262" s="218" t="str">
        <f t="shared" ref="CQ262:CQ325" si="116">BN262</f>
        <v>Incertidumbre (+/- %)</v>
      </c>
      <c r="DA262" s="101">
        <v>0</v>
      </c>
      <c r="DC262" s="116" t="s">
        <v>99</v>
      </c>
      <c r="DD262" s="116" t="s">
        <v>98</v>
      </c>
      <c r="DF262" s="116" t="s">
        <v>98</v>
      </c>
      <c r="DG262" s="116"/>
      <c r="DH262" s="116"/>
      <c r="DI262" s="116"/>
    </row>
    <row r="263" spans="1:113" s="101" customFormat="1" ht="15.75" hidden="1" thickBot="1" x14ac:dyDescent="0.3">
      <c r="A263" s="99"/>
      <c r="V263" s="103"/>
      <c r="AA263" s="104"/>
      <c r="AB263" s="104"/>
      <c r="AD263" s="104"/>
      <c r="AE263" s="105"/>
      <c r="AH263" s="106"/>
      <c r="AI263" s="106"/>
      <c r="AK263" s="104"/>
      <c r="AR263" s="104"/>
      <c r="AT263" s="227" t="s">
        <v>492</v>
      </c>
      <c r="AU263" s="226">
        <v>0.01</v>
      </c>
      <c r="AV263" s="221">
        <f t="shared" si="111"/>
        <v>3.3333333333333331E-3</v>
      </c>
      <c r="AW263" s="221">
        <f t="shared" si="112"/>
        <v>1.6666666666666666E-3</v>
      </c>
      <c r="AX263" s="221">
        <f t="shared" si="113"/>
        <v>2.3999999999999998E-3</v>
      </c>
      <c r="AY263" s="221">
        <f t="shared" si="108"/>
        <v>1.1999999999999999E-3</v>
      </c>
      <c r="AZ263" s="221">
        <f t="shared" si="109"/>
        <v>1.8000000000000002E-3</v>
      </c>
      <c r="BA263" s="231">
        <f t="shared" si="106"/>
        <v>2.0799999999999994E-3</v>
      </c>
      <c r="BB263" s="231">
        <f t="shared" si="107"/>
        <v>8.2111035934411534E-4</v>
      </c>
      <c r="BC263" s="232">
        <f t="shared" si="110"/>
        <v>0.49079258210126597</v>
      </c>
      <c r="BE263" s="104"/>
      <c r="BH263" s="99"/>
      <c r="BI263" s="1607"/>
      <c r="BJ263" s="1607"/>
      <c r="BK263" s="1607"/>
      <c r="BL263" s="252" t="s">
        <v>251</v>
      </c>
      <c r="BM263" s="1607"/>
      <c r="BN263" s="1607"/>
      <c r="BO263" s="1607"/>
      <c r="BP263" s="178"/>
      <c r="BQ263" s="178"/>
      <c r="BR263" s="178"/>
      <c r="BS263" s="178"/>
      <c r="BT263" s="178"/>
      <c r="BU263" s="178"/>
      <c r="BV263" s="180"/>
      <c r="BW263" s="178"/>
      <c r="BX263" s="178"/>
      <c r="BY263" s="180"/>
      <c r="BZ263" s="180"/>
      <c r="CA263" s="180"/>
      <c r="CB263" s="102"/>
      <c r="CC263" s="102"/>
      <c r="CD263" s="102"/>
      <c r="CE263" s="102"/>
      <c r="CF263" s="102"/>
      <c r="CG263" s="102"/>
      <c r="CH263" s="102"/>
      <c r="CI263" s="102"/>
      <c r="CJ263" s="102"/>
      <c r="CK263" s="102"/>
      <c r="CL263" s="102"/>
      <c r="CM263" s="102"/>
      <c r="CO263" s="218">
        <f t="shared" si="114"/>
        <v>0</v>
      </c>
      <c r="CP263" s="100">
        <f t="shared" si="115"/>
        <v>0</v>
      </c>
      <c r="CQ263" s="218">
        <f t="shared" si="116"/>
        <v>0</v>
      </c>
      <c r="DA263" s="101">
        <v>0</v>
      </c>
      <c r="DC263" s="116">
        <v>0</v>
      </c>
      <c r="DD263" s="116">
        <v>0</v>
      </c>
      <c r="DF263" s="116">
        <v>0</v>
      </c>
      <c r="DG263" s="116"/>
      <c r="DH263" s="116"/>
      <c r="DI263" s="116"/>
    </row>
    <row r="264" spans="1:113" s="101" customFormat="1" ht="39" hidden="1" customHeight="1" thickBot="1" x14ac:dyDescent="0.3">
      <c r="A264" s="99"/>
      <c r="V264" s="103"/>
      <c r="AA264" s="104"/>
      <c r="AB264" s="104"/>
      <c r="AD264" s="104"/>
      <c r="AE264" s="105"/>
      <c r="AH264" s="106"/>
      <c r="AI264" s="106"/>
      <c r="AK264" s="104"/>
      <c r="AR264" s="104"/>
      <c r="AT264" s="100"/>
      <c r="AU264" s="233" t="s">
        <v>119</v>
      </c>
      <c r="AV264" s="234">
        <f>AVERAGE(AV254:AV263)</f>
        <v>6.749766666666665E-2</v>
      </c>
      <c r="AW264" s="234">
        <f>AVERAGE(AW254:AW263)</f>
        <v>3.3748833333333325E-2</v>
      </c>
      <c r="AX264" s="234">
        <f>AVERAGE(AX254:AX263)</f>
        <v>4.8598320000000007E-2</v>
      </c>
      <c r="AY264" s="234">
        <f>AVERAGE(AY254:AY263)</f>
        <v>2.4299160000000004E-2</v>
      </c>
      <c r="AZ264" s="234">
        <f>AVERAGE(AZ254:AZ263)</f>
        <v>3.6448739999999993E-2</v>
      </c>
      <c r="BB264" s="104"/>
      <c r="BC264" s="104"/>
      <c r="BE264" s="104"/>
      <c r="BH264" s="120" t="s">
        <v>54</v>
      </c>
      <c r="BI264" s="203" t="s">
        <v>500</v>
      </c>
      <c r="BJ264" s="190" t="s">
        <v>100</v>
      </c>
      <c r="BK264" s="196">
        <v>84.62</v>
      </c>
      <c r="BL264" s="190" t="s">
        <v>413</v>
      </c>
      <c r="BM264" s="189">
        <v>0.2</v>
      </c>
      <c r="BN264" s="189">
        <v>0.5</v>
      </c>
      <c r="BO264" s="188" t="s">
        <v>462</v>
      </c>
      <c r="BP264" s="178"/>
      <c r="BQ264" s="196">
        <v>1425</v>
      </c>
      <c r="BR264" s="190" t="s">
        <v>414</v>
      </c>
      <c r="BS264" s="178"/>
      <c r="BT264" s="178"/>
      <c r="BU264" s="178"/>
      <c r="BV264" s="180"/>
      <c r="BW264" s="178"/>
      <c r="BX264" s="178"/>
      <c r="BY264" s="180"/>
      <c r="BZ264" s="180"/>
      <c r="CA264" s="180"/>
      <c r="CB264" s="102"/>
      <c r="CC264" s="102"/>
      <c r="CD264" s="102"/>
      <c r="CE264" s="102"/>
      <c r="CF264" s="102"/>
      <c r="CG264" s="102"/>
      <c r="CH264" s="102"/>
      <c r="CI264" s="102"/>
      <c r="CJ264" s="102"/>
      <c r="CK264" s="102"/>
      <c r="CL264" s="102"/>
      <c r="CM264" s="102"/>
      <c r="CO264" s="218">
        <f t="shared" si="114"/>
        <v>0.2</v>
      </c>
      <c r="CP264" s="100">
        <f t="shared" si="115"/>
        <v>0.35</v>
      </c>
      <c r="CQ264" s="218">
        <f t="shared" si="116"/>
        <v>0.5</v>
      </c>
      <c r="CR264" s="101">
        <v>0.2</v>
      </c>
      <c r="CS264" s="101">
        <v>0.5</v>
      </c>
      <c r="CZ264" s="101" t="s">
        <v>54</v>
      </c>
      <c r="DA264" s="101" t="s">
        <v>57</v>
      </c>
      <c r="DB264" s="101" t="s">
        <v>100</v>
      </c>
      <c r="DC264" s="116">
        <v>57</v>
      </c>
      <c r="DD264" s="141">
        <f>+DC264*21</f>
        <v>1197</v>
      </c>
      <c r="DE264" s="116" t="s">
        <v>375</v>
      </c>
      <c r="DF264" s="116">
        <f t="shared" ref="DF264:DF280" si="117">+DC264*25</f>
        <v>1425</v>
      </c>
      <c r="DG264" s="116"/>
      <c r="DH264" s="116"/>
      <c r="DI264" s="116"/>
    </row>
    <row r="265" spans="1:113" s="101" customFormat="1" ht="39" hidden="1" customHeight="1" thickBot="1" x14ac:dyDescent="0.3">
      <c r="A265" s="99"/>
      <c r="V265" s="103"/>
      <c r="AA265" s="104"/>
      <c r="AB265" s="104"/>
      <c r="AD265" s="104"/>
      <c r="AE265" s="105"/>
      <c r="AH265" s="106"/>
      <c r="AI265" s="106"/>
      <c r="AK265" s="104"/>
      <c r="AR265" s="104"/>
      <c r="AT265" s="100"/>
      <c r="AU265" s="233" t="s">
        <v>503</v>
      </c>
      <c r="AV265" s="233">
        <f>STDEV(AV254:AV263)</f>
        <v>5.2230230403710561E-2</v>
      </c>
      <c r="AW265" s="233">
        <f>STDEV(AW254:AW263)</f>
        <v>2.611511520185528E-2</v>
      </c>
      <c r="AX265" s="233">
        <f>STDEV(AX254:AX263)</f>
        <v>3.7605765890671605E-2</v>
      </c>
      <c r="AY265" s="233">
        <f>STDEV(AY254:AY263)</f>
        <v>1.8802882945335803E-2</v>
      </c>
      <c r="AZ265" s="233">
        <f>STDEV(AZ254:AZ263)</f>
        <v>2.8204324418003707E-2</v>
      </c>
      <c r="BB265" s="104"/>
      <c r="BC265" s="104"/>
      <c r="BE265" s="104"/>
      <c r="BH265" s="120"/>
      <c r="BI265" s="203" t="s">
        <v>501</v>
      </c>
      <c r="BJ265" s="190" t="s">
        <v>100</v>
      </c>
      <c r="BK265" s="196">
        <v>60.44</v>
      </c>
      <c r="BL265" s="190" t="s">
        <v>413</v>
      </c>
      <c r="BM265" s="189">
        <v>0.2</v>
      </c>
      <c r="BN265" s="189">
        <v>0.5</v>
      </c>
      <c r="BO265" s="188" t="s">
        <v>462</v>
      </c>
      <c r="BP265" s="178"/>
      <c r="BQ265" s="196"/>
      <c r="BR265" s="190"/>
      <c r="BS265" s="178"/>
      <c r="BT265" s="178"/>
      <c r="BU265" s="178"/>
      <c r="BV265" s="180"/>
      <c r="BW265" s="178"/>
      <c r="BX265" s="178"/>
      <c r="BY265" s="180"/>
      <c r="BZ265" s="180"/>
      <c r="CA265" s="180"/>
      <c r="CB265" s="102"/>
      <c r="CC265" s="102"/>
      <c r="CD265" s="102"/>
      <c r="CE265" s="102"/>
      <c r="CF265" s="102"/>
      <c r="CG265" s="102"/>
      <c r="CH265" s="102"/>
      <c r="CI265" s="102"/>
      <c r="CJ265" s="102"/>
      <c r="CK265" s="102"/>
      <c r="CL265" s="102"/>
      <c r="CM265" s="102"/>
      <c r="CO265" s="218">
        <f t="shared" si="114"/>
        <v>0.2</v>
      </c>
      <c r="CP265" s="100">
        <f t="shared" si="115"/>
        <v>0.35</v>
      </c>
      <c r="CQ265" s="218">
        <f t="shared" si="116"/>
        <v>0.5</v>
      </c>
      <c r="DC265" s="116"/>
      <c r="DD265" s="141"/>
      <c r="DE265" s="116"/>
      <c r="DF265" s="116"/>
      <c r="DG265" s="116"/>
      <c r="DH265" s="116"/>
      <c r="DI265" s="116"/>
    </row>
    <row r="266" spans="1:113" s="101" customFormat="1" ht="39" hidden="1" customHeight="1" thickBot="1" x14ac:dyDescent="0.3">
      <c r="A266" s="99"/>
      <c r="V266" s="103"/>
      <c r="AA266" s="104"/>
      <c r="AB266" s="104"/>
      <c r="AD266" s="104"/>
      <c r="AE266" s="105"/>
      <c r="AH266" s="106"/>
      <c r="AI266" s="106"/>
      <c r="AK266" s="104"/>
      <c r="AR266" s="104"/>
      <c r="AU266" s="233" t="s">
        <v>117</v>
      </c>
      <c r="AV266" s="233">
        <f>BJ421</f>
        <v>2.31</v>
      </c>
      <c r="AW266" s="235">
        <f>AV266</f>
        <v>2.31</v>
      </c>
      <c r="AX266" s="235">
        <f>AW266</f>
        <v>2.31</v>
      </c>
      <c r="AY266" s="235">
        <f>AX266</f>
        <v>2.31</v>
      </c>
      <c r="AZ266" s="235">
        <f>AY266</f>
        <v>2.31</v>
      </c>
      <c r="BB266" s="104"/>
      <c r="BC266" s="104"/>
      <c r="BE266" s="104"/>
      <c r="BH266" s="120"/>
      <c r="BI266" s="203" t="s">
        <v>502</v>
      </c>
      <c r="BJ266" s="190" t="s">
        <v>100</v>
      </c>
      <c r="BK266" s="196">
        <v>53.05</v>
      </c>
      <c r="BL266" s="190" t="s">
        <v>413</v>
      </c>
      <c r="BM266" s="189">
        <v>0.2</v>
      </c>
      <c r="BN266" s="189">
        <v>0.5</v>
      </c>
      <c r="BO266" s="188" t="s">
        <v>462</v>
      </c>
      <c r="BP266" s="178"/>
      <c r="BQ266" s="196"/>
      <c r="BR266" s="190"/>
      <c r="BS266" s="178"/>
      <c r="BT266" s="178"/>
      <c r="BU266" s="178"/>
      <c r="BV266" s="180"/>
      <c r="BW266" s="178"/>
      <c r="BX266" s="178"/>
      <c r="BY266" s="180"/>
      <c r="BZ266" s="180"/>
      <c r="CA266" s="180"/>
      <c r="CB266" s="102"/>
      <c r="CC266" s="102"/>
      <c r="CD266" s="102"/>
      <c r="CE266" s="102"/>
      <c r="CF266" s="102"/>
      <c r="CG266" s="102"/>
      <c r="CH266" s="102"/>
      <c r="CI266" s="102"/>
      <c r="CJ266" s="102"/>
      <c r="CK266" s="102"/>
      <c r="CL266" s="102"/>
      <c r="CM266" s="102"/>
      <c r="CO266" s="218">
        <f t="shared" si="114"/>
        <v>0.2</v>
      </c>
      <c r="CP266" s="100">
        <f t="shared" si="115"/>
        <v>0.35</v>
      </c>
      <c r="CQ266" s="218">
        <f t="shared" si="116"/>
        <v>0.5</v>
      </c>
      <c r="DC266" s="116"/>
      <c r="DD266" s="141"/>
      <c r="DE266" s="116"/>
      <c r="DF266" s="116"/>
      <c r="DG266" s="116"/>
      <c r="DH266" s="116"/>
      <c r="DI266" s="116"/>
    </row>
    <row r="267" spans="1:113" s="101" customFormat="1" ht="15" hidden="1" customHeight="1" thickBot="1" x14ac:dyDescent="0.3">
      <c r="A267" s="99"/>
      <c r="V267" s="103"/>
      <c r="AA267" s="104"/>
      <c r="AB267" s="104"/>
      <c r="AD267" s="104"/>
      <c r="AE267" s="105"/>
      <c r="AH267" s="106"/>
      <c r="AI267" s="106"/>
      <c r="AK267" s="104"/>
      <c r="AR267" s="104"/>
      <c r="AU267" s="233" t="s">
        <v>120</v>
      </c>
      <c r="AV267" s="232">
        <f>1-((AV264-((AV265*AV266)/(SQRT(9))))/AV264)</f>
        <v>0.59583211386354795</v>
      </c>
      <c r="AW267" s="232">
        <f>1-((AW264-((AW265*AW266)/(SQRT(9))))/AW264)</f>
        <v>0.59583211386354795</v>
      </c>
      <c r="AX267" s="232">
        <f>1-((AX264-((AX265*AX266)/(SQRT(9))))/AX264)</f>
        <v>0.59583211386354773</v>
      </c>
      <c r="AY267" s="232">
        <f>1-((AY264-((AY265*AY266)/(SQRT(9))))/AY264)</f>
        <v>0.59583211386354773</v>
      </c>
      <c r="AZ267" s="232">
        <f>1-((AZ264-((AZ265*AZ266)/(SQRT(9))))/AZ264)</f>
        <v>0.59583211386354806</v>
      </c>
      <c r="BB267" s="104"/>
      <c r="BC267" s="104"/>
      <c r="BE267" s="104"/>
      <c r="BH267" s="120"/>
      <c r="BI267" s="203" t="s">
        <v>463</v>
      </c>
      <c r="BJ267" s="190" t="s">
        <v>100</v>
      </c>
      <c r="BK267" s="196">
        <v>57.53</v>
      </c>
      <c r="BL267" s="190" t="s">
        <v>413</v>
      </c>
      <c r="BM267" s="189">
        <v>0.2</v>
      </c>
      <c r="BN267" s="189">
        <v>0.5</v>
      </c>
      <c r="BO267" s="188" t="s">
        <v>462</v>
      </c>
      <c r="BP267" s="178"/>
      <c r="BQ267" s="196"/>
      <c r="BR267" s="190"/>
      <c r="BS267" s="178"/>
      <c r="BT267" s="178"/>
      <c r="BU267" s="178"/>
      <c r="BV267" s="180"/>
      <c r="BW267" s="178"/>
      <c r="BX267" s="178"/>
      <c r="BY267" s="180"/>
      <c r="BZ267" s="180"/>
      <c r="CA267" s="180"/>
      <c r="CB267" s="102"/>
      <c r="CC267" s="102"/>
      <c r="CD267" s="102"/>
      <c r="CE267" s="102"/>
      <c r="CF267" s="102"/>
      <c r="CG267" s="102"/>
      <c r="CH267" s="102"/>
      <c r="CI267" s="102"/>
      <c r="CJ267" s="102"/>
      <c r="CK267" s="102"/>
      <c r="CL267" s="102"/>
      <c r="CM267" s="102"/>
      <c r="CO267" s="218">
        <f t="shared" si="114"/>
        <v>0.2</v>
      </c>
      <c r="CP267" s="100">
        <f t="shared" si="115"/>
        <v>0.35</v>
      </c>
      <c r="CQ267" s="218">
        <f t="shared" si="116"/>
        <v>0.5</v>
      </c>
      <c r="DC267" s="116"/>
      <c r="DD267" s="141"/>
      <c r="DE267" s="116"/>
      <c r="DF267" s="116"/>
      <c r="DG267" s="116"/>
      <c r="DH267" s="116"/>
      <c r="DI267" s="116"/>
    </row>
    <row r="268" spans="1:113" s="101" customFormat="1" ht="15" hidden="1" customHeight="1" thickBot="1" x14ac:dyDescent="0.3">
      <c r="A268" s="99"/>
      <c r="V268" s="103"/>
      <c r="AA268" s="104"/>
      <c r="AB268" s="104"/>
      <c r="AD268" s="104"/>
      <c r="AE268" s="105"/>
      <c r="AH268" s="106"/>
      <c r="AI268" s="106"/>
      <c r="AK268" s="104"/>
      <c r="AR268" s="104"/>
      <c r="AV268" s="104"/>
      <c r="AX268" s="104"/>
      <c r="BB268" s="104"/>
      <c r="BC268" s="104"/>
      <c r="BE268" s="104"/>
      <c r="BH268" s="120"/>
      <c r="BI268" s="203" t="s">
        <v>464</v>
      </c>
      <c r="BJ268" s="190" t="s">
        <v>100</v>
      </c>
      <c r="BK268" s="196">
        <v>20.14</v>
      </c>
      <c r="BL268" s="190" t="s">
        <v>413</v>
      </c>
      <c r="BM268" s="189">
        <v>0.2</v>
      </c>
      <c r="BN268" s="189">
        <v>0.5</v>
      </c>
      <c r="BO268" s="188" t="s">
        <v>462</v>
      </c>
      <c r="BP268" s="178"/>
      <c r="BQ268" s="196"/>
      <c r="BR268" s="190"/>
      <c r="BS268" s="178"/>
      <c r="BT268" s="178"/>
      <c r="BU268" s="178"/>
      <c r="BV268" s="180"/>
      <c r="BW268" s="178"/>
      <c r="BX268" s="178"/>
      <c r="BY268" s="180"/>
      <c r="BZ268" s="180"/>
      <c r="CA268" s="180"/>
      <c r="CB268" s="102"/>
      <c r="CC268" s="102"/>
      <c r="CD268" s="102"/>
      <c r="CE268" s="102"/>
      <c r="CF268" s="102"/>
      <c r="CG268" s="102"/>
      <c r="CH268" s="102"/>
      <c r="CI268" s="102"/>
      <c r="CJ268" s="102"/>
      <c r="CK268" s="102"/>
      <c r="CL268" s="102"/>
      <c r="CM268" s="102"/>
      <c r="CO268" s="218">
        <f t="shared" si="114"/>
        <v>0.2</v>
      </c>
      <c r="CP268" s="100">
        <f t="shared" si="115"/>
        <v>0.35</v>
      </c>
      <c r="CQ268" s="218">
        <f t="shared" si="116"/>
        <v>0.5</v>
      </c>
      <c r="DC268" s="116"/>
      <c r="DD268" s="141"/>
      <c r="DE268" s="116"/>
      <c r="DF268" s="116"/>
      <c r="DG268" s="116"/>
      <c r="DH268" s="116"/>
      <c r="DI268" s="116"/>
    </row>
    <row r="269" spans="1:113" s="101" customFormat="1" ht="15" hidden="1" customHeight="1" thickBot="1" x14ac:dyDescent="0.3">
      <c r="A269" s="99"/>
      <c r="V269" s="103"/>
      <c r="AA269" s="104"/>
      <c r="AB269" s="104"/>
      <c r="AD269" s="104"/>
      <c r="AE269" s="105"/>
      <c r="AH269" s="106"/>
      <c r="AI269" s="106"/>
      <c r="AK269" s="104"/>
      <c r="AR269" s="104"/>
      <c r="AV269" s="104"/>
      <c r="AX269" s="104"/>
      <c r="BB269" s="104"/>
      <c r="BC269" s="104"/>
      <c r="BE269" s="104"/>
      <c r="BH269" s="120"/>
      <c r="BI269" s="203" t="s">
        <v>465</v>
      </c>
      <c r="BJ269" s="190" t="s">
        <v>100</v>
      </c>
      <c r="BK269" s="196">
        <v>30.91</v>
      </c>
      <c r="BL269" s="190" t="s">
        <v>413</v>
      </c>
      <c r="BM269" s="189">
        <v>0.2</v>
      </c>
      <c r="BN269" s="189">
        <v>0.5</v>
      </c>
      <c r="BO269" s="188" t="s">
        <v>462</v>
      </c>
      <c r="BP269" s="178"/>
      <c r="BQ269" s="196"/>
      <c r="BR269" s="190"/>
      <c r="BS269" s="178"/>
      <c r="BT269" s="178"/>
      <c r="BU269" s="178"/>
      <c r="BV269" s="180"/>
      <c r="BW269" s="178"/>
      <c r="BX269" s="178"/>
      <c r="BY269" s="180"/>
      <c r="BZ269" s="180"/>
      <c r="CA269" s="180"/>
      <c r="CB269" s="102"/>
      <c r="CC269" s="102"/>
      <c r="CD269" s="102"/>
      <c r="CE269" s="102"/>
      <c r="CF269" s="102"/>
      <c r="CG269" s="102"/>
      <c r="CH269" s="102"/>
      <c r="CI269" s="102"/>
      <c r="CJ269" s="102"/>
      <c r="CK269" s="102"/>
      <c r="CL269" s="102"/>
      <c r="CM269" s="102"/>
      <c r="CO269" s="218">
        <f t="shared" si="114"/>
        <v>0.2</v>
      </c>
      <c r="CP269" s="100">
        <f t="shared" si="115"/>
        <v>0.35</v>
      </c>
      <c r="CQ269" s="218">
        <f t="shared" si="116"/>
        <v>0.5</v>
      </c>
      <c r="DC269" s="116"/>
      <c r="DD269" s="141"/>
      <c r="DE269" s="116"/>
      <c r="DF269" s="116"/>
      <c r="DG269" s="116"/>
      <c r="DH269" s="116"/>
      <c r="DI269" s="116"/>
    </row>
    <row r="270" spans="1:113" s="101" customFormat="1" ht="15" hidden="1" customHeight="1" thickBot="1" x14ac:dyDescent="0.3">
      <c r="A270" s="99"/>
      <c r="V270" s="103"/>
      <c r="AA270" s="104"/>
      <c r="AB270" s="104"/>
      <c r="AD270" s="104"/>
      <c r="AE270" s="105"/>
      <c r="AH270" s="106"/>
      <c r="AI270" s="106"/>
      <c r="AK270" s="104"/>
      <c r="AR270" s="104"/>
      <c r="AV270" s="104"/>
      <c r="AX270" s="104"/>
      <c r="BB270" s="104"/>
      <c r="BC270" s="104"/>
      <c r="BE270" s="104"/>
      <c r="BH270" s="120"/>
      <c r="BI270" s="203" t="s">
        <v>466</v>
      </c>
      <c r="BJ270" s="190" t="s">
        <v>100</v>
      </c>
      <c r="BK270" s="196">
        <v>36.97</v>
      </c>
      <c r="BL270" s="190" t="s">
        <v>413</v>
      </c>
      <c r="BM270" s="189">
        <v>0.2</v>
      </c>
      <c r="BN270" s="189">
        <v>0.5</v>
      </c>
      <c r="BO270" s="188" t="s">
        <v>462</v>
      </c>
      <c r="BP270" s="178"/>
      <c r="BQ270" s="196"/>
      <c r="BR270" s="190"/>
      <c r="BS270" s="178"/>
      <c r="BT270" s="178"/>
      <c r="BU270" s="178"/>
      <c r="BV270" s="180"/>
      <c r="BW270" s="178"/>
      <c r="BX270" s="178"/>
      <c r="BY270" s="180"/>
      <c r="BZ270" s="180"/>
      <c r="CA270" s="180"/>
      <c r="CB270" s="102"/>
      <c r="CC270" s="102"/>
      <c r="CD270" s="102"/>
      <c r="CE270" s="102"/>
      <c r="CF270" s="102"/>
      <c r="CG270" s="102"/>
      <c r="CH270" s="102"/>
      <c r="CI270" s="102"/>
      <c r="CJ270" s="102"/>
      <c r="CK270" s="102"/>
      <c r="CL270" s="102"/>
      <c r="CM270" s="102"/>
      <c r="CO270" s="218">
        <f t="shared" si="114"/>
        <v>0.2</v>
      </c>
      <c r="CP270" s="100">
        <f t="shared" si="115"/>
        <v>0.35</v>
      </c>
      <c r="CQ270" s="218">
        <f t="shared" si="116"/>
        <v>0.5</v>
      </c>
      <c r="DC270" s="116"/>
      <c r="DD270" s="141"/>
      <c r="DE270" s="116"/>
      <c r="DF270" s="116"/>
      <c r="DG270" s="116"/>
      <c r="DH270" s="116"/>
      <c r="DI270" s="116"/>
    </row>
    <row r="271" spans="1:113" s="101" customFormat="1" ht="15" hidden="1" customHeight="1" thickBot="1" x14ac:dyDescent="0.3">
      <c r="A271" s="99"/>
      <c r="V271" s="103"/>
      <c r="AA271" s="104"/>
      <c r="AB271" s="104"/>
      <c r="AD271" s="104"/>
      <c r="AE271" s="105"/>
      <c r="AH271" s="106"/>
      <c r="AI271" s="106"/>
      <c r="AK271" s="104"/>
      <c r="AR271" s="104"/>
      <c r="AV271" s="104"/>
      <c r="AX271" s="104"/>
      <c r="BB271" s="104"/>
      <c r="BC271" s="104"/>
      <c r="BE271" s="104"/>
      <c r="BH271" s="120"/>
      <c r="BI271" s="203" t="s">
        <v>57</v>
      </c>
      <c r="BJ271" s="190" t="s">
        <v>100</v>
      </c>
      <c r="BK271" s="196">
        <v>63</v>
      </c>
      <c r="BL271" s="190" t="s">
        <v>413</v>
      </c>
      <c r="BM271" s="189">
        <v>0.3</v>
      </c>
      <c r="BN271" s="189">
        <v>0.5</v>
      </c>
      <c r="BO271" s="188" t="s">
        <v>258</v>
      </c>
      <c r="BP271" s="178"/>
      <c r="BQ271" s="196"/>
      <c r="BR271" s="190"/>
      <c r="BS271" s="178"/>
      <c r="BT271" s="178"/>
      <c r="BU271" s="178"/>
      <c r="BV271" s="180"/>
      <c r="BW271" s="178"/>
      <c r="BX271" s="178"/>
      <c r="BY271" s="180"/>
      <c r="BZ271" s="180"/>
      <c r="CA271" s="180"/>
      <c r="CB271" s="102"/>
      <c r="CC271" s="102"/>
      <c r="CD271" s="102"/>
      <c r="CE271" s="102"/>
      <c r="CF271" s="102"/>
      <c r="CG271" s="102"/>
      <c r="CH271" s="102"/>
      <c r="CI271" s="102"/>
      <c r="CJ271" s="102"/>
      <c r="CK271" s="102"/>
      <c r="CL271" s="102"/>
      <c r="CM271" s="102"/>
      <c r="CO271" s="218">
        <f t="shared" si="114"/>
        <v>0.3</v>
      </c>
      <c r="CP271" s="100">
        <f t="shared" si="115"/>
        <v>0.4</v>
      </c>
      <c r="CQ271" s="218">
        <f t="shared" si="116"/>
        <v>0.5</v>
      </c>
      <c r="DC271" s="116"/>
      <c r="DD271" s="141"/>
      <c r="DE271" s="116"/>
      <c r="DF271" s="116"/>
      <c r="DG271" s="116"/>
      <c r="DH271" s="116"/>
      <c r="DI271" s="116"/>
    </row>
    <row r="272" spans="1:113" s="101" customFormat="1" ht="15" hidden="1" customHeight="1" thickBot="1" x14ac:dyDescent="0.3">
      <c r="A272" s="99"/>
      <c r="V272" s="103"/>
      <c r="AA272" s="104"/>
      <c r="AB272" s="104"/>
      <c r="AD272" s="104"/>
      <c r="AE272" s="105"/>
      <c r="AH272" s="106"/>
      <c r="AI272" s="106"/>
      <c r="AK272" s="104"/>
      <c r="AR272" s="104"/>
      <c r="AV272" s="104"/>
      <c r="AX272" s="104"/>
      <c r="BB272" s="104"/>
      <c r="BC272" s="104"/>
      <c r="BE272" s="104"/>
      <c r="BH272" s="120"/>
      <c r="BI272" s="203" t="s">
        <v>59</v>
      </c>
      <c r="BJ272" s="190" t="s">
        <v>100</v>
      </c>
      <c r="BK272" s="196">
        <v>56</v>
      </c>
      <c r="BL272" s="190" t="s">
        <v>413</v>
      </c>
      <c r="BM272" s="189">
        <v>0.3</v>
      </c>
      <c r="BN272" s="189">
        <v>0.5</v>
      </c>
      <c r="BO272" s="188" t="s">
        <v>258</v>
      </c>
      <c r="BP272" s="178"/>
      <c r="BQ272" s="196">
        <v>1225</v>
      </c>
      <c r="BR272" s="190" t="s">
        <v>414</v>
      </c>
      <c r="BS272" s="178"/>
      <c r="BT272" s="178"/>
      <c r="BU272" s="178"/>
      <c r="BV272" s="180"/>
      <c r="BW272" s="178"/>
      <c r="BX272" s="178"/>
      <c r="BY272" s="180"/>
      <c r="BZ272" s="180"/>
      <c r="CA272" s="180"/>
      <c r="CB272" s="102"/>
      <c r="CC272" s="102"/>
      <c r="CD272" s="102"/>
      <c r="CE272" s="102"/>
      <c r="CF272" s="102"/>
      <c r="CG272" s="102"/>
      <c r="CH272" s="102"/>
      <c r="CI272" s="102"/>
      <c r="CJ272" s="102"/>
      <c r="CK272" s="102"/>
      <c r="CL272" s="102"/>
      <c r="CM272" s="102"/>
      <c r="CO272" s="218">
        <f t="shared" si="114"/>
        <v>0.3</v>
      </c>
      <c r="CP272" s="100">
        <f t="shared" si="115"/>
        <v>0.4</v>
      </c>
      <c r="CQ272" s="218">
        <f t="shared" si="116"/>
        <v>0.5</v>
      </c>
      <c r="CR272" s="101">
        <v>0.2</v>
      </c>
      <c r="CS272" s="101">
        <v>0.5</v>
      </c>
      <c r="DA272" s="101" t="s">
        <v>59</v>
      </c>
      <c r="DB272" s="101" t="s">
        <v>100</v>
      </c>
      <c r="DC272" s="116">
        <v>49</v>
      </c>
      <c r="DD272" s="141">
        <f t="shared" ref="DD272:DD280" si="118">+DC272*21</f>
        <v>1029</v>
      </c>
      <c r="DE272" s="116" t="s">
        <v>375</v>
      </c>
      <c r="DF272" s="116">
        <f t="shared" si="117"/>
        <v>1225</v>
      </c>
      <c r="DG272" s="116"/>
      <c r="DH272" s="116"/>
      <c r="DI272" s="116"/>
    </row>
    <row r="273" spans="1:119" s="101" customFormat="1" ht="15" hidden="1" customHeight="1" thickBot="1" x14ac:dyDescent="0.3">
      <c r="A273" s="99"/>
      <c r="V273" s="103"/>
      <c r="AA273" s="104"/>
      <c r="AB273" s="104"/>
      <c r="AD273" s="104"/>
      <c r="AE273" s="105"/>
      <c r="AH273" s="106"/>
      <c r="AI273" s="106"/>
      <c r="AK273" s="104"/>
      <c r="AR273" s="104"/>
      <c r="AV273" s="104"/>
      <c r="AX273" s="104"/>
      <c r="BB273" s="104"/>
      <c r="BC273" s="104"/>
      <c r="BE273" s="104"/>
      <c r="BH273" s="120"/>
      <c r="BI273" s="203" t="s">
        <v>56</v>
      </c>
      <c r="BJ273" s="190" t="s">
        <v>100</v>
      </c>
      <c r="BK273" s="196">
        <v>55</v>
      </c>
      <c r="BL273" s="190" t="s">
        <v>413</v>
      </c>
      <c r="BM273" s="189">
        <v>0.3</v>
      </c>
      <c r="BN273" s="189">
        <v>0.5</v>
      </c>
      <c r="BO273" s="188" t="s">
        <v>258</v>
      </c>
      <c r="BP273" s="178"/>
      <c r="BQ273" s="196">
        <v>1375</v>
      </c>
      <c r="BR273" s="190" t="s">
        <v>414</v>
      </c>
      <c r="BS273" s="178"/>
      <c r="BT273" s="178"/>
      <c r="BU273" s="178"/>
      <c r="BV273" s="180"/>
      <c r="BW273" s="178"/>
      <c r="BX273" s="178"/>
      <c r="BY273" s="180"/>
      <c r="BZ273" s="180"/>
      <c r="CA273" s="180"/>
      <c r="CB273" s="102"/>
      <c r="CC273" s="102"/>
      <c r="CD273" s="102"/>
      <c r="CE273" s="102"/>
      <c r="CF273" s="102"/>
      <c r="CG273" s="102"/>
      <c r="CH273" s="102"/>
      <c r="CI273" s="102"/>
      <c r="CJ273" s="102"/>
      <c r="CK273" s="102"/>
      <c r="CL273" s="102"/>
      <c r="CM273" s="102"/>
      <c r="CO273" s="218">
        <f t="shared" si="114"/>
        <v>0.3</v>
      </c>
      <c r="CP273" s="100">
        <f t="shared" si="115"/>
        <v>0.4</v>
      </c>
      <c r="CQ273" s="218">
        <f t="shared" si="116"/>
        <v>0.5</v>
      </c>
      <c r="CR273" s="101">
        <v>0.2</v>
      </c>
      <c r="CS273" s="101">
        <v>0.5</v>
      </c>
      <c r="DA273" s="101" t="s">
        <v>56</v>
      </c>
      <c r="DB273" s="101" t="s">
        <v>100</v>
      </c>
      <c r="DC273" s="116">
        <v>55</v>
      </c>
      <c r="DD273" s="141">
        <f t="shared" si="118"/>
        <v>1155</v>
      </c>
      <c r="DE273" s="116" t="s">
        <v>375</v>
      </c>
      <c r="DF273" s="116">
        <f t="shared" si="117"/>
        <v>1375</v>
      </c>
      <c r="DG273" s="116"/>
      <c r="DH273" s="116"/>
      <c r="DI273" s="116"/>
    </row>
    <row r="274" spans="1:119" s="101" customFormat="1" ht="15" hidden="1" customHeight="1" thickBot="1" x14ac:dyDescent="0.3">
      <c r="A274" s="99"/>
      <c r="V274" s="103"/>
      <c r="AA274" s="104"/>
      <c r="AB274" s="104"/>
      <c r="AD274" s="104"/>
      <c r="AE274" s="105"/>
      <c r="AH274" s="106"/>
      <c r="AI274" s="106"/>
      <c r="AK274" s="104"/>
      <c r="AR274" s="104"/>
      <c r="AV274" s="104"/>
      <c r="AX274" s="104"/>
      <c r="BB274" s="104"/>
      <c r="BC274" s="104"/>
      <c r="BE274" s="104"/>
      <c r="BH274" s="120"/>
      <c r="BI274" s="203" t="s">
        <v>101</v>
      </c>
      <c r="BJ274" s="190" t="s">
        <v>100</v>
      </c>
      <c r="BK274" s="196">
        <v>5</v>
      </c>
      <c r="BL274" s="190" t="s">
        <v>413</v>
      </c>
      <c r="BM274" s="189">
        <v>0.3</v>
      </c>
      <c r="BN274" s="189">
        <v>0.5</v>
      </c>
      <c r="BO274" s="188" t="s">
        <v>258</v>
      </c>
      <c r="BP274" s="178"/>
      <c r="BQ274" s="196">
        <v>125</v>
      </c>
      <c r="BR274" s="190" t="s">
        <v>414</v>
      </c>
      <c r="BS274" s="178"/>
      <c r="BT274" s="178"/>
      <c r="BU274" s="178"/>
      <c r="BV274" s="180"/>
      <c r="BW274" s="178"/>
      <c r="BX274" s="178"/>
      <c r="BY274" s="180"/>
      <c r="BZ274" s="180"/>
      <c r="CA274" s="180"/>
      <c r="CB274" s="102"/>
      <c r="CC274" s="102"/>
      <c r="CD274" s="102"/>
      <c r="CE274" s="102"/>
      <c r="CF274" s="102"/>
      <c r="CG274" s="102"/>
      <c r="CH274" s="102"/>
      <c r="CI274" s="102"/>
      <c r="CJ274" s="102"/>
      <c r="CK274" s="102"/>
      <c r="CL274" s="102"/>
      <c r="CM274" s="102"/>
      <c r="CO274" s="218">
        <f t="shared" si="114"/>
        <v>0.3</v>
      </c>
      <c r="CP274" s="100">
        <f t="shared" si="115"/>
        <v>0.4</v>
      </c>
      <c r="CQ274" s="218">
        <f t="shared" si="116"/>
        <v>0.5</v>
      </c>
      <c r="CR274" s="101">
        <v>0.2</v>
      </c>
      <c r="CS274" s="101">
        <v>0.5</v>
      </c>
      <c r="DA274" s="101" t="s">
        <v>101</v>
      </c>
      <c r="DB274" s="101" t="s">
        <v>100</v>
      </c>
      <c r="DC274" s="116">
        <v>5</v>
      </c>
      <c r="DD274" s="141">
        <f t="shared" si="118"/>
        <v>105</v>
      </c>
      <c r="DE274" s="116" t="s">
        <v>375</v>
      </c>
      <c r="DF274" s="116">
        <f t="shared" si="117"/>
        <v>125</v>
      </c>
      <c r="DG274" s="116"/>
      <c r="DH274" s="116"/>
      <c r="DI274" s="116"/>
    </row>
    <row r="275" spans="1:119" s="101" customFormat="1" ht="15" hidden="1" customHeight="1" thickBot="1" x14ac:dyDescent="0.3">
      <c r="A275" s="99"/>
      <c r="V275" s="103"/>
      <c r="AA275" s="104"/>
      <c r="AB275" s="104"/>
      <c r="AD275" s="104"/>
      <c r="AE275" s="105"/>
      <c r="AH275" s="106"/>
      <c r="AI275" s="106"/>
      <c r="AK275" s="104"/>
      <c r="AR275" s="104"/>
      <c r="AV275" s="104"/>
      <c r="AX275" s="104"/>
      <c r="BB275" s="104"/>
      <c r="BC275" s="104"/>
      <c r="BE275" s="104"/>
      <c r="BH275" s="120"/>
      <c r="BI275" s="203" t="s">
        <v>55</v>
      </c>
      <c r="BJ275" s="190" t="s">
        <v>100</v>
      </c>
      <c r="BK275" s="196">
        <v>5</v>
      </c>
      <c r="BL275" s="190" t="s">
        <v>413</v>
      </c>
      <c r="BM275" s="189">
        <v>0.3</v>
      </c>
      <c r="BN275" s="189">
        <v>0.5</v>
      </c>
      <c r="BO275" s="188" t="s">
        <v>258</v>
      </c>
      <c r="BP275" s="178"/>
      <c r="BQ275" s="196">
        <v>125</v>
      </c>
      <c r="BR275" s="190" t="s">
        <v>414</v>
      </c>
      <c r="BS275" s="178"/>
      <c r="BT275" s="178"/>
      <c r="BU275" s="178"/>
      <c r="BV275" s="180"/>
      <c r="BW275" s="178"/>
      <c r="BX275" s="178"/>
      <c r="BY275" s="180"/>
      <c r="BZ275" s="180"/>
      <c r="CA275" s="180"/>
      <c r="CB275" s="102"/>
      <c r="CC275" s="102"/>
      <c r="CD275" s="102"/>
      <c r="CE275" s="102"/>
      <c r="CF275" s="102"/>
      <c r="CG275" s="102"/>
      <c r="CH275" s="102"/>
      <c r="CI275" s="102"/>
      <c r="CJ275" s="102"/>
      <c r="CK275" s="102"/>
      <c r="CL275" s="102"/>
      <c r="CM275" s="102"/>
      <c r="CO275" s="218">
        <f t="shared" si="114"/>
        <v>0.3</v>
      </c>
      <c r="CP275" s="100">
        <f t="shared" si="115"/>
        <v>0.4</v>
      </c>
      <c r="CQ275" s="218">
        <f t="shared" si="116"/>
        <v>0.5</v>
      </c>
      <c r="CR275" s="101">
        <v>0.2</v>
      </c>
      <c r="CS275" s="101">
        <v>0.5</v>
      </c>
      <c r="DA275" s="101" t="s">
        <v>55</v>
      </c>
      <c r="DB275" s="101" t="s">
        <v>100</v>
      </c>
      <c r="DC275" s="116">
        <v>5</v>
      </c>
      <c r="DD275" s="141">
        <f t="shared" si="118"/>
        <v>105</v>
      </c>
      <c r="DE275" s="116" t="s">
        <v>375</v>
      </c>
      <c r="DF275" s="116">
        <f t="shared" si="117"/>
        <v>125</v>
      </c>
      <c r="DG275" s="116"/>
      <c r="DH275" s="116"/>
      <c r="DI275" s="116"/>
    </row>
    <row r="276" spans="1:119" s="101" customFormat="1" ht="15" hidden="1" customHeight="1" thickBot="1" x14ac:dyDescent="0.3">
      <c r="A276" s="99"/>
      <c r="V276" s="103"/>
      <c r="AA276" s="104"/>
      <c r="AB276" s="104"/>
      <c r="AD276" s="104"/>
      <c r="AE276" s="105"/>
      <c r="AH276" s="106"/>
      <c r="AI276" s="106"/>
      <c r="AK276" s="104"/>
      <c r="AR276" s="104"/>
      <c r="AV276" s="104"/>
      <c r="AX276" s="104"/>
      <c r="BB276" s="104"/>
      <c r="BC276" s="104"/>
      <c r="BE276" s="104"/>
      <c r="BH276" s="120"/>
      <c r="BI276" s="203" t="s">
        <v>60</v>
      </c>
      <c r="BJ276" s="190" t="s">
        <v>100</v>
      </c>
      <c r="BK276" s="196">
        <v>18</v>
      </c>
      <c r="BL276" s="190" t="s">
        <v>413</v>
      </c>
      <c r="BM276" s="189">
        <v>0.3</v>
      </c>
      <c r="BN276" s="189">
        <v>0.5</v>
      </c>
      <c r="BO276" s="188" t="s">
        <v>258</v>
      </c>
      <c r="BP276" s="178"/>
      <c r="BQ276" s="196">
        <v>450</v>
      </c>
      <c r="BR276" s="190" t="s">
        <v>414</v>
      </c>
      <c r="BS276" s="178"/>
      <c r="BT276" s="178"/>
      <c r="BU276" s="178"/>
      <c r="BV276" s="180"/>
      <c r="BW276" s="178"/>
      <c r="BX276" s="178"/>
      <c r="BY276" s="180"/>
      <c r="BZ276" s="180"/>
      <c r="CA276" s="180"/>
      <c r="CB276" s="102"/>
      <c r="CC276" s="102"/>
      <c r="CD276" s="102"/>
      <c r="CE276" s="102"/>
      <c r="CF276" s="102"/>
      <c r="CG276" s="102"/>
      <c r="CH276" s="102"/>
      <c r="CI276" s="102"/>
      <c r="CJ276" s="102"/>
      <c r="CK276" s="102"/>
      <c r="CL276" s="102"/>
      <c r="CM276" s="102"/>
      <c r="CO276" s="218">
        <f t="shared" si="114"/>
        <v>0.3</v>
      </c>
      <c r="CP276" s="100">
        <f t="shared" si="115"/>
        <v>0.4</v>
      </c>
      <c r="CQ276" s="218">
        <f t="shared" si="116"/>
        <v>0.5</v>
      </c>
      <c r="CR276" s="101">
        <v>0.2</v>
      </c>
      <c r="CS276" s="101">
        <v>0.5</v>
      </c>
      <c r="DA276" s="101" t="s">
        <v>60</v>
      </c>
      <c r="DB276" s="101" t="s">
        <v>100</v>
      </c>
      <c r="DC276" s="116">
        <v>18</v>
      </c>
      <c r="DD276" s="141">
        <f t="shared" si="118"/>
        <v>378</v>
      </c>
      <c r="DE276" s="116" t="s">
        <v>375</v>
      </c>
      <c r="DF276" s="116">
        <f t="shared" si="117"/>
        <v>450</v>
      </c>
      <c r="DG276" s="116"/>
      <c r="DH276" s="116"/>
      <c r="DI276" s="116"/>
    </row>
    <row r="277" spans="1:119" s="101" customFormat="1" ht="15" hidden="1" customHeight="1" thickBot="1" x14ac:dyDescent="0.3">
      <c r="A277" s="99"/>
      <c r="V277" s="103"/>
      <c r="AA277" s="104"/>
      <c r="AB277" s="104"/>
      <c r="AD277" s="104"/>
      <c r="AE277" s="105"/>
      <c r="AH277" s="106"/>
      <c r="AI277" s="106"/>
      <c r="AK277" s="104"/>
      <c r="AR277" s="104"/>
      <c r="AV277" s="104"/>
      <c r="AX277" s="104"/>
      <c r="BB277" s="104"/>
      <c r="BC277" s="104"/>
      <c r="BE277" s="104"/>
      <c r="BH277" s="120"/>
      <c r="BI277" s="203" t="s">
        <v>61</v>
      </c>
      <c r="BJ277" s="190" t="s">
        <v>100</v>
      </c>
      <c r="BK277" s="196">
        <f>BQ277/25</f>
        <v>10</v>
      </c>
      <c r="BL277" s="190" t="s">
        <v>413</v>
      </c>
      <c r="BM277" s="189">
        <v>0.3</v>
      </c>
      <c r="BN277" s="189">
        <v>0.5</v>
      </c>
      <c r="BO277" s="188" t="s">
        <v>258</v>
      </c>
      <c r="BP277" s="178"/>
      <c r="BQ277" s="196">
        <v>250</v>
      </c>
      <c r="BR277" s="190" t="s">
        <v>414</v>
      </c>
      <c r="BS277" s="178"/>
      <c r="BT277" s="178"/>
      <c r="BU277" s="178"/>
      <c r="BV277" s="180"/>
      <c r="BW277" s="178"/>
      <c r="BX277" s="178"/>
      <c r="BY277" s="180"/>
      <c r="BZ277" s="180"/>
      <c r="CA277" s="180"/>
      <c r="CB277" s="102"/>
      <c r="CC277" s="102"/>
      <c r="CD277" s="102"/>
      <c r="CE277" s="102"/>
      <c r="CF277" s="102"/>
      <c r="CG277" s="102"/>
      <c r="CH277" s="102"/>
      <c r="CI277" s="102"/>
      <c r="CJ277" s="102"/>
      <c r="CK277" s="102"/>
      <c r="CL277" s="102"/>
      <c r="CM277" s="102"/>
      <c r="CO277" s="218">
        <f t="shared" si="114"/>
        <v>0.3</v>
      </c>
      <c r="CP277" s="100">
        <f t="shared" si="115"/>
        <v>0.4</v>
      </c>
      <c r="CQ277" s="218">
        <f t="shared" si="116"/>
        <v>0.5</v>
      </c>
      <c r="CR277" s="101">
        <v>0.2</v>
      </c>
      <c r="CS277" s="101">
        <v>0.5</v>
      </c>
      <c r="DA277" s="101" t="s">
        <v>61</v>
      </c>
      <c r="DB277" s="101" t="s">
        <v>100</v>
      </c>
      <c r="DC277" s="116">
        <v>10</v>
      </c>
      <c r="DD277" s="141">
        <f t="shared" si="118"/>
        <v>210</v>
      </c>
      <c r="DE277" s="116" t="s">
        <v>375</v>
      </c>
      <c r="DF277" s="116">
        <f t="shared" si="117"/>
        <v>250</v>
      </c>
      <c r="DG277" s="116"/>
      <c r="DH277" s="116"/>
      <c r="DI277" s="116"/>
    </row>
    <row r="278" spans="1:119" s="101" customFormat="1" ht="15" hidden="1" customHeight="1" thickBot="1" x14ac:dyDescent="0.3">
      <c r="A278" s="99"/>
      <c r="V278" s="103"/>
      <c r="AA278" s="104"/>
      <c r="AB278" s="104"/>
      <c r="AD278" s="104"/>
      <c r="AE278" s="105"/>
      <c r="AH278" s="106"/>
      <c r="AI278" s="106"/>
      <c r="AK278" s="104"/>
      <c r="AR278" s="104"/>
      <c r="AV278" s="104"/>
      <c r="AX278" s="104"/>
      <c r="BB278" s="104"/>
      <c r="BC278" s="104"/>
      <c r="BE278" s="104"/>
      <c r="BH278" s="120"/>
      <c r="BI278" s="203" t="s">
        <v>102</v>
      </c>
      <c r="BJ278" s="190" t="s">
        <v>100</v>
      </c>
      <c r="BK278" s="196">
        <f>BQ278/25</f>
        <v>1</v>
      </c>
      <c r="BL278" s="190" t="s">
        <v>413</v>
      </c>
      <c r="BM278" s="189">
        <v>0.3</v>
      </c>
      <c r="BN278" s="189">
        <v>0.5</v>
      </c>
      <c r="BO278" s="188" t="s">
        <v>258</v>
      </c>
      <c r="BP278" s="178"/>
      <c r="BQ278" s="196">
        <v>25</v>
      </c>
      <c r="BR278" s="190" t="s">
        <v>414</v>
      </c>
      <c r="BS278" s="178"/>
      <c r="BT278" s="178"/>
      <c r="BU278" s="178"/>
      <c r="BV278" s="180"/>
      <c r="BW278" s="178"/>
      <c r="BX278" s="178"/>
      <c r="BY278" s="180"/>
      <c r="BZ278" s="180"/>
      <c r="CA278" s="180"/>
      <c r="CB278" s="102"/>
      <c r="CC278" s="102"/>
      <c r="CD278" s="102"/>
      <c r="CE278" s="102"/>
      <c r="CF278" s="102"/>
      <c r="CG278" s="102"/>
      <c r="CH278" s="102"/>
      <c r="CI278" s="102"/>
      <c r="CJ278" s="102"/>
      <c r="CK278" s="102"/>
      <c r="CL278" s="102"/>
      <c r="CM278" s="102"/>
      <c r="CO278" s="218">
        <f t="shared" si="114"/>
        <v>0.3</v>
      </c>
      <c r="CP278" s="100">
        <f t="shared" si="115"/>
        <v>0.4</v>
      </c>
      <c r="CQ278" s="218">
        <f t="shared" si="116"/>
        <v>0.5</v>
      </c>
      <c r="DC278" s="116"/>
      <c r="DD278" s="141"/>
      <c r="DE278" s="116"/>
      <c r="DF278" s="116"/>
      <c r="DG278" s="116"/>
      <c r="DH278" s="116"/>
      <c r="DI278" s="116"/>
    </row>
    <row r="279" spans="1:119" s="101" customFormat="1" ht="15" hidden="1" customHeight="1" thickBot="1" x14ac:dyDescent="0.3">
      <c r="A279" s="99"/>
      <c r="V279" s="103"/>
      <c r="AA279" s="104"/>
      <c r="AB279" s="104"/>
      <c r="AD279" s="104"/>
      <c r="AE279" s="105"/>
      <c r="AH279" s="106"/>
      <c r="AI279" s="106"/>
      <c r="AK279" s="104"/>
      <c r="AR279" s="104"/>
      <c r="AV279" s="104"/>
      <c r="AX279" s="104"/>
      <c r="BB279" s="104"/>
      <c r="BC279" s="104"/>
      <c r="BE279" s="104"/>
      <c r="BH279" s="120"/>
      <c r="BI279" s="203" t="s">
        <v>467</v>
      </c>
      <c r="BJ279" s="190" t="s">
        <v>100</v>
      </c>
      <c r="BK279" s="196">
        <v>5.4199999999999998E-2</v>
      </c>
      <c r="BL279" s="190" t="s">
        <v>413</v>
      </c>
      <c r="BM279" s="189">
        <v>0.3</v>
      </c>
      <c r="BN279" s="189">
        <v>0.5</v>
      </c>
      <c r="BO279" s="188" t="s">
        <v>258</v>
      </c>
      <c r="BP279" s="178"/>
      <c r="BQ279" s="196">
        <f>BK279*25</f>
        <v>1.355</v>
      </c>
      <c r="BR279" s="190" t="s">
        <v>414</v>
      </c>
      <c r="BS279" s="178"/>
      <c r="BT279" s="178"/>
      <c r="BU279" s="178"/>
      <c r="BV279" s="180"/>
      <c r="BW279" s="178"/>
      <c r="BX279" s="178"/>
      <c r="BY279" s="180"/>
      <c r="BZ279" s="180"/>
      <c r="CA279" s="180"/>
      <c r="CB279" s="102"/>
      <c r="CC279" s="102"/>
      <c r="CD279" s="102"/>
      <c r="CE279" s="102"/>
      <c r="CF279" s="102"/>
      <c r="CG279" s="102"/>
      <c r="CH279" s="102"/>
      <c r="CI279" s="102"/>
      <c r="CJ279" s="102"/>
      <c r="CK279" s="102"/>
      <c r="CL279" s="102"/>
      <c r="CM279" s="102"/>
      <c r="CO279" s="218">
        <f t="shared" si="114"/>
        <v>0.3</v>
      </c>
      <c r="CP279" s="100">
        <f t="shared" si="115"/>
        <v>0.4</v>
      </c>
      <c r="CQ279" s="218">
        <f t="shared" si="116"/>
        <v>0.5</v>
      </c>
      <c r="DC279" s="116"/>
      <c r="DD279" s="141"/>
      <c r="DE279" s="116"/>
      <c r="DF279" s="116"/>
      <c r="DG279" s="116"/>
      <c r="DH279" s="116"/>
      <c r="DI279" s="116"/>
    </row>
    <row r="280" spans="1:119" s="101" customFormat="1" ht="15" hidden="1" customHeight="1" thickBot="1" x14ac:dyDescent="0.3">
      <c r="A280" s="99"/>
      <c r="V280" s="103"/>
      <c r="AA280" s="104"/>
      <c r="AB280" s="104"/>
      <c r="AD280" s="104"/>
      <c r="AE280" s="105"/>
      <c r="AH280" s="106"/>
      <c r="AI280" s="106"/>
      <c r="AK280" s="104"/>
      <c r="AR280" s="104"/>
      <c r="AV280" s="104"/>
      <c r="AX280" s="104"/>
      <c r="BB280" s="104"/>
      <c r="BC280" s="104"/>
      <c r="BE280" s="104"/>
      <c r="BH280" s="120"/>
      <c r="BI280" s="203" t="s">
        <v>468</v>
      </c>
      <c r="BJ280" s="190" t="s">
        <v>100</v>
      </c>
      <c r="BK280" s="196">
        <v>9.522E-5</v>
      </c>
      <c r="BL280" s="190" t="s">
        <v>413</v>
      </c>
      <c r="BM280" s="189">
        <v>0.3</v>
      </c>
      <c r="BN280" s="189">
        <v>0.5</v>
      </c>
      <c r="BO280" s="188" t="s">
        <v>469</v>
      </c>
      <c r="BP280" s="178"/>
      <c r="BQ280" s="196">
        <f>BK280*25</f>
        <v>2.3804999999999998E-3</v>
      </c>
      <c r="BR280" s="190" t="s">
        <v>414</v>
      </c>
      <c r="BS280" s="178"/>
      <c r="BT280" s="178"/>
      <c r="BU280" s="178"/>
      <c r="BV280" s="178"/>
      <c r="BW280" s="178"/>
      <c r="BX280" s="178"/>
      <c r="BY280" s="178"/>
      <c r="BZ280" s="178"/>
      <c r="CA280" s="178"/>
      <c r="CB280" s="180"/>
      <c r="CC280" s="178"/>
      <c r="CD280" s="178"/>
      <c r="CE280" s="180"/>
      <c r="CF280" s="180"/>
      <c r="CG280" s="180"/>
      <c r="CH280" s="180"/>
      <c r="CI280" s="178"/>
      <c r="CJ280" s="178"/>
      <c r="CK280" s="180"/>
      <c r="CL280" s="180"/>
      <c r="CM280" s="180"/>
      <c r="CN280" s="116"/>
      <c r="CO280" s="218">
        <f t="shared" si="114"/>
        <v>0.3</v>
      </c>
      <c r="CP280" s="100">
        <f t="shared" si="115"/>
        <v>0.4</v>
      </c>
      <c r="CQ280" s="218">
        <f t="shared" si="116"/>
        <v>0.5</v>
      </c>
      <c r="CR280" s="101">
        <v>0.2</v>
      </c>
      <c r="CS280" s="101">
        <v>0.5</v>
      </c>
      <c r="DA280" s="101" t="s">
        <v>102</v>
      </c>
      <c r="DB280" s="101" t="s">
        <v>100</v>
      </c>
      <c r="DC280" s="116">
        <v>1</v>
      </c>
      <c r="DD280" s="141">
        <f t="shared" si="118"/>
        <v>21</v>
      </c>
      <c r="DE280" s="116" t="s">
        <v>375</v>
      </c>
      <c r="DF280" s="116">
        <f t="shared" si="117"/>
        <v>25</v>
      </c>
      <c r="DG280" s="116"/>
      <c r="DH280" s="116"/>
      <c r="DI280" s="116"/>
    </row>
    <row r="281" spans="1:119" s="101" customFormat="1" hidden="1" x14ac:dyDescent="0.25">
      <c r="A281" s="99"/>
      <c r="V281" s="103"/>
      <c r="AA281" s="104"/>
      <c r="AB281" s="104"/>
      <c r="AD281" s="104"/>
      <c r="AE281" s="105"/>
      <c r="AH281" s="106"/>
      <c r="AI281" s="106"/>
      <c r="AK281" s="104"/>
      <c r="AR281" s="104"/>
      <c r="AV281" s="104"/>
      <c r="AX281" s="104"/>
      <c r="BB281" s="104"/>
      <c r="BC281" s="104"/>
      <c r="BE281" s="104"/>
      <c r="BH281" s="99"/>
      <c r="BI281" s="102"/>
      <c r="BJ281" s="178"/>
      <c r="BK281" s="178"/>
      <c r="BL281" s="178"/>
      <c r="BM281" s="169"/>
      <c r="BN281" s="169"/>
      <c r="BO281" s="169"/>
      <c r="BP281" s="178"/>
      <c r="BQ281" s="178"/>
      <c r="BR281" s="178"/>
      <c r="BS281" s="178"/>
      <c r="BT281" s="178"/>
      <c r="BU281" s="178"/>
      <c r="BV281" s="178"/>
      <c r="BW281" s="178"/>
      <c r="BX281" s="178"/>
      <c r="BY281" s="178"/>
      <c r="BZ281" s="178"/>
      <c r="CA281" s="178"/>
      <c r="CB281" s="180"/>
      <c r="CC281" s="178"/>
      <c r="CD281" s="178"/>
      <c r="CE281" s="180"/>
      <c r="CF281" s="180"/>
      <c r="CG281" s="180"/>
      <c r="CH281" s="180"/>
      <c r="CI281" s="178"/>
      <c r="CJ281" s="178"/>
      <c r="CK281" s="180"/>
      <c r="CL281" s="180"/>
      <c r="CM281" s="180"/>
      <c r="CN281" s="116"/>
      <c r="CO281" s="218">
        <f t="shared" si="114"/>
        <v>0</v>
      </c>
      <c r="CP281" s="100">
        <f t="shared" si="115"/>
        <v>0</v>
      </c>
      <c r="CQ281" s="218">
        <f t="shared" si="116"/>
        <v>0</v>
      </c>
      <c r="DA281" s="101">
        <v>0</v>
      </c>
      <c r="DB281" s="101">
        <v>0</v>
      </c>
      <c r="DC281" s="116">
        <v>0</v>
      </c>
      <c r="DD281" s="101">
        <v>0</v>
      </c>
      <c r="DF281" s="116">
        <f>+DC306*25</f>
        <v>1050</v>
      </c>
      <c r="DG281" s="116"/>
      <c r="DH281" s="116"/>
      <c r="DI281" s="116"/>
    </row>
    <row r="282" spans="1:119" s="101" customFormat="1" ht="15.75" hidden="1" customHeight="1" thickBot="1" x14ac:dyDescent="0.3">
      <c r="A282" s="99"/>
      <c r="V282" s="103"/>
      <c r="AA282" s="104"/>
      <c r="AB282" s="104"/>
      <c r="AD282" s="104"/>
      <c r="AE282" s="105"/>
      <c r="AH282" s="106"/>
      <c r="AI282" s="106"/>
      <c r="AK282" s="104"/>
      <c r="AR282" s="104"/>
      <c r="AV282" s="104"/>
      <c r="AX282" s="104"/>
      <c r="BB282" s="104"/>
      <c r="BC282" s="104"/>
      <c r="BE282" s="104"/>
      <c r="BH282" s="99"/>
      <c r="BI282" s="102"/>
      <c r="BJ282" s="178"/>
      <c r="BK282" s="178"/>
      <c r="BL282" s="178"/>
      <c r="BM282" s="169"/>
      <c r="BN282" s="169"/>
      <c r="BO282" s="169"/>
      <c r="BP282" s="178"/>
      <c r="BQ282" s="178"/>
      <c r="BR282" s="178"/>
      <c r="BS282" s="178"/>
      <c r="BT282" s="178"/>
      <c r="BU282" s="178"/>
      <c r="BV282" s="178"/>
      <c r="BW282" s="178"/>
      <c r="BX282" s="178"/>
      <c r="BY282" s="178"/>
      <c r="BZ282" s="178"/>
      <c r="CA282" s="178"/>
      <c r="CB282" s="180"/>
      <c r="CC282" s="178"/>
      <c r="CD282" s="178"/>
      <c r="CE282" s="180"/>
      <c r="CF282" s="180"/>
      <c r="CG282" s="180"/>
      <c r="CH282" s="180"/>
      <c r="CI282" s="178"/>
      <c r="CJ282" s="178"/>
      <c r="CK282" s="180"/>
      <c r="CL282" s="180"/>
      <c r="CM282" s="180"/>
      <c r="CN282" s="116"/>
      <c r="CO282" s="218">
        <f t="shared" si="114"/>
        <v>0</v>
      </c>
      <c r="CP282" s="100">
        <f t="shared" si="115"/>
        <v>0</v>
      </c>
      <c r="CQ282" s="218">
        <f t="shared" si="116"/>
        <v>0</v>
      </c>
      <c r="DC282" s="116"/>
      <c r="DF282" s="116"/>
      <c r="DG282" s="116"/>
      <c r="DH282" s="116"/>
      <c r="DI282" s="116"/>
    </row>
    <row r="283" spans="1:119" s="101" customFormat="1" ht="15.75" hidden="1" thickBot="1" x14ac:dyDescent="0.3">
      <c r="A283" s="99"/>
      <c r="S283" s="244" t="s">
        <v>558</v>
      </c>
      <c r="V283" s="103"/>
      <c r="AA283" s="104"/>
      <c r="AB283" s="104"/>
      <c r="AD283" s="104"/>
      <c r="AF283" s="104"/>
      <c r="AI283" s="238" t="s">
        <v>555</v>
      </c>
      <c r="AJ283" s="238"/>
      <c r="AK283" s="238"/>
      <c r="AL283" s="238"/>
      <c r="AM283" s="238"/>
      <c r="AO283" s="238"/>
      <c r="AP283" s="238"/>
      <c r="AQ283" s="238"/>
      <c r="AR283" s="238"/>
      <c r="AS283" s="238"/>
      <c r="AT283" s="238"/>
      <c r="AU283" s="238"/>
      <c r="AV283" s="238"/>
      <c r="AW283" s="238"/>
      <c r="AX283" s="238"/>
      <c r="AY283" s="238"/>
      <c r="AZ283" s="238"/>
      <c r="BA283" s="238"/>
      <c r="BB283" s="238"/>
      <c r="BC283" s="238"/>
      <c r="BD283" s="238"/>
      <c r="BH283" s="99"/>
      <c r="BI283" s="102"/>
      <c r="BJ283" s="178"/>
      <c r="BK283" s="1608" t="s">
        <v>106</v>
      </c>
      <c r="BL283" s="1609"/>
      <c r="BM283" s="1609"/>
      <c r="BN283" s="1609"/>
      <c r="BO283" s="1610"/>
      <c r="BP283" s="1608" t="s">
        <v>110</v>
      </c>
      <c r="BQ283" s="1609"/>
      <c r="BR283" s="1609"/>
      <c r="BS283" s="1609"/>
      <c r="BT283" s="1610"/>
      <c r="BU283" s="178"/>
      <c r="BV283" s="178"/>
      <c r="BW283" s="178"/>
      <c r="BX283" s="178"/>
      <c r="BY283" s="178"/>
      <c r="BZ283" s="178"/>
      <c r="CA283" s="178"/>
      <c r="CB283" s="180"/>
      <c r="CC283" s="178"/>
      <c r="CD283" s="178"/>
      <c r="CE283" s="180"/>
      <c r="CF283" s="180"/>
      <c r="CG283" s="180"/>
      <c r="CH283" s="180"/>
      <c r="CI283" s="178"/>
      <c r="CJ283" s="178"/>
      <c r="CK283" s="180"/>
      <c r="CL283" s="180"/>
      <c r="CM283" s="180"/>
      <c r="CN283" s="116"/>
      <c r="CO283" s="218">
        <f t="shared" si="114"/>
        <v>0</v>
      </c>
      <c r="CP283" s="100">
        <f t="shared" si="115"/>
        <v>0</v>
      </c>
      <c r="CQ283" s="218">
        <f t="shared" si="116"/>
        <v>0</v>
      </c>
      <c r="DA283" s="254" t="s">
        <v>155</v>
      </c>
      <c r="DB283" s="1618" t="s">
        <v>379</v>
      </c>
      <c r="DC283" s="1618" t="s">
        <v>380</v>
      </c>
      <c r="DD283" s="1618"/>
      <c r="DE283" s="1619" t="s">
        <v>159</v>
      </c>
      <c r="DF283" s="1618" t="s">
        <v>160</v>
      </c>
      <c r="DG283" s="1618" t="s">
        <v>162</v>
      </c>
      <c r="DH283" s="1618" t="s">
        <v>389</v>
      </c>
      <c r="DI283" s="1618" t="s">
        <v>390</v>
      </c>
      <c r="DJ283" s="1618" t="s">
        <v>380</v>
      </c>
      <c r="DK283" s="1618"/>
      <c r="DL283" s="1618" t="s">
        <v>391</v>
      </c>
      <c r="DM283" s="1618"/>
    </row>
    <row r="284" spans="1:119" s="101" customFormat="1" ht="21.75" hidden="1" customHeight="1" x14ac:dyDescent="0.25">
      <c r="A284" s="99"/>
      <c r="S284" s="243">
        <v>0</v>
      </c>
      <c r="T284" s="243">
        <v>0</v>
      </c>
      <c r="U284" s="243">
        <v>5.0000000000000001E-3</v>
      </c>
      <c r="V284" s="243">
        <v>0.02</v>
      </c>
      <c r="W284" s="243">
        <v>5.0000000000000001E-3</v>
      </c>
      <c r="X284" s="243">
        <v>0</v>
      </c>
      <c r="Y284" s="243">
        <v>0.01</v>
      </c>
      <c r="Z284" s="243">
        <v>7.0000000000000007E-2</v>
      </c>
      <c r="AA284" s="245">
        <v>0</v>
      </c>
      <c r="AB284" s="245">
        <v>0</v>
      </c>
      <c r="AC284" s="243">
        <v>6.0000000000000001E-3</v>
      </c>
      <c r="AD284" s="245"/>
      <c r="AE284" s="243">
        <v>0.1</v>
      </c>
      <c r="AF284" s="245">
        <v>0.01</v>
      </c>
      <c r="AG284" s="243">
        <v>0.01</v>
      </c>
      <c r="AH284" s="100"/>
      <c r="AI284" s="1611" t="s">
        <v>556</v>
      </c>
      <c r="AJ284" s="1611"/>
      <c r="AK284" s="1611"/>
      <c r="AL284" s="1611"/>
      <c r="AM284" s="1611"/>
      <c r="AN284" s="238" t="s">
        <v>554</v>
      </c>
      <c r="AO284" s="238"/>
      <c r="AP284" s="238"/>
      <c r="AQ284" s="238"/>
      <c r="AR284" s="238"/>
      <c r="AS284" s="238"/>
      <c r="AT284" s="238"/>
      <c r="AU284" s="238"/>
      <c r="AV284" s="238"/>
      <c r="AW284" s="238"/>
      <c r="AX284" s="238"/>
      <c r="AY284" s="238"/>
      <c r="AZ284" s="238"/>
      <c r="BA284" s="238"/>
      <c r="BB284" s="238"/>
      <c r="BC284" s="238"/>
      <c r="BD284" s="238"/>
      <c r="BH284" s="99"/>
      <c r="BI284" s="1606" t="s">
        <v>58</v>
      </c>
      <c r="BJ284" s="251"/>
      <c r="BK284" s="1606" t="s">
        <v>280</v>
      </c>
      <c r="BL284" s="251"/>
      <c r="BM284" s="1606" t="s">
        <v>233</v>
      </c>
      <c r="BN284" s="1606" t="s">
        <v>233</v>
      </c>
      <c r="BO284" s="1606" t="s">
        <v>240</v>
      </c>
      <c r="BP284" s="1606" t="s">
        <v>281</v>
      </c>
      <c r="BQ284" s="251"/>
      <c r="BR284" s="1606" t="s">
        <v>233</v>
      </c>
      <c r="BS284" s="1606" t="s">
        <v>233</v>
      </c>
      <c r="BT284" s="1606" t="s">
        <v>240</v>
      </c>
      <c r="BU284" s="178"/>
      <c r="BV284" s="178"/>
      <c r="BW284" s="178"/>
      <c r="BX284" s="178"/>
      <c r="BY284" s="178"/>
      <c r="BZ284" s="178"/>
      <c r="CA284" s="178"/>
      <c r="CB284" s="180"/>
      <c r="CC284" s="178"/>
      <c r="CD284" s="178"/>
      <c r="CE284" s="180"/>
      <c r="CF284" s="180"/>
      <c r="CG284" s="180"/>
      <c r="CH284" s="180"/>
      <c r="CI284" s="178"/>
      <c r="CJ284" s="178"/>
      <c r="CK284" s="180"/>
      <c r="CL284" s="180"/>
      <c r="CM284" s="180"/>
      <c r="CN284" s="116"/>
      <c r="CO284" s="218" t="str">
        <f t="shared" si="114"/>
        <v>Incertidumbre (+/- %)</v>
      </c>
      <c r="CP284" s="100" t="e">
        <f t="shared" si="115"/>
        <v>#VALUE!</v>
      </c>
      <c r="CQ284" s="218" t="str">
        <f t="shared" si="116"/>
        <v>Incertidumbre (+/- %)</v>
      </c>
      <c r="DA284" s="254"/>
      <c r="DB284" s="1618"/>
      <c r="DC284" s="253">
        <v>1995</v>
      </c>
      <c r="DD284" s="254">
        <v>2007</v>
      </c>
      <c r="DE284" s="1619"/>
      <c r="DF284" s="1618"/>
      <c r="DG284" s="1618"/>
      <c r="DH284" s="1618"/>
      <c r="DI284" s="1618"/>
      <c r="DJ284" s="254">
        <v>1995</v>
      </c>
      <c r="DK284" s="254">
        <v>2007</v>
      </c>
      <c r="DL284" s="254">
        <v>1995</v>
      </c>
      <c r="DM284" s="254">
        <v>2007</v>
      </c>
    </row>
    <row r="285" spans="1:119" s="101" customFormat="1" ht="34.5" hidden="1" customHeight="1" thickBot="1" x14ac:dyDescent="0.3">
      <c r="Q285" s="242" t="s">
        <v>557</v>
      </c>
      <c r="R285" s="242" t="s">
        <v>559</v>
      </c>
      <c r="S285" s="242" t="s">
        <v>532</v>
      </c>
      <c r="T285" s="242" t="s">
        <v>533</v>
      </c>
      <c r="U285" s="242" t="s">
        <v>530</v>
      </c>
      <c r="V285" s="242" t="s">
        <v>531</v>
      </c>
      <c r="W285" s="242" t="s">
        <v>529</v>
      </c>
      <c r="X285" s="242" t="s">
        <v>528</v>
      </c>
      <c r="Y285" s="242" t="s">
        <v>537</v>
      </c>
      <c r="Z285" s="242" t="s">
        <v>538</v>
      </c>
      <c r="AA285" s="242" t="s">
        <v>544</v>
      </c>
      <c r="AB285" s="242" t="s">
        <v>534</v>
      </c>
      <c r="AC285" s="242" t="s">
        <v>539</v>
      </c>
      <c r="AD285" s="243"/>
      <c r="AE285" s="242" t="s">
        <v>540</v>
      </c>
      <c r="AF285" s="242" t="s">
        <v>535</v>
      </c>
      <c r="AG285" s="242" t="s">
        <v>536</v>
      </c>
      <c r="AH285" s="242" t="s">
        <v>560</v>
      </c>
      <c r="AI285" s="239" t="s">
        <v>513</v>
      </c>
      <c r="AJ285" s="239" t="s">
        <v>527</v>
      </c>
      <c r="AK285" s="102"/>
      <c r="AL285" s="239" t="s">
        <v>514</v>
      </c>
      <c r="AM285" s="239" t="s">
        <v>526</v>
      </c>
      <c r="AN285" s="241" t="s">
        <v>543</v>
      </c>
      <c r="AO285" s="241" t="s">
        <v>542</v>
      </c>
      <c r="AP285" s="240" t="s">
        <v>532</v>
      </c>
      <c r="AQ285" s="240" t="s">
        <v>533</v>
      </c>
      <c r="AS285" s="240" t="s">
        <v>530</v>
      </c>
      <c r="AT285" s="240" t="s">
        <v>531</v>
      </c>
      <c r="AU285" s="240" t="s">
        <v>529</v>
      </c>
      <c r="AV285" s="240" t="s">
        <v>528</v>
      </c>
      <c r="AW285" s="240" t="s">
        <v>537</v>
      </c>
      <c r="AY285" s="240" t="s">
        <v>538</v>
      </c>
      <c r="AZ285" s="240" t="s">
        <v>544</v>
      </c>
      <c r="BA285" s="240" t="s">
        <v>534</v>
      </c>
      <c r="BB285" s="240" t="s">
        <v>539</v>
      </c>
      <c r="BC285" s="240" t="s">
        <v>540</v>
      </c>
      <c r="BD285" s="240" t="s">
        <v>535</v>
      </c>
      <c r="BE285" s="240" t="s">
        <v>536</v>
      </c>
      <c r="BH285" s="99"/>
      <c r="BI285" s="1607"/>
      <c r="BJ285" s="252" t="s">
        <v>253</v>
      </c>
      <c r="BK285" s="1607"/>
      <c r="BL285" s="252" t="s">
        <v>251</v>
      </c>
      <c r="BM285" s="1607"/>
      <c r="BN285" s="1607"/>
      <c r="BO285" s="1607"/>
      <c r="BP285" s="1607"/>
      <c r="BQ285" s="252" t="s">
        <v>251</v>
      </c>
      <c r="BR285" s="1607"/>
      <c r="BS285" s="1607"/>
      <c r="BT285" s="1607"/>
      <c r="BU285" s="178"/>
      <c r="BV285" s="178"/>
      <c r="BW285" s="178"/>
      <c r="BX285" s="178"/>
      <c r="BY285" s="178"/>
      <c r="BZ285" s="178"/>
      <c r="CA285" s="178"/>
      <c r="CB285" s="180"/>
      <c r="CC285" s="178"/>
      <c r="CD285" s="178"/>
      <c r="CE285" s="180"/>
      <c r="CF285" s="180"/>
      <c r="CG285" s="180"/>
      <c r="CH285" s="180"/>
      <c r="CI285" s="178"/>
      <c r="CJ285" s="178"/>
      <c r="CK285" s="180"/>
      <c r="CL285" s="180"/>
      <c r="CM285" s="180"/>
      <c r="CN285" s="116"/>
      <c r="CO285" s="218">
        <f t="shared" si="114"/>
        <v>0</v>
      </c>
      <c r="CP285" s="100">
        <f t="shared" si="115"/>
        <v>0</v>
      </c>
      <c r="CQ285" s="218">
        <f t="shared" si="116"/>
        <v>0</v>
      </c>
      <c r="CZ285" s="101" t="s">
        <v>58</v>
      </c>
      <c r="DA285" s="254">
        <v>0</v>
      </c>
      <c r="DB285" s="253">
        <v>0</v>
      </c>
      <c r="DC285" s="253">
        <v>0</v>
      </c>
      <c r="DD285" s="254">
        <v>0</v>
      </c>
      <c r="DE285" s="254">
        <v>0</v>
      </c>
      <c r="DF285" s="253">
        <v>0</v>
      </c>
      <c r="DG285" s="253">
        <v>0</v>
      </c>
      <c r="DH285" s="253">
        <v>0</v>
      </c>
      <c r="DI285" s="253">
        <v>0</v>
      </c>
      <c r="DJ285" s="254">
        <v>0</v>
      </c>
      <c r="DK285" s="254">
        <v>0</v>
      </c>
      <c r="DL285" s="254">
        <v>0</v>
      </c>
      <c r="DM285" s="254">
        <v>0</v>
      </c>
      <c r="DN285" s="101">
        <v>0</v>
      </c>
    </row>
    <row r="286" spans="1:119" s="101" customFormat="1" ht="33.75" hidden="1" thickBot="1" x14ac:dyDescent="0.4">
      <c r="O286" s="227" t="s">
        <v>128</v>
      </c>
      <c r="Q286" s="243">
        <v>0.48</v>
      </c>
      <c r="R286" s="243">
        <v>400</v>
      </c>
      <c r="S286" s="246">
        <f t="shared" ref="S286:AG304" si="119">((($Q286*($R286/1000)*365)*1)*S$284)*(44/28)</f>
        <v>0</v>
      </c>
      <c r="T286" s="246">
        <f t="shared" si="119"/>
        <v>0</v>
      </c>
      <c r="U286" s="246">
        <f t="shared" si="119"/>
        <v>0.55062857142857136</v>
      </c>
      <c r="V286" s="246">
        <f t="shared" si="119"/>
        <v>2.2025142857142854</v>
      </c>
      <c r="W286" s="246">
        <f t="shared" si="119"/>
        <v>0.55062857142857136</v>
      </c>
      <c r="X286" s="246">
        <f t="shared" si="119"/>
        <v>0</v>
      </c>
      <c r="Y286" s="246">
        <f t="shared" si="119"/>
        <v>1.1012571428571427</v>
      </c>
      <c r="Z286" s="246">
        <f t="shared" si="119"/>
        <v>7.708800000000001</v>
      </c>
      <c r="AA286" s="246">
        <f t="shared" si="119"/>
        <v>0</v>
      </c>
      <c r="AB286" s="246">
        <f t="shared" si="119"/>
        <v>0</v>
      </c>
      <c r="AC286" s="246">
        <f t="shared" si="119"/>
        <v>0.66075428571428574</v>
      </c>
      <c r="AD286" s="246">
        <f t="shared" si="119"/>
        <v>0</v>
      </c>
      <c r="AE286" s="246">
        <f t="shared" si="119"/>
        <v>11.012571428571428</v>
      </c>
      <c r="AF286" s="246">
        <v>0</v>
      </c>
      <c r="AG286" s="246">
        <f t="shared" si="119"/>
        <v>1.1012571428571427</v>
      </c>
      <c r="AH286" s="243"/>
      <c r="AI286" s="102">
        <v>1</v>
      </c>
      <c r="AJ286" s="102">
        <v>58</v>
      </c>
      <c r="AL286" s="102">
        <v>29</v>
      </c>
      <c r="AM286" s="237">
        <v>0.3</v>
      </c>
      <c r="AN286" s="241">
        <v>2.9</v>
      </c>
      <c r="AO286" s="241">
        <v>0.13</v>
      </c>
      <c r="AP286" s="247">
        <f>(AN286*365)*(AO286*0.67*0.01*1)</f>
        <v>0.92195350000000009</v>
      </c>
      <c r="AQ286" s="247">
        <f>(AN286*365)*(AO286*0.67*0.001*1)</f>
        <v>9.2195350000000023E-2</v>
      </c>
      <c r="AR286" s="248"/>
      <c r="AS286" s="247">
        <f>(AN286*365)*(AO286*0.67*0.02*1)</f>
        <v>1.8439070000000002</v>
      </c>
      <c r="AT286" s="247">
        <f>(AN286*365)*(AO286*0.67*0.01*1)</f>
        <v>0.92195350000000009</v>
      </c>
      <c r="AU286" s="247">
        <f>(AN286*365)*(AO286*0.67*0.25*1)</f>
        <v>23.048837500000001</v>
      </c>
      <c r="AV286" s="247">
        <f>(AN286*365)*(AO286*0.67*0.73*1)</f>
        <v>67.302605499999999</v>
      </c>
      <c r="AW286" s="247">
        <f>(AN286*365)*(AO286*0.67*0.03*1)</f>
        <v>2.7658605000000005</v>
      </c>
      <c r="AX286" s="248"/>
      <c r="AY286" s="247">
        <f>(AN286*365)*(AO286*0.67*0.25*1)</f>
        <v>23.048837500000001</v>
      </c>
      <c r="AZ286" s="247">
        <f t="shared" ref="AZ286:AZ321" si="120">(AN286*365)*(AO286*0.67*1*1)</f>
        <v>92.195350000000005</v>
      </c>
      <c r="BA286" s="247">
        <f t="shared" ref="BA286:BA321" si="121">(AN286*365)*(AO286*0.67*0.1*1)</f>
        <v>9.2195350000000005</v>
      </c>
      <c r="BB286" s="247">
        <f t="shared" ref="BB286:BB321" si="122">(AN286*365)*(AO286*0.67*0.005*1)</f>
        <v>0.46097675000000005</v>
      </c>
      <c r="BC286" s="247">
        <f>(AN286*365)*(AO286*0.67*0.005*1)</f>
        <v>0.46097675000000005</v>
      </c>
      <c r="BD286" s="247">
        <v>0</v>
      </c>
      <c r="BE286" s="247">
        <v>0</v>
      </c>
      <c r="BH286" s="120" t="s">
        <v>58</v>
      </c>
      <c r="BI286" s="203" t="s">
        <v>601</v>
      </c>
      <c r="BJ286" s="190" t="s">
        <v>168</v>
      </c>
      <c r="BK286" s="196">
        <f>BV286/25</f>
        <v>1</v>
      </c>
      <c r="BL286" s="190" t="s">
        <v>413</v>
      </c>
      <c r="BM286" s="189">
        <v>0.2</v>
      </c>
      <c r="BN286" s="189">
        <v>0.5</v>
      </c>
      <c r="BO286" s="188" t="s">
        <v>258</v>
      </c>
      <c r="BP286" s="196">
        <f>BY286/298</f>
        <v>1.2445714285714284</v>
      </c>
      <c r="BQ286" s="190" t="s">
        <v>415</v>
      </c>
      <c r="BR286" s="189">
        <v>0.2</v>
      </c>
      <c r="BS286" s="189">
        <v>0.5</v>
      </c>
      <c r="BT286" s="188" t="s">
        <v>258</v>
      </c>
      <c r="BU286" s="178"/>
      <c r="BV286" s="196">
        <v>25</v>
      </c>
      <c r="BW286" s="190" t="s">
        <v>414</v>
      </c>
      <c r="BX286" s="178"/>
      <c r="BY286" s="196">
        <v>370.88228571428567</v>
      </c>
      <c r="BZ286" s="190" t="s">
        <v>414</v>
      </c>
      <c r="CA286" s="178"/>
      <c r="CB286" s="180"/>
      <c r="CC286" s="178"/>
      <c r="CD286" s="178"/>
      <c r="CE286" s="180"/>
      <c r="CF286" s="180"/>
      <c r="CG286" s="180"/>
      <c r="CH286" s="180"/>
      <c r="CI286" s="178"/>
      <c r="CJ286" s="178"/>
      <c r="CK286" s="180"/>
      <c r="CL286" s="180"/>
      <c r="CM286" s="180"/>
      <c r="CN286" s="116"/>
      <c r="CO286" s="218">
        <f t="shared" si="114"/>
        <v>0.2</v>
      </c>
      <c r="CP286" s="100">
        <f t="shared" si="115"/>
        <v>0.35</v>
      </c>
      <c r="CQ286" s="218">
        <f t="shared" si="116"/>
        <v>0.5</v>
      </c>
      <c r="CR286" s="101">
        <v>0.2</v>
      </c>
      <c r="CS286" s="101">
        <v>0.5</v>
      </c>
      <c r="CZ286" s="101" t="s">
        <v>58</v>
      </c>
      <c r="DA286" s="23" t="s">
        <v>125</v>
      </c>
      <c r="DB286" s="23">
        <v>1</v>
      </c>
      <c r="DC286" s="142">
        <f>+DB286*21</f>
        <v>21</v>
      </c>
      <c r="DD286" s="142">
        <f>+DB286*25</f>
        <v>25</v>
      </c>
      <c r="DE286" s="23">
        <v>40</v>
      </c>
      <c r="DF286" s="23">
        <v>0.99</v>
      </c>
      <c r="DG286" s="142">
        <f>+DE286*DF286</f>
        <v>39.6</v>
      </c>
      <c r="DH286" s="23">
        <v>0.02</v>
      </c>
      <c r="DI286" s="149">
        <f>+DG286*DH286*44/28</f>
        <v>1.2445714285714284</v>
      </c>
      <c r="DJ286" s="149">
        <f>+DI286*310</f>
        <v>385.81714285714281</v>
      </c>
      <c r="DK286" s="149">
        <f>+DI286*298</f>
        <v>370.88228571428567</v>
      </c>
      <c r="DL286" s="150">
        <f>+DC286+DJ286</f>
        <v>406.81714285714281</v>
      </c>
      <c r="DM286" s="150">
        <f>+DD286+DK286</f>
        <v>395.88228571428567</v>
      </c>
      <c r="DN286" s="116" t="s">
        <v>168</v>
      </c>
      <c r="DO286" s="101" t="s">
        <v>392</v>
      </c>
    </row>
    <row r="287" spans="1:119" s="101" customFormat="1" ht="33.75" hidden="1" thickBot="1" x14ac:dyDescent="0.4">
      <c r="O287" s="227" t="s">
        <v>129</v>
      </c>
      <c r="Q287" s="243">
        <v>0.48</v>
      </c>
      <c r="R287" s="243">
        <v>400</v>
      </c>
      <c r="S287" s="246">
        <f t="shared" si="119"/>
        <v>0</v>
      </c>
      <c r="T287" s="246">
        <f t="shared" si="119"/>
        <v>0</v>
      </c>
      <c r="U287" s="246">
        <f t="shared" si="119"/>
        <v>0.55062857142857136</v>
      </c>
      <c r="V287" s="246">
        <f t="shared" si="119"/>
        <v>2.2025142857142854</v>
      </c>
      <c r="W287" s="246">
        <f t="shared" si="119"/>
        <v>0.55062857142857136</v>
      </c>
      <c r="X287" s="246">
        <f t="shared" si="119"/>
        <v>0</v>
      </c>
      <c r="Y287" s="246">
        <f t="shared" si="119"/>
        <v>1.1012571428571427</v>
      </c>
      <c r="Z287" s="246">
        <f t="shared" si="119"/>
        <v>7.708800000000001</v>
      </c>
      <c r="AA287" s="246">
        <f t="shared" si="119"/>
        <v>0</v>
      </c>
      <c r="AB287" s="246">
        <f t="shared" si="119"/>
        <v>0</v>
      </c>
      <c r="AC287" s="246">
        <f t="shared" si="119"/>
        <v>0.66075428571428574</v>
      </c>
      <c r="AD287" s="246">
        <f t="shared" si="119"/>
        <v>0</v>
      </c>
      <c r="AE287" s="246">
        <f t="shared" si="119"/>
        <v>11.012571428571428</v>
      </c>
      <c r="AF287" s="246">
        <v>0</v>
      </c>
      <c r="AG287" s="246">
        <f t="shared" si="119"/>
        <v>1.1012571428571427</v>
      </c>
      <c r="AH287" s="243"/>
      <c r="AI287" s="102">
        <v>1</v>
      </c>
      <c r="AJ287" s="102">
        <v>98</v>
      </c>
      <c r="AL287" s="102">
        <v>75</v>
      </c>
      <c r="AM287" s="237">
        <v>0.3</v>
      </c>
      <c r="AN287" s="241">
        <v>2.9</v>
      </c>
      <c r="AO287" s="241">
        <v>0.13</v>
      </c>
      <c r="AP287" s="247">
        <f>(AN287*365)*(AO287*0.67*0.015*1)</f>
        <v>1.3829302500000002</v>
      </c>
      <c r="AQ287" s="247">
        <f>(AN287*365)*(AO287*0.67*0.005*1)</f>
        <v>0.46097675000000005</v>
      </c>
      <c r="AR287" s="248"/>
      <c r="AS287" s="247">
        <f>(AN287*365)*(AO287*0.67*0.04*1)</f>
        <v>3.6878140000000004</v>
      </c>
      <c r="AT287" s="247">
        <f>(AN287*365)*(AO287*0.67*0.015*1)</f>
        <v>1.3829302500000002</v>
      </c>
      <c r="AU287" s="247">
        <f>(AN287*365)*(AO287*0.67*0.65*1)</f>
        <v>59.926977500000007</v>
      </c>
      <c r="AV287" s="247">
        <f>(AN287*365)*(AO287*0.67*0.79*1)</f>
        <v>72.834326500000003</v>
      </c>
      <c r="AW287" s="247">
        <f>(AN287*365)*(AO287*0.67*0.03*1)</f>
        <v>2.7658605000000005</v>
      </c>
      <c r="AX287" s="248"/>
      <c r="AY287" s="247">
        <f>(AN287*365)*(AO287*0.67*0.65*1)</f>
        <v>59.926977500000007</v>
      </c>
      <c r="AZ287" s="247">
        <f t="shared" si="120"/>
        <v>92.195350000000005</v>
      </c>
      <c r="BA287" s="247">
        <f t="shared" si="121"/>
        <v>9.2195350000000005</v>
      </c>
      <c r="BB287" s="247">
        <f t="shared" si="122"/>
        <v>0.46097675000000005</v>
      </c>
      <c r="BC287" s="247">
        <f>(AN287*365)*(AO287*0.67*0.01*1)</f>
        <v>0.92195350000000009</v>
      </c>
      <c r="BD287" s="247">
        <v>0</v>
      </c>
      <c r="BE287" s="247">
        <v>0</v>
      </c>
      <c r="BH287" s="120"/>
      <c r="BI287" s="203" t="s">
        <v>126</v>
      </c>
      <c r="BJ287" s="190" t="s">
        <v>168</v>
      </c>
      <c r="BK287" s="196">
        <f t="shared" ref="BK287:BK315" si="123">BV287/25</f>
        <v>1</v>
      </c>
      <c r="BL287" s="190" t="s">
        <v>413</v>
      </c>
      <c r="BM287" s="189">
        <v>0.2</v>
      </c>
      <c r="BN287" s="189">
        <v>0.5</v>
      </c>
      <c r="BO287" s="188" t="s">
        <v>258</v>
      </c>
      <c r="BP287" s="196">
        <f t="shared" ref="BP287:BP315" si="124">BY287/298</f>
        <v>1.2445714285714284</v>
      </c>
      <c r="BQ287" s="190" t="s">
        <v>415</v>
      </c>
      <c r="BR287" s="189">
        <v>0.2</v>
      </c>
      <c r="BS287" s="189">
        <v>0.5</v>
      </c>
      <c r="BT287" s="188" t="s">
        <v>258</v>
      </c>
      <c r="BU287" s="178"/>
      <c r="BV287" s="196">
        <v>25</v>
      </c>
      <c r="BW287" s="190" t="s">
        <v>414</v>
      </c>
      <c r="BX287" s="178"/>
      <c r="BY287" s="196">
        <v>370.88228571428567</v>
      </c>
      <c r="BZ287" s="190" t="s">
        <v>414</v>
      </c>
      <c r="CA287" s="178"/>
      <c r="CB287" s="180"/>
      <c r="CC287" s="178"/>
      <c r="CD287" s="178"/>
      <c r="CE287" s="180"/>
      <c r="CF287" s="180"/>
      <c r="CG287" s="180"/>
      <c r="CH287" s="180"/>
      <c r="CI287" s="178"/>
      <c r="CJ287" s="178"/>
      <c r="CK287" s="180"/>
      <c r="CL287" s="180"/>
      <c r="CM287" s="180"/>
      <c r="CN287" s="116"/>
      <c r="CO287" s="218">
        <f t="shared" si="114"/>
        <v>0.2</v>
      </c>
      <c r="CP287" s="100">
        <f t="shared" si="115"/>
        <v>0.35</v>
      </c>
      <c r="CQ287" s="218">
        <f t="shared" si="116"/>
        <v>0.5</v>
      </c>
      <c r="CR287" s="101">
        <v>0.2</v>
      </c>
      <c r="CS287" s="101">
        <v>0.5</v>
      </c>
      <c r="DA287" s="23" t="s">
        <v>126</v>
      </c>
      <c r="DB287" s="23">
        <v>1</v>
      </c>
      <c r="DC287" s="142">
        <f t="shared" ref="DC287:DC315" si="125">+DB287*21</f>
        <v>21</v>
      </c>
      <c r="DD287" s="142">
        <f t="shared" ref="DD287:DD315" si="126">+DB287*25</f>
        <v>25</v>
      </c>
      <c r="DE287" s="23">
        <v>40</v>
      </c>
      <c r="DF287" s="23">
        <v>0.99</v>
      </c>
      <c r="DG287" s="142">
        <f t="shared" ref="DG287:DG315" si="127">+DE287*DF287</f>
        <v>39.6</v>
      </c>
      <c r="DH287" s="23">
        <v>0.02</v>
      </c>
      <c r="DI287" s="149">
        <f t="shared" ref="DI287:DI315" si="128">+DG287*DH287*44/28</f>
        <v>1.2445714285714284</v>
      </c>
      <c r="DJ287" s="149">
        <f t="shared" ref="DJ287:DJ315" si="129">+DI287*310</f>
        <v>385.81714285714281</v>
      </c>
      <c r="DK287" s="149">
        <f t="shared" ref="DK287:DK315" si="130">+DI287*298</f>
        <v>370.88228571428567</v>
      </c>
      <c r="DL287" s="150">
        <f t="shared" ref="DL287:DM315" si="131">+DC287+DJ287</f>
        <v>406.81714285714281</v>
      </c>
      <c r="DM287" s="150">
        <f t="shared" si="131"/>
        <v>395.88228571428567</v>
      </c>
      <c r="DN287" s="116" t="s">
        <v>168</v>
      </c>
      <c r="DO287" s="101" t="s">
        <v>392</v>
      </c>
    </row>
    <row r="288" spans="1:119" s="101" customFormat="1" ht="33.75" hidden="1" thickBot="1" x14ac:dyDescent="0.4">
      <c r="O288" s="227" t="s">
        <v>130</v>
      </c>
      <c r="Q288" s="243">
        <v>0.48</v>
      </c>
      <c r="R288" s="243">
        <v>400</v>
      </c>
      <c r="S288" s="246">
        <f t="shared" si="119"/>
        <v>0</v>
      </c>
      <c r="T288" s="246">
        <f t="shared" si="119"/>
        <v>0</v>
      </c>
      <c r="U288" s="246">
        <f t="shared" si="119"/>
        <v>0.55062857142857136</v>
      </c>
      <c r="V288" s="246">
        <f t="shared" si="119"/>
        <v>2.2025142857142854</v>
      </c>
      <c r="W288" s="246">
        <f t="shared" si="119"/>
        <v>0.55062857142857136</v>
      </c>
      <c r="X288" s="246">
        <f t="shared" si="119"/>
        <v>0</v>
      </c>
      <c r="Y288" s="246">
        <f t="shared" si="119"/>
        <v>1.1012571428571427</v>
      </c>
      <c r="Z288" s="246">
        <f t="shared" si="119"/>
        <v>7.708800000000001</v>
      </c>
      <c r="AA288" s="246">
        <f t="shared" si="119"/>
        <v>0</v>
      </c>
      <c r="AB288" s="246">
        <f t="shared" si="119"/>
        <v>0</v>
      </c>
      <c r="AC288" s="246">
        <f t="shared" si="119"/>
        <v>0.66075428571428574</v>
      </c>
      <c r="AD288" s="246">
        <f t="shared" si="119"/>
        <v>0</v>
      </c>
      <c r="AE288" s="246">
        <f t="shared" si="119"/>
        <v>11.012571428571428</v>
      </c>
      <c r="AF288" s="246">
        <v>0</v>
      </c>
      <c r="AG288" s="246">
        <f t="shared" si="119"/>
        <v>1.1012571428571427</v>
      </c>
      <c r="AH288" s="243"/>
      <c r="AI288" s="102">
        <v>1</v>
      </c>
      <c r="AJ288" s="102">
        <v>112</v>
      </c>
      <c r="AL288" s="102">
        <v>92</v>
      </c>
      <c r="AM288" s="237">
        <v>0.3</v>
      </c>
      <c r="AN288" s="241">
        <v>2.9</v>
      </c>
      <c r="AO288" s="241">
        <v>0.13</v>
      </c>
      <c r="AP288" s="247">
        <f>(AN288*365)*(AO288*0.67*0.02*1)</f>
        <v>1.8439070000000002</v>
      </c>
      <c r="AQ288" s="247">
        <f>(AN288*365)*(AO288*0.67*0.01*1)</f>
        <v>0.92195350000000009</v>
      </c>
      <c r="AR288" s="248"/>
      <c r="AS288" s="247">
        <f>(AN288*365)*(AO288*0.67*0.05*1)</f>
        <v>4.6097675000000002</v>
      </c>
      <c r="AT288" s="247">
        <f>(AN288*365)*(AO288*0.67*0.02*1)</f>
        <v>1.8439070000000002</v>
      </c>
      <c r="AU288" s="247">
        <f>(AN288*365)*(AO288*0.67*0.8*1)</f>
        <v>73.756280000000004</v>
      </c>
      <c r="AV288" s="247">
        <f>(AN288*365)*(AO288*0.67*0.8*1)</f>
        <v>73.756280000000004</v>
      </c>
      <c r="AW288" s="247">
        <f>(AN288*365)*(AO288*0.67*0.3*1)</f>
        <v>27.658605000000005</v>
      </c>
      <c r="AX288" s="248"/>
      <c r="AY288" s="247">
        <f>(AN288*365)*(AO288*0.67*0.8*1)</f>
        <v>73.756280000000004</v>
      </c>
      <c r="AZ288" s="247">
        <f t="shared" si="120"/>
        <v>92.195350000000005</v>
      </c>
      <c r="BA288" s="247">
        <f t="shared" si="121"/>
        <v>9.2195350000000005</v>
      </c>
      <c r="BB288" s="247">
        <f t="shared" si="122"/>
        <v>0.46097675000000005</v>
      </c>
      <c r="BC288" s="247">
        <f>(AN288*365)*(AO288*0.67*0.015*1)</f>
        <v>1.3829302500000002</v>
      </c>
      <c r="BD288" s="247">
        <v>0</v>
      </c>
      <c r="BE288" s="247">
        <v>0</v>
      </c>
      <c r="BH288" s="120"/>
      <c r="BI288" s="203" t="s">
        <v>127</v>
      </c>
      <c r="BJ288" s="190" t="s">
        <v>168</v>
      </c>
      <c r="BK288" s="196">
        <f t="shared" si="123"/>
        <v>1</v>
      </c>
      <c r="BL288" s="190" t="s">
        <v>413</v>
      </c>
      <c r="BM288" s="189">
        <v>0.2</v>
      </c>
      <c r="BN288" s="189">
        <v>0.5</v>
      </c>
      <c r="BO288" s="188" t="s">
        <v>258</v>
      </c>
      <c r="BP288" s="196">
        <f t="shared" si="124"/>
        <v>1.2445714285714284</v>
      </c>
      <c r="BQ288" s="190" t="s">
        <v>415</v>
      </c>
      <c r="BR288" s="189">
        <v>0.2</v>
      </c>
      <c r="BS288" s="189">
        <v>0.5</v>
      </c>
      <c r="BT288" s="188" t="s">
        <v>258</v>
      </c>
      <c r="BU288" s="178"/>
      <c r="BV288" s="196">
        <v>25</v>
      </c>
      <c r="BW288" s="190" t="s">
        <v>414</v>
      </c>
      <c r="BX288" s="178"/>
      <c r="BY288" s="196">
        <v>370.88228571428567</v>
      </c>
      <c r="BZ288" s="190" t="s">
        <v>414</v>
      </c>
      <c r="CA288" s="178"/>
      <c r="CB288" s="180"/>
      <c r="CC288" s="178"/>
      <c r="CD288" s="178"/>
      <c r="CE288" s="180"/>
      <c r="CF288" s="180"/>
      <c r="CG288" s="180"/>
      <c r="CH288" s="180"/>
      <c r="CI288" s="178"/>
      <c r="CJ288" s="178"/>
      <c r="CK288" s="180"/>
      <c r="CL288" s="180"/>
      <c r="CM288" s="180"/>
      <c r="CN288" s="116"/>
      <c r="CO288" s="218">
        <f t="shared" si="114"/>
        <v>0.2</v>
      </c>
      <c r="CP288" s="100">
        <f t="shared" si="115"/>
        <v>0.35</v>
      </c>
      <c r="CQ288" s="218">
        <f t="shared" si="116"/>
        <v>0.5</v>
      </c>
      <c r="CR288" s="101">
        <v>0.2</v>
      </c>
      <c r="CS288" s="101">
        <v>0.5</v>
      </c>
      <c r="DA288" s="23" t="s">
        <v>127</v>
      </c>
      <c r="DB288" s="23">
        <v>1</v>
      </c>
      <c r="DC288" s="142">
        <f t="shared" si="125"/>
        <v>21</v>
      </c>
      <c r="DD288" s="142">
        <f t="shared" si="126"/>
        <v>25</v>
      </c>
      <c r="DE288" s="23">
        <v>40</v>
      </c>
      <c r="DF288" s="23">
        <v>0.99</v>
      </c>
      <c r="DG288" s="142">
        <f t="shared" si="127"/>
        <v>39.6</v>
      </c>
      <c r="DH288" s="23">
        <v>0.02</v>
      </c>
      <c r="DI288" s="149">
        <f t="shared" si="128"/>
        <v>1.2445714285714284</v>
      </c>
      <c r="DJ288" s="149">
        <f t="shared" si="129"/>
        <v>385.81714285714281</v>
      </c>
      <c r="DK288" s="149">
        <f t="shared" si="130"/>
        <v>370.88228571428567</v>
      </c>
      <c r="DL288" s="150">
        <f t="shared" si="131"/>
        <v>406.81714285714281</v>
      </c>
      <c r="DM288" s="150">
        <f t="shared" si="131"/>
        <v>395.88228571428567</v>
      </c>
      <c r="DN288" s="116" t="s">
        <v>168</v>
      </c>
      <c r="DO288" s="101" t="s">
        <v>392</v>
      </c>
    </row>
    <row r="289" spans="15:119" s="101" customFormat="1" ht="33.75" hidden="1" thickBot="1" x14ac:dyDescent="0.4">
      <c r="O289" s="227" t="s">
        <v>125</v>
      </c>
      <c r="Q289" s="243">
        <v>0.36</v>
      </c>
      <c r="R289" s="243">
        <v>305</v>
      </c>
      <c r="S289" s="246">
        <f t="shared" si="119"/>
        <v>0</v>
      </c>
      <c r="T289" s="246">
        <f t="shared" si="119"/>
        <v>0</v>
      </c>
      <c r="U289" s="246">
        <f t="shared" si="119"/>
        <v>0.3148907142857143</v>
      </c>
      <c r="V289" s="246">
        <f t="shared" si="119"/>
        <v>1.2595628571428572</v>
      </c>
      <c r="W289" s="246">
        <f t="shared" si="119"/>
        <v>0.3148907142857143</v>
      </c>
      <c r="X289" s="246">
        <f t="shared" si="119"/>
        <v>0</v>
      </c>
      <c r="Y289" s="246">
        <f t="shared" si="119"/>
        <v>0.6297814285714286</v>
      </c>
      <c r="Z289" s="246">
        <f t="shared" si="119"/>
        <v>4.4084700000000003</v>
      </c>
      <c r="AA289" s="246">
        <f t="shared" si="119"/>
        <v>0</v>
      </c>
      <c r="AB289" s="246">
        <f t="shared" si="119"/>
        <v>0</v>
      </c>
      <c r="AC289" s="246">
        <f t="shared" si="119"/>
        <v>0.37786885714285712</v>
      </c>
      <c r="AD289" s="246">
        <f t="shared" si="119"/>
        <v>0</v>
      </c>
      <c r="AE289" s="246">
        <f t="shared" si="119"/>
        <v>6.2978142857142849</v>
      </c>
      <c r="AF289" s="246">
        <v>0</v>
      </c>
      <c r="AG289" s="246">
        <f t="shared" si="119"/>
        <v>0.6297814285714286</v>
      </c>
      <c r="AH289" s="243"/>
      <c r="AI289" s="102">
        <v>1</v>
      </c>
      <c r="AJ289" s="100">
        <v>0</v>
      </c>
      <c r="AL289" s="102">
        <v>8</v>
      </c>
      <c r="AM289" s="237">
        <v>0.3</v>
      </c>
      <c r="AN289" s="241">
        <v>2.5</v>
      </c>
      <c r="AO289" s="241">
        <v>0.1</v>
      </c>
      <c r="AP289" s="247">
        <f>(AN289*365)*(AO289*0.67*0.01*1)</f>
        <v>0.611375</v>
      </c>
      <c r="AQ289" s="247">
        <f>(AN289*365)*(AO289*0.67*0.001*1)</f>
        <v>6.1137500000000004E-2</v>
      </c>
      <c r="AR289" s="248"/>
      <c r="AS289" s="247">
        <f>(AN289*365)*(AO289*0.67*0.02*1)</f>
        <v>1.22275</v>
      </c>
      <c r="AT289" s="247">
        <f>(AN289*365)*(AO289*0.67*0.01*1)</f>
        <v>0.611375</v>
      </c>
      <c r="AU289" s="247">
        <f>(AN289*365)*(AO289*0.67*0.25*1)</f>
        <v>15.284375000000001</v>
      </c>
      <c r="AV289" s="247">
        <f>(AN289*365)*(AO289*0.67*0.73*1)</f>
        <v>44.630375000000001</v>
      </c>
      <c r="AW289" s="247">
        <f>(AN289*365)*(AO289*0.67*0.03*1)</f>
        <v>1.834125</v>
      </c>
      <c r="AX289" s="248"/>
      <c r="AY289" s="247">
        <f>(AN289*365)*(AO289*0.67*0.25*1)</f>
        <v>15.284375000000001</v>
      </c>
      <c r="AZ289" s="247">
        <f t="shared" si="120"/>
        <v>61.137500000000003</v>
      </c>
      <c r="BA289" s="247">
        <f t="shared" si="121"/>
        <v>6.1137500000000014</v>
      </c>
      <c r="BB289" s="247">
        <f t="shared" si="122"/>
        <v>0.3056875</v>
      </c>
      <c r="BC289" s="247">
        <f>(AN289*365)*(AO289*0.67*0.005*1)</f>
        <v>0.3056875</v>
      </c>
      <c r="BD289" s="247">
        <v>0</v>
      </c>
      <c r="BE289" s="247">
        <v>0</v>
      </c>
      <c r="BH289" s="120"/>
      <c r="BI289" s="203" t="s">
        <v>128</v>
      </c>
      <c r="BJ289" s="190" t="s">
        <v>168</v>
      </c>
      <c r="BK289" s="196">
        <f t="shared" si="123"/>
        <v>0</v>
      </c>
      <c r="BL289" s="190" t="s">
        <v>413</v>
      </c>
      <c r="BM289" s="189">
        <v>0.2</v>
      </c>
      <c r="BN289" s="189">
        <v>0.5</v>
      </c>
      <c r="BO289" s="188" t="s">
        <v>258</v>
      </c>
      <c r="BP289" s="196">
        <f t="shared" si="124"/>
        <v>0.79200000000000004</v>
      </c>
      <c r="BQ289" s="190" t="s">
        <v>415</v>
      </c>
      <c r="BR289" s="189">
        <v>0.2</v>
      </c>
      <c r="BS289" s="189">
        <v>0.5</v>
      </c>
      <c r="BT289" s="188" t="s">
        <v>258</v>
      </c>
      <c r="BU289" s="178"/>
      <c r="BV289" s="196">
        <v>0</v>
      </c>
      <c r="BW289" s="190" t="s">
        <v>414</v>
      </c>
      <c r="BX289" s="178"/>
      <c r="BY289" s="196">
        <v>236.01600000000002</v>
      </c>
      <c r="BZ289" s="190" t="s">
        <v>414</v>
      </c>
      <c r="CA289" s="178"/>
      <c r="CB289" s="180"/>
      <c r="CC289" s="178"/>
      <c r="CD289" s="178"/>
      <c r="CE289" s="180"/>
      <c r="CF289" s="180"/>
      <c r="CG289" s="180"/>
      <c r="CH289" s="180"/>
      <c r="CI289" s="178"/>
      <c r="CJ289" s="178"/>
      <c r="CK289" s="180"/>
      <c r="CL289" s="180"/>
      <c r="CM289" s="180"/>
      <c r="CN289" s="116"/>
      <c r="CO289" s="218">
        <f t="shared" si="114"/>
        <v>0.2</v>
      </c>
      <c r="CP289" s="100">
        <f t="shared" si="115"/>
        <v>0.35</v>
      </c>
      <c r="CQ289" s="218">
        <f t="shared" si="116"/>
        <v>0.5</v>
      </c>
      <c r="CR289" s="101">
        <v>0.2</v>
      </c>
      <c r="CS289" s="101">
        <v>0.5</v>
      </c>
      <c r="DA289" s="23" t="s">
        <v>128</v>
      </c>
      <c r="DB289" s="23">
        <v>0</v>
      </c>
      <c r="DC289" s="142">
        <f t="shared" si="125"/>
        <v>0</v>
      </c>
      <c r="DD289" s="142">
        <f t="shared" si="126"/>
        <v>0</v>
      </c>
      <c r="DE289" s="23">
        <v>70</v>
      </c>
      <c r="DF289" s="23">
        <v>0.36</v>
      </c>
      <c r="DG289" s="142">
        <f t="shared" si="127"/>
        <v>25.2</v>
      </c>
      <c r="DH289" s="23">
        <v>0.02</v>
      </c>
      <c r="DI289" s="149">
        <f t="shared" si="128"/>
        <v>0.79200000000000004</v>
      </c>
      <c r="DJ289" s="149">
        <f t="shared" si="129"/>
        <v>245.52</v>
      </c>
      <c r="DK289" s="149">
        <f t="shared" si="130"/>
        <v>236.01600000000002</v>
      </c>
      <c r="DL289" s="150">
        <f t="shared" si="131"/>
        <v>245.52</v>
      </c>
      <c r="DM289" s="150">
        <f t="shared" si="131"/>
        <v>236.01600000000002</v>
      </c>
      <c r="DN289" s="116" t="s">
        <v>168</v>
      </c>
      <c r="DO289" s="101" t="s">
        <v>392</v>
      </c>
    </row>
    <row r="290" spans="15:119" s="101" customFormat="1" ht="33.75" hidden="1" thickBot="1" x14ac:dyDescent="0.4">
      <c r="O290" s="227" t="s">
        <v>126</v>
      </c>
      <c r="Q290" s="243">
        <v>0.36</v>
      </c>
      <c r="R290" s="243">
        <v>305</v>
      </c>
      <c r="S290" s="246">
        <f t="shared" si="119"/>
        <v>0</v>
      </c>
      <c r="T290" s="246">
        <f t="shared" si="119"/>
        <v>0</v>
      </c>
      <c r="U290" s="246">
        <f t="shared" si="119"/>
        <v>0.3148907142857143</v>
      </c>
      <c r="V290" s="246">
        <f t="shared" si="119"/>
        <v>1.2595628571428572</v>
      </c>
      <c r="W290" s="246">
        <f t="shared" si="119"/>
        <v>0.3148907142857143</v>
      </c>
      <c r="X290" s="246">
        <f t="shared" si="119"/>
        <v>0</v>
      </c>
      <c r="Y290" s="246">
        <f t="shared" si="119"/>
        <v>0.6297814285714286</v>
      </c>
      <c r="Z290" s="246">
        <f t="shared" si="119"/>
        <v>4.4084700000000003</v>
      </c>
      <c r="AA290" s="246">
        <f t="shared" si="119"/>
        <v>0</v>
      </c>
      <c r="AB290" s="246">
        <f t="shared" si="119"/>
        <v>0</v>
      </c>
      <c r="AC290" s="246">
        <f t="shared" si="119"/>
        <v>0.37786885714285712</v>
      </c>
      <c r="AD290" s="246">
        <f t="shared" si="119"/>
        <v>0</v>
      </c>
      <c r="AE290" s="246">
        <f t="shared" si="119"/>
        <v>6.2978142857142849</v>
      </c>
      <c r="AF290" s="246">
        <v>0</v>
      </c>
      <c r="AG290" s="246">
        <f t="shared" si="119"/>
        <v>0.6297814285714286</v>
      </c>
      <c r="AH290" s="243"/>
      <c r="AI290" s="102">
        <v>1</v>
      </c>
      <c r="AJ290" s="100">
        <v>0</v>
      </c>
      <c r="AL290" s="102">
        <v>21</v>
      </c>
      <c r="AM290" s="237">
        <v>0.3</v>
      </c>
      <c r="AN290" s="241">
        <v>2.5</v>
      </c>
      <c r="AO290" s="241">
        <v>0.1</v>
      </c>
      <c r="AP290" s="247">
        <f>(AN290*365)*(AO290*0.67*0.015*1)</f>
        <v>0.9170625</v>
      </c>
      <c r="AQ290" s="247">
        <f>(AN290*365)*(AO290*0.67*0.005*1)</f>
        <v>0.3056875</v>
      </c>
      <c r="AR290" s="248"/>
      <c r="AS290" s="247">
        <f>(AN290*365)*(AO290*0.67*0.04*1)</f>
        <v>2.4455</v>
      </c>
      <c r="AT290" s="247">
        <f>(AN290*365)*(AO290*0.67*0.015*1)</f>
        <v>0.9170625</v>
      </c>
      <c r="AU290" s="247">
        <f>(AN290*365)*(AO290*0.67*0.65*1)</f>
        <v>39.739375000000003</v>
      </c>
      <c r="AV290" s="247">
        <f>(AN290*365)*(AO290*0.67*0.79*1)</f>
        <v>48.298625000000001</v>
      </c>
      <c r="AW290" s="247">
        <f>(AN290*365)*(AO290*0.67*0.03*1)</f>
        <v>1.834125</v>
      </c>
      <c r="AX290" s="248"/>
      <c r="AY290" s="247">
        <f>(AN290*365)*(AO290*0.67*0.65*1)</f>
        <v>39.739375000000003</v>
      </c>
      <c r="AZ290" s="247">
        <f t="shared" si="120"/>
        <v>61.137500000000003</v>
      </c>
      <c r="BA290" s="247">
        <f t="shared" si="121"/>
        <v>6.1137500000000014</v>
      </c>
      <c r="BB290" s="247">
        <f t="shared" si="122"/>
        <v>0.3056875</v>
      </c>
      <c r="BC290" s="247">
        <f>(AN290*365)*(AO290*0.67*0.01*1)</f>
        <v>0.611375</v>
      </c>
      <c r="BD290" s="247">
        <v>0</v>
      </c>
      <c r="BE290" s="247">
        <v>0</v>
      </c>
      <c r="BH290" s="120"/>
      <c r="BI290" s="203" t="s">
        <v>129</v>
      </c>
      <c r="BJ290" s="190" t="s">
        <v>168</v>
      </c>
      <c r="BK290" s="196">
        <f t="shared" si="123"/>
        <v>1</v>
      </c>
      <c r="BL290" s="190" t="s">
        <v>413</v>
      </c>
      <c r="BM290" s="189">
        <v>0.2</v>
      </c>
      <c r="BN290" s="189">
        <v>0.5</v>
      </c>
      <c r="BO290" s="188" t="s">
        <v>258</v>
      </c>
      <c r="BP290" s="196">
        <f t="shared" si="124"/>
        <v>0.79200000000000004</v>
      </c>
      <c r="BQ290" s="190" t="s">
        <v>415</v>
      </c>
      <c r="BR290" s="189">
        <v>0.2</v>
      </c>
      <c r="BS290" s="189">
        <v>0.5</v>
      </c>
      <c r="BT290" s="188" t="s">
        <v>258</v>
      </c>
      <c r="BU290" s="178"/>
      <c r="BV290" s="196">
        <v>25</v>
      </c>
      <c r="BW290" s="190" t="s">
        <v>414</v>
      </c>
      <c r="BX290" s="178"/>
      <c r="BY290" s="196">
        <v>236.01600000000002</v>
      </c>
      <c r="BZ290" s="190" t="s">
        <v>414</v>
      </c>
      <c r="CA290" s="178"/>
      <c r="CB290" s="180"/>
      <c r="CC290" s="178"/>
      <c r="CD290" s="178"/>
      <c r="CE290" s="180"/>
      <c r="CF290" s="180"/>
      <c r="CG290" s="180"/>
      <c r="CH290" s="180"/>
      <c r="CI290" s="178"/>
      <c r="CJ290" s="178"/>
      <c r="CK290" s="180"/>
      <c r="CL290" s="180"/>
      <c r="CM290" s="180"/>
      <c r="CN290" s="116"/>
      <c r="CO290" s="218">
        <f t="shared" si="114"/>
        <v>0.2</v>
      </c>
      <c r="CP290" s="100">
        <f t="shared" si="115"/>
        <v>0.35</v>
      </c>
      <c r="CQ290" s="218">
        <f t="shared" si="116"/>
        <v>0.5</v>
      </c>
      <c r="CR290" s="101">
        <v>0.2</v>
      </c>
      <c r="CS290" s="101">
        <v>0.5</v>
      </c>
      <c r="DA290" s="23" t="s">
        <v>129</v>
      </c>
      <c r="DB290" s="23">
        <v>1</v>
      </c>
      <c r="DC290" s="142">
        <f t="shared" si="125"/>
        <v>21</v>
      </c>
      <c r="DD290" s="142">
        <f t="shared" si="126"/>
        <v>25</v>
      </c>
      <c r="DE290" s="23">
        <v>70</v>
      </c>
      <c r="DF290" s="23">
        <v>0.36</v>
      </c>
      <c r="DG290" s="142">
        <f t="shared" si="127"/>
        <v>25.2</v>
      </c>
      <c r="DH290" s="23">
        <v>0.02</v>
      </c>
      <c r="DI290" s="149">
        <f t="shared" si="128"/>
        <v>0.79200000000000004</v>
      </c>
      <c r="DJ290" s="149">
        <f t="shared" si="129"/>
        <v>245.52</v>
      </c>
      <c r="DK290" s="149">
        <f t="shared" si="130"/>
        <v>236.01600000000002</v>
      </c>
      <c r="DL290" s="150">
        <f t="shared" si="131"/>
        <v>266.52</v>
      </c>
      <c r="DM290" s="150">
        <f t="shared" si="131"/>
        <v>261.01600000000002</v>
      </c>
      <c r="DN290" s="116" t="s">
        <v>168</v>
      </c>
      <c r="DO290" s="101" t="s">
        <v>392</v>
      </c>
    </row>
    <row r="291" spans="15:119" s="101" customFormat="1" ht="33.75" hidden="1" thickBot="1" x14ac:dyDescent="0.4">
      <c r="O291" s="227" t="s">
        <v>127</v>
      </c>
      <c r="Q291" s="243">
        <v>0.36</v>
      </c>
      <c r="R291" s="243">
        <v>305</v>
      </c>
      <c r="S291" s="246">
        <f t="shared" si="119"/>
        <v>0</v>
      </c>
      <c r="T291" s="246">
        <f t="shared" si="119"/>
        <v>0</v>
      </c>
      <c r="U291" s="246">
        <f t="shared" si="119"/>
        <v>0.3148907142857143</v>
      </c>
      <c r="V291" s="246">
        <f t="shared" si="119"/>
        <v>1.2595628571428572</v>
      </c>
      <c r="W291" s="246">
        <f t="shared" si="119"/>
        <v>0.3148907142857143</v>
      </c>
      <c r="X291" s="246">
        <f t="shared" si="119"/>
        <v>0</v>
      </c>
      <c r="Y291" s="246">
        <f t="shared" si="119"/>
        <v>0.6297814285714286</v>
      </c>
      <c r="Z291" s="246">
        <f t="shared" si="119"/>
        <v>4.4084700000000003</v>
      </c>
      <c r="AA291" s="246">
        <f t="shared" si="119"/>
        <v>0</v>
      </c>
      <c r="AB291" s="246">
        <f t="shared" si="119"/>
        <v>0</v>
      </c>
      <c r="AC291" s="246">
        <f t="shared" si="119"/>
        <v>0.37786885714285712</v>
      </c>
      <c r="AD291" s="246">
        <f t="shared" si="119"/>
        <v>0</v>
      </c>
      <c r="AE291" s="246">
        <f t="shared" si="119"/>
        <v>6.2978142857142849</v>
      </c>
      <c r="AF291" s="246">
        <v>0</v>
      </c>
      <c r="AG291" s="246">
        <f t="shared" si="119"/>
        <v>0.6297814285714286</v>
      </c>
      <c r="AH291" s="243"/>
      <c r="AI291" s="102">
        <v>2</v>
      </c>
      <c r="AJ291" s="100">
        <v>0</v>
      </c>
      <c r="AL291" s="102">
        <v>26</v>
      </c>
      <c r="AM291" s="237">
        <v>0.3</v>
      </c>
      <c r="AN291" s="241">
        <v>2.5</v>
      </c>
      <c r="AO291" s="241">
        <v>0.1</v>
      </c>
      <c r="AP291" s="247">
        <f>(AN291*365)*(AO291*0.67*0.02*1)</f>
        <v>1.22275</v>
      </c>
      <c r="AQ291" s="247">
        <f>(AN291*365)*(AO291*0.67*0.01*1)</f>
        <v>0.611375</v>
      </c>
      <c r="AR291" s="248"/>
      <c r="AS291" s="247">
        <f>(AN291*365)*(AO291*0.67*0.05*1)</f>
        <v>3.0568750000000007</v>
      </c>
      <c r="AT291" s="247">
        <f>(AN291*365)*(AO291*0.67*0.02*1)</f>
        <v>1.22275</v>
      </c>
      <c r="AU291" s="247">
        <f>(AN291*365)*(AO291*0.67*0.8*1)</f>
        <v>48.910000000000011</v>
      </c>
      <c r="AV291" s="247">
        <f>(AN291*365)*(AO291*0.67*0.8*1)</f>
        <v>48.910000000000011</v>
      </c>
      <c r="AW291" s="247">
        <f>(AN291*365)*(AO291*0.67*0.3*1)</f>
        <v>18.341249999999999</v>
      </c>
      <c r="AX291" s="248"/>
      <c r="AY291" s="247">
        <f>(AN291*365)*(AO291*0.67*0.8*1)</f>
        <v>48.910000000000011</v>
      </c>
      <c r="AZ291" s="247">
        <f t="shared" si="120"/>
        <v>61.137500000000003</v>
      </c>
      <c r="BA291" s="247">
        <f t="shared" si="121"/>
        <v>6.1137500000000014</v>
      </c>
      <c r="BB291" s="247">
        <f t="shared" si="122"/>
        <v>0.3056875</v>
      </c>
      <c r="BC291" s="247">
        <f>(AN291*365)*(AO291*0.67*0.015*1)</f>
        <v>0.9170625</v>
      </c>
      <c r="BD291" s="247">
        <v>0</v>
      </c>
      <c r="BE291" s="247">
        <v>0</v>
      </c>
      <c r="BH291" s="120"/>
      <c r="BI291" s="203" t="s">
        <v>130</v>
      </c>
      <c r="BJ291" s="190" t="s">
        <v>168</v>
      </c>
      <c r="BK291" s="196">
        <f t="shared" si="123"/>
        <v>2</v>
      </c>
      <c r="BL291" s="190" t="s">
        <v>413</v>
      </c>
      <c r="BM291" s="189">
        <v>0.2</v>
      </c>
      <c r="BN291" s="189">
        <v>0.5</v>
      </c>
      <c r="BO291" s="188" t="s">
        <v>258</v>
      </c>
      <c r="BP291" s="196">
        <f t="shared" si="124"/>
        <v>0.79200000000000004</v>
      </c>
      <c r="BQ291" s="190" t="s">
        <v>415</v>
      </c>
      <c r="BR291" s="189">
        <v>0.2</v>
      </c>
      <c r="BS291" s="189">
        <v>0.5</v>
      </c>
      <c r="BT291" s="188" t="s">
        <v>258</v>
      </c>
      <c r="BU291" s="178"/>
      <c r="BV291" s="196">
        <v>50</v>
      </c>
      <c r="BW291" s="190" t="s">
        <v>414</v>
      </c>
      <c r="BX291" s="178"/>
      <c r="BY291" s="196">
        <v>236.01600000000002</v>
      </c>
      <c r="BZ291" s="190" t="s">
        <v>414</v>
      </c>
      <c r="CA291" s="178"/>
      <c r="CB291" s="180"/>
      <c r="CC291" s="178"/>
      <c r="CD291" s="178"/>
      <c r="CE291" s="180"/>
      <c r="CF291" s="180"/>
      <c r="CG291" s="180"/>
      <c r="CH291" s="180"/>
      <c r="CI291" s="178"/>
      <c r="CJ291" s="178"/>
      <c r="CK291" s="180"/>
      <c r="CL291" s="180"/>
      <c r="CM291" s="180"/>
      <c r="CN291" s="116"/>
      <c r="CO291" s="218">
        <f t="shared" si="114"/>
        <v>0.2</v>
      </c>
      <c r="CP291" s="100">
        <f t="shared" si="115"/>
        <v>0.35</v>
      </c>
      <c r="CQ291" s="218">
        <f t="shared" si="116"/>
        <v>0.5</v>
      </c>
      <c r="CR291" s="101">
        <v>0.2</v>
      </c>
      <c r="CS291" s="101">
        <v>0.5</v>
      </c>
      <c r="DA291" s="23" t="s">
        <v>130</v>
      </c>
      <c r="DB291" s="23">
        <v>2</v>
      </c>
      <c r="DC291" s="142">
        <f t="shared" si="125"/>
        <v>42</v>
      </c>
      <c r="DD291" s="142">
        <f t="shared" si="126"/>
        <v>50</v>
      </c>
      <c r="DE291" s="23">
        <v>70</v>
      </c>
      <c r="DF291" s="23">
        <v>0.36</v>
      </c>
      <c r="DG291" s="142">
        <f t="shared" si="127"/>
        <v>25.2</v>
      </c>
      <c r="DH291" s="23">
        <v>0.02</v>
      </c>
      <c r="DI291" s="149">
        <f t="shared" si="128"/>
        <v>0.79200000000000004</v>
      </c>
      <c r="DJ291" s="149">
        <f t="shared" si="129"/>
        <v>245.52</v>
      </c>
      <c r="DK291" s="149">
        <f t="shared" si="130"/>
        <v>236.01600000000002</v>
      </c>
      <c r="DL291" s="150">
        <f t="shared" si="131"/>
        <v>287.52</v>
      </c>
      <c r="DM291" s="150">
        <f t="shared" si="131"/>
        <v>286.01600000000002</v>
      </c>
      <c r="DN291" s="116" t="s">
        <v>168</v>
      </c>
      <c r="DO291" s="101" t="s">
        <v>392</v>
      </c>
    </row>
    <row r="292" spans="15:119" s="101" customFormat="1" ht="33.75" hidden="1" thickBot="1" x14ac:dyDescent="0.4">
      <c r="O292" s="227" t="s">
        <v>131</v>
      </c>
      <c r="Q292" s="243">
        <v>0.82</v>
      </c>
      <c r="R292" s="243">
        <v>1.8</v>
      </c>
      <c r="S292" s="246">
        <f t="shared" si="119"/>
        <v>0</v>
      </c>
      <c r="T292" s="246">
        <f t="shared" si="119"/>
        <v>0</v>
      </c>
      <c r="U292" s="246">
        <f t="shared" si="119"/>
        <v>4.2329571428571426E-3</v>
      </c>
      <c r="V292" s="246">
        <f t="shared" si="119"/>
        <v>1.6931828571428571E-2</v>
      </c>
      <c r="W292" s="246">
        <f t="shared" si="119"/>
        <v>4.2329571428571426E-3</v>
      </c>
      <c r="X292" s="246">
        <f t="shared" si="119"/>
        <v>0</v>
      </c>
      <c r="Y292" s="246">
        <v>0</v>
      </c>
      <c r="Z292" s="246">
        <v>0</v>
      </c>
      <c r="AA292" s="246">
        <f t="shared" si="119"/>
        <v>0</v>
      </c>
      <c r="AB292" s="246">
        <f t="shared" si="119"/>
        <v>0</v>
      </c>
      <c r="AC292" s="246">
        <f t="shared" si="119"/>
        <v>5.0795485714285717E-3</v>
      </c>
      <c r="AD292" s="246">
        <f t="shared" si="119"/>
        <v>0</v>
      </c>
      <c r="AE292" s="246">
        <f t="shared" si="119"/>
        <v>8.4659142857142863E-2</v>
      </c>
      <c r="AF292" s="246">
        <f t="shared" si="119"/>
        <v>8.4659142857142853E-3</v>
      </c>
      <c r="AG292" s="246">
        <f t="shared" si="119"/>
        <v>8.4659142857142853E-3</v>
      </c>
      <c r="AH292" s="243"/>
      <c r="AI292" s="102">
        <v>0.01</v>
      </c>
      <c r="AJ292" s="102">
        <v>1.2</v>
      </c>
      <c r="AL292" s="100">
        <v>0</v>
      </c>
      <c r="AM292" s="237">
        <v>0.3</v>
      </c>
      <c r="AN292" s="241">
        <v>0.1</v>
      </c>
      <c r="AO292" s="241">
        <v>0.24</v>
      </c>
      <c r="AP292" s="247">
        <f>(AN292*365)*(AO292*0.67*0.01*1)</f>
        <v>5.8692000000000001E-2</v>
      </c>
      <c r="AQ292" s="247">
        <f>(AN292*365)*(AO292*0.67*0.001*1)</f>
        <v>5.8691999999999998E-3</v>
      </c>
      <c r="AR292" s="248"/>
      <c r="AS292" s="247">
        <f>(AN292*365)*(AO292*0.67*0.02*1)</f>
        <v>0.117384</v>
      </c>
      <c r="AT292" s="247">
        <f>(AN292*365)*(AO292*0.67*0.01*1)</f>
        <v>5.8692000000000001E-2</v>
      </c>
      <c r="AU292" s="247">
        <f>(AN292*365)*(AO292*0.67*0.25*1)</f>
        <v>1.4673</v>
      </c>
      <c r="AV292" s="247">
        <f>(AN292*365)*(AO292*0.67*0.73*1)</f>
        <v>4.284516</v>
      </c>
      <c r="AW292" s="247">
        <v>0</v>
      </c>
      <c r="AX292" s="247" t="s">
        <v>541</v>
      </c>
      <c r="AY292" s="247">
        <v>0</v>
      </c>
      <c r="AZ292" s="247">
        <f t="shared" si="120"/>
        <v>5.8692000000000002</v>
      </c>
      <c r="BA292" s="247">
        <f t="shared" si="121"/>
        <v>0.58692</v>
      </c>
      <c r="BB292" s="247">
        <f t="shared" si="122"/>
        <v>2.9346000000000001E-2</v>
      </c>
      <c r="BC292" s="247">
        <f>(AN292*365)*(AO292*0.67*0.005*1)</f>
        <v>2.9346000000000001E-2</v>
      </c>
      <c r="BD292" s="247">
        <f>(AN292*365)*(AO292*0.67*0.0015*1)</f>
        <v>8.8038000000000005E-3</v>
      </c>
      <c r="BE292" s="247">
        <v>0</v>
      </c>
      <c r="BH292" s="120"/>
      <c r="BI292" s="203" t="s">
        <v>131</v>
      </c>
      <c r="BJ292" s="190" t="s">
        <v>169</v>
      </c>
      <c r="BK292" s="196">
        <f t="shared" si="123"/>
        <v>1.2E-2</v>
      </c>
      <c r="BL292" s="190" t="s">
        <v>413</v>
      </c>
      <c r="BM292" s="189">
        <v>0.2</v>
      </c>
      <c r="BN292" s="189">
        <v>0.5</v>
      </c>
      <c r="BO292" s="188" t="s">
        <v>258</v>
      </c>
      <c r="BP292" s="196">
        <f t="shared" si="124"/>
        <v>7.92E-3</v>
      </c>
      <c r="BQ292" s="190" t="s">
        <v>415</v>
      </c>
      <c r="BR292" s="189">
        <v>0.2</v>
      </c>
      <c r="BS292" s="189">
        <v>0.5</v>
      </c>
      <c r="BT292" s="188" t="s">
        <v>258</v>
      </c>
      <c r="BU292" s="178"/>
      <c r="BV292" s="196">
        <v>0.3</v>
      </c>
      <c r="BW292" s="190" t="s">
        <v>414</v>
      </c>
      <c r="BX292" s="178"/>
      <c r="BY292" s="196">
        <v>2.36016</v>
      </c>
      <c r="BZ292" s="190" t="s">
        <v>414</v>
      </c>
      <c r="CA292" s="178"/>
      <c r="CB292" s="180"/>
      <c r="CC292" s="178"/>
      <c r="CD292" s="178"/>
      <c r="CE292" s="180"/>
      <c r="CF292" s="180"/>
      <c r="CG292" s="180"/>
      <c r="CH292" s="180"/>
      <c r="CI292" s="178"/>
      <c r="CJ292" s="178"/>
      <c r="CK292" s="180"/>
      <c r="CL292" s="180"/>
      <c r="CM292" s="180"/>
      <c r="CN292" s="116"/>
      <c r="CO292" s="218">
        <f t="shared" si="114"/>
        <v>0.2</v>
      </c>
      <c r="CP292" s="100">
        <f t="shared" si="115"/>
        <v>0.35</v>
      </c>
      <c r="CQ292" s="218">
        <f t="shared" si="116"/>
        <v>0.5</v>
      </c>
      <c r="CR292" s="101">
        <v>0.2</v>
      </c>
      <c r="CS292" s="101">
        <v>0.5</v>
      </c>
      <c r="DA292" s="23" t="s">
        <v>131</v>
      </c>
      <c r="DB292" s="23">
        <v>1.2E-2</v>
      </c>
      <c r="DC292" s="142">
        <f t="shared" si="125"/>
        <v>0.252</v>
      </c>
      <c r="DD292" s="142">
        <f t="shared" si="126"/>
        <v>0.3</v>
      </c>
      <c r="DE292" s="23">
        <v>0.6</v>
      </c>
      <c r="DF292" s="23">
        <v>0.42</v>
      </c>
      <c r="DG292" s="142">
        <f t="shared" si="127"/>
        <v>0.252</v>
      </c>
      <c r="DH292" s="23">
        <v>0.02</v>
      </c>
      <c r="DI292" s="149">
        <f t="shared" si="128"/>
        <v>7.92E-3</v>
      </c>
      <c r="DJ292" s="149">
        <f t="shared" si="129"/>
        <v>2.4552</v>
      </c>
      <c r="DK292" s="149">
        <f t="shared" si="130"/>
        <v>2.36016</v>
      </c>
      <c r="DL292" s="150">
        <f t="shared" si="131"/>
        <v>2.7072000000000003</v>
      </c>
      <c r="DM292" s="150">
        <f t="shared" si="131"/>
        <v>2.6601599999999999</v>
      </c>
      <c r="DN292" s="116" t="s">
        <v>169</v>
      </c>
      <c r="DO292" s="101" t="s">
        <v>393</v>
      </c>
    </row>
    <row r="293" spans="15:119" s="101" customFormat="1" ht="33.75" hidden="1" thickBot="1" x14ac:dyDescent="0.4">
      <c r="O293" s="227" t="s">
        <v>132</v>
      </c>
      <c r="Q293" s="243">
        <v>0.82</v>
      </c>
      <c r="R293" s="243">
        <v>1.8</v>
      </c>
      <c r="S293" s="246">
        <f t="shared" si="119"/>
        <v>0</v>
      </c>
      <c r="T293" s="246">
        <f t="shared" si="119"/>
        <v>0</v>
      </c>
      <c r="U293" s="246">
        <f t="shared" si="119"/>
        <v>4.2329571428571426E-3</v>
      </c>
      <c r="V293" s="246">
        <f t="shared" si="119"/>
        <v>1.6931828571428571E-2</v>
      </c>
      <c r="W293" s="246">
        <f t="shared" si="119"/>
        <v>4.2329571428571426E-3</v>
      </c>
      <c r="X293" s="246">
        <f t="shared" si="119"/>
        <v>0</v>
      </c>
      <c r="Y293" s="246">
        <v>0</v>
      </c>
      <c r="Z293" s="246">
        <v>0</v>
      </c>
      <c r="AA293" s="246">
        <f t="shared" si="119"/>
        <v>0</v>
      </c>
      <c r="AB293" s="246">
        <f t="shared" si="119"/>
        <v>0</v>
      </c>
      <c r="AC293" s="246">
        <f t="shared" si="119"/>
        <v>5.0795485714285717E-3</v>
      </c>
      <c r="AD293" s="246">
        <f t="shared" si="119"/>
        <v>0</v>
      </c>
      <c r="AE293" s="246">
        <f t="shared" si="119"/>
        <v>8.4659142857142863E-2</v>
      </c>
      <c r="AF293" s="246">
        <f t="shared" si="119"/>
        <v>8.4659142857142853E-3</v>
      </c>
      <c r="AG293" s="246">
        <f t="shared" si="119"/>
        <v>8.4659142857142853E-3</v>
      </c>
      <c r="AH293" s="243"/>
      <c r="AI293" s="102">
        <v>0.02</v>
      </c>
      <c r="AJ293" s="102">
        <v>1.4</v>
      </c>
      <c r="AL293" s="100">
        <v>0</v>
      </c>
      <c r="AM293" s="237">
        <v>0.3</v>
      </c>
      <c r="AN293" s="241">
        <v>0.1</v>
      </c>
      <c r="AO293" s="241">
        <v>0.24</v>
      </c>
      <c r="AP293" s="247">
        <f>(AN293*365)*(AO293*0.67*0.015*1)</f>
        <v>8.8038000000000005E-2</v>
      </c>
      <c r="AQ293" s="247">
        <f>(AN293*365)*(AO293*0.67*0.005*1)</f>
        <v>2.9346000000000001E-2</v>
      </c>
      <c r="AR293" s="248"/>
      <c r="AS293" s="247">
        <f>(AN293*365)*(AO293*0.67*0.04*1)</f>
        <v>0.234768</v>
      </c>
      <c r="AT293" s="247">
        <f>(AN293*365)*(AO293*0.67*0.015*1)</f>
        <v>8.8038000000000005E-2</v>
      </c>
      <c r="AU293" s="247">
        <f>(AN293*365)*(AO293*0.67*0.65*1)</f>
        <v>3.8149800000000003</v>
      </c>
      <c r="AV293" s="247">
        <f>(AN293*365)*(AO293*0.67*0.79*1)</f>
        <v>4.6366680000000002</v>
      </c>
      <c r="AW293" s="247">
        <v>0</v>
      </c>
      <c r="AX293" s="247" t="s">
        <v>541</v>
      </c>
      <c r="AY293" s="247">
        <v>0</v>
      </c>
      <c r="AZ293" s="247">
        <f t="shared" si="120"/>
        <v>5.8692000000000002</v>
      </c>
      <c r="BA293" s="247">
        <f t="shared" si="121"/>
        <v>0.58692</v>
      </c>
      <c r="BB293" s="247">
        <f t="shared" si="122"/>
        <v>2.9346000000000001E-2</v>
      </c>
      <c r="BC293" s="247">
        <f>(AN293*365)*(AO293*0.67*0.01*1)</f>
        <v>5.8692000000000001E-2</v>
      </c>
      <c r="BD293" s="247">
        <f>(AN293*365)*(AO293*0.67*0.0015*1)</f>
        <v>8.8038000000000005E-3</v>
      </c>
      <c r="BE293" s="247">
        <v>0</v>
      </c>
      <c r="BH293" s="120"/>
      <c r="BI293" s="203" t="s">
        <v>132</v>
      </c>
      <c r="BJ293" s="190" t="s">
        <v>169</v>
      </c>
      <c r="BK293" s="196">
        <f t="shared" si="123"/>
        <v>1.7999999999999999E-2</v>
      </c>
      <c r="BL293" s="190" t="s">
        <v>413</v>
      </c>
      <c r="BM293" s="189">
        <v>0.2</v>
      </c>
      <c r="BN293" s="189">
        <v>0.5</v>
      </c>
      <c r="BO293" s="188" t="s">
        <v>258</v>
      </c>
      <c r="BP293" s="196">
        <f t="shared" si="124"/>
        <v>7.92E-3</v>
      </c>
      <c r="BQ293" s="190" t="s">
        <v>415</v>
      </c>
      <c r="BR293" s="189">
        <v>0.2</v>
      </c>
      <c r="BS293" s="189">
        <v>0.5</v>
      </c>
      <c r="BT293" s="188" t="s">
        <v>258</v>
      </c>
      <c r="BU293" s="178"/>
      <c r="BV293" s="196">
        <v>0.44999999999999996</v>
      </c>
      <c r="BW293" s="190" t="s">
        <v>414</v>
      </c>
      <c r="BX293" s="178"/>
      <c r="BY293" s="196">
        <v>2.36016</v>
      </c>
      <c r="BZ293" s="190" t="s">
        <v>414</v>
      </c>
      <c r="CA293" s="178"/>
      <c r="CB293" s="180"/>
      <c r="CC293" s="178"/>
      <c r="CD293" s="178"/>
      <c r="CE293" s="180"/>
      <c r="CF293" s="180"/>
      <c r="CG293" s="180"/>
      <c r="CH293" s="180"/>
      <c r="CI293" s="178"/>
      <c r="CJ293" s="178"/>
      <c r="CK293" s="180"/>
      <c r="CL293" s="180"/>
      <c r="CM293" s="180"/>
      <c r="CN293" s="116"/>
      <c r="CO293" s="218">
        <f t="shared" si="114"/>
        <v>0.2</v>
      </c>
      <c r="CP293" s="100">
        <f t="shared" si="115"/>
        <v>0.35</v>
      </c>
      <c r="CQ293" s="218">
        <f t="shared" si="116"/>
        <v>0.5</v>
      </c>
      <c r="CR293" s="101">
        <v>0.2</v>
      </c>
      <c r="CS293" s="101">
        <v>0.5</v>
      </c>
      <c r="DA293" s="23" t="s">
        <v>132</v>
      </c>
      <c r="DB293" s="23">
        <v>1.7999999999999999E-2</v>
      </c>
      <c r="DC293" s="142">
        <f t="shared" si="125"/>
        <v>0.37799999999999995</v>
      </c>
      <c r="DD293" s="142">
        <f t="shared" si="126"/>
        <v>0.44999999999999996</v>
      </c>
      <c r="DE293" s="23">
        <v>0.6</v>
      </c>
      <c r="DF293" s="23">
        <v>0.42</v>
      </c>
      <c r="DG293" s="142">
        <f t="shared" si="127"/>
        <v>0.252</v>
      </c>
      <c r="DH293" s="23">
        <v>0.02</v>
      </c>
      <c r="DI293" s="149">
        <f t="shared" si="128"/>
        <v>7.92E-3</v>
      </c>
      <c r="DJ293" s="149">
        <f t="shared" si="129"/>
        <v>2.4552</v>
      </c>
      <c r="DK293" s="149">
        <f t="shared" si="130"/>
        <v>2.36016</v>
      </c>
      <c r="DL293" s="150">
        <f t="shared" si="131"/>
        <v>2.8332000000000002</v>
      </c>
      <c r="DM293" s="150">
        <f t="shared" si="131"/>
        <v>2.8101599999999998</v>
      </c>
      <c r="DN293" s="116" t="s">
        <v>169</v>
      </c>
      <c r="DO293" s="101" t="s">
        <v>393</v>
      </c>
    </row>
    <row r="294" spans="15:119" s="101" customFormat="1" ht="33.75" hidden="1" thickBot="1" x14ac:dyDescent="0.4">
      <c r="O294" s="227" t="s">
        <v>133</v>
      </c>
      <c r="Q294" s="243">
        <v>0.82</v>
      </c>
      <c r="R294" s="243">
        <v>1.8</v>
      </c>
      <c r="S294" s="246">
        <f t="shared" si="119"/>
        <v>0</v>
      </c>
      <c r="T294" s="246">
        <f t="shared" si="119"/>
        <v>0</v>
      </c>
      <c r="U294" s="246">
        <f t="shared" si="119"/>
        <v>4.2329571428571426E-3</v>
      </c>
      <c r="V294" s="246">
        <f t="shared" si="119"/>
        <v>1.6931828571428571E-2</v>
      </c>
      <c r="W294" s="246">
        <f t="shared" si="119"/>
        <v>4.2329571428571426E-3</v>
      </c>
      <c r="X294" s="246">
        <f t="shared" si="119"/>
        <v>0</v>
      </c>
      <c r="Y294" s="246">
        <v>0</v>
      </c>
      <c r="Z294" s="246">
        <v>0</v>
      </c>
      <c r="AA294" s="246">
        <f t="shared" si="119"/>
        <v>0</v>
      </c>
      <c r="AB294" s="246">
        <f t="shared" si="119"/>
        <v>0</v>
      </c>
      <c r="AC294" s="246">
        <f t="shared" si="119"/>
        <v>5.0795485714285717E-3</v>
      </c>
      <c r="AD294" s="246">
        <f t="shared" si="119"/>
        <v>0</v>
      </c>
      <c r="AE294" s="246">
        <f t="shared" si="119"/>
        <v>8.4659142857142863E-2</v>
      </c>
      <c r="AF294" s="246">
        <f t="shared" si="119"/>
        <v>8.4659142857142853E-3</v>
      </c>
      <c r="AG294" s="246">
        <f t="shared" si="119"/>
        <v>8.4659142857142853E-3</v>
      </c>
      <c r="AH294" s="243"/>
      <c r="AI294" s="102">
        <v>0.02</v>
      </c>
      <c r="AJ294" s="102">
        <v>1.4</v>
      </c>
      <c r="AL294" s="100">
        <v>0</v>
      </c>
      <c r="AM294" s="237">
        <v>0.3</v>
      </c>
      <c r="AN294" s="241">
        <v>0.1</v>
      </c>
      <c r="AO294" s="241">
        <v>0.24</v>
      </c>
      <c r="AP294" s="247">
        <f>(AN294*365)*(AO294*0.67*0.02*1)</f>
        <v>0.117384</v>
      </c>
      <c r="AQ294" s="247">
        <f>(AN294*365)*(AO294*0.67*0.01*1)</f>
        <v>5.8692000000000001E-2</v>
      </c>
      <c r="AR294" s="248"/>
      <c r="AS294" s="247">
        <f>(AN294*365)*(AO294*0.67*0.05*1)</f>
        <v>0.29346</v>
      </c>
      <c r="AT294" s="247">
        <f>(AN294*365)*(AO294*0.67*0.02*1)</f>
        <v>0.117384</v>
      </c>
      <c r="AU294" s="247">
        <f>(AN294*365)*(AO294*0.67*0.8*1)</f>
        <v>4.69536</v>
      </c>
      <c r="AV294" s="247">
        <f>(AN294*365)*(AO294*0.67*0.8*1)</f>
        <v>4.69536</v>
      </c>
      <c r="AW294" s="247">
        <v>0</v>
      </c>
      <c r="AX294" s="247" t="s">
        <v>541</v>
      </c>
      <c r="AY294" s="247">
        <v>0</v>
      </c>
      <c r="AZ294" s="247">
        <f t="shared" si="120"/>
        <v>5.8692000000000002</v>
      </c>
      <c r="BA294" s="247">
        <f t="shared" si="121"/>
        <v>0.58692</v>
      </c>
      <c r="BB294" s="247">
        <f t="shared" si="122"/>
        <v>2.9346000000000001E-2</v>
      </c>
      <c r="BC294" s="247">
        <f>(AN294*365)*(AO294*0.67*0.015*1)</f>
        <v>8.8038000000000005E-2</v>
      </c>
      <c r="BD294" s="247">
        <f>(AN294*365)*(AO294*0.67*0.0015*1)</f>
        <v>8.8038000000000005E-3</v>
      </c>
      <c r="BE294" s="247">
        <v>0</v>
      </c>
      <c r="BH294" s="120"/>
      <c r="BI294" s="203" t="s">
        <v>133</v>
      </c>
      <c r="BJ294" s="190" t="s">
        <v>169</v>
      </c>
      <c r="BK294" s="196">
        <f t="shared" si="123"/>
        <v>2.3E-2</v>
      </c>
      <c r="BL294" s="190" t="s">
        <v>413</v>
      </c>
      <c r="BM294" s="189">
        <v>0.2</v>
      </c>
      <c r="BN294" s="189">
        <v>0.5</v>
      </c>
      <c r="BO294" s="188" t="s">
        <v>258</v>
      </c>
      <c r="BP294" s="196">
        <f t="shared" si="124"/>
        <v>7.92E-3</v>
      </c>
      <c r="BQ294" s="190" t="s">
        <v>415</v>
      </c>
      <c r="BR294" s="189">
        <v>0.2</v>
      </c>
      <c r="BS294" s="189">
        <v>0.5</v>
      </c>
      <c r="BT294" s="188" t="s">
        <v>258</v>
      </c>
      <c r="BU294" s="178"/>
      <c r="BV294" s="196">
        <v>0.57499999999999996</v>
      </c>
      <c r="BW294" s="190" t="s">
        <v>414</v>
      </c>
      <c r="BX294" s="178"/>
      <c r="BY294" s="196">
        <v>2.36016</v>
      </c>
      <c r="BZ294" s="190" t="s">
        <v>414</v>
      </c>
      <c r="CA294" s="178"/>
      <c r="CB294" s="180"/>
      <c r="CC294" s="178"/>
      <c r="CD294" s="178"/>
      <c r="CE294" s="180"/>
      <c r="CF294" s="180"/>
      <c r="CG294" s="180"/>
      <c r="CH294" s="180"/>
      <c r="CI294" s="178"/>
      <c r="CJ294" s="178"/>
      <c r="CK294" s="180"/>
      <c r="CL294" s="180"/>
      <c r="CM294" s="180"/>
      <c r="CN294" s="116"/>
      <c r="CO294" s="218">
        <f t="shared" si="114"/>
        <v>0.2</v>
      </c>
      <c r="CP294" s="100">
        <f t="shared" si="115"/>
        <v>0.35</v>
      </c>
      <c r="CQ294" s="218">
        <f t="shared" si="116"/>
        <v>0.5</v>
      </c>
      <c r="CR294" s="101">
        <v>0.2</v>
      </c>
      <c r="CS294" s="101">
        <v>0.5</v>
      </c>
      <c r="DA294" s="23" t="s">
        <v>133</v>
      </c>
      <c r="DB294" s="23">
        <v>2.3E-2</v>
      </c>
      <c r="DC294" s="142">
        <f t="shared" si="125"/>
        <v>0.48299999999999998</v>
      </c>
      <c r="DD294" s="142">
        <f t="shared" si="126"/>
        <v>0.57499999999999996</v>
      </c>
      <c r="DE294" s="23">
        <v>0.6</v>
      </c>
      <c r="DF294" s="23">
        <v>0.42</v>
      </c>
      <c r="DG294" s="142">
        <f t="shared" si="127"/>
        <v>0.252</v>
      </c>
      <c r="DH294" s="23">
        <v>0.02</v>
      </c>
      <c r="DI294" s="149">
        <f t="shared" si="128"/>
        <v>7.92E-3</v>
      </c>
      <c r="DJ294" s="149">
        <f t="shared" si="129"/>
        <v>2.4552</v>
      </c>
      <c r="DK294" s="149">
        <f t="shared" si="130"/>
        <v>2.36016</v>
      </c>
      <c r="DL294" s="150">
        <f t="shared" si="131"/>
        <v>2.9382000000000001</v>
      </c>
      <c r="DM294" s="150">
        <f t="shared" si="131"/>
        <v>2.9351599999999998</v>
      </c>
      <c r="DN294" s="116" t="s">
        <v>169</v>
      </c>
      <c r="DO294" s="101" t="s">
        <v>393</v>
      </c>
    </row>
    <row r="295" spans="15:119" s="101" customFormat="1" ht="33.75" hidden="1" thickBot="1" x14ac:dyDescent="0.4">
      <c r="O295" s="227" t="s">
        <v>134</v>
      </c>
      <c r="Q295" s="243">
        <v>1.17</v>
      </c>
      <c r="R295" s="243">
        <v>28</v>
      </c>
      <c r="S295" s="246">
        <f t="shared" si="119"/>
        <v>0</v>
      </c>
      <c r="T295" s="246">
        <f t="shared" si="119"/>
        <v>0</v>
      </c>
      <c r="U295" s="246">
        <f t="shared" si="119"/>
        <v>9.3950999999999993E-2</v>
      </c>
      <c r="V295" s="246">
        <f t="shared" si="119"/>
        <v>0.37580399999999997</v>
      </c>
      <c r="W295" s="246">
        <f t="shared" si="119"/>
        <v>9.3950999999999993E-2</v>
      </c>
      <c r="X295" s="246">
        <f t="shared" si="119"/>
        <v>0</v>
      </c>
      <c r="Y295" s="246">
        <f t="shared" si="119"/>
        <v>0.18790199999999999</v>
      </c>
      <c r="Z295" s="246">
        <f t="shared" si="119"/>
        <v>1.3153140000000001</v>
      </c>
      <c r="AA295" s="246">
        <f t="shared" si="119"/>
        <v>0</v>
      </c>
      <c r="AB295" s="246">
        <f t="shared" si="119"/>
        <v>0</v>
      </c>
      <c r="AC295" s="246">
        <f t="shared" si="119"/>
        <v>0.1127412</v>
      </c>
      <c r="AD295" s="246">
        <f t="shared" si="119"/>
        <v>0</v>
      </c>
      <c r="AE295" s="246">
        <f t="shared" si="119"/>
        <v>1.8790199999999999</v>
      </c>
      <c r="AF295" s="246">
        <v>0</v>
      </c>
      <c r="AG295" s="246">
        <f t="shared" si="119"/>
        <v>0.18790199999999999</v>
      </c>
      <c r="AH295" s="243"/>
      <c r="AI295" s="102">
        <v>0.1</v>
      </c>
      <c r="AJ295" s="100">
        <v>0</v>
      </c>
      <c r="AL295" s="100">
        <v>0</v>
      </c>
      <c r="AM295" s="237">
        <v>0.3</v>
      </c>
      <c r="AN295" s="241">
        <v>0.32</v>
      </c>
      <c r="AO295" s="241">
        <v>0.13</v>
      </c>
      <c r="AP295" s="247">
        <f>(AN295*365)*(AO295*0.67*0.01*1)</f>
        <v>0.10173280000000001</v>
      </c>
      <c r="AQ295" s="247">
        <f>(AN295*365)*(AO295*0.67*0.001*1)</f>
        <v>1.0173280000000002E-2</v>
      </c>
      <c r="AR295" s="248"/>
      <c r="AS295" s="247">
        <f>(AN295*365)*(AO295*0.67*0.02*1)</f>
        <v>0.20346560000000002</v>
      </c>
      <c r="AT295" s="247">
        <f>(AN295*365)*(AO295*0.67*0.01*1)</f>
        <v>0.10173280000000001</v>
      </c>
      <c r="AU295" s="247">
        <f>(AN295*365)*(AO295*0.67*0.25*1)</f>
        <v>2.5433200000000005</v>
      </c>
      <c r="AV295" s="247">
        <f>(AN295*365)*(AO295*0.67*0.73*1)</f>
        <v>7.4264944000000002</v>
      </c>
      <c r="AW295" s="247">
        <f>(AN295*365)*(AO295*0.67*0.03*1)</f>
        <v>0.30519840000000004</v>
      </c>
      <c r="AX295" s="248"/>
      <c r="AY295" s="247">
        <f>(AN295*365)*(AO295*0.67*0.25*1)</f>
        <v>2.5433200000000005</v>
      </c>
      <c r="AZ295" s="247">
        <f t="shared" si="120"/>
        <v>10.173280000000002</v>
      </c>
      <c r="BA295" s="247">
        <f t="shared" si="121"/>
        <v>1.017328</v>
      </c>
      <c r="BB295" s="247">
        <f t="shared" si="122"/>
        <v>5.0866400000000006E-2</v>
      </c>
      <c r="BC295" s="247">
        <f>(AN295*365)*(AO295*0.67*0.005*1)</f>
        <v>5.0866400000000006E-2</v>
      </c>
      <c r="BD295" s="247">
        <v>0</v>
      </c>
      <c r="BE295" s="247">
        <v>0</v>
      </c>
      <c r="BH295" s="120"/>
      <c r="BI295" s="203" t="s">
        <v>134</v>
      </c>
      <c r="BJ295" s="190" t="s">
        <v>168</v>
      </c>
      <c r="BK295" s="196">
        <f t="shared" si="123"/>
        <v>0.1</v>
      </c>
      <c r="BL295" s="190" t="s">
        <v>413</v>
      </c>
      <c r="BM295" s="189">
        <v>0.2</v>
      </c>
      <c r="BN295" s="189">
        <v>0.5</v>
      </c>
      <c r="BO295" s="188" t="s">
        <v>258</v>
      </c>
      <c r="BP295" s="196">
        <f t="shared" si="124"/>
        <v>0.37714285714285711</v>
      </c>
      <c r="BQ295" s="190" t="s">
        <v>415</v>
      </c>
      <c r="BR295" s="189">
        <v>0.2</v>
      </c>
      <c r="BS295" s="189">
        <v>0.5</v>
      </c>
      <c r="BT295" s="188" t="s">
        <v>258</v>
      </c>
      <c r="BU295" s="178"/>
      <c r="BV295" s="196">
        <v>2.5</v>
      </c>
      <c r="BW295" s="190" t="s">
        <v>414</v>
      </c>
      <c r="BX295" s="178"/>
      <c r="BY295" s="196">
        <v>112.38857142857142</v>
      </c>
      <c r="BZ295" s="190" t="s">
        <v>414</v>
      </c>
      <c r="CA295" s="178"/>
      <c r="CB295" s="180"/>
      <c r="CC295" s="178"/>
      <c r="CD295" s="178"/>
      <c r="CE295" s="180"/>
      <c r="CF295" s="180"/>
      <c r="CG295" s="180"/>
      <c r="CH295" s="180"/>
      <c r="CI295" s="178"/>
      <c r="CJ295" s="178"/>
      <c r="CK295" s="180"/>
      <c r="CL295" s="180"/>
      <c r="CM295" s="180"/>
      <c r="CN295" s="116"/>
      <c r="CO295" s="218">
        <f t="shared" si="114"/>
        <v>0.2</v>
      </c>
      <c r="CP295" s="100">
        <f t="shared" si="115"/>
        <v>0.35</v>
      </c>
      <c r="CQ295" s="218">
        <f t="shared" si="116"/>
        <v>0.5</v>
      </c>
      <c r="CR295" s="101">
        <v>0.2</v>
      </c>
      <c r="CS295" s="101">
        <v>0.5</v>
      </c>
      <c r="DA295" s="23" t="s">
        <v>134</v>
      </c>
      <c r="DB295" s="23">
        <v>0.1</v>
      </c>
      <c r="DC295" s="142">
        <f t="shared" si="125"/>
        <v>2.1</v>
      </c>
      <c r="DD295" s="142">
        <f t="shared" si="126"/>
        <v>2.5</v>
      </c>
      <c r="DE295" s="23">
        <v>12</v>
      </c>
      <c r="DF295" s="23">
        <v>1</v>
      </c>
      <c r="DG295" s="142">
        <f t="shared" si="127"/>
        <v>12</v>
      </c>
      <c r="DH295" s="23">
        <v>0.02</v>
      </c>
      <c r="DI295" s="149">
        <f t="shared" si="128"/>
        <v>0.37714285714285711</v>
      </c>
      <c r="DJ295" s="149">
        <f t="shared" si="129"/>
        <v>116.91428571428571</v>
      </c>
      <c r="DK295" s="149">
        <f t="shared" si="130"/>
        <v>112.38857142857142</v>
      </c>
      <c r="DL295" s="150">
        <f t="shared" si="131"/>
        <v>119.01428571428571</v>
      </c>
      <c r="DM295" s="150">
        <f t="shared" si="131"/>
        <v>114.88857142857142</v>
      </c>
      <c r="DN295" s="116" t="s">
        <v>168</v>
      </c>
      <c r="DO295" s="101" t="s">
        <v>392</v>
      </c>
    </row>
    <row r="296" spans="15:119" s="101" customFormat="1" ht="33.75" hidden="1" thickBot="1" x14ac:dyDescent="0.4">
      <c r="O296" s="227" t="s">
        <v>335</v>
      </c>
      <c r="Q296" s="243">
        <v>1.17</v>
      </c>
      <c r="R296" s="243">
        <v>28</v>
      </c>
      <c r="S296" s="246">
        <f t="shared" si="119"/>
        <v>0</v>
      </c>
      <c r="T296" s="246">
        <f t="shared" si="119"/>
        <v>0</v>
      </c>
      <c r="U296" s="246">
        <f t="shared" si="119"/>
        <v>9.3950999999999993E-2</v>
      </c>
      <c r="V296" s="246">
        <f t="shared" si="119"/>
        <v>0.37580399999999997</v>
      </c>
      <c r="W296" s="246">
        <f t="shared" si="119"/>
        <v>9.3950999999999993E-2</v>
      </c>
      <c r="X296" s="246">
        <f t="shared" si="119"/>
        <v>0</v>
      </c>
      <c r="Y296" s="246">
        <f t="shared" si="119"/>
        <v>0.18790199999999999</v>
      </c>
      <c r="Z296" s="246">
        <f t="shared" si="119"/>
        <v>1.3153140000000001</v>
      </c>
      <c r="AA296" s="246">
        <f t="shared" si="119"/>
        <v>0</v>
      </c>
      <c r="AB296" s="246">
        <f t="shared" si="119"/>
        <v>0</v>
      </c>
      <c r="AC296" s="246">
        <f t="shared" si="119"/>
        <v>0.1127412</v>
      </c>
      <c r="AD296" s="246">
        <f t="shared" si="119"/>
        <v>0</v>
      </c>
      <c r="AE296" s="246">
        <f t="shared" si="119"/>
        <v>1.8790199999999999</v>
      </c>
      <c r="AF296" s="246">
        <v>0</v>
      </c>
      <c r="AG296" s="246">
        <f t="shared" si="119"/>
        <v>0.18790199999999999</v>
      </c>
      <c r="AH296" s="243"/>
      <c r="AI296" s="102">
        <v>0.15</v>
      </c>
      <c r="AJ296" s="100">
        <v>0</v>
      </c>
      <c r="AL296" s="100">
        <v>0</v>
      </c>
      <c r="AM296" s="237">
        <v>0.3</v>
      </c>
      <c r="AN296" s="241">
        <v>0.32</v>
      </c>
      <c r="AO296" s="241">
        <v>0.13</v>
      </c>
      <c r="AP296" s="247">
        <f>(AN296*365)*(AO296*0.67*0.015*1)</f>
        <v>0.15259920000000002</v>
      </c>
      <c r="AQ296" s="247">
        <f>(AN296*365)*(AO296*0.67*0.005*1)</f>
        <v>5.0866400000000006E-2</v>
      </c>
      <c r="AR296" s="248"/>
      <c r="AS296" s="247">
        <f>(AN296*365)*(AO296*0.67*0.04*1)</f>
        <v>0.40693120000000005</v>
      </c>
      <c r="AT296" s="247">
        <f>(AN296*365)*(AO296*0.67*0.015*1)</f>
        <v>0.15259920000000002</v>
      </c>
      <c r="AU296" s="247">
        <f>(AN296*365)*(AO296*0.67*0.65*1)</f>
        <v>6.6126320000000005</v>
      </c>
      <c r="AV296" s="247">
        <f>(AN296*365)*(AO296*0.67*0.79*1)</f>
        <v>8.0368912000000012</v>
      </c>
      <c r="AW296" s="247">
        <f>(AN296*365)*(AO296*0.67*0.03*1)</f>
        <v>0.30519840000000004</v>
      </c>
      <c r="AX296" s="248"/>
      <c r="AY296" s="247">
        <f>(AN296*365)*(AO296*0.67*0.65*1)</f>
        <v>6.6126320000000005</v>
      </c>
      <c r="AZ296" s="247">
        <f t="shared" si="120"/>
        <v>10.173280000000002</v>
      </c>
      <c r="BA296" s="247">
        <f t="shared" si="121"/>
        <v>1.017328</v>
      </c>
      <c r="BB296" s="247">
        <f t="shared" si="122"/>
        <v>5.0866400000000006E-2</v>
      </c>
      <c r="BC296" s="247">
        <f>(AN296*365)*(AO296*0.67*0.01*1)</f>
        <v>0.10173280000000001</v>
      </c>
      <c r="BD296" s="247">
        <v>0</v>
      </c>
      <c r="BE296" s="247">
        <v>0</v>
      </c>
      <c r="BH296" s="120"/>
      <c r="BI296" s="203" t="s">
        <v>335</v>
      </c>
      <c r="BJ296" s="190" t="s">
        <v>168</v>
      </c>
      <c r="BK296" s="196">
        <f t="shared" si="123"/>
        <v>0.16</v>
      </c>
      <c r="BL296" s="190" t="s">
        <v>413</v>
      </c>
      <c r="BM296" s="189">
        <v>0.2</v>
      </c>
      <c r="BN296" s="189">
        <v>0.5</v>
      </c>
      <c r="BO296" s="188" t="s">
        <v>258</v>
      </c>
      <c r="BP296" s="196">
        <f t="shared" si="124"/>
        <v>0.37714285714285711</v>
      </c>
      <c r="BQ296" s="190" t="s">
        <v>415</v>
      </c>
      <c r="BR296" s="189">
        <v>0.2</v>
      </c>
      <c r="BS296" s="189">
        <v>0.5</v>
      </c>
      <c r="BT296" s="188" t="s">
        <v>258</v>
      </c>
      <c r="BU296" s="180"/>
      <c r="BV296" s="196">
        <v>4</v>
      </c>
      <c r="BW296" s="190" t="s">
        <v>414</v>
      </c>
      <c r="BX296" s="180"/>
      <c r="BY296" s="196">
        <v>112.38857142857142</v>
      </c>
      <c r="BZ296" s="190" t="s">
        <v>414</v>
      </c>
      <c r="CA296" s="178"/>
      <c r="CB296" s="180"/>
      <c r="CC296" s="178"/>
      <c r="CD296" s="178"/>
      <c r="CE296" s="180"/>
      <c r="CF296" s="180"/>
      <c r="CG296" s="180"/>
      <c r="CH296" s="180"/>
      <c r="CI296" s="178"/>
      <c r="CJ296" s="178"/>
      <c r="CK296" s="180"/>
      <c r="CL296" s="180"/>
      <c r="CM296" s="180"/>
      <c r="CN296" s="116"/>
      <c r="CO296" s="218">
        <f t="shared" si="114"/>
        <v>0.2</v>
      </c>
      <c r="CP296" s="100">
        <f t="shared" si="115"/>
        <v>0.35</v>
      </c>
      <c r="CQ296" s="218">
        <f t="shared" si="116"/>
        <v>0.5</v>
      </c>
      <c r="CR296" s="101">
        <v>0.2</v>
      </c>
      <c r="CS296" s="101">
        <v>0.5</v>
      </c>
      <c r="DA296" s="23" t="s">
        <v>335</v>
      </c>
      <c r="DB296" s="23">
        <v>0.16</v>
      </c>
      <c r="DC296" s="142">
        <f t="shared" si="125"/>
        <v>3.36</v>
      </c>
      <c r="DD296" s="142">
        <f t="shared" si="126"/>
        <v>4</v>
      </c>
      <c r="DE296" s="23">
        <v>12</v>
      </c>
      <c r="DF296" s="23">
        <v>1</v>
      </c>
      <c r="DG296" s="142">
        <f t="shared" si="127"/>
        <v>12</v>
      </c>
      <c r="DH296" s="23">
        <v>0.02</v>
      </c>
      <c r="DI296" s="149">
        <f t="shared" si="128"/>
        <v>0.37714285714285711</v>
      </c>
      <c r="DJ296" s="149">
        <f t="shared" si="129"/>
        <v>116.91428571428571</v>
      </c>
      <c r="DK296" s="149">
        <f t="shared" si="130"/>
        <v>112.38857142857142</v>
      </c>
      <c r="DL296" s="150">
        <f t="shared" si="131"/>
        <v>120.27428571428571</v>
      </c>
      <c r="DM296" s="150">
        <f t="shared" si="131"/>
        <v>116.38857142857142</v>
      </c>
      <c r="DN296" s="116" t="s">
        <v>168</v>
      </c>
      <c r="DO296" s="101" t="s">
        <v>392</v>
      </c>
    </row>
    <row r="297" spans="15:119" s="101" customFormat="1" ht="33.75" hidden="1" thickBot="1" x14ac:dyDescent="0.4">
      <c r="O297" s="227" t="s">
        <v>136</v>
      </c>
      <c r="Q297" s="243">
        <v>1.17</v>
      </c>
      <c r="R297" s="243">
        <v>28</v>
      </c>
      <c r="S297" s="246">
        <f t="shared" si="119"/>
        <v>0</v>
      </c>
      <c r="T297" s="246">
        <f t="shared" si="119"/>
        <v>0</v>
      </c>
      <c r="U297" s="246">
        <f t="shared" si="119"/>
        <v>9.3950999999999993E-2</v>
      </c>
      <c r="V297" s="246">
        <f t="shared" si="119"/>
        <v>0.37580399999999997</v>
      </c>
      <c r="W297" s="246">
        <f t="shared" si="119"/>
        <v>9.3950999999999993E-2</v>
      </c>
      <c r="X297" s="246">
        <f t="shared" si="119"/>
        <v>0</v>
      </c>
      <c r="Y297" s="246">
        <f t="shared" si="119"/>
        <v>0.18790199999999999</v>
      </c>
      <c r="Z297" s="246">
        <f t="shared" si="119"/>
        <v>1.3153140000000001</v>
      </c>
      <c r="AA297" s="246">
        <f t="shared" si="119"/>
        <v>0</v>
      </c>
      <c r="AB297" s="246">
        <f t="shared" si="119"/>
        <v>0</v>
      </c>
      <c r="AC297" s="246">
        <f t="shared" si="119"/>
        <v>0.1127412</v>
      </c>
      <c r="AD297" s="246">
        <f t="shared" si="119"/>
        <v>0</v>
      </c>
      <c r="AE297" s="246">
        <f t="shared" si="119"/>
        <v>1.8790199999999999</v>
      </c>
      <c r="AF297" s="246">
        <v>0</v>
      </c>
      <c r="AG297" s="246">
        <f t="shared" si="119"/>
        <v>0.18790199999999999</v>
      </c>
      <c r="AH297" s="243"/>
      <c r="AI297" s="102">
        <v>0.2</v>
      </c>
      <c r="AJ297" s="100">
        <v>0</v>
      </c>
      <c r="AL297" s="100">
        <v>0</v>
      </c>
      <c r="AM297" s="237">
        <v>0.3</v>
      </c>
      <c r="AN297" s="241">
        <v>0.32</v>
      </c>
      <c r="AO297" s="241">
        <v>0.13</v>
      </c>
      <c r="AP297" s="247">
        <f>(AN297*365)*(AO297*0.67*0.02*1)</f>
        <v>0.20346560000000002</v>
      </c>
      <c r="AQ297" s="247">
        <f>(AN297*365)*(AO297*0.67*0.01*1)</f>
        <v>0.10173280000000001</v>
      </c>
      <c r="AR297" s="248"/>
      <c r="AS297" s="247">
        <f>(AN297*365)*(AO297*0.67*0.05*1)</f>
        <v>0.50866400000000001</v>
      </c>
      <c r="AT297" s="247">
        <f>(AN297*365)*(AO297*0.67*0.02*1)</f>
        <v>0.20346560000000002</v>
      </c>
      <c r="AU297" s="247">
        <f>(AN297*365)*(AO297*0.67*0.8*1)</f>
        <v>8.1386240000000001</v>
      </c>
      <c r="AV297" s="247">
        <f>(AN297*365)*(AO297*0.67*0.8*1)</f>
        <v>8.1386240000000001</v>
      </c>
      <c r="AW297" s="247">
        <f>(AN297*365)*(AO297*0.67*0.3*1)</f>
        <v>3.0519840000000005</v>
      </c>
      <c r="AX297" s="248"/>
      <c r="AY297" s="247">
        <f>(AN297*365)*(AO297*0.67*0.8*1)</f>
        <v>8.1386240000000001</v>
      </c>
      <c r="AZ297" s="247">
        <f t="shared" si="120"/>
        <v>10.173280000000002</v>
      </c>
      <c r="BA297" s="247">
        <f t="shared" si="121"/>
        <v>1.017328</v>
      </c>
      <c r="BB297" s="247">
        <f t="shared" si="122"/>
        <v>5.0866400000000006E-2</v>
      </c>
      <c r="BC297" s="247">
        <f>(AN297*365)*(AO297*0.67*0.015*1)</f>
        <v>0.15259920000000002</v>
      </c>
      <c r="BD297" s="247">
        <v>0</v>
      </c>
      <c r="BE297" s="247">
        <v>0</v>
      </c>
      <c r="BH297" s="120"/>
      <c r="BI297" s="203" t="s">
        <v>136</v>
      </c>
      <c r="BJ297" s="190" t="s">
        <v>168</v>
      </c>
      <c r="BK297" s="196">
        <f t="shared" si="123"/>
        <v>0.21</v>
      </c>
      <c r="BL297" s="190" t="s">
        <v>413</v>
      </c>
      <c r="BM297" s="189">
        <v>0.2</v>
      </c>
      <c r="BN297" s="189">
        <v>0.5</v>
      </c>
      <c r="BO297" s="188" t="s">
        <v>258</v>
      </c>
      <c r="BP297" s="196">
        <f t="shared" si="124"/>
        <v>0.37714285714285711</v>
      </c>
      <c r="BQ297" s="190" t="s">
        <v>415</v>
      </c>
      <c r="BR297" s="189">
        <v>0.2</v>
      </c>
      <c r="BS297" s="189">
        <v>0.5</v>
      </c>
      <c r="BT297" s="188" t="s">
        <v>258</v>
      </c>
      <c r="BU297" s="180"/>
      <c r="BV297" s="196">
        <v>5.25</v>
      </c>
      <c r="BW297" s="190" t="s">
        <v>414</v>
      </c>
      <c r="BX297" s="180"/>
      <c r="BY297" s="196">
        <v>112.38857142857142</v>
      </c>
      <c r="BZ297" s="190" t="s">
        <v>414</v>
      </c>
      <c r="CA297" s="178"/>
      <c r="CB297" s="180"/>
      <c r="CC297" s="178"/>
      <c r="CD297" s="178"/>
      <c r="CE297" s="180"/>
      <c r="CF297" s="180"/>
      <c r="CG297" s="180"/>
      <c r="CH297" s="180"/>
      <c r="CI297" s="178"/>
      <c r="CJ297" s="178"/>
      <c r="CK297" s="180"/>
      <c r="CL297" s="180"/>
      <c r="CM297" s="180"/>
      <c r="CN297" s="116"/>
      <c r="CO297" s="218">
        <f t="shared" si="114"/>
        <v>0.2</v>
      </c>
      <c r="CP297" s="100">
        <f t="shared" si="115"/>
        <v>0.35</v>
      </c>
      <c r="CQ297" s="218">
        <f t="shared" si="116"/>
        <v>0.5</v>
      </c>
      <c r="CR297" s="101">
        <v>0.2</v>
      </c>
      <c r="CS297" s="101">
        <v>0.5</v>
      </c>
      <c r="DA297" s="23" t="s">
        <v>136</v>
      </c>
      <c r="DB297" s="23">
        <v>0.21</v>
      </c>
      <c r="DC297" s="142">
        <f t="shared" si="125"/>
        <v>4.41</v>
      </c>
      <c r="DD297" s="142">
        <f t="shared" si="126"/>
        <v>5.25</v>
      </c>
      <c r="DE297" s="23">
        <v>12</v>
      </c>
      <c r="DF297" s="23">
        <v>1</v>
      </c>
      <c r="DG297" s="142">
        <f t="shared" si="127"/>
        <v>12</v>
      </c>
      <c r="DH297" s="23">
        <v>0.02</v>
      </c>
      <c r="DI297" s="149">
        <f t="shared" si="128"/>
        <v>0.37714285714285711</v>
      </c>
      <c r="DJ297" s="149">
        <f t="shared" si="129"/>
        <v>116.91428571428571</v>
      </c>
      <c r="DK297" s="149">
        <f t="shared" si="130"/>
        <v>112.38857142857142</v>
      </c>
      <c r="DL297" s="150">
        <f t="shared" si="131"/>
        <v>121.32428571428571</v>
      </c>
      <c r="DM297" s="150">
        <f t="shared" si="131"/>
        <v>117.63857142857142</v>
      </c>
      <c r="DN297" s="116" t="s">
        <v>168</v>
      </c>
      <c r="DO297" s="101" t="s">
        <v>392</v>
      </c>
    </row>
    <row r="298" spans="15:119" s="101" customFormat="1" ht="33.75" hidden="1" thickBot="1" x14ac:dyDescent="0.4">
      <c r="O298" s="227" t="s">
        <v>523</v>
      </c>
      <c r="Q298" s="243">
        <v>1.57</v>
      </c>
      <c r="R298" s="243">
        <v>28</v>
      </c>
      <c r="S298" s="246">
        <f t="shared" si="119"/>
        <v>0</v>
      </c>
      <c r="T298" s="246">
        <f t="shared" si="119"/>
        <v>0</v>
      </c>
      <c r="U298" s="246">
        <f t="shared" si="119"/>
        <v>0.12607100000000002</v>
      </c>
      <c r="V298" s="246">
        <f t="shared" si="119"/>
        <v>0.50428400000000007</v>
      </c>
      <c r="W298" s="246">
        <f t="shared" si="119"/>
        <v>0.12607100000000002</v>
      </c>
      <c r="X298" s="246">
        <f t="shared" si="119"/>
        <v>0</v>
      </c>
      <c r="Y298" s="246">
        <f t="shared" si="119"/>
        <v>0.25214200000000003</v>
      </c>
      <c r="Z298" s="246">
        <f t="shared" si="119"/>
        <v>1.7649940000000004</v>
      </c>
      <c r="AA298" s="246">
        <f t="shared" si="119"/>
        <v>0</v>
      </c>
      <c r="AB298" s="246">
        <f t="shared" si="119"/>
        <v>0</v>
      </c>
      <c r="AC298" s="246">
        <f t="shared" si="119"/>
        <v>0.15128520000000001</v>
      </c>
      <c r="AD298" s="246">
        <f t="shared" si="119"/>
        <v>0</v>
      </c>
      <c r="AE298" s="246">
        <f t="shared" si="119"/>
        <v>2.52142</v>
      </c>
      <c r="AF298" s="246">
        <v>0</v>
      </c>
      <c r="AG298" s="246">
        <f t="shared" si="119"/>
        <v>0.25214200000000003</v>
      </c>
      <c r="AH298" s="243"/>
      <c r="AI298" s="102">
        <v>1</v>
      </c>
      <c r="AJ298" s="102">
        <v>12</v>
      </c>
      <c r="AL298" s="102">
        <v>8</v>
      </c>
      <c r="AM298" s="237">
        <v>0.3</v>
      </c>
      <c r="AN298" s="241">
        <v>0.3</v>
      </c>
      <c r="AO298" s="241">
        <v>0.28999999999999998</v>
      </c>
      <c r="AP298" s="247">
        <f>(AN298*365)*(AO298*0.67*0.01*1)</f>
        <v>0.21275850000000002</v>
      </c>
      <c r="AQ298" s="247">
        <f>(AN298*365)*(AO298*0.67*0.001*1)</f>
        <v>2.1275850000000002E-2</v>
      </c>
      <c r="AR298" s="248"/>
      <c r="AS298" s="247">
        <f>(AN298*365)*(AO298*0.67*0.02*1)</f>
        <v>0.42551700000000003</v>
      </c>
      <c r="AT298" s="247">
        <f>(AN298*365)*(AO298*0.67*0.01*1)</f>
        <v>0.21275850000000002</v>
      </c>
      <c r="AU298" s="247">
        <f>(AN298*365)*(AO298*0.67*0.25*1)</f>
        <v>5.3189624999999996</v>
      </c>
      <c r="AV298" s="247">
        <f>(AN298*365)*(AO298*0.67*0.73*1)</f>
        <v>15.5313705</v>
      </c>
      <c r="AW298" s="247">
        <f>(AN298*365)*(AO298*0.67*0.03*1)</f>
        <v>0.6382755</v>
      </c>
      <c r="AX298" s="248"/>
      <c r="AY298" s="247">
        <f>(AN298*365)*(AO298*0.67*0.25*1)</f>
        <v>5.3189624999999996</v>
      </c>
      <c r="AZ298" s="247">
        <f t="shared" si="120"/>
        <v>21.275849999999998</v>
      </c>
      <c r="BA298" s="247">
        <f t="shared" si="121"/>
        <v>2.1275850000000003</v>
      </c>
      <c r="BB298" s="247">
        <f t="shared" si="122"/>
        <v>0.10637925000000001</v>
      </c>
      <c r="BC298" s="247">
        <f>(AN298*365)*(AO298*0.67*0.005*1)</f>
        <v>0.10637925000000001</v>
      </c>
      <c r="BD298" s="247">
        <v>0</v>
      </c>
      <c r="BE298" s="247">
        <v>0</v>
      </c>
      <c r="BH298" s="120"/>
      <c r="BI298" s="203" t="s">
        <v>137</v>
      </c>
      <c r="BJ298" s="190" t="s">
        <v>168</v>
      </c>
      <c r="BK298" s="196">
        <f t="shared" si="123"/>
        <v>0</v>
      </c>
      <c r="BL298" s="190" t="s">
        <v>413</v>
      </c>
      <c r="BM298" s="189">
        <v>0.2</v>
      </c>
      <c r="BN298" s="189">
        <v>0.5</v>
      </c>
      <c r="BO298" s="188" t="s">
        <v>258</v>
      </c>
      <c r="BP298" s="196">
        <f t="shared" si="124"/>
        <v>0.25645714285714288</v>
      </c>
      <c r="BQ298" s="190" t="s">
        <v>415</v>
      </c>
      <c r="BR298" s="189">
        <v>0.2</v>
      </c>
      <c r="BS298" s="189">
        <v>0.5</v>
      </c>
      <c r="BT298" s="188" t="s">
        <v>258</v>
      </c>
      <c r="BU298" s="180"/>
      <c r="BV298" s="196">
        <v>0</v>
      </c>
      <c r="BW298" s="190" t="s">
        <v>414</v>
      </c>
      <c r="BX298" s="180"/>
      <c r="BY298" s="196">
        <v>76.424228571428586</v>
      </c>
      <c r="BZ298" s="190" t="s">
        <v>414</v>
      </c>
      <c r="CA298" s="178"/>
      <c r="CB298" s="180"/>
      <c r="CC298" s="178"/>
      <c r="CD298" s="178"/>
      <c r="CE298" s="180"/>
      <c r="CF298" s="180"/>
      <c r="CG298" s="180"/>
      <c r="CH298" s="180"/>
      <c r="CI298" s="178"/>
      <c r="CJ298" s="178"/>
      <c r="CK298" s="180"/>
      <c r="CL298" s="180"/>
      <c r="CM298" s="180"/>
      <c r="CN298" s="116"/>
      <c r="CO298" s="218">
        <f t="shared" si="114"/>
        <v>0.2</v>
      </c>
      <c r="CP298" s="100">
        <f t="shared" si="115"/>
        <v>0.35</v>
      </c>
      <c r="CQ298" s="218">
        <f t="shared" si="116"/>
        <v>0.5</v>
      </c>
      <c r="CR298" s="101">
        <v>0.2</v>
      </c>
      <c r="CS298" s="101">
        <v>0.5</v>
      </c>
      <c r="DA298" s="23" t="s">
        <v>137</v>
      </c>
      <c r="DB298" s="23">
        <v>0</v>
      </c>
      <c r="DC298" s="142">
        <f t="shared" si="125"/>
        <v>0</v>
      </c>
      <c r="DD298" s="142">
        <f t="shared" si="126"/>
        <v>0</v>
      </c>
      <c r="DE298" s="23">
        <v>16</v>
      </c>
      <c r="DF298" s="23">
        <v>0.51</v>
      </c>
      <c r="DG298" s="142">
        <f t="shared" si="127"/>
        <v>8.16</v>
      </c>
      <c r="DH298" s="23">
        <v>0.02</v>
      </c>
      <c r="DI298" s="149">
        <f t="shared" si="128"/>
        <v>0.25645714285714288</v>
      </c>
      <c r="DJ298" s="149">
        <f t="shared" si="129"/>
        <v>79.5017142857143</v>
      </c>
      <c r="DK298" s="149">
        <f t="shared" si="130"/>
        <v>76.424228571428586</v>
      </c>
      <c r="DL298" s="150">
        <f t="shared" si="131"/>
        <v>79.5017142857143</v>
      </c>
      <c r="DM298" s="150">
        <f t="shared" si="131"/>
        <v>76.424228571428586</v>
      </c>
      <c r="DN298" s="116" t="s">
        <v>168</v>
      </c>
      <c r="DO298" s="101" t="s">
        <v>392</v>
      </c>
    </row>
    <row r="299" spans="15:119" s="101" customFormat="1" ht="33.75" hidden="1" thickBot="1" x14ac:dyDescent="0.4">
      <c r="O299" s="227" t="s">
        <v>524</v>
      </c>
      <c r="Q299" s="243">
        <v>1.57</v>
      </c>
      <c r="R299" s="243">
        <v>28</v>
      </c>
      <c r="S299" s="246">
        <f t="shared" si="119"/>
        <v>0</v>
      </c>
      <c r="T299" s="246">
        <f t="shared" si="119"/>
        <v>0</v>
      </c>
      <c r="U299" s="246">
        <f t="shared" si="119"/>
        <v>0.12607100000000002</v>
      </c>
      <c r="V299" s="246">
        <f t="shared" si="119"/>
        <v>0.50428400000000007</v>
      </c>
      <c r="W299" s="246">
        <f t="shared" si="119"/>
        <v>0.12607100000000002</v>
      </c>
      <c r="X299" s="246">
        <f t="shared" si="119"/>
        <v>0</v>
      </c>
      <c r="Y299" s="246">
        <f t="shared" si="119"/>
        <v>0.25214200000000003</v>
      </c>
      <c r="Z299" s="246">
        <f t="shared" si="119"/>
        <v>1.7649940000000004</v>
      </c>
      <c r="AA299" s="246">
        <f t="shared" si="119"/>
        <v>0</v>
      </c>
      <c r="AB299" s="246">
        <f t="shared" si="119"/>
        <v>0</v>
      </c>
      <c r="AC299" s="246">
        <f t="shared" si="119"/>
        <v>0.15128520000000001</v>
      </c>
      <c r="AD299" s="246">
        <f t="shared" si="119"/>
        <v>0</v>
      </c>
      <c r="AE299" s="246">
        <f t="shared" si="119"/>
        <v>2.52142</v>
      </c>
      <c r="AF299" s="246">
        <v>0</v>
      </c>
      <c r="AG299" s="246">
        <f t="shared" si="119"/>
        <v>0.25214200000000003</v>
      </c>
      <c r="AH299" s="243"/>
      <c r="AI299" s="102">
        <v>1</v>
      </c>
      <c r="AJ299" s="102">
        <v>20</v>
      </c>
      <c r="AL299" s="102">
        <v>18</v>
      </c>
      <c r="AM299" s="237">
        <v>0.3</v>
      </c>
      <c r="AN299" s="241">
        <v>0.3</v>
      </c>
      <c r="AO299" s="241">
        <v>0.28999999999999998</v>
      </c>
      <c r="AP299" s="247">
        <f>(AN299*365)*(AO299*0.67*0.015*1)</f>
        <v>0.31913775</v>
      </c>
      <c r="AQ299" s="247">
        <f>(AN299*365)*(AO299*0.67*0.005*1)</f>
        <v>0.10637925000000001</v>
      </c>
      <c r="AR299" s="248"/>
      <c r="AS299" s="247">
        <f>(AN299*365)*(AO299*0.67*0.04*1)</f>
        <v>0.85103400000000007</v>
      </c>
      <c r="AT299" s="247">
        <f>(AN299*365)*(AO299*0.67*0.015*1)</f>
        <v>0.31913775</v>
      </c>
      <c r="AU299" s="247">
        <f>(AN299*365)*(AO299*0.67*0.65*1)</f>
        <v>13.829302500000002</v>
      </c>
      <c r="AV299" s="247">
        <f>(AN299*365)*(AO299*0.67*0.79*1)</f>
        <v>16.807921499999999</v>
      </c>
      <c r="AW299" s="247">
        <f>(AN299*365)*(AO299*0.67*0.03*1)</f>
        <v>0.6382755</v>
      </c>
      <c r="AX299" s="248"/>
      <c r="AY299" s="247">
        <f>(AN299*365)*(AO299*0.67*0.65*1)</f>
        <v>13.829302500000002</v>
      </c>
      <c r="AZ299" s="247">
        <f t="shared" si="120"/>
        <v>21.275849999999998</v>
      </c>
      <c r="BA299" s="247">
        <f t="shared" si="121"/>
        <v>2.1275850000000003</v>
      </c>
      <c r="BB299" s="247">
        <f t="shared" si="122"/>
        <v>0.10637925000000001</v>
      </c>
      <c r="BC299" s="247">
        <f>(AN299*365)*(AO299*0.67*0.01*1)</f>
        <v>0.21275850000000002</v>
      </c>
      <c r="BD299" s="247">
        <v>0</v>
      </c>
      <c r="BE299" s="247">
        <v>0</v>
      </c>
      <c r="BH299" s="120"/>
      <c r="BI299" s="203" t="s">
        <v>336</v>
      </c>
      <c r="BJ299" s="190" t="s">
        <v>168</v>
      </c>
      <c r="BK299" s="196">
        <f t="shared" si="123"/>
        <v>1</v>
      </c>
      <c r="BL299" s="190" t="s">
        <v>413</v>
      </c>
      <c r="BM299" s="189">
        <v>0.2</v>
      </c>
      <c r="BN299" s="189">
        <v>0.5</v>
      </c>
      <c r="BO299" s="188" t="s">
        <v>258</v>
      </c>
      <c r="BP299" s="196">
        <f t="shared" si="124"/>
        <v>0.25645714285714288</v>
      </c>
      <c r="BQ299" s="190" t="s">
        <v>415</v>
      </c>
      <c r="BR299" s="189">
        <v>0.2</v>
      </c>
      <c r="BS299" s="189">
        <v>0.5</v>
      </c>
      <c r="BT299" s="188" t="s">
        <v>258</v>
      </c>
      <c r="BU299" s="180"/>
      <c r="BV299" s="196">
        <v>25</v>
      </c>
      <c r="BW299" s="190" t="s">
        <v>414</v>
      </c>
      <c r="BX299" s="180"/>
      <c r="BY299" s="196">
        <v>76.424228571428586</v>
      </c>
      <c r="BZ299" s="190" t="s">
        <v>414</v>
      </c>
      <c r="CA299" s="180"/>
      <c r="CB299" s="180"/>
      <c r="CC299" s="178"/>
      <c r="CD299" s="178"/>
      <c r="CE299" s="180"/>
      <c r="CF299" s="180"/>
      <c r="CG299" s="180"/>
      <c r="CH299" s="180"/>
      <c r="CI299" s="178"/>
      <c r="CJ299" s="178"/>
      <c r="CK299" s="180"/>
      <c r="CL299" s="180"/>
      <c r="CM299" s="180"/>
      <c r="CN299" s="116"/>
      <c r="CO299" s="218">
        <f t="shared" si="114"/>
        <v>0.2</v>
      </c>
      <c r="CP299" s="100">
        <f t="shared" si="115"/>
        <v>0.35</v>
      </c>
      <c r="CQ299" s="218">
        <f t="shared" si="116"/>
        <v>0.5</v>
      </c>
      <c r="CR299" s="101">
        <v>0.2</v>
      </c>
      <c r="CS299" s="101">
        <v>0.5</v>
      </c>
      <c r="DA299" s="23" t="s">
        <v>336</v>
      </c>
      <c r="DB299" s="23">
        <v>1</v>
      </c>
      <c r="DC299" s="142">
        <f t="shared" si="125"/>
        <v>21</v>
      </c>
      <c r="DD299" s="142">
        <f t="shared" si="126"/>
        <v>25</v>
      </c>
      <c r="DE299" s="23">
        <v>16</v>
      </c>
      <c r="DF299" s="23">
        <v>0.51</v>
      </c>
      <c r="DG299" s="142">
        <f t="shared" si="127"/>
        <v>8.16</v>
      </c>
      <c r="DH299" s="23">
        <v>0.02</v>
      </c>
      <c r="DI299" s="149">
        <f t="shared" si="128"/>
        <v>0.25645714285714288</v>
      </c>
      <c r="DJ299" s="149">
        <f t="shared" si="129"/>
        <v>79.5017142857143</v>
      </c>
      <c r="DK299" s="149">
        <f t="shared" si="130"/>
        <v>76.424228571428586</v>
      </c>
      <c r="DL299" s="150">
        <f t="shared" si="131"/>
        <v>100.5017142857143</v>
      </c>
      <c r="DM299" s="150">
        <f t="shared" si="131"/>
        <v>101.42422857142859</v>
      </c>
      <c r="DN299" s="116" t="s">
        <v>168</v>
      </c>
      <c r="DO299" s="101" t="s">
        <v>392</v>
      </c>
    </row>
    <row r="300" spans="15:119" s="101" customFormat="1" ht="33.75" hidden="1" thickBot="1" x14ac:dyDescent="0.4">
      <c r="O300" s="227" t="s">
        <v>525</v>
      </c>
      <c r="Q300" s="243">
        <v>1.57</v>
      </c>
      <c r="R300" s="243">
        <v>28</v>
      </c>
      <c r="S300" s="246">
        <f t="shared" si="119"/>
        <v>0</v>
      </c>
      <c r="T300" s="246">
        <f t="shared" si="119"/>
        <v>0</v>
      </c>
      <c r="U300" s="246">
        <f t="shared" si="119"/>
        <v>0.12607100000000002</v>
      </c>
      <c r="V300" s="246">
        <f t="shared" si="119"/>
        <v>0.50428400000000007</v>
      </c>
      <c r="W300" s="246">
        <f t="shared" si="119"/>
        <v>0.12607100000000002</v>
      </c>
      <c r="X300" s="246">
        <f t="shared" si="119"/>
        <v>0</v>
      </c>
      <c r="Y300" s="246">
        <f t="shared" si="119"/>
        <v>0.25214200000000003</v>
      </c>
      <c r="Z300" s="246">
        <f t="shared" si="119"/>
        <v>1.7649940000000004</v>
      </c>
      <c r="AA300" s="246">
        <f t="shared" si="119"/>
        <v>0</v>
      </c>
      <c r="AB300" s="246">
        <f t="shared" si="119"/>
        <v>0</v>
      </c>
      <c r="AC300" s="246">
        <f t="shared" si="119"/>
        <v>0.15128520000000001</v>
      </c>
      <c r="AD300" s="246">
        <f t="shared" si="119"/>
        <v>0</v>
      </c>
      <c r="AE300" s="246">
        <f t="shared" si="119"/>
        <v>2.52142</v>
      </c>
      <c r="AF300" s="246">
        <v>0</v>
      </c>
      <c r="AG300" s="246">
        <f t="shared" si="119"/>
        <v>0.25214200000000003</v>
      </c>
      <c r="AH300" s="243"/>
      <c r="AI300" s="102">
        <v>2</v>
      </c>
      <c r="AJ300" s="102">
        <v>23</v>
      </c>
      <c r="AL300" s="102">
        <v>21</v>
      </c>
      <c r="AM300" s="237">
        <v>0.3</v>
      </c>
      <c r="AN300" s="241">
        <v>0.3</v>
      </c>
      <c r="AO300" s="241">
        <v>0.28999999999999998</v>
      </c>
      <c r="AP300" s="247">
        <f>(AN300*365)*(AO300*0.67*0.02*1)</f>
        <v>0.42551700000000003</v>
      </c>
      <c r="AQ300" s="247">
        <f>(AN300*365)*(AO300*0.67*0.01*1)</f>
        <v>0.21275850000000002</v>
      </c>
      <c r="AR300" s="248"/>
      <c r="AS300" s="247">
        <f>(AN300*365)*(AO300*0.67*0.05*1)</f>
        <v>1.0637925000000001</v>
      </c>
      <c r="AT300" s="247">
        <f>(AN300*365)*(AO300*0.67*0.02*1)</f>
        <v>0.42551700000000003</v>
      </c>
      <c r="AU300" s="247">
        <f>(AN300*365)*(AO300*0.67*0.8*1)</f>
        <v>17.020680000000002</v>
      </c>
      <c r="AV300" s="247">
        <f>(AN300*365)*(AO300*0.67*0.8*1)</f>
        <v>17.020680000000002</v>
      </c>
      <c r="AW300" s="247">
        <f>(AN300*365)*(AO300*0.67*0.3*1)</f>
        <v>6.3827549999999995</v>
      </c>
      <c r="AX300" s="248"/>
      <c r="AY300" s="247">
        <f>(AN300*365)*(AO300*0.67*0.8*1)</f>
        <v>17.020680000000002</v>
      </c>
      <c r="AZ300" s="247">
        <f t="shared" si="120"/>
        <v>21.275849999999998</v>
      </c>
      <c r="BA300" s="247">
        <f t="shared" si="121"/>
        <v>2.1275850000000003</v>
      </c>
      <c r="BB300" s="247">
        <f t="shared" si="122"/>
        <v>0.10637925000000001</v>
      </c>
      <c r="BC300" s="247">
        <f>(AN300*365)*(AO300*0.67*0.015*1)</f>
        <v>0.31913775</v>
      </c>
      <c r="BD300" s="247">
        <v>0</v>
      </c>
      <c r="BE300" s="247">
        <v>0</v>
      </c>
      <c r="BH300" s="120"/>
      <c r="BI300" s="203" t="s">
        <v>139</v>
      </c>
      <c r="BJ300" s="190" t="s">
        <v>168</v>
      </c>
      <c r="BK300" s="196">
        <f t="shared" si="123"/>
        <v>2</v>
      </c>
      <c r="BL300" s="190" t="s">
        <v>413</v>
      </c>
      <c r="BM300" s="189">
        <v>0.2</v>
      </c>
      <c r="BN300" s="189">
        <v>0.5</v>
      </c>
      <c r="BO300" s="188" t="s">
        <v>258</v>
      </c>
      <c r="BP300" s="196">
        <f t="shared" si="124"/>
        <v>0.25645714285714288</v>
      </c>
      <c r="BQ300" s="190" t="s">
        <v>415</v>
      </c>
      <c r="BR300" s="189">
        <v>0.2</v>
      </c>
      <c r="BS300" s="189">
        <v>0.5</v>
      </c>
      <c r="BT300" s="188" t="s">
        <v>258</v>
      </c>
      <c r="BU300" s="180"/>
      <c r="BV300" s="196">
        <v>50</v>
      </c>
      <c r="BW300" s="190" t="s">
        <v>414</v>
      </c>
      <c r="BX300" s="180"/>
      <c r="BY300" s="196">
        <v>76.424228571428586</v>
      </c>
      <c r="BZ300" s="190" t="s">
        <v>414</v>
      </c>
      <c r="CA300" s="180"/>
      <c r="CB300" s="180"/>
      <c r="CC300" s="178"/>
      <c r="CD300" s="178"/>
      <c r="CE300" s="180"/>
      <c r="CF300" s="180"/>
      <c r="CG300" s="180"/>
      <c r="CH300" s="180"/>
      <c r="CI300" s="178"/>
      <c r="CJ300" s="178"/>
      <c r="CK300" s="180"/>
      <c r="CL300" s="180"/>
      <c r="CM300" s="180"/>
      <c r="CN300" s="116"/>
      <c r="CO300" s="218">
        <f t="shared" si="114"/>
        <v>0.2</v>
      </c>
      <c r="CP300" s="100">
        <f t="shared" si="115"/>
        <v>0.35</v>
      </c>
      <c r="CQ300" s="218">
        <f t="shared" si="116"/>
        <v>0.5</v>
      </c>
      <c r="CR300" s="101">
        <v>0.2</v>
      </c>
      <c r="CS300" s="101">
        <v>0.5</v>
      </c>
      <c r="DA300" s="23" t="s">
        <v>139</v>
      </c>
      <c r="DB300" s="23">
        <v>2</v>
      </c>
      <c r="DC300" s="142">
        <f t="shared" si="125"/>
        <v>42</v>
      </c>
      <c r="DD300" s="142">
        <f t="shared" si="126"/>
        <v>50</v>
      </c>
      <c r="DE300" s="23">
        <v>16</v>
      </c>
      <c r="DF300" s="23">
        <v>0.51</v>
      </c>
      <c r="DG300" s="142">
        <f t="shared" si="127"/>
        <v>8.16</v>
      </c>
      <c r="DH300" s="23">
        <v>0.02</v>
      </c>
      <c r="DI300" s="149">
        <f t="shared" si="128"/>
        <v>0.25645714285714288</v>
      </c>
      <c r="DJ300" s="149">
        <f t="shared" si="129"/>
        <v>79.5017142857143</v>
      </c>
      <c r="DK300" s="149">
        <f t="shared" si="130"/>
        <v>76.424228571428586</v>
      </c>
      <c r="DL300" s="150">
        <f t="shared" si="131"/>
        <v>121.5017142857143</v>
      </c>
      <c r="DM300" s="150">
        <f t="shared" si="131"/>
        <v>126.42422857142859</v>
      </c>
      <c r="DN300" s="116" t="s">
        <v>168</v>
      </c>
      <c r="DO300" s="101" t="s">
        <v>392</v>
      </c>
    </row>
    <row r="301" spans="15:119" s="101" customFormat="1" ht="18.75" hidden="1" customHeight="1" thickBot="1" x14ac:dyDescent="0.4">
      <c r="O301" s="227" t="s">
        <v>545</v>
      </c>
      <c r="Q301" s="243">
        <v>0.55000000000000004</v>
      </c>
      <c r="R301" s="243">
        <v>28</v>
      </c>
      <c r="S301" s="246">
        <f t="shared" si="119"/>
        <v>0</v>
      </c>
      <c r="T301" s="246">
        <f t="shared" si="119"/>
        <v>0</v>
      </c>
      <c r="U301" s="246">
        <f t="shared" si="119"/>
        <v>4.4165000000000003E-2</v>
      </c>
      <c r="V301" s="246">
        <f t="shared" si="119"/>
        <v>0.17666000000000001</v>
      </c>
      <c r="W301" s="246">
        <f t="shared" si="119"/>
        <v>4.4165000000000003E-2</v>
      </c>
      <c r="X301" s="246">
        <f t="shared" si="119"/>
        <v>0</v>
      </c>
      <c r="Y301" s="246">
        <f t="shared" si="119"/>
        <v>8.8330000000000006E-2</v>
      </c>
      <c r="Z301" s="246">
        <f t="shared" si="119"/>
        <v>0.61831000000000003</v>
      </c>
      <c r="AA301" s="246">
        <f t="shared" si="119"/>
        <v>0</v>
      </c>
      <c r="AB301" s="246">
        <f t="shared" si="119"/>
        <v>0</v>
      </c>
      <c r="AC301" s="246">
        <f t="shared" si="119"/>
        <v>5.299800000000001E-2</v>
      </c>
      <c r="AD301" s="246">
        <f t="shared" si="119"/>
        <v>0</v>
      </c>
      <c r="AE301" s="246">
        <f t="shared" si="119"/>
        <v>0.88330000000000009</v>
      </c>
      <c r="AF301" s="246">
        <v>0</v>
      </c>
      <c r="AG301" s="246">
        <f t="shared" si="119"/>
        <v>8.8330000000000006E-2</v>
      </c>
      <c r="AH301" s="243"/>
      <c r="AI301" s="102">
        <v>1</v>
      </c>
      <c r="AJ301" s="102">
        <v>23</v>
      </c>
      <c r="AL301" s="102">
        <v>12</v>
      </c>
      <c r="AM301" s="237">
        <v>0.3</v>
      </c>
      <c r="AN301" s="241">
        <v>0.3</v>
      </c>
      <c r="AO301" s="241">
        <v>0.28999999999999998</v>
      </c>
      <c r="AP301" s="247">
        <f>(AN301*365)*(AO301*0.67*0.01*1)</f>
        <v>0.21275850000000002</v>
      </c>
      <c r="AQ301" s="247">
        <f>(AN301*365)*(AO301*0.67*0.001*1)</f>
        <v>2.1275850000000002E-2</v>
      </c>
      <c r="AR301" s="248"/>
      <c r="AS301" s="247">
        <f>(AN301*365)*(AO301*0.67*0.02*1)</f>
        <v>0.42551700000000003</v>
      </c>
      <c r="AT301" s="247">
        <f>(AN301*365)*(AO301*0.67*0.01*1)</f>
        <v>0.21275850000000002</v>
      </c>
      <c r="AU301" s="247">
        <f>(AN301*365)*(AO301*0.67*0.25*1)</f>
        <v>5.3189624999999996</v>
      </c>
      <c r="AV301" s="247">
        <f>(AN301*365)*(AO301*0.67*0.73*1)</f>
        <v>15.5313705</v>
      </c>
      <c r="AW301" s="247">
        <f>(AN301*365)*(AO301*0.67*0.03*1)</f>
        <v>0.6382755</v>
      </c>
      <c r="AX301" s="248"/>
      <c r="AY301" s="247">
        <f>(AN301*365)*(AO301*0.67*0.25*1)</f>
        <v>5.3189624999999996</v>
      </c>
      <c r="AZ301" s="247">
        <f t="shared" si="120"/>
        <v>21.275849999999998</v>
      </c>
      <c r="BA301" s="247">
        <f t="shared" si="121"/>
        <v>2.1275850000000003</v>
      </c>
      <c r="BB301" s="247">
        <f t="shared" si="122"/>
        <v>0.10637925000000001</v>
      </c>
      <c r="BC301" s="247">
        <f>(AN301*365)*(AO301*0.67*0.005*1)</f>
        <v>0.10637925000000001</v>
      </c>
      <c r="BD301" s="247">
        <v>0</v>
      </c>
      <c r="BE301" s="247">
        <v>0</v>
      </c>
      <c r="BH301" s="120"/>
      <c r="BI301" s="203" t="s">
        <v>337</v>
      </c>
      <c r="BJ301" s="190" t="s">
        <v>168</v>
      </c>
      <c r="BK301" s="196">
        <f t="shared" si="123"/>
        <v>0</v>
      </c>
      <c r="BL301" s="190" t="s">
        <v>413</v>
      </c>
      <c r="BM301" s="189">
        <v>0.2</v>
      </c>
      <c r="BN301" s="189">
        <v>0.5</v>
      </c>
      <c r="BO301" s="188" t="s">
        <v>258</v>
      </c>
      <c r="BP301" s="196">
        <f t="shared" si="124"/>
        <v>5.0285714285714281E-2</v>
      </c>
      <c r="BQ301" s="190" t="s">
        <v>415</v>
      </c>
      <c r="BR301" s="189">
        <v>0.2</v>
      </c>
      <c r="BS301" s="189">
        <v>0.5</v>
      </c>
      <c r="BT301" s="188" t="s">
        <v>258</v>
      </c>
      <c r="BU301" s="180"/>
      <c r="BV301" s="196">
        <v>0</v>
      </c>
      <c r="BW301" s="190" t="s">
        <v>414</v>
      </c>
      <c r="BX301" s="180"/>
      <c r="BY301" s="196">
        <v>14.985142857142856</v>
      </c>
      <c r="BZ301" s="190" t="s">
        <v>414</v>
      </c>
      <c r="CA301" s="180"/>
      <c r="CB301" s="180"/>
      <c r="CC301" s="178"/>
      <c r="CD301" s="178"/>
      <c r="CE301" s="180"/>
      <c r="CF301" s="180"/>
      <c r="CG301" s="180"/>
      <c r="CH301" s="180"/>
      <c r="CI301" s="178"/>
      <c r="CJ301" s="178"/>
      <c r="CK301" s="180"/>
      <c r="CL301" s="180"/>
      <c r="CM301" s="180"/>
      <c r="CN301" s="116"/>
      <c r="CO301" s="218">
        <f t="shared" si="114"/>
        <v>0.2</v>
      </c>
      <c r="CP301" s="100">
        <f t="shared" si="115"/>
        <v>0.35</v>
      </c>
      <c r="CQ301" s="218">
        <f t="shared" si="116"/>
        <v>0.5</v>
      </c>
      <c r="CR301" s="101">
        <v>0.2</v>
      </c>
      <c r="CS301" s="101">
        <v>0.5</v>
      </c>
      <c r="DA301" s="23" t="s">
        <v>337</v>
      </c>
      <c r="DB301" s="23">
        <v>0</v>
      </c>
      <c r="DC301" s="142">
        <f t="shared" si="125"/>
        <v>0</v>
      </c>
      <c r="DD301" s="142">
        <f t="shared" si="126"/>
        <v>0</v>
      </c>
      <c r="DE301" s="23">
        <v>16</v>
      </c>
      <c r="DF301" s="23">
        <v>0.4</v>
      </c>
      <c r="DG301" s="142">
        <f t="shared" si="127"/>
        <v>6.4</v>
      </c>
      <c r="DH301" s="23">
        <v>5.0000000000000001E-3</v>
      </c>
      <c r="DI301" s="149">
        <f t="shared" si="128"/>
        <v>5.0285714285714281E-2</v>
      </c>
      <c r="DJ301" s="149">
        <f t="shared" si="129"/>
        <v>15.588571428571427</v>
      </c>
      <c r="DK301" s="149">
        <f t="shared" si="130"/>
        <v>14.985142857142856</v>
      </c>
      <c r="DL301" s="150">
        <f t="shared" si="131"/>
        <v>15.588571428571427</v>
      </c>
      <c r="DM301" s="150">
        <f t="shared" si="131"/>
        <v>14.985142857142856</v>
      </c>
      <c r="DN301" s="116" t="s">
        <v>168</v>
      </c>
      <c r="DO301" s="101" t="s">
        <v>392</v>
      </c>
    </row>
    <row r="302" spans="15:119" s="101" customFormat="1" ht="33.75" hidden="1" thickBot="1" x14ac:dyDescent="0.4">
      <c r="O302" s="227" t="s">
        <v>546</v>
      </c>
      <c r="Q302" s="243">
        <v>0.55000000000000004</v>
      </c>
      <c r="R302" s="243">
        <v>28</v>
      </c>
      <c r="S302" s="246">
        <f t="shared" si="119"/>
        <v>0</v>
      </c>
      <c r="T302" s="246">
        <f t="shared" si="119"/>
        <v>0</v>
      </c>
      <c r="U302" s="246">
        <f t="shared" si="119"/>
        <v>4.4165000000000003E-2</v>
      </c>
      <c r="V302" s="246">
        <f t="shared" si="119"/>
        <v>0.17666000000000001</v>
      </c>
      <c r="W302" s="246">
        <f t="shared" si="119"/>
        <v>4.4165000000000003E-2</v>
      </c>
      <c r="X302" s="246">
        <f t="shared" si="119"/>
        <v>0</v>
      </c>
      <c r="Y302" s="246">
        <f t="shared" si="119"/>
        <v>8.8330000000000006E-2</v>
      </c>
      <c r="Z302" s="246">
        <f t="shared" si="119"/>
        <v>0.61831000000000003</v>
      </c>
      <c r="AA302" s="246">
        <f t="shared" si="119"/>
        <v>0</v>
      </c>
      <c r="AB302" s="246">
        <f t="shared" si="119"/>
        <v>0</v>
      </c>
      <c r="AC302" s="246">
        <f t="shared" si="119"/>
        <v>5.299800000000001E-2</v>
      </c>
      <c r="AD302" s="246">
        <f t="shared" si="119"/>
        <v>0</v>
      </c>
      <c r="AE302" s="246">
        <f t="shared" si="119"/>
        <v>0.88330000000000009</v>
      </c>
      <c r="AF302" s="246">
        <v>0</v>
      </c>
      <c r="AG302" s="246">
        <f t="shared" si="119"/>
        <v>8.8330000000000006E-2</v>
      </c>
      <c r="AH302" s="243"/>
      <c r="AI302" s="102">
        <v>1</v>
      </c>
      <c r="AJ302" s="102">
        <v>39</v>
      </c>
      <c r="AL302" s="102">
        <v>27</v>
      </c>
      <c r="AM302" s="237">
        <v>0.3</v>
      </c>
      <c r="AN302" s="241">
        <v>0.3</v>
      </c>
      <c r="AO302" s="241">
        <v>0.28999999999999998</v>
      </c>
      <c r="AP302" s="247">
        <f>(AN302*365)*(AO302*0.67*0.015*1)</f>
        <v>0.31913775</v>
      </c>
      <c r="AQ302" s="247">
        <f>(AN302*365)*(AO302*0.67*0.005*1)</f>
        <v>0.10637925000000001</v>
      </c>
      <c r="AR302" s="248"/>
      <c r="AS302" s="247">
        <f>(AN302*365)*(AO302*0.67*0.04*1)</f>
        <v>0.85103400000000007</v>
      </c>
      <c r="AT302" s="247">
        <f>(AN302*365)*(AO302*0.67*0.015*1)</f>
        <v>0.31913775</v>
      </c>
      <c r="AU302" s="247">
        <f>(AN302*365)*(AO302*0.67*0.65*1)</f>
        <v>13.829302500000002</v>
      </c>
      <c r="AV302" s="247">
        <f>(AN302*365)*(AO302*0.67*0.79*1)</f>
        <v>16.807921499999999</v>
      </c>
      <c r="AW302" s="247">
        <f>(AN302*365)*(AO302*0.67*0.03*1)</f>
        <v>0.6382755</v>
      </c>
      <c r="AX302" s="248"/>
      <c r="AY302" s="247">
        <f>(AN302*365)*(AO302*0.67*0.65*1)</f>
        <v>13.829302500000002</v>
      </c>
      <c r="AZ302" s="247">
        <f t="shared" si="120"/>
        <v>21.275849999999998</v>
      </c>
      <c r="BA302" s="247">
        <f t="shared" si="121"/>
        <v>2.1275850000000003</v>
      </c>
      <c r="BB302" s="247">
        <f t="shared" si="122"/>
        <v>0.10637925000000001</v>
      </c>
      <c r="BC302" s="247">
        <f>(AN302*365)*(AO302*0.67*0.01*1)</f>
        <v>0.21275850000000002</v>
      </c>
      <c r="BD302" s="247">
        <v>0</v>
      </c>
      <c r="BE302" s="247">
        <v>0</v>
      </c>
      <c r="BH302" s="120"/>
      <c r="BI302" s="203" t="s">
        <v>338</v>
      </c>
      <c r="BJ302" s="190" t="s">
        <v>168</v>
      </c>
      <c r="BK302" s="196">
        <f t="shared" si="123"/>
        <v>1</v>
      </c>
      <c r="BL302" s="190" t="s">
        <v>413</v>
      </c>
      <c r="BM302" s="189">
        <v>0.2</v>
      </c>
      <c r="BN302" s="189">
        <v>0.5</v>
      </c>
      <c r="BO302" s="188" t="s">
        <v>258</v>
      </c>
      <c r="BP302" s="196">
        <f t="shared" si="124"/>
        <v>5.0285714285714281E-2</v>
      </c>
      <c r="BQ302" s="190" t="s">
        <v>415</v>
      </c>
      <c r="BR302" s="189">
        <v>0.2</v>
      </c>
      <c r="BS302" s="189">
        <v>0.5</v>
      </c>
      <c r="BT302" s="188" t="s">
        <v>258</v>
      </c>
      <c r="BU302" s="180"/>
      <c r="BV302" s="196">
        <v>25</v>
      </c>
      <c r="BW302" s="190" t="s">
        <v>414</v>
      </c>
      <c r="BX302" s="180"/>
      <c r="BY302" s="196">
        <v>14.985142857142856</v>
      </c>
      <c r="BZ302" s="190" t="s">
        <v>414</v>
      </c>
      <c r="CA302" s="180"/>
      <c r="CB302" s="180"/>
      <c r="CC302" s="178"/>
      <c r="CD302" s="178"/>
      <c r="CE302" s="180"/>
      <c r="CF302" s="180"/>
      <c r="CG302" s="180"/>
      <c r="CH302" s="180"/>
      <c r="CI302" s="178"/>
      <c r="CJ302" s="178"/>
      <c r="CK302" s="180"/>
      <c r="CL302" s="180"/>
      <c r="CM302" s="180"/>
      <c r="CN302" s="116"/>
      <c r="CO302" s="218">
        <f t="shared" si="114"/>
        <v>0.2</v>
      </c>
      <c r="CP302" s="100">
        <f t="shared" si="115"/>
        <v>0.35</v>
      </c>
      <c r="CQ302" s="218">
        <f t="shared" si="116"/>
        <v>0.5</v>
      </c>
      <c r="CR302" s="101">
        <v>0.2</v>
      </c>
      <c r="CS302" s="101">
        <v>0.5</v>
      </c>
      <c r="DA302" s="23" t="s">
        <v>338</v>
      </c>
      <c r="DB302" s="23">
        <v>1</v>
      </c>
      <c r="DC302" s="142">
        <f t="shared" si="125"/>
        <v>21</v>
      </c>
      <c r="DD302" s="142">
        <f t="shared" si="126"/>
        <v>25</v>
      </c>
      <c r="DE302" s="23">
        <v>16</v>
      </c>
      <c r="DF302" s="23">
        <v>0.4</v>
      </c>
      <c r="DG302" s="142">
        <f t="shared" si="127"/>
        <v>6.4</v>
      </c>
      <c r="DH302" s="23">
        <v>5.0000000000000001E-3</v>
      </c>
      <c r="DI302" s="149">
        <f t="shared" si="128"/>
        <v>5.0285714285714281E-2</v>
      </c>
      <c r="DJ302" s="149">
        <f t="shared" si="129"/>
        <v>15.588571428571427</v>
      </c>
      <c r="DK302" s="149">
        <f t="shared" si="130"/>
        <v>14.985142857142856</v>
      </c>
      <c r="DL302" s="150">
        <f t="shared" si="131"/>
        <v>36.588571428571427</v>
      </c>
      <c r="DM302" s="150">
        <f t="shared" si="131"/>
        <v>39.985142857142854</v>
      </c>
      <c r="DN302" s="116" t="s">
        <v>168</v>
      </c>
      <c r="DO302" s="101" t="s">
        <v>392</v>
      </c>
    </row>
    <row r="303" spans="15:119" s="101" customFormat="1" ht="33.75" hidden="1" thickBot="1" x14ac:dyDescent="0.4">
      <c r="O303" s="227" t="s">
        <v>547</v>
      </c>
      <c r="Q303" s="243">
        <v>0.55000000000000004</v>
      </c>
      <c r="R303" s="243">
        <v>28</v>
      </c>
      <c r="S303" s="246">
        <f t="shared" si="119"/>
        <v>0</v>
      </c>
      <c r="T303" s="246">
        <f t="shared" si="119"/>
        <v>0</v>
      </c>
      <c r="U303" s="246">
        <f t="shared" si="119"/>
        <v>4.4165000000000003E-2</v>
      </c>
      <c r="V303" s="246">
        <f t="shared" si="119"/>
        <v>0.17666000000000001</v>
      </c>
      <c r="W303" s="246">
        <f t="shared" si="119"/>
        <v>4.4165000000000003E-2</v>
      </c>
      <c r="X303" s="246">
        <f t="shared" si="119"/>
        <v>0</v>
      </c>
      <c r="Y303" s="246">
        <f t="shared" si="119"/>
        <v>8.8330000000000006E-2</v>
      </c>
      <c r="Z303" s="246">
        <f t="shared" si="119"/>
        <v>0.61831000000000003</v>
      </c>
      <c r="AA303" s="246">
        <f t="shared" si="119"/>
        <v>0</v>
      </c>
      <c r="AB303" s="246">
        <f t="shared" si="119"/>
        <v>0</v>
      </c>
      <c r="AC303" s="246">
        <f t="shared" si="119"/>
        <v>5.299800000000001E-2</v>
      </c>
      <c r="AD303" s="246">
        <f t="shared" si="119"/>
        <v>0</v>
      </c>
      <c r="AE303" s="246">
        <f t="shared" si="119"/>
        <v>0.88330000000000009</v>
      </c>
      <c r="AF303" s="246">
        <v>0</v>
      </c>
      <c r="AG303" s="246">
        <f t="shared" si="119"/>
        <v>8.8330000000000006E-2</v>
      </c>
      <c r="AH303" s="243"/>
      <c r="AI303" s="102">
        <v>2</v>
      </c>
      <c r="AJ303" s="102">
        <v>45</v>
      </c>
      <c r="AL303" s="102">
        <v>33</v>
      </c>
      <c r="AM303" s="237">
        <v>0.3</v>
      </c>
      <c r="AN303" s="241">
        <v>0.3</v>
      </c>
      <c r="AO303" s="241">
        <v>0.28999999999999998</v>
      </c>
      <c r="AP303" s="247">
        <f>(AN303*365)*(AO303*0.67*0.02*1)</f>
        <v>0.42551700000000003</v>
      </c>
      <c r="AQ303" s="247">
        <f>(AN303*365)*(AO303*0.67*0.01*1)</f>
        <v>0.21275850000000002</v>
      </c>
      <c r="AR303" s="248"/>
      <c r="AS303" s="247">
        <f>(AN303*365)*(AO303*0.67*0.05*1)</f>
        <v>1.0637925000000001</v>
      </c>
      <c r="AT303" s="247">
        <f>(AN303*365)*(AO303*0.67*0.02*1)</f>
        <v>0.42551700000000003</v>
      </c>
      <c r="AU303" s="247">
        <f>(AN303*365)*(AO303*0.67*0.8*1)</f>
        <v>17.020680000000002</v>
      </c>
      <c r="AV303" s="247">
        <f>(AN303*365)*(AO303*0.67*0.8*1)</f>
        <v>17.020680000000002</v>
      </c>
      <c r="AW303" s="247">
        <f>(AN303*365)*(AO303*0.67*0.3*1)</f>
        <v>6.3827549999999995</v>
      </c>
      <c r="AX303" s="248"/>
      <c r="AY303" s="247">
        <f>(AN303*365)*(AO303*0.67*0.8*1)</f>
        <v>17.020680000000002</v>
      </c>
      <c r="AZ303" s="247">
        <f t="shared" si="120"/>
        <v>21.275849999999998</v>
      </c>
      <c r="BA303" s="247">
        <f t="shared" si="121"/>
        <v>2.1275850000000003</v>
      </c>
      <c r="BB303" s="247">
        <f t="shared" si="122"/>
        <v>0.10637925000000001</v>
      </c>
      <c r="BC303" s="247">
        <f>(AN303*365)*(AO303*0.67*0.015*1)</f>
        <v>0.31913775</v>
      </c>
      <c r="BD303" s="247">
        <v>0</v>
      </c>
      <c r="BE303" s="247">
        <v>0</v>
      </c>
      <c r="BH303" s="120"/>
      <c r="BI303" s="203" t="s">
        <v>339</v>
      </c>
      <c r="BJ303" s="190" t="s">
        <v>168</v>
      </c>
      <c r="BK303" s="196">
        <f t="shared" si="123"/>
        <v>2</v>
      </c>
      <c r="BL303" s="190" t="s">
        <v>413</v>
      </c>
      <c r="BM303" s="189">
        <v>0.2</v>
      </c>
      <c r="BN303" s="189">
        <v>0.5</v>
      </c>
      <c r="BO303" s="188" t="s">
        <v>258</v>
      </c>
      <c r="BP303" s="196">
        <f t="shared" si="124"/>
        <v>5.0285714285714281E-2</v>
      </c>
      <c r="BQ303" s="190" t="s">
        <v>415</v>
      </c>
      <c r="BR303" s="189">
        <v>0.2</v>
      </c>
      <c r="BS303" s="189">
        <v>0.5</v>
      </c>
      <c r="BT303" s="188" t="s">
        <v>258</v>
      </c>
      <c r="BU303" s="180"/>
      <c r="BV303" s="196">
        <v>50</v>
      </c>
      <c r="BW303" s="190" t="s">
        <v>414</v>
      </c>
      <c r="BX303" s="180"/>
      <c r="BY303" s="196">
        <v>14.985142857142856</v>
      </c>
      <c r="BZ303" s="190" t="s">
        <v>414</v>
      </c>
      <c r="CA303" s="180"/>
      <c r="CB303" s="180"/>
      <c r="CC303" s="178"/>
      <c r="CD303" s="178"/>
      <c r="CE303" s="180"/>
      <c r="CF303" s="180"/>
      <c r="CG303" s="180"/>
      <c r="CH303" s="180"/>
      <c r="CI303" s="178"/>
      <c r="CJ303" s="178"/>
      <c r="CK303" s="180"/>
      <c r="CL303" s="180"/>
      <c r="CM303" s="180"/>
      <c r="CN303" s="116"/>
      <c r="CO303" s="218">
        <f t="shared" si="114"/>
        <v>0.2</v>
      </c>
      <c r="CP303" s="100">
        <f t="shared" si="115"/>
        <v>0.35</v>
      </c>
      <c r="CQ303" s="218">
        <f t="shared" si="116"/>
        <v>0.5</v>
      </c>
      <c r="CR303" s="101">
        <v>0.2</v>
      </c>
      <c r="CS303" s="101">
        <v>0.5</v>
      </c>
      <c r="DA303" s="23" t="s">
        <v>339</v>
      </c>
      <c r="DB303" s="23">
        <v>2</v>
      </c>
      <c r="DC303" s="142">
        <f t="shared" si="125"/>
        <v>42</v>
      </c>
      <c r="DD303" s="142">
        <f t="shared" si="126"/>
        <v>50</v>
      </c>
      <c r="DE303" s="23">
        <v>16</v>
      </c>
      <c r="DF303" s="23">
        <v>0.4</v>
      </c>
      <c r="DG303" s="142">
        <f t="shared" si="127"/>
        <v>6.4</v>
      </c>
      <c r="DH303" s="23">
        <v>5.0000000000000001E-3</v>
      </c>
      <c r="DI303" s="149">
        <f t="shared" si="128"/>
        <v>5.0285714285714281E-2</v>
      </c>
      <c r="DJ303" s="149">
        <f t="shared" si="129"/>
        <v>15.588571428571427</v>
      </c>
      <c r="DK303" s="149">
        <f t="shared" si="130"/>
        <v>14.985142857142856</v>
      </c>
      <c r="DL303" s="150">
        <f t="shared" si="131"/>
        <v>57.588571428571427</v>
      </c>
      <c r="DM303" s="150">
        <f t="shared" si="131"/>
        <v>64.985142857142861</v>
      </c>
      <c r="DN303" s="116" t="s">
        <v>168</v>
      </c>
      <c r="DO303" s="101" t="s">
        <v>392</v>
      </c>
    </row>
    <row r="304" spans="15:119" s="101" customFormat="1" ht="33.75" hidden="1" thickBot="1" x14ac:dyDescent="0.4">
      <c r="O304" s="227" t="s">
        <v>143</v>
      </c>
      <c r="Q304" s="243">
        <v>0.32</v>
      </c>
      <c r="R304" s="243">
        <v>380</v>
      </c>
      <c r="S304" s="246">
        <f t="shared" si="119"/>
        <v>0</v>
      </c>
      <c r="T304" s="246">
        <f t="shared" si="119"/>
        <v>0</v>
      </c>
      <c r="U304" s="246">
        <f t="shared" si="119"/>
        <v>0.34873142857142858</v>
      </c>
      <c r="V304" s="246">
        <f t="shared" si="119"/>
        <v>1.3949257142857143</v>
      </c>
      <c r="W304" s="246">
        <f t="shared" si="119"/>
        <v>0.34873142857142858</v>
      </c>
      <c r="X304" s="246">
        <f t="shared" si="119"/>
        <v>0</v>
      </c>
      <c r="Y304" s="246">
        <f t="shared" ref="Y304:AE304" si="132">((($Q304*($R304/1000)*365)*1)*Y$284)*(44/28)</f>
        <v>0.69746285714285716</v>
      </c>
      <c r="Z304" s="246">
        <f t="shared" si="132"/>
        <v>4.8822400000000004</v>
      </c>
      <c r="AA304" s="246">
        <f t="shared" si="132"/>
        <v>0</v>
      </c>
      <c r="AB304" s="246">
        <f t="shared" si="132"/>
        <v>0</v>
      </c>
      <c r="AC304" s="246">
        <f t="shared" si="132"/>
        <v>0.41847771428571423</v>
      </c>
      <c r="AD304" s="246">
        <f t="shared" si="132"/>
        <v>0</v>
      </c>
      <c r="AE304" s="246">
        <f t="shared" si="132"/>
        <v>6.9746285714285721</v>
      </c>
      <c r="AF304" s="246">
        <v>0</v>
      </c>
      <c r="AG304" s="246">
        <f t="shared" ref="AG304:AG309" si="133">((($Q304*($R304/1000)*365)*1)*AG$284)*(44/28)</f>
        <v>0.69746285714285716</v>
      </c>
      <c r="AH304" s="243"/>
      <c r="AI304" s="102">
        <v>1</v>
      </c>
      <c r="AJ304" s="100">
        <v>0</v>
      </c>
      <c r="AL304" s="102">
        <v>5</v>
      </c>
      <c r="AM304" s="237">
        <v>0.3</v>
      </c>
      <c r="AN304" s="241">
        <v>3.9</v>
      </c>
      <c r="AO304" s="241">
        <v>0.1</v>
      </c>
      <c r="AP304" s="247">
        <f>(AN304*365)*(AO304*0.67*0.01*1)</f>
        <v>0.95374500000000006</v>
      </c>
      <c r="AQ304" s="247">
        <f>(AN304*365)*(AO304*0.67*0.001*1)</f>
        <v>9.5374500000000001E-2</v>
      </c>
      <c r="AR304" s="248"/>
      <c r="AS304" s="247">
        <f>(AN304*365)*(AO304*0.67*0.02*1)</f>
        <v>1.9074900000000001</v>
      </c>
      <c r="AT304" s="247">
        <f>(AN304*365)*(AO304*0.67*0.01*1)</f>
        <v>0.95374500000000006</v>
      </c>
      <c r="AU304" s="247">
        <f>(AN304*365)*(AO304*0.67*0.25*1)</f>
        <v>23.843625000000003</v>
      </c>
      <c r="AV304" s="247">
        <f>(AN304*365)*(AO304*0.67*0.73*1)</f>
        <v>69.623384999999999</v>
      </c>
      <c r="AW304" s="247">
        <f>(AN304*365)*(AO304*0.67*0.03*1)</f>
        <v>2.8612350000000002</v>
      </c>
      <c r="AX304" s="248"/>
      <c r="AY304" s="247">
        <f>(AN304*365)*(AO304*0.67*0.25*1)</f>
        <v>23.843625000000003</v>
      </c>
      <c r="AZ304" s="247">
        <f t="shared" si="120"/>
        <v>95.374500000000012</v>
      </c>
      <c r="BA304" s="247">
        <f t="shared" si="121"/>
        <v>9.5374500000000015</v>
      </c>
      <c r="BB304" s="247">
        <f t="shared" si="122"/>
        <v>0.47687250000000003</v>
      </c>
      <c r="BC304" s="247">
        <f>(AN304*365)*(AO304*0.67*0.005*1)</f>
        <v>0.47687250000000003</v>
      </c>
      <c r="BD304" s="247">
        <v>0</v>
      </c>
      <c r="BE304" s="247">
        <v>0</v>
      </c>
      <c r="BH304" s="120"/>
      <c r="BI304" s="203" t="s">
        <v>143</v>
      </c>
      <c r="BJ304" s="190" t="s">
        <v>168</v>
      </c>
      <c r="BK304" s="196">
        <f t="shared" si="123"/>
        <v>1</v>
      </c>
      <c r="BL304" s="190" t="s">
        <v>413</v>
      </c>
      <c r="BM304" s="189">
        <v>0.2</v>
      </c>
      <c r="BN304" s="189">
        <v>0.5</v>
      </c>
      <c r="BO304" s="188" t="s">
        <v>258</v>
      </c>
      <c r="BP304" s="196">
        <f t="shared" si="124"/>
        <v>1.2445714285714284</v>
      </c>
      <c r="BQ304" s="190" t="s">
        <v>415</v>
      </c>
      <c r="BR304" s="189">
        <v>0.2</v>
      </c>
      <c r="BS304" s="189">
        <v>0.5</v>
      </c>
      <c r="BT304" s="188" t="s">
        <v>258</v>
      </c>
      <c r="BU304" s="180"/>
      <c r="BV304" s="196">
        <v>25</v>
      </c>
      <c r="BW304" s="190" t="s">
        <v>414</v>
      </c>
      <c r="BX304" s="180"/>
      <c r="BY304" s="196">
        <v>370.88228571428567</v>
      </c>
      <c r="BZ304" s="190" t="s">
        <v>414</v>
      </c>
      <c r="CA304" s="180"/>
      <c r="CB304" s="180"/>
      <c r="CC304" s="178"/>
      <c r="CD304" s="178"/>
      <c r="CE304" s="180"/>
      <c r="CF304" s="180"/>
      <c r="CG304" s="180"/>
      <c r="CH304" s="180"/>
      <c r="CI304" s="178"/>
      <c r="CJ304" s="178"/>
      <c r="CK304" s="180"/>
      <c r="CL304" s="180"/>
      <c r="CM304" s="180"/>
      <c r="CN304" s="116"/>
      <c r="CO304" s="218">
        <f t="shared" si="114"/>
        <v>0.2</v>
      </c>
      <c r="CP304" s="100">
        <f t="shared" si="115"/>
        <v>0.35</v>
      </c>
      <c r="CQ304" s="218">
        <f t="shared" si="116"/>
        <v>0.5</v>
      </c>
      <c r="CR304" s="101">
        <v>0.2</v>
      </c>
      <c r="CS304" s="101">
        <v>0.5</v>
      </c>
      <c r="DA304" s="23" t="s">
        <v>143</v>
      </c>
      <c r="DB304" s="23">
        <v>1</v>
      </c>
      <c r="DC304" s="142">
        <f t="shared" si="125"/>
        <v>21</v>
      </c>
      <c r="DD304" s="142">
        <f t="shared" si="126"/>
        <v>25</v>
      </c>
      <c r="DE304" s="23">
        <v>40</v>
      </c>
      <c r="DF304" s="23">
        <v>0.99</v>
      </c>
      <c r="DG304" s="142">
        <f t="shared" si="127"/>
        <v>39.6</v>
      </c>
      <c r="DH304" s="23">
        <v>0.02</v>
      </c>
      <c r="DI304" s="149">
        <f t="shared" si="128"/>
        <v>1.2445714285714284</v>
      </c>
      <c r="DJ304" s="149">
        <f t="shared" si="129"/>
        <v>385.81714285714281</v>
      </c>
      <c r="DK304" s="149">
        <f t="shared" si="130"/>
        <v>370.88228571428567</v>
      </c>
      <c r="DL304" s="150">
        <f t="shared" si="131"/>
        <v>406.81714285714281</v>
      </c>
      <c r="DM304" s="150">
        <f t="shared" si="131"/>
        <v>395.88228571428567</v>
      </c>
      <c r="DN304" s="116" t="s">
        <v>168</v>
      </c>
      <c r="DO304" s="101" t="s">
        <v>392</v>
      </c>
    </row>
    <row r="305" spans="15:119" s="101" customFormat="1" ht="33.75" hidden="1" thickBot="1" x14ac:dyDescent="0.4">
      <c r="O305" s="227" t="s">
        <v>144</v>
      </c>
      <c r="Q305" s="243">
        <v>0.32</v>
      </c>
      <c r="R305" s="243">
        <v>380</v>
      </c>
      <c r="S305" s="246">
        <f t="shared" ref="S305:AG318" si="134">((($Q305*($R305/1000)*365)*1)*S$284)*(44/28)</f>
        <v>0</v>
      </c>
      <c r="T305" s="246">
        <f t="shared" si="134"/>
        <v>0</v>
      </c>
      <c r="U305" s="246">
        <f t="shared" si="134"/>
        <v>0.34873142857142858</v>
      </c>
      <c r="V305" s="246">
        <f t="shared" si="134"/>
        <v>1.3949257142857143</v>
      </c>
      <c r="W305" s="246">
        <f t="shared" si="134"/>
        <v>0.34873142857142858</v>
      </c>
      <c r="X305" s="246">
        <f t="shared" si="134"/>
        <v>0</v>
      </c>
      <c r="Y305" s="246">
        <f t="shared" si="134"/>
        <v>0.69746285714285716</v>
      </c>
      <c r="Z305" s="246">
        <f t="shared" si="134"/>
        <v>4.8822400000000004</v>
      </c>
      <c r="AA305" s="246">
        <f t="shared" si="134"/>
        <v>0</v>
      </c>
      <c r="AB305" s="246">
        <f t="shared" si="134"/>
        <v>0</v>
      </c>
      <c r="AC305" s="246">
        <f t="shared" si="134"/>
        <v>0.41847771428571423</v>
      </c>
      <c r="AD305" s="246">
        <f t="shared" si="134"/>
        <v>0</v>
      </c>
      <c r="AE305" s="246">
        <f t="shared" si="134"/>
        <v>6.9746285714285721</v>
      </c>
      <c r="AF305" s="246">
        <v>0</v>
      </c>
      <c r="AG305" s="246">
        <f t="shared" si="133"/>
        <v>0.69746285714285716</v>
      </c>
      <c r="AH305" s="243"/>
      <c r="AI305" s="102">
        <v>1</v>
      </c>
      <c r="AJ305" s="100">
        <v>0</v>
      </c>
      <c r="AL305" s="102">
        <v>14</v>
      </c>
      <c r="AM305" s="237">
        <v>0.3</v>
      </c>
      <c r="AN305" s="241">
        <v>3.9</v>
      </c>
      <c r="AO305" s="241">
        <v>0.1</v>
      </c>
      <c r="AP305" s="247">
        <f>(AN305*365)*(AO305*0.67*0.015*1)</f>
        <v>1.4306175000000001</v>
      </c>
      <c r="AQ305" s="247">
        <f>(AN305*365)*(AO305*0.67*0.005*1)</f>
        <v>0.47687250000000003</v>
      </c>
      <c r="AR305" s="248"/>
      <c r="AS305" s="247">
        <f>(AN305*365)*(AO305*0.67*0.04*1)</f>
        <v>3.8149800000000003</v>
      </c>
      <c r="AT305" s="247">
        <f>(AN305*365)*(AO305*0.67*0.015*1)</f>
        <v>1.4306175000000001</v>
      </c>
      <c r="AU305" s="247">
        <f>(AN305*365)*(AO305*0.67*0.65*1)</f>
        <v>61.993425000000009</v>
      </c>
      <c r="AV305" s="247">
        <f>(AN305*365)*(AO305*0.67*0.79*1)</f>
        <v>75.345855</v>
      </c>
      <c r="AW305" s="247">
        <f>(AN305*365)*(AO305*0.67*0.03*1)</f>
        <v>2.8612350000000002</v>
      </c>
      <c r="AX305" s="248"/>
      <c r="AY305" s="247">
        <f>(AN305*365)*(AO305*0.67*0.65*1)</f>
        <v>61.993425000000009</v>
      </c>
      <c r="AZ305" s="247">
        <f t="shared" si="120"/>
        <v>95.374500000000012</v>
      </c>
      <c r="BA305" s="247">
        <f t="shared" si="121"/>
        <v>9.5374500000000015</v>
      </c>
      <c r="BB305" s="247">
        <f t="shared" si="122"/>
        <v>0.47687250000000003</v>
      </c>
      <c r="BC305" s="247">
        <f>(AN305*365)*(AO305*0.67*0.01*1)</f>
        <v>0.95374500000000006</v>
      </c>
      <c r="BD305" s="247">
        <v>0</v>
      </c>
      <c r="BE305" s="247">
        <v>0</v>
      </c>
      <c r="BH305" s="120"/>
      <c r="BI305" s="203" t="s">
        <v>144</v>
      </c>
      <c r="BJ305" s="190" t="s">
        <v>168</v>
      </c>
      <c r="BK305" s="196">
        <f t="shared" si="123"/>
        <v>1</v>
      </c>
      <c r="BL305" s="190" t="s">
        <v>413</v>
      </c>
      <c r="BM305" s="189">
        <v>0.2</v>
      </c>
      <c r="BN305" s="189">
        <v>0.5</v>
      </c>
      <c r="BO305" s="188" t="s">
        <v>258</v>
      </c>
      <c r="BP305" s="196">
        <f t="shared" si="124"/>
        <v>1.2445714285714284</v>
      </c>
      <c r="BQ305" s="190" t="s">
        <v>415</v>
      </c>
      <c r="BR305" s="189">
        <v>0.2</v>
      </c>
      <c r="BS305" s="189">
        <v>0.5</v>
      </c>
      <c r="BT305" s="188" t="s">
        <v>258</v>
      </c>
      <c r="BU305" s="180"/>
      <c r="BV305" s="196">
        <v>25</v>
      </c>
      <c r="BW305" s="190" t="s">
        <v>414</v>
      </c>
      <c r="BX305" s="180"/>
      <c r="BY305" s="196">
        <v>370.88228571428567</v>
      </c>
      <c r="BZ305" s="190" t="s">
        <v>414</v>
      </c>
      <c r="CA305" s="180"/>
      <c r="CB305" s="180"/>
      <c r="CC305" s="178"/>
      <c r="CD305" s="178"/>
      <c r="CE305" s="180"/>
      <c r="CF305" s="180"/>
      <c r="CG305" s="180"/>
      <c r="CH305" s="180"/>
      <c r="CI305" s="178"/>
      <c r="CJ305" s="178"/>
      <c r="CK305" s="180"/>
      <c r="CL305" s="180"/>
      <c r="CM305" s="180"/>
      <c r="CN305" s="116"/>
      <c r="CO305" s="218">
        <f t="shared" si="114"/>
        <v>0.2</v>
      </c>
      <c r="CP305" s="100">
        <f t="shared" si="115"/>
        <v>0.35</v>
      </c>
      <c r="CQ305" s="218">
        <f t="shared" si="116"/>
        <v>0.5</v>
      </c>
      <c r="CR305" s="101">
        <v>0.2</v>
      </c>
      <c r="CS305" s="101">
        <v>0.5</v>
      </c>
      <c r="DA305" s="23" t="s">
        <v>144</v>
      </c>
      <c r="DB305" s="23">
        <v>1</v>
      </c>
      <c r="DC305" s="142">
        <f t="shared" si="125"/>
        <v>21</v>
      </c>
      <c r="DD305" s="142">
        <f t="shared" si="126"/>
        <v>25</v>
      </c>
      <c r="DE305" s="23">
        <v>40</v>
      </c>
      <c r="DF305" s="23">
        <v>0.99</v>
      </c>
      <c r="DG305" s="142">
        <f t="shared" si="127"/>
        <v>39.6</v>
      </c>
      <c r="DH305" s="23">
        <v>0.02</v>
      </c>
      <c r="DI305" s="149">
        <f t="shared" si="128"/>
        <v>1.2445714285714284</v>
      </c>
      <c r="DJ305" s="149">
        <f t="shared" si="129"/>
        <v>385.81714285714281</v>
      </c>
      <c r="DK305" s="149">
        <f t="shared" si="130"/>
        <v>370.88228571428567</v>
      </c>
      <c r="DL305" s="150">
        <f t="shared" si="131"/>
        <v>406.81714285714281</v>
      </c>
      <c r="DM305" s="150">
        <f t="shared" si="131"/>
        <v>395.88228571428567</v>
      </c>
      <c r="DN305" s="116" t="s">
        <v>168</v>
      </c>
      <c r="DO305" s="101" t="s">
        <v>392</v>
      </c>
    </row>
    <row r="306" spans="15:119" s="101" customFormat="1" ht="33.75" hidden="1" thickBot="1" x14ac:dyDescent="0.4">
      <c r="O306" s="227" t="s">
        <v>145</v>
      </c>
      <c r="Q306" s="243">
        <v>0.32</v>
      </c>
      <c r="R306" s="243">
        <v>380</v>
      </c>
      <c r="S306" s="246">
        <f t="shared" si="134"/>
        <v>0</v>
      </c>
      <c r="T306" s="246">
        <f t="shared" si="134"/>
        <v>0</v>
      </c>
      <c r="U306" s="246">
        <f t="shared" si="134"/>
        <v>0.34873142857142858</v>
      </c>
      <c r="V306" s="246">
        <f t="shared" si="134"/>
        <v>1.3949257142857143</v>
      </c>
      <c r="W306" s="246">
        <f t="shared" si="134"/>
        <v>0.34873142857142858</v>
      </c>
      <c r="X306" s="246">
        <f t="shared" si="134"/>
        <v>0</v>
      </c>
      <c r="Y306" s="246">
        <f t="shared" si="134"/>
        <v>0.69746285714285716</v>
      </c>
      <c r="Z306" s="246">
        <f t="shared" si="134"/>
        <v>4.8822400000000004</v>
      </c>
      <c r="AA306" s="246">
        <f t="shared" si="134"/>
        <v>0</v>
      </c>
      <c r="AB306" s="246">
        <f t="shared" si="134"/>
        <v>0</v>
      </c>
      <c r="AC306" s="246">
        <f t="shared" si="134"/>
        <v>0.41847771428571423</v>
      </c>
      <c r="AD306" s="246">
        <f t="shared" si="134"/>
        <v>0</v>
      </c>
      <c r="AE306" s="246">
        <f t="shared" si="134"/>
        <v>6.9746285714285721</v>
      </c>
      <c r="AF306" s="246">
        <v>0</v>
      </c>
      <c r="AG306" s="246">
        <f t="shared" si="133"/>
        <v>0.69746285714285716</v>
      </c>
      <c r="AH306" s="243"/>
      <c r="AI306" s="102">
        <v>2</v>
      </c>
      <c r="AJ306" s="100">
        <v>0</v>
      </c>
      <c r="AL306" s="102">
        <v>17</v>
      </c>
      <c r="AM306" s="237">
        <v>0.3</v>
      </c>
      <c r="AN306" s="241">
        <v>3.9</v>
      </c>
      <c r="AO306" s="241">
        <v>0.1</v>
      </c>
      <c r="AP306" s="247">
        <f>(AN306*365)*(AO306*0.67*0.02*1)</f>
        <v>1.9074900000000001</v>
      </c>
      <c r="AQ306" s="247">
        <f>(AN306*365)*(AO306*0.67*0.01*1)</f>
        <v>0.95374500000000006</v>
      </c>
      <c r="AR306" s="248"/>
      <c r="AS306" s="247">
        <f>(AN306*365)*(AO306*0.67*0.05*1)</f>
        <v>4.7687250000000008</v>
      </c>
      <c r="AT306" s="247">
        <f>(AN306*365)*(AO306*0.67*0.02*1)</f>
        <v>1.9074900000000001</v>
      </c>
      <c r="AU306" s="247">
        <f>(AN306*365)*(AO306*0.67*0.8*1)</f>
        <v>76.299600000000012</v>
      </c>
      <c r="AV306" s="247">
        <f>(AN306*365)*(AO306*0.67*0.8*1)</f>
        <v>76.299600000000012</v>
      </c>
      <c r="AW306" s="247">
        <f>(AN306*365)*(AO306*0.67*0.3*1)</f>
        <v>28.612349999999999</v>
      </c>
      <c r="AX306" s="248"/>
      <c r="AY306" s="247">
        <f>(AN306*365)*(AO306*0.67*0.8*1)</f>
        <v>76.299600000000012</v>
      </c>
      <c r="AZ306" s="247">
        <f t="shared" si="120"/>
        <v>95.374500000000012</v>
      </c>
      <c r="BA306" s="247">
        <f t="shared" si="121"/>
        <v>9.5374500000000015</v>
      </c>
      <c r="BB306" s="247">
        <f t="shared" si="122"/>
        <v>0.47687250000000003</v>
      </c>
      <c r="BC306" s="247">
        <f>(AN306*365)*(AO306*0.67*0.015*1)</f>
        <v>1.4306175000000001</v>
      </c>
      <c r="BD306" s="247">
        <v>0</v>
      </c>
      <c r="BE306" s="247">
        <v>0</v>
      </c>
      <c r="BH306" s="120"/>
      <c r="BI306" s="203" t="s">
        <v>145</v>
      </c>
      <c r="BJ306" s="190" t="s">
        <v>168</v>
      </c>
      <c r="BK306" s="196">
        <f t="shared" si="123"/>
        <v>2</v>
      </c>
      <c r="BL306" s="190" t="s">
        <v>413</v>
      </c>
      <c r="BM306" s="189">
        <v>0.2</v>
      </c>
      <c r="BN306" s="189">
        <v>0.5</v>
      </c>
      <c r="BO306" s="188" t="s">
        <v>258</v>
      </c>
      <c r="BP306" s="196">
        <f t="shared" si="124"/>
        <v>1.2445714285714284</v>
      </c>
      <c r="BQ306" s="190" t="s">
        <v>415</v>
      </c>
      <c r="BR306" s="189">
        <v>0.2</v>
      </c>
      <c r="BS306" s="189">
        <v>0.5</v>
      </c>
      <c r="BT306" s="188" t="s">
        <v>258</v>
      </c>
      <c r="BU306" s="180"/>
      <c r="BV306" s="196">
        <v>50</v>
      </c>
      <c r="BW306" s="190" t="s">
        <v>414</v>
      </c>
      <c r="BX306" s="180"/>
      <c r="BY306" s="196">
        <v>370.88228571428567</v>
      </c>
      <c r="BZ306" s="190" t="s">
        <v>414</v>
      </c>
      <c r="CA306" s="180"/>
      <c r="CB306" s="180"/>
      <c r="CC306" s="178"/>
      <c r="CD306" s="178"/>
      <c r="CE306" s="180"/>
      <c r="CF306" s="180"/>
      <c r="CG306" s="180"/>
      <c r="CH306" s="180"/>
      <c r="CI306" s="178"/>
      <c r="CJ306" s="178"/>
      <c r="CK306" s="180"/>
      <c r="CL306" s="180"/>
      <c r="CM306" s="180"/>
      <c r="CN306" s="116"/>
      <c r="CO306" s="218">
        <f t="shared" si="114"/>
        <v>0.2</v>
      </c>
      <c r="CP306" s="100">
        <f t="shared" si="115"/>
        <v>0.35</v>
      </c>
      <c r="CQ306" s="218">
        <f t="shared" si="116"/>
        <v>0.5</v>
      </c>
      <c r="CR306" s="101">
        <v>0.2</v>
      </c>
      <c r="CS306" s="101">
        <v>0.5</v>
      </c>
      <c r="DA306" s="23" t="s">
        <v>145</v>
      </c>
      <c r="DB306" s="23">
        <v>2</v>
      </c>
      <c r="DC306" s="142">
        <f t="shared" si="125"/>
        <v>42</v>
      </c>
      <c r="DD306" s="142">
        <f t="shared" si="126"/>
        <v>50</v>
      </c>
      <c r="DE306" s="23">
        <v>40</v>
      </c>
      <c r="DF306" s="23">
        <v>0.99</v>
      </c>
      <c r="DG306" s="142">
        <f t="shared" si="127"/>
        <v>39.6</v>
      </c>
      <c r="DH306" s="23">
        <v>0.02</v>
      </c>
      <c r="DI306" s="149">
        <f t="shared" si="128"/>
        <v>1.2445714285714284</v>
      </c>
      <c r="DJ306" s="149">
        <f t="shared" si="129"/>
        <v>385.81714285714281</v>
      </c>
      <c r="DK306" s="149">
        <f t="shared" si="130"/>
        <v>370.88228571428567</v>
      </c>
      <c r="DL306" s="150">
        <f t="shared" si="131"/>
        <v>427.81714285714281</v>
      </c>
      <c r="DM306" s="150">
        <f t="shared" si="131"/>
        <v>420.88228571428567</v>
      </c>
      <c r="DN306" s="116" t="s">
        <v>168</v>
      </c>
      <c r="DO306" s="101" t="s">
        <v>392</v>
      </c>
    </row>
    <row r="307" spans="15:119" s="101" customFormat="1" ht="33.75" hidden="1" thickBot="1" x14ac:dyDescent="0.4">
      <c r="O307" s="227" t="s">
        <v>146</v>
      </c>
      <c r="Q307" s="243">
        <v>1.37</v>
      </c>
      <c r="R307" s="243">
        <v>30</v>
      </c>
      <c r="S307" s="246">
        <f t="shared" si="134"/>
        <v>0</v>
      </c>
      <c r="T307" s="246">
        <f t="shared" si="134"/>
        <v>0</v>
      </c>
      <c r="U307" s="246">
        <f t="shared" si="134"/>
        <v>0.11786892857142858</v>
      </c>
      <c r="V307" s="246">
        <f t="shared" si="134"/>
        <v>0.47147571428571433</v>
      </c>
      <c r="W307" s="246">
        <f t="shared" si="134"/>
        <v>0.11786892857142858</v>
      </c>
      <c r="X307" s="246">
        <f t="shared" si="134"/>
        <v>0</v>
      </c>
      <c r="Y307" s="246">
        <f t="shared" si="134"/>
        <v>0.23573785714285717</v>
      </c>
      <c r="Z307" s="246">
        <f t="shared" si="134"/>
        <v>1.6501650000000003</v>
      </c>
      <c r="AA307" s="246">
        <f t="shared" si="134"/>
        <v>0</v>
      </c>
      <c r="AB307" s="246">
        <f t="shared" si="134"/>
        <v>0</v>
      </c>
      <c r="AC307" s="246">
        <f t="shared" si="134"/>
        <v>0.14144271428571431</v>
      </c>
      <c r="AD307" s="246">
        <f t="shared" si="134"/>
        <v>0</v>
      </c>
      <c r="AE307" s="246">
        <f t="shared" si="134"/>
        <v>2.3573785714285718</v>
      </c>
      <c r="AF307" s="246">
        <v>0</v>
      </c>
      <c r="AG307" s="246">
        <f t="shared" si="133"/>
        <v>0.23573785714285717</v>
      </c>
      <c r="AH307" s="243"/>
      <c r="AI307" s="102">
        <v>0.11</v>
      </c>
      <c r="AJ307" s="100">
        <v>0</v>
      </c>
      <c r="AL307" s="100">
        <v>0</v>
      </c>
      <c r="AM307" s="237">
        <v>0.3</v>
      </c>
      <c r="AN307" s="241">
        <v>0.35</v>
      </c>
      <c r="AO307" s="241">
        <v>0.13</v>
      </c>
      <c r="AP307" s="247">
        <f>(AN307*365)*(AO307*0.67*0.01*1)</f>
        <v>0.11127025</v>
      </c>
      <c r="AQ307" s="247">
        <f>(AN307*365)*(AO307*0.67*0.001*1)</f>
        <v>1.1127025E-2</v>
      </c>
      <c r="AR307" s="248"/>
      <c r="AS307" s="247">
        <f>(AN307*365)*(AO307*0.67*0.02*1)</f>
        <v>0.2225405</v>
      </c>
      <c r="AT307" s="247">
        <f>(AN307*365)*(AO307*0.67*0.01*1)</f>
        <v>0.11127025</v>
      </c>
      <c r="AU307" s="247">
        <f>(AN307*365)*(AO307*0.67*0.25*1)</f>
        <v>2.7817562499999999</v>
      </c>
      <c r="AV307" s="247">
        <f>(AN307*365)*(AO307*0.67*0.73*1)</f>
        <v>8.1227282499999998</v>
      </c>
      <c r="AW307" s="247">
        <f>(AN307*365)*(AO307*0.67*0.03*1)</f>
        <v>0.33381074999999999</v>
      </c>
      <c r="AX307" s="248"/>
      <c r="AY307" s="247">
        <f>(AN307*365)*(AO307*0.67*0.25*1)</f>
        <v>2.7817562499999999</v>
      </c>
      <c r="AZ307" s="247">
        <f t="shared" si="120"/>
        <v>11.127025</v>
      </c>
      <c r="BA307" s="247">
        <f t="shared" si="121"/>
        <v>1.1127024999999999</v>
      </c>
      <c r="BB307" s="247">
        <f t="shared" si="122"/>
        <v>5.5635125000000001E-2</v>
      </c>
      <c r="BC307" s="247">
        <f>(AN307*365)*(AO307*0.67*0.005*1)</f>
        <v>5.5635125000000001E-2</v>
      </c>
      <c r="BD307" s="247">
        <v>0</v>
      </c>
      <c r="BE307" s="247">
        <v>0</v>
      </c>
      <c r="BH307" s="120"/>
      <c r="BI307" s="203" t="s">
        <v>146</v>
      </c>
      <c r="BJ307" s="190" t="s">
        <v>168</v>
      </c>
      <c r="BK307" s="196">
        <f t="shared" si="123"/>
        <v>0.11</v>
      </c>
      <c r="BL307" s="190" t="s">
        <v>413</v>
      </c>
      <c r="BM307" s="189">
        <v>0.2</v>
      </c>
      <c r="BN307" s="189">
        <v>0.5</v>
      </c>
      <c r="BO307" s="188" t="s">
        <v>258</v>
      </c>
      <c r="BP307" s="196">
        <f t="shared" si="124"/>
        <v>1.2445714285714284</v>
      </c>
      <c r="BQ307" s="190" t="s">
        <v>415</v>
      </c>
      <c r="BR307" s="189">
        <v>0.2</v>
      </c>
      <c r="BS307" s="189">
        <v>0.5</v>
      </c>
      <c r="BT307" s="188" t="s">
        <v>258</v>
      </c>
      <c r="BU307" s="180"/>
      <c r="BV307" s="196">
        <v>2.75</v>
      </c>
      <c r="BW307" s="190" t="s">
        <v>414</v>
      </c>
      <c r="BX307" s="180"/>
      <c r="BY307" s="196">
        <v>370.88228571428567</v>
      </c>
      <c r="BZ307" s="190" t="s">
        <v>414</v>
      </c>
      <c r="CA307" s="178"/>
      <c r="CB307" s="180"/>
      <c r="CC307" s="178"/>
      <c r="CD307" s="178"/>
      <c r="CE307" s="180"/>
      <c r="CF307" s="180"/>
      <c r="CG307" s="180"/>
      <c r="CH307" s="180"/>
      <c r="CI307" s="178"/>
      <c r="CJ307" s="178"/>
      <c r="CK307" s="180"/>
      <c r="CL307" s="180"/>
      <c r="CM307" s="180"/>
      <c r="CN307" s="116"/>
      <c r="CO307" s="218">
        <f t="shared" si="114"/>
        <v>0.2</v>
      </c>
      <c r="CP307" s="100">
        <f t="shared" si="115"/>
        <v>0.35</v>
      </c>
      <c r="CQ307" s="218">
        <f t="shared" si="116"/>
        <v>0.5</v>
      </c>
      <c r="CR307" s="101">
        <v>0.2</v>
      </c>
      <c r="CS307" s="101">
        <v>0.5</v>
      </c>
      <c r="DA307" s="23" t="s">
        <v>146</v>
      </c>
      <c r="DB307" s="23">
        <v>0.11</v>
      </c>
      <c r="DC307" s="142">
        <f t="shared" si="125"/>
        <v>2.31</v>
      </c>
      <c r="DD307" s="142">
        <f t="shared" si="126"/>
        <v>2.75</v>
      </c>
      <c r="DE307" s="23">
        <v>40</v>
      </c>
      <c r="DF307" s="23">
        <v>0.99</v>
      </c>
      <c r="DG307" s="142">
        <f t="shared" si="127"/>
        <v>39.6</v>
      </c>
      <c r="DH307" s="23">
        <v>0.02</v>
      </c>
      <c r="DI307" s="149">
        <f t="shared" si="128"/>
        <v>1.2445714285714284</v>
      </c>
      <c r="DJ307" s="149">
        <f t="shared" si="129"/>
        <v>385.81714285714281</v>
      </c>
      <c r="DK307" s="149">
        <f t="shared" si="130"/>
        <v>370.88228571428567</v>
      </c>
      <c r="DL307" s="150">
        <f t="shared" si="131"/>
        <v>388.12714285714281</v>
      </c>
      <c r="DM307" s="150">
        <f t="shared" si="131"/>
        <v>373.63228571428567</v>
      </c>
      <c r="DN307" s="116" t="s">
        <v>168</v>
      </c>
      <c r="DO307" s="101" t="s">
        <v>392</v>
      </c>
    </row>
    <row r="308" spans="15:119" s="101" customFormat="1" ht="33.75" hidden="1" thickBot="1" x14ac:dyDescent="0.4">
      <c r="O308" s="227" t="s">
        <v>147</v>
      </c>
      <c r="Q308" s="243">
        <v>1.37</v>
      </c>
      <c r="R308" s="243">
        <v>30</v>
      </c>
      <c r="S308" s="246">
        <f t="shared" si="134"/>
        <v>0</v>
      </c>
      <c r="T308" s="246">
        <f t="shared" si="134"/>
        <v>0</v>
      </c>
      <c r="U308" s="246">
        <f t="shared" si="134"/>
        <v>0.11786892857142858</v>
      </c>
      <c r="V308" s="246">
        <f t="shared" si="134"/>
        <v>0.47147571428571433</v>
      </c>
      <c r="W308" s="246">
        <f t="shared" si="134"/>
        <v>0.11786892857142858</v>
      </c>
      <c r="X308" s="246">
        <f t="shared" si="134"/>
        <v>0</v>
      </c>
      <c r="Y308" s="246">
        <f t="shared" si="134"/>
        <v>0.23573785714285717</v>
      </c>
      <c r="Z308" s="246">
        <f t="shared" si="134"/>
        <v>1.6501650000000003</v>
      </c>
      <c r="AA308" s="246">
        <f t="shared" si="134"/>
        <v>0</v>
      </c>
      <c r="AB308" s="246">
        <f t="shared" si="134"/>
        <v>0</v>
      </c>
      <c r="AC308" s="246">
        <f t="shared" si="134"/>
        <v>0.14144271428571431</v>
      </c>
      <c r="AD308" s="246">
        <f t="shared" si="134"/>
        <v>0</v>
      </c>
      <c r="AE308" s="246">
        <f t="shared" si="134"/>
        <v>2.3573785714285718</v>
      </c>
      <c r="AF308" s="246">
        <v>0</v>
      </c>
      <c r="AG308" s="246">
        <f t="shared" si="133"/>
        <v>0.23573785714285717</v>
      </c>
      <c r="AH308" s="243"/>
      <c r="AI308" s="102">
        <v>0.17</v>
      </c>
      <c r="AJ308" s="100">
        <v>0</v>
      </c>
      <c r="AL308" s="100">
        <v>0</v>
      </c>
      <c r="AM308" s="237">
        <v>0.3</v>
      </c>
      <c r="AN308" s="241">
        <v>0.35</v>
      </c>
      <c r="AO308" s="241">
        <v>0.13</v>
      </c>
      <c r="AP308" s="247">
        <f>(AN308*365)*(AO308*0.67*0.015*1)</f>
        <v>0.16690537499999999</v>
      </c>
      <c r="AQ308" s="247">
        <f>(AN308*365)*(AO308*0.67*0.005*1)</f>
        <v>5.5635125000000001E-2</v>
      </c>
      <c r="AR308" s="248"/>
      <c r="AS308" s="247">
        <f>(AN308*365)*(AO308*0.67*0.04*1)</f>
        <v>0.445081</v>
      </c>
      <c r="AT308" s="247">
        <f>(AN308*365)*(AO308*0.67*0.015*1)</f>
        <v>0.16690537499999999</v>
      </c>
      <c r="AU308" s="247">
        <f>(AN308*365)*(AO308*0.67*0.65*1)</f>
        <v>7.2325662499999996</v>
      </c>
      <c r="AV308" s="247">
        <f>(AN308*365)*(AO308*0.67*0.79*1)</f>
        <v>8.7903497500000007</v>
      </c>
      <c r="AW308" s="247">
        <f>(AN308*365)*(AO308*0.67*0.03*1)</f>
        <v>0.33381074999999999</v>
      </c>
      <c r="AX308" s="248"/>
      <c r="AY308" s="247">
        <f>(AN308*365)*(AO308*0.67*0.65*1)</f>
        <v>7.2325662499999996</v>
      </c>
      <c r="AZ308" s="247">
        <f t="shared" si="120"/>
        <v>11.127025</v>
      </c>
      <c r="BA308" s="247">
        <f t="shared" si="121"/>
        <v>1.1127024999999999</v>
      </c>
      <c r="BB308" s="247">
        <f t="shared" si="122"/>
        <v>5.5635125000000001E-2</v>
      </c>
      <c r="BC308" s="247">
        <f>(AN308*365)*(AO308*0.67*0.01*1)</f>
        <v>0.11127025</v>
      </c>
      <c r="BD308" s="247">
        <v>0</v>
      </c>
      <c r="BE308" s="247">
        <v>0</v>
      </c>
      <c r="BH308" s="120"/>
      <c r="BI308" s="203" t="s">
        <v>147</v>
      </c>
      <c r="BJ308" s="190" t="s">
        <v>168</v>
      </c>
      <c r="BK308" s="196">
        <f t="shared" si="123"/>
        <v>0.17</v>
      </c>
      <c r="BL308" s="190" t="s">
        <v>413</v>
      </c>
      <c r="BM308" s="189">
        <v>0.2</v>
      </c>
      <c r="BN308" s="189">
        <v>0.5</v>
      </c>
      <c r="BO308" s="188" t="s">
        <v>258</v>
      </c>
      <c r="BP308" s="196">
        <f t="shared" si="124"/>
        <v>1.2445714285714284</v>
      </c>
      <c r="BQ308" s="190" t="s">
        <v>415</v>
      </c>
      <c r="BR308" s="189">
        <v>0.2</v>
      </c>
      <c r="BS308" s="189">
        <v>0.5</v>
      </c>
      <c r="BT308" s="188" t="s">
        <v>258</v>
      </c>
      <c r="BU308" s="180"/>
      <c r="BV308" s="196">
        <v>4.25</v>
      </c>
      <c r="BW308" s="190" t="s">
        <v>414</v>
      </c>
      <c r="BX308" s="180"/>
      <c r="BY308" s="196">
        <v>370.88228571428567</v>
      </c>
      <c r="BZ308" s="190" t="s">
        <v>414</v>
      </c>
      <c r="CA308" s="178"/>
      <c r="CB308" s="180"/>
      <c r="CC308" s="178"/>
      <c r="CD308" s="178"/>
      <c r="CE308" s="180"/>
      <c r="CF308" s="180"/>
      <c r="CG308" s="180"/>
      <c r="CH308" s="180"/>
      <c r="CI308" s="178"/>
      <c r="CJ308" s="178"/>
      <c r="CK308" s="180"/>
      <c r="CL308" s="180"/>
      <c r="CM308" s="180"/>
      <c r="CN308" s="116"/>
      <c r="CO308" s="218">
        <f t="shared" si="114"/>
        <v>0.2</v>
      </c>
      <c r="CP308" s="100">
        <f t="shared" si="115"/>
        <v>0.35</v>
      </c>
      <c r="CQ308" s="218">
        <f t="shared" si="116"/>
        <v>0.5</v>
      </c>
      <c r="CR308" s="101">
        <v>0.2</v>
      </c>
      <c r="CS308" s="101">
        <v>0.5</v>
      </c>
      <c r="DA308" s="23" t="s">
        <v>147</v>
      </c>
      <c r="DB308" s="23">
        <v>0.17</v>
      </c>
      <c r="DC308" s="142">
        <f t="shared" si="125"/>
        <v>3.5700000000000003</v>
      </c>
      <c r="DD308" s="142">
        <f t="shared" si="126"/>
        <v>4.25</v>
      </c>
      <c r="DE308" s="23">
        <v>40</v>
      </c>
      <c r="DF308" s="23">
        <v>0.99</v>
      </c>
      <c r="DG308" s="142">
        <f t="shared" si="127"/>
        <v>39.6</v>
      </c>
      <c r="DH308" s="23">
        <v>0.02</v>
      </c>
      <c r="DI308" s="149">
        <f t="shared" si="128"/>
        <v>1.2445714285714284</v>
      </c>
      <c r="DJ308" s="149">
        <f t="shared" si="129"/>
        <v>385.81714285714281</v>
      </c>
      <c r="DK308" s="149">
        <f t="shared" si="130"/>
        <v>370.88228571428567</v>
      </c>
      <c r="DL308" s="150">
        <f t="shared" si="131"/>
        <v>389.38714285714281</v>
      </c>
      <c r="DM308" s="150">
        <f t="shared" si="131"/>
        <v>375.13228571428567</v>
      </c>
      <c r="DN308" s="116" t="s">
        <v>168</v>
      </c>
      <c r="DO308" s="101" t="s">
        <v>392</v>
      </c>
    </row>
    <row r="309" spans="15:119" s="101" customFormat="1" ht="22.5" hidden="1" customHeight="1" thickBot="1" x14ac:dyDescent="0.4">
      <c r="O309" s="227" t="s">
        <v>148</v>
      </c>
      <c r="Q309" s="243">
        <v>1.37</v>
      </c>
      <c r="R309" s="243">
        <v>30</v>
      </c>
      <c r="S309" s="246">
        <f t="shared" si="134"/>
        <v>0</v>
      </c>
      <c r="T309" s="246">
        <f t="shared" si="134"/>
        <v>0</v>
      </c>
      <c r="U309" s="246">
        <f t="shared" si="134"/>
        <v>0.11786892857142858</v>
      </c>
      <c r="V309" s="246">
        <f t="shared" si="134"/>
        <v>0.47147571428571433</v>
      </c>
      <c r="W309" s="246">
        <f t="shared" si="134"/>
        <v>0.11786892857142858</v>
      </c>
      <c r="X309" s="246">
        <f t="shared" si="134"/>
        <v>0</v>
      </c>
      <c r="Y309" s="246">
        <f t="shared" si="134"/>
        <v>0.23573785714285717</v>
      </c>
      <c r="Z309" s="246">
        <f t="shared" si="134"/>
        <v>1.6501650000000003</v>
      </c>
      <c r="AA309" s="246">
        <f t="shared" si="134"/>
        <v>0</v>
      </c>
      <c r="AB309" s="246">
        <f t="shared" si="134"/>
        <v>0</v>
      </c>
      <c r="AC309" s="246">
        <f t="shared" si="134"/>
        <v>0.14144271428571431</v>
      </c>
      <c r="AD309" s="246">
        <f t="shared" si="134"/>
        <v>0</v>
      </c>
      <c r="AE309" s="246">
        <f t="shared" si="134"/>
        <v>2.3573785714285718</v>
      </c>
      <c r="AF309" s="246">
        <v>0</v>
      </c>
      <c r="AG309" s="246">
        <f t="shared" si="133"/>
        <v>0.23573785714285717</v>
      </c>
      <c r="AH309" s="243"/>
      <c r="AI309" s="102">
        <v>0.22</v>
      </c>
      <c r="AJ309" s="100">
        <v>0</v>
      </c>
      <c r="AL309" s="100">
        <v>0</v>
      </c>
      <c r="AM309" s="237">
        <v>0.3</v>
      </c>
      <c r="AN309" s="241">
        <v>0.35</v>
      </c>
      <c r="AO309" s="241">
        <v>0.13</v>
      </c>
      <c r="AP309" s="247">
        <f>(AN309*365)*(AO309*0.67*0.02*1)</f>
        <v>0.2225405</v>
      </c>
      <c r="AQ309" s="247">
        <f>(AN309*365)*(AO309*0.67*0.01*1)</f>
        <v>0.11127025</v>
      </c>
      <c r="AR309" s="248"/>
      <c r="AS309" s="247">
        <f>(AN309*365)*(AO309*0.67*0.05*1)</f>
        <v>0.55635124999999996</v>
      </c>
      <c r="AT309" s="247">
        <f>(AN309*365)*(AO309*0.67*0.02*1)</f>
        <v>0.2225405</v>
      </c>
      <c r="AU309" s="247">
        <f>(AN309*365)*(AO309*0.67*0.8*1)</f>
        <v>8.9016199999999994</v>
      </c>
      <c r="AV309" s="247">
        <f>(AN309*365)*(AO309*0.67*0.8*1)</f>
        <v>8.9016199999999994</v>
      </c>
      <c r="AW309" s="247">
        <f>(AN309*365)*(AO309*0.67*0.3*1)</f>
        <v>3.3381075</v>
      </c>
      <c r="AX309" s="248"/>
      <c r="AY309" s="247">
        <f>(AN309*365)*(AO309*0.67*0.8*1)</f>
        <v>8.9016199999999994</v>
      </c>
      <c r="AZ309" s="247">
        <f t="shared" si="120"/>
        <v>11.127025</v>
      </c>
      <c r="BA309" s="247">
        <f t="shared" si="121"/>
        <v>1.1127024999999999</v>
      </c>
      <c r="BB309" s="247">
        <f t="shared" si="122"/>
        <v>5.5635125000000001E-2</v>
      </c>
      <c r="BC309" s="247">
        <f>(AN309*365)*(AO309*0.67*0.015*1)</f>
        <v>0.16690537499999999</v>
      </c>
      <c r="BD309" s="247">
        <v>0</v>
      </c>
      <c r="BE309" s="247">
        <v>0</v>
      </c>
      <c r="BH309" s="120"/>
      <c r="BI309" s="203" t="s">
        <v>148</v>
      </c>
      <c r="BJ309" s="190" t="s">
        <v>168</v>
      </c>
      <c r="BK309" s="196">
        <f t="shared" si="123"/>
        <v>0.22</v>
      </c>
      <c r="BL309" s="190" t="s">
        <v>413</v>
      </c>
      <c r="BM309" s="189">
        <v>0.2</v>
      </c>
      <c r="BN309" s="189">
        <v>0.5</v>
      </c>
      <c r="BO309" s="188" t="s">
        <v>258</v>
      </c>
      <c r="BP309" s="196">
        <f t="shared" si="124"/>
        <v>1.2445714285714284</v>
      </c>
      <c r="BQ309" s="190" t="s">
        <v>415</v>
      </c>
      <c r="BR309" s="189">
        <v>0.2</v>
      </c>
      <c r="BS309" s="189">
        <v>0.5</v>
      </c>
      <c r="BT309" s="188" t="s">
        <v>258</v>
      </c>
      <c r="BU309" s="204"/>
      <c r="BV309" s="196">
        <v>5.5</v>
      </c>
      <c r="BW309" s="190" t="s">
        <v>414</v>
      </c>
      <c r="BX309" s="204"/>
      <c r="BY309" s="196">
        <v>370.88228571428567</v>
      </c>
      <c r="BZ309" s="190" t="s">
        <v>414</v>
      </c>
      <c r="CA309" s="205"/>
      <c r="CB309" s="180"/>
      <c r="CC309" s="178"/>
      <c r="CD309" s="178"/>
      <c r="CE309" s="180"/>
      <c r="CF309" s="180"/>
      <c r="CG309" s="180"/>
      <c r="CH309" s="180"/>
      <c r="CI309" s="178"/>
      <c r="CJ309" s="178"/>
      <c r="CK309" s="180"/>
      <c r="CL309" s="180"/>
      <c r="CM309" s="180"/>
      <c r="CN309" s="116"/>
      <c r="CO309" s="218">
        <f t="shared" si="114"/>
        <v>0.2</v>
      </c>
      <c r="CP309" s="100">
        <f t="shared" si="115"/>
        <v>0.35</v>
      </c>
      <c r="CQ309" s="218">
        <f t="shared" si="116"/>
        <v>0.5</v>
      </c>
      <c r="CR309" s="101">
        <v>0.2</v>
      </c>
      <c r="CS309" s="101">
        <v>0.5</v>
      </c>
      <c r="DA309" s="23" t="s">
        <v>148</v>
      </c>
      <c r="DB309" s="23">
        <v>0.22</v>
      </c>
      <c r="DC309" s="142">
        <f t="shared" si="125"/>
        <v>4.62</v>
      </c>
      <c r="DD309" s="142">
        <f t="shared" si="126"/>
        <v>5.5</v>
      </c>
      <c r="DE309" s="23">
        <v>40</v>
      </c>
      <c r="DF309" s="23">
        <v>0.99</v>
      </c>
      <c r="DG309" s="142">
        <f t="shared" si="127"/>
        <v>39.6</v>
      </c>
      <c r="DH309" s="23">
        <v>0.02</v>
      </c>
      <c r="DI309" s="149">
        <f t="shared" si="128"/>
        <v>1.2445714285714284</v>
      </c>
      <c r="DJ309" s="149">
        <f t="shared" si="129"/>
        <v>385.81714285714281</v>
      </c>
      <c r="DK309" s="149">
        <f t="shared" si="130"/>
        <v>370.88228571428567</v>
      </c>
      <c r="DL309" s="150">
        <f t="shared" si="131"/>
        <v>390.43714285714282</v>
      </c>
      <c r="DM309" s="150">
        <f t="shared" si="131"/>
        <v>376.38228571428567</v>
      </c>
      <c r="DN309" s="116" t="s">
        <v>168</v>
      </c>
      <c r="DO309" s="101" t="s">
        <v>392</v>
      </c>
    </row>
    <row r="310" spans="15:119" s="101" customFormat="1" ht="24.75" hidden="1" customHeight="1" thickBot="1" x14ac:dyDescent="0.4">
      <c r="O310" s="227" t="s">
        <v>149</v>
      </c>
      <c r="Q310" s="243">
        <v>1.37</v>
      </c>
      <c r="R310" s="243">
        <v>30</v>
      </c>
      <c r="S310" s="246">
        <f t="shared" si="134"/>
        <v>0</v>
      </c>
      <c r="T310" s="246">
        <f t="shared" si="134"/>
        <v>0</v>
      </c>
      <c r="U310" s="246">
        <f t="shared" si="134"/>
        <v>0.11786892857142858</v>
      </c>
      <c r="V310" s="246">
        <f t="shared" si="134"/>
        <v>0.47147571428571433</v>
      </c>
      <c r="W310" s="246">
        <f t="shared" si="134"/>
        <v>0.11786892857142858</v>
      </c>
      <c r="X310" s="246">
        <f t="shared" si="134"/>
        <v>0</v>
      </c>
      <c r="Y310" s="246">
        <f t="shared" si="134"/>
        <v>0.23573785714285717</v>
      </c>
      <c r="Z310" s="246">
        <f t="shared" si="134"/>
        <v>1.6501650000000003</v>
      </c>
      <c r="AA310" s="246">
        <f t="shared" si="134"/>
        <v>0</v>
      </c>
      <c r="AB310" s="246">
        <f t="shared" si="134"/>
        <v>0</v>
      </c>
      <c r="AC310" s="246">
        <f t="shared" si="134"/>
        <v>0.14144271428571431</v>
      </c>
      <c r="AD310" s="246">
        <f t="shared" si="134"/>
        <v>0</v>
      </c>
      <c r="AE310" s="246">
        <f t="shared" si="134"/>
        <v>2.3573785714285718</v>
      </c>
      <c r="AF310" s="246">
        <v>0</v>
      </c>
      <c r="AG310" s="246">
        <f t="shared" si="134"/>
        <v>0.23573785714285717</v>
      </c>
      <c r="AH310" s="243"/>
      <c r="AI310" s="102">
        <v>1.0900000000000001</v>
      </c>
      <c r="AJ310" s="100">
        <v>0</v>
      </c>
      <c r="AL310" s="100">
        <v>0</v>
      </c>
      <c r="AM310" s="237">
        <v>0.3</v>
      </c>
      <c r="AN310" s="241">
        <v>1.72</v>
      </c>
      <c r="AO310" s="241">
        <v>0.26</v>
      </c>
      <c r="AP310" s="247">
        <f>(AN310*365)*(AO310*0.67*0.01*1)</f>
        <v>1.0936276</v>
      </c>
      <c r="AQ310" s="247">
        <f>(AN310*365)*(AO310*0.67*0.001*1)</f>
        <v>0.10936276000000002</v>
      </c>
      <c r="AR310" s="248"/>
      <c r="AS310" s="247">
        <f>(AN310*365)*(AO310*0.67*0.02*1)</f>
        <v>2.1872552000000001</v>
      </c>
      <c r="AT310" s="247">
        <f>(AN310*365)*(AO310*0.67*0.01*1)</f>
        <v>1.0936276</v>
      </c>
      <c r="AU310" s="247">
        <f>(AN310*365)*(AO310*0.67*0.25*1)</f>
        <v>27.340690000000002</v>
      </c>
      <c r="AV310" s="247">
        <f>(AN310*365)*(AO310*0.67*0.73*1)</f>
        <v>79.83481479999999</v>
      </c>
      <c r="AW310" s="247">
        <f>(AN310*365)*(AO310*0.67*0.03*1)</f>
        <v>3.2808828000000001</v>
      </c>
      <c r="AX310" s="248"/>
      <c r="AY310" s="247">
        <f>(AN310*365)*(AO310*0.67*0.25*1)</f>
        <v>27.340690000000002</v>
      </c>
      <c r="AZ310" s="247">
        <f t="shared" si="120"/>
        <v>109.36276000000001</v>
      </c>
      <c r="BA310" s="247">
        <f t="shared" si="121"/>
        <v>10.936275999999999</v>
      </c>
      <c r="BB310" s="247">
        <f t="shared" si="122"/>
        <v>0.54681380000000002</v>
      </c>
      <c r="BC310" s="247">
        <f>(AN310*365)*(AO310*0.67*0.005*1)</f>
        <v>0.54681380000000002</v>
      </c>
      <c r="BD310" s="247">
        <v>0</v>
      </c>
      <c r="BE310" s="247">
        <v>0</v>
      </c>
      <c r="BH310" s="120"/>
      <c r="BI310" s="203" t="s">
        <v>149</v>
      </c>
      <c r="BJ310" s="190" t="s">
        <v>168</v>
      </c>
      <c r="BK310" s="196">
        <f t="shared" si="123"/>
        <v>1.0900000000000001</v>
      </c>
      <c r="BL310" s="190" t="s">
        <v>413</v>
      </c>
      <c r="BM310" s="189">
        <v>0.2</v>
      </c>
      <c r="BN310" s="189">
        <v>0.5</v>
      </c>
      <c r="BO310" s="188" t="s">
        <v>258</v>
      </c>
      <c r="BP310" s="196">
        <f t="shared" si="124"/>
        <v>1.2445714285714284</v>
      </c>
      <c r="BQ310" s="190" t="s">
        <v>415</v>
      </c>
      <c r="BR310" s="189">
        <v>0.2</v>
      </c>
      <c r="BS310" s="189">
        <v>0.5</v>
      </c>
      <c r="BT310" s="188" t="s">
        <v>258</v>
      </c>
      <c r="BU310" s="204"/>
      <c r="BV310" s="196">
        <v>27.250000000000004</v>
      </c>
      <c r="BW310" s="190" t="s">
        <v>414</v>
      </c>
      <c r="BX310" s="204"/>
      <c r="BY310" s="196">
        <v>370.88228571428567</v>
      </c>
      <c r="BZ310" s="190" t="s">
        <v>414</v>
      </c>
      <c r="CA310" s="205"/>
      <c r="CB310" s="180"/>
      <c r="CC310" s="178"/>
      <c r="CD310" s="178"/>
      <c r="CE310" s="180"/>
      <c r="CF310" s="180"/>
      <c r="CG310" s="180"/>
      <c r="CH310" s="180"/>
      <c r="CI310" s="178"/>
      <c r="CJ310" s="178"/>
      <c r="CK310" s="180"/>
      <c r="CL310" s="180"/>
      <c r="CM310" s="180"/>
      <c r="CN310" s="116"/>
      <c r="CO310" s="218">
        <f t="shared" si="114"/>
        <v>0.2</v>
      </c>
      <c r="CP310" s="100">
        <f t="shared" si="115"/>
        <v>0.35</v>
      </c>
      <c r="CQ310" s="218">
        <f t="shared" si="116"/>
        <v>0.5</v>
      </c>
      <c r="CR310" s="101">
        <v>0.2</v>
      </c>
      <c r="CS310" s="101">
        <v>0.5</v>
      </c>
      <c r="DA310" s="23" t="s">
        <v>149</v>
      </c>
      <c r="DB310" s="23">
        <v>1.0900000000000001</v>
      </c>
      <c r="DC310" s="142">
        <f t="shared" si="125"/>
        <v>22.89</v>
      </c>
      <c r="DD310" s="142">
        <f t="shared" si="126"/>
        <v>27.250000000000004</v>
      </c>
      <c r="DE310" s="23">
        <v>40</v>
      </c>
      <c r="DF310" s="23">
        <v>0.99</v>
      </c>
      <c r="DG310" s="142">
        <f t="shared" si="127"/>
        <v>39.6</v>
      </c>
      <c r="DH310" s="23">
        <v>0.02</v>
      </c>
      <c r="DI310" s="149">
        <f t="shared" si="128"/>
        <v>1.2445714285714284</v>
      </c>
      <c r="DJ310" s="149">
        <f t="shared" si="129"/>
        <v>385.81714285714281</v>
      </c>
      <c r="DK310" s="149">
        <f t="shared" si="130"/>
        <v>370.88228571428567</v>
      </c>
      <c r="DL310" s="150">
        <f t="shared" si="131"/>
        <v>408.7071428571428</v>
      </c>
      <c r="DM310" s="150">
        <f t="shared" si="131"/>
        <v>398.13228571428567</v>
      </c>
      <c r="DN310" s="116" t="s">
        <v>168</v>
      </c>
      <c r="DO310" s="101" t="s">
        <v>392</v>
      </c>
    </row>
    <row r="311" spans="15:119" s="101" customFormat="1" ht="33.75" hidden="1" thickBot="1" x14ac:dyDescent="0.4">
      <c r="O311" s="227" t="s">
        <v>150</v>
      </c>
      <c r="Q311" s="243">
        <v>1.37</v>
      </c>
      <c r="R311" s="243">
        <v>30</v>
      </c>
      <c r="S311" s="246">
        <f t="shared" si="134"/>
        <v>0</v>
      </c>
      <c r="T311" s="246">
        <f t="shared" si="134"/>
        <v>0</v>
      </c>
      <c r="U311" s="246">
        <f t="shared" si="134"/>
        <v>0.11786892857142858</v>
      </c>
      <c r="V311" s="246">
        <f t="shared" si="134"/>
        <v>0.47147571428571433</v>
      </c>
      <c r="W311" s="246">
        <f t="shared" si="134"/>
        <v>0.11786892857142858</v>
      </c>
      <c r="X311" s="246">
        <f t="shared" si="134"/>
        <v>0</v>
      </c>
      <c r="Y311" s="246">
        <f t="shared" si="134"/>
        <v>0.23573785714285717</v>
      </c>
      <c r="Z311" s="246">
        <f t="shared" si="134"/>
        <v>1.6501650000000003</v>
      </c>
      <c r="AA311" s="246">
        <f t="shared" si="134"/>
        <v>0</v>
      </c>
      <c r="AB311" s="246">
        <f t="shared" si="134"/>
        <v>0</v>
      </c>
      <c r="AC311" s="246">
        <f t="shared" si="134"/>
        <v>0.14144271428571431</v>
      </c>
      <c r="AD311" s="246">
        <f t="shared" si="134"/>
        <v>0</v>
      </c>
      <c r="AE311" s="246">
        <f t="shared" si="134"/>
        <v>2.3573785714285718</v>
      </c>
      <c r="AF311" s="246">
        <v>0</v>
      </c>
      <c r="AG311" s="246">
        <f t="shared" si="134"/>
        <v>0.23573785714285717</v>
      </c>
      <c r="AH311" s="243"/>
      <c r="AI311" s="102">
        <v>1.64</v>
      </c>
      <c r="AJ311" s="100">
        <v>0</v>
      </c>
      <c r="AL311" s="100">
        <v>0</v>
      </c>
      <c r="AM311" s="237">
        <v>0.3</v>
      </c>
      <c r="AN311" s="241">
        <v>1.72</v>
      </c>
      <c r="AO311" s="241">
        <v>0.26</v>
      </c>
      <c r="AP311" s="247">
        <f>(AN311*365)*(AO311*0.67*0.015*1)</f>
        <v>1.6404414</v>
      </c>
      <c r="AQ311" s="247">
        <f>(AN311*365)*(AO311*0.67*0.005*1)</f>
        <v>0.54681380000000002</v>
      </c>
      <c r="AR311" s="248"/>
      <c r="AS311" s="247">
        <f>(AN311*365)*(AO311*0.67*0.04*1)</f>
        <v>4.3745104000000001</v>
      </c>
      <c r="AT311" s="247">
        <f>(AN311*365)*(AO311*0.67*0.015*1)</f>
        <v>1.6404414</v>
      </c>
      <c r="AU311" s="247">
        <f>(AN311*365)*(AO311*0.67*0.65*1)</f>
        <v>71.085794000000007</v>
      </c>
      <c r="AV311" s="247">
        <f>(AN311*365)*(AO311*0.67*0.79*1)</f>
        <v>86.396580400000005</v>
      </c>
      <c r="AW311" s="247">
        <f>(AN311*365)*(AO311*0.67*0.03*1)</f>
        <v>3.2808828000000001</v>
      </c>
      <c r="AX311" s="248"/>
      <c r="AY311" s="247">
        <f>(AN311*365)*(AO311*0.67*0.65*1)</f>
        <v>71.085794000000007</v>
      </c>
      <c r="AZ311" s="247">
        <f t="shared" si="120"/>
        <v>109.36276000000001</v>
      </c>
      <c r="BA311" s="247">
        <f t="shared" si="121"/>
        <v>10.936275999999999</v>
      </c>
      <c r="BB311" s="247">
        <f t="shared" si="122"/>
        <v>0.54681380000000002</v>
      </c>
      <c r="BC311" s="247">
        <f>(AN311*365)*(AO311*0.67*0.01*1)</f>
        <v>1.0936276</v>
      </c>
      <c r="BD311" s="247">
        <v>0</v>
      </c>
      <c r="BE311" s="247">
        <v>0</v>
      </c>
      <c r="BH311" s="120"/>
      <c r="BI311" s="203" t="s">
        <v>150</v>
      </c>
      <c r="BJ311" s="190" t="s">
        <v>168</v>
      </c>
      <c r="BK311" s="196">
        <f t="shared" si="123"/>
        <v>1.64</v>
      </c>
      <c r="BL311" s="190" t="s">
        <v>413</v>
      </c>
      <c r="BM311" s="189">
        <v>0.2</v>
      </c>
      <c r="BN311" s="189">
        <v>0.5</v>
      </c>
      <c r="BO311" s="188" t="s">
        <v>258</v>
      </c>
      <c r="BP311" s="196">
        <f t="shared" si="124"/>
        <v>1.2445714285714284</v>
      </c>
      <c r="BQ311" s="190" t="s">
        <v>415</v>
      </c>
      <c r="BR311" s="189">
        <v>0.2</v>
      </c>
      <c r="BS311" s="189">
        <v>0.5</v>
      </c>
      <c r="BT311" s="188" t="s">
        <v>258</v>
      </c>
      <c r="BU311" s="204"/>
      <c r="BV311" s="196">
        <v>41</v>
      </c>
      <c r="BW311" s="190" t="s">
        <v>414</v>
      </c>
      <c r="BX311" s="204"/>
      <c r="BY311" s="196">
        <v>370.88228571428567</v>
      </c>
      <c r="BZ311" s="190" t="s">
        <v>414</v>
      </c>
      <c r="CA311" s="205"/>
      <c r="CB311" s="180"/>
      <c r="CC311" s="178"/>
      <c r="CD311" s="178"/>
      <c r="CE311" s="180"/>
      <c r="CF311" s="180"/>
      <c r="CG311" s="180"/>
      <c r="CH311" s="180"/>
      <c r="CI311" s="178"/>
      <c r="CJ311" s="178"/>
      <c r="CK311" s="180"/>
      <c r="CL311" s="180"/>
      <c r="CM311" s="180"/>
      <c r="CN311" s="116"/>
      <c r="CO311" s="218">
        <f t="shared" si="114"/>
        <v>0.2</v>
      </c>
      <c r="CP311" s="100">
        <f t="shared" si="115"/>
        <v>0.35</v>
      </c>
      <c r="CQ311" s="218">
        <f t="shared" si="116"/>
        <v>0.5</v>
      </c>
      <c r="CR311" s="101">
        <v>0.2</v>
      </c>
      <c r="CS311" s="101">
        <v>0.5</v>
      </c>
      <c r="DA311" s="23" t="s">
        <v>150</v>
      </c>
      <c r="DB311" s="23">
        <v>1.64</v>
      </c>
      <c r="DC311" s="142">
        <f t="shared" si="125"/>
        <v>34.44</v>
      </c>
      <c r="DD311" s="142">
        <f t="shared" si="126"/>
        <v>41</v>
      </c>
      <c r="DE311" s="23">
        <v>40</v>
      </c>
      <c r="DF311" s="23">
        <v>0.99</v>
      </c>
      <c r="DG311" s="142">
        <f t="shared" si="127"/>
        <v>39.6</v>
      </c>
      <c r="DH311" s="23">
        <v>0.02</v>
      </c>
      <c r="DI311" s="149">
        <f t="shared" si="128"/>
        <v>1.2445714285714284</v>
      </c>
      <c r="DJ311" s="149">
        <f t="shared" si="129"/>
        <v>385.81714285714281</v>
      </c>
      <c r="DK311" s="149">
        <f t="shared" si="130"/>
        <v>370.88228571428567</v>
      </c>
      <c r="DL311" s="150">
        <f t="shared" si="131"/>
        <v>420.25714285714281</v>
      </c>
      <c r="DM311" s="150">
        <f t="shared" si="131"/>
        <v>411.88228571428567</v>
      </c>
      <c r="DN311" s="116" t="s">
        <v>168</v>
      </c>
      <c r="DO311" s="101" t="s">
        <v>392</v>
      </c>
    </row>
    <row r="312" spans="15:119" s="101" customFormat="1" ht="33.75" hidden="1" thickBot="1" x14ac:dyDescent="0.4">
      <c r="O312" s="227" t="s">
        <v>151</v>
      </c>
      <c r="Q312" s="243">
        <v>1.37</v>
      </c>
      <c r="R312" s="243">
        <v>30</v>
      </c>
      <c r="S312" s="246">
        <f t="shared" si="134"/>
        <v>0</v>
      </c>
      <c r="T312" s="246">
        <f t="shared" si="134"/>
        <v>0</v>
      </c>
      <c r="U312" s="246">
        <f t="shared" si="134"/>
        <v>0.11786892857142858</v>
      </c>
      <c r="V312" s="246">
        <f t="shared" si="134"/>
        <v>0.47147571428571433</v>
      </c>
      <c r="W312" s="246">
        <f t="shared" si="134"/>
        <v>0.11786892857142858</v>
      </c>
      <c r="X312" s="246">
        <f t="shared" si="134"/>
        <v>0</v>
      </c>
      <c r="Y312" s="246">
        <f t="shared" si="134"/>
        <v>0.23573785714285717</v>
      </c>
      <c r="Z312" s="246">
        <f t="shared" si="134"/>
        <v>1.6501650000000003</v>
      </c>
      <c r="AA312" s="246">
        <f t="shared" si="134"/>
        <v>0</v>
      </c>
      <c r="AB312" s="246">
        <f t="shared" si="134"/>
        <v>0</v>
      </c>
      <c r="AC312" s="246">
        <f t="shared" si="134"/>
        <v>0.14144271428571431</v>
      </c>
      <c r="AD312" s="246">
        <f t="shared" si="134"/>
        <v>0</v>
      </c>
      <c r="AE312" s="246">
        <f t="shared" si="134"/>
        <v>2.3573785714285718</v>
      </c>
      <c r="AF312" s="246">
        <v>0</v>
      </c>
      <c r="AG312" s="246">
        <f t="shared" si="134"/>
        <v>0.23573785714285717</v>
      </c>
      <c r="AH312" s="243"/>
      <c r="AI312" s="102">
        <v>2.19</v>
      </c>
      <c r="AJ312" s="100">
        <v>0</v>
      </c>
      <c r="AL312" s="100">
        <v>0</v>
      </c>
      <c r="AM312" s="237">
        <v>0.3</v>
      </c>
      <c r="AN312" s="241">
        <v>1.72</v>
      </c>
      <c r="AO312" s="241">
        <v>0.26</v>
      </c>
      <c r="AP312" s="247">
        <f>(AN312*365)*(AO312*0.67*0.02*1)</f>
        <v>2.1872552000000001</v>
      </c>
      <c r="AQ312" s="247">
        <f>(AN312*365)*(AO312*0.67*0.01*1)</f>
        <v>1.0936276</v>
      </c>
      <c r="AR312" s="248"/>
      <c r="AS312" s="247">
        <f>(AN312*365)*(AO312*0.67*0.05*1)</f>
        <v>5.4681379999999997</v>
      </c>
      <c r="AT312" s="247">
        <f>(AN312*365)*(AO312*0.67*0.02*1)</f>
        <v>2.1872552000000001</v>
      </c>
      <c r="AU312" s="247">
        <f>(AN312*365)*(AO312*0.67*0.8*1)</f>
        <v>87.490207999999996</v>
      </c>
      <c r="AV312" s="247">
        <f>(AN312*365)*(AO312*0.67*0.8*1)</f>
        <v>87.490207999999996</v>
      </c>
      <c r="AW312" s="247">
        <f>(AN312*365)*(AO312*0.67*0.3*1)</f>
        <v>32.808828000000005</v>
      </c>
      <c r="AX312" s="248"/>
      <c r="AY312" s="247">
        <f>(AN312*365)*(AO312*0.67*0.8*1)</f>
        <v>87.490207999999996</v>
      </c>
      <c r="AZ312" s="247">
        <f t="shared" si="120"/>
        <v>109.36276000000001</v>
      </c>
      <c r="BA312" s="247">
        <f t="shared" si="121"/>
        <v>10.936275999999999</v>
      </c>
      <c r="BB312" s="247">
        <f t="shared" si="122"/>
        <v>0.54681380000000002</v>
      </c>
      <c r="BC312" s="247">
        <f>(AN312*365)*(AO312*0.67*0.015*1)</f>
        <v>1.6404414</v>
      </c>
      <c r="BD312" s="247">
        <v>0</v>
      </c>
      <c r="BE312" s="247">
        <v>0</v>
      </c>
      <c r="BH312" s="120"/>
      <c r="BI312" s="203" t="s">
        <v>151</v>
      </c>
      <c r="BJ312" s="190" t="s">
        <v>168</v>
      </c>
      <c r="BK312" s="196">
        <f t="shared" si="123"/>
        <v>2.1800000000000002</v>
      </c>
      <c r="BL312" s="190" t="s">
        <v>413</v>
      </c>
      <c r="BM312" s="189">
        <v>0.2</v>
      </c>
      <c r="BN312" s="189">
        <v>0.5</v>
      </c>
      <c r="BO312" s="188" t="s">
        <v>258</v>
      </c>
      <c r="BP312" s="196">
        <f t="shared" si="124"/>
        <v>1.2445714285714284</v>
      </c>
      <c r="BQ312" s="190" t="s">
        <v>415</v>
      </c>
      <c r="BR312" s="189">
        <v>0.2</v>
      </c>
      <c r="BS312" s="189">
        <v>0.5</v>
      </c>
      <c r="BT312" s="188" t="s">
        <v>258</v>
      </c>
      <c r="BU312" s="206"/>
      <c r="BV312" s="196">
        <v>54.500000000000007</v>
      </c>
      <c r="BW312" s="190" t="s">
        <v>414</v>
      </c>
      <c r="BX312" s="206"/>
      <c r="BY312" s="196">
        <v>370.88228571428567</v>
      </c>
      <c r="BZ312" s="190" t="s">
        <v>414</v>
      </c>
      <c r="CA312" s="207"/>
      <c r="CB312" s="180"/>
      <c r="CC312" s="178"/>
      <c r="CD312" s="178"/>
      <c r="CE312" s="180"/>
      <c r="CF312" s="180"/>
      <c r="CG312" s="180"/>
      <c r="CH312" s="180"/>
      <c r="CI312" s="178"/>
      <c r="CJ312" s="178"/>
      <c r="CK312" s="180"/>
      <c r="CL312" s="180"/>
      <c r="CM312" s="180"/>
      <c r="CN312" s="116"/>
      <c r="CO312" s="218">
        <f t="shared" si="114"/>
        <v>0.2</v>
      </c>
      <c r="CP312" s="100">
        <f t="shared" si="115"/>
        <v>0.35</v>
      </c>
      <c r="CQ312" s="218">
        <f t="shared" si="116"/>
        <v>0.5</v>
      </c>
      <c r="CR312" s="101">
        <v>0.2</v>
      </c>
      <c r="CS312" s="101">
        <v>0.5</v>
      </c>
      <c r="DA312" s="23" t="s">
        <v>151</v>
      </c>
      <c r="DB312" s="23">
        <v>2.1800000000000002</v>
      </c>
      <c r="DC312" s="142">
        <f t="shared" si="125"/>
        <v>45.78</v>
      </c>
      <c r="DD312" s="142">
        <f t="shared" si="126"/>
        <v>54.500000000000007</v>
      </c>
      <c r="DE312" s="23">
        <v>40</v>
      </c>
      <c r="DF312" s="23">
        <v>0.99</v>
      </c>
      <c r="DG312" s="142">
        <f t="shared" si="127"/>
        <v>39.6</v>
      </c>
      <c r="DH312" s="23">
        <v>0.02</v>
      </c>
      <c r="DI312" s="149">
        <f t="shared" si="128"/>
        <v>1.2445714285714284</v>
      </c>
      <c r="DJ312" s="149">
        <f t="shared" si="129"/>
        <v>385.81714285714281</v>
      </c>
      <c r="DK312" s="149">
        <f t="shared" si="130"/>
        <v>370.88228571428567</v>
      </c>
      <c r="DL312" s="150">
        <f t="shared" si="131"/>
        <v>431.59714285714279</v>
      </c>
      <c r="DM312" s="150">
        <f t="shared" si="131"/>
        <v>425.38228571428567</v>
      </c>
      <c r="DN312" s="116" t="s">
        <v>168</v>
      </c>
      <c r="DO312" s="101" t="s">
        <v>392</v>
      </c>
    </row>
    <row r="313" spans="15:119" s="101" customFormat="1" ht="33.75" hidden="1" thickBot="1" x14ac:dyDescent="0.4">
      <c r="O313" s="227" t="s">
        <v>152</v>
      </c>
      <c r="Q313" s="243">
        <v>1.37</v>
      </c>
      <c r="R313" s="243">
        <v>30</v>
      </c>
      <c r="S313" s="246">
        <f t="shared" si="134"/>
        <v>0</v>
      </c>
      <c r="T313" s="246">
        <f t="shared" si="134"/>
        <v>0</v>
      </c>
      <c r="U313" s="246">
        <f t="shared" si="134"/>
        <v>0.11786892857142858</v>
      </c>
      <c r="V313" s="246">
        <f t="shared" si="134"/>
        <v>0.47147571428571433</v>
      </c>
      <c r="W313" s="246">
        <f t="shared" si="134"/>
        <v>0.11786892857142858</v>
      </c>
      <c r="X313" s="246">
        <f t="shared" si="134"/>
        <v>0</v>
      </c>
      <c r="Y313" s="246">
        <f t="shared" si="134"/>
        <v>0.23573785714285717</v>
      </c>
      <c r="Z313" s="246">
        <f t="shared" si="134"/>
        <v>1.6501650000000003</v>
      </c>
      <c r="AA313" s="246">
        <f t="shared" si="134"/>
        <v>0</v>
      </c>
      <c r="AB313" s="246">
        <f t="shared" si="134"/>
        <v>0</v>
      </c>
      <c r="AC313" s="246">
        <f t="shared" si="134"/>
        <v>0.14144271428571431</v>
      </c>
      <c r="AD313" s="246">
        <f t="shared" si="134"/>
        <v>0</v>
      </c>
      <c r="AE313" s="246">
        <f t="shared" si="134"/>
        <v>2.3573785714285718</v>
      </c>
      <c r="AF313" s="246">
        <v>0</v>
      </c>
      <c r="AG313" s="246">
        <f t="shared" si="134"/>
        <v>0.23573785714285717</v>
      </c>
      <c r="AH313" s="243"/>
      <c r="AI313" s="102">
        <v>0.6</v>
      </c>
      <c r="AJ313" s="100">
        <v>0</v>
      </c>
      <c r="AL313" s="100">
        <v>0</v>
      </c>
      <c r="AM313" s="237">
        <v>0.3</v>
      </c>
      <c r="AN313" s="241">
        <v>0.94</v>
      </c>
      <c r="AO313" s="241">
        <v>0.26</v>
      </c>
      <c r="AP313" s="247">
        <f>(AN313*365)*(AO313*0.67*0.01*1)</f>
        <v>0.59768019999999999</v>
      </c>
      <c r="AQ313" s="247">
        <f>(AN313*365)*(AO313*0.67*0.001*1)</f>
        <v>5.9768020000000005E-2</v>
      </c>
      <c r="AR313" s="248"/>
      <c r="AS313" s="247">
        <f>(AN313*365)*(AO313*0.67*0.02*1)</f>
        <v>1.1953604</v>
      </c>
      <c r="AT313" s="247">
        <f>(AN313*365)*(AO313*0.67*0.01*1)</f>
        <v>0.59768019999999999</v>
      </c>
      <c r="AU313" s="247">
        <f>(AN313*365)*(AO313*0.67*0.25*1)</f>
        <v>14.942005</v>
      </c>
      <c r="AV313" s="247">
        <f>(AN313*365)*(AO313*0.67*0.73*1)</f>
        <v>43.630654599999993</v>
      </c>
      <c r="AW313" s="247">
        <f>(AN313*365)*(AO313*0.67*0.03*1)</f>
        <v>1.7930406000000001</v>
      </c>
      <c r="AX313" s="248"/>
      <c r="AY313" s="247">
        <f>(AN313*365)*(AO313*0.67*0.25*1)</f>
        <v>14.942005</v>
      </c>
      <c r="AZ313" s="247">
        <f t="shared" si="120"/>
        <v>59.76802</v>
      </c>
      <c r="BA313" s="247">
        <f t="shared" si="121"/>
        <v>5.9768020000000002</v>
      </c>
      <c r="BB313" s="247">
        <f t="shared" si="122"/>
        <v>0.2988401</v>
      </c>
      <c r="BC313" s="247">
        <f>(AN313*365)*(AO313*0.67*0.005*1)</f>
        <v>0.2988401</v>
      </c>
      <c r="BD313" s="247">
        <v>0</v>
      </c>
      <c r="BE313" s="247">
        <v>0</v>
      </c>
      <c r="BH313" s="120"/>
      <c r="BI313" s="203" t="s">
        <v>152</v>
      </c>
      <c r="BJ313" s="190" t="s">
        <v>168</v>
      </c>
      <c r="BK313" s="196">
        <f t="shared" si="123"/>
        <v>0.6</v>
      </c>
      <c r="BL313" s="190" t="s">
        <v>413</v>
      </c>
      <c r="BM313" s="189">
        <v>0.2</v>
      </c>
      <c r="BN313" s="189">
        <v>0.5</v>
      </c>
      <c r="BO313" s="188" t="s">
        <v>258</v>
      </c>
      <c r="BP313" s="196">
        <f t="shared" si="124"/>
        <v>1.2445714285714284</v>
      </c>
      <c r="BQ313" s="190" t="s">
        <v>415</v>
      </c>
      <c r="BR313" s="189">
        <v>0.2</v>
      </c>
      <c r="BS313" s="189">
        <v>0.5</v>
      </c>
      <c r="BT313" s="188" t="s">
        <v>258</v>
      </c>
      <c r="BU313" s="206"/>
      <c r="BV313" s="196">
        <v>15</v>
      </c>
      <c r="BW313" s="190" t="s">
        <v>414</v>
      </c>
      <c r="BX313" s="206"/>
      <c r="BY313" s="196">
        <v>370.88228571428567</v>
      </c>
      <c r="BZ313" s="190" t="s">
        <v>414</v>
      </c>
      <c r="CA313" s="207"/>
      <c r="CB313" s="180"/>
      <c r="CC313" s="178"/>
      <c r="CD313" s="178"/>
      <c r="CE313" s="180"/>
      <c r="CF313" s="180"/>
      <c r="CG313" s="180"/>
      <c r="CH313" s="180"/>
      <c r="CI313" s="178"/>
      <c r="CJ313" s="178"/>
      <c r="CK313" s="180"/>
      <c r="CL313" s="180"/>
      <c r="CM313" s="180"/>
      <c r="CN313" s="116"/>
      <c r="CO313" s="218">
        <f t="shared" si="114"/>
        <v>0.2</v>
      </c>
      <c r="CP313" s="100">
        <f t="shared" si="115"/>
        <v>0.35</v>
      </c>
      <c r="CQ313" s="218">
        <f t="shared" si="116"/>
        <v>0.5</v>
      </c>
      <c r="CR313" s="101">
        <v>0.2</v>
      </c>
      <c r="CS313" s="101">
        <v>0.5</v>
      </c>
      <c r="DA313" s="23" t="s">
        <v>152</v>
      </c>
      <c r="DB313" s="23">
        <v>0.6</v>
      </c>
      <c r="DC313" s="142">
        <f t="shared" si="125"/>
        <v>12.6</v>
      </c>
      <c r="DD313" s="142">
        <f t="shared" si="126"/>
        <v>15</v>
      </c>
      <c r="DE313" s="23">
        <v>40</v>
      </c>
      <c r="DF313" s="23">
        <v>0.99</v>
      </c>
      <c r="DG313" s="142">
        <f t="shared" si="127"/>
        <v>39.6</v>
      </c>
      <c r="DH313" s="23">
        <v>0.02</v>
      </c>
      <c r="DI313" s="149">
        <f t="shared" si="128"/>
        <v>1.2445714285714284</v>
      </c>
      <c r="DJ313" s="149">
        <f t="shared" si="129"/>
        <v>385.81714285714281</v>
      </c>
      <c r="DK313" s="149">
        <f t="shared" si="130"/>
        <v>370.88228571428567</v>
      </c>
      <c r="DL313" s="150">
        <f t="shared" si="131"/>
        <v>398.41714285714284</v>
      </c>
      <c r="DM313" s="150">
        <f t="shared" si="131"/>
        <v>385.88228571428567</v>
      </c>
      <c r="DN313" s="116" t="s">
        <v>168</v>
      </c>
      <c r="DO313" s="101" t="s">
        <v>392</v>
      </c>
    </row>
    <row r="314" spans="15:119" s="101" customFormat="1" ht="33.75" hidden="1" thickBot="1" x14ac:dyDescent="0.4">
      <c r="O314" s="227" t="s">
        <v>153</v>
      </c>
      <c r="Q314" s="243">
        <v>1.37</v>
      </c>
      <c r="R314" s="243">
        <v>30</v>
      </c>
      <c r="S314" s="246">
        <f t="shared" si="134"/>
        <v>0</v>
      </c>
      <c r="T314" s="246">
        <f t="shared" si="134"/>
        <v>0</v>
      </c>
      <c r="U314" s="246">
        <f t="shared" si="134"/>
        <v>0.11786892857142858</v>
      </c>
      <c r="V314" s="246">
        <f t="shared" si="134"/>
        <v>0.47147571428571433</v>
      </c>
      <c r="W314" s="246">
        <f t="shared" si="134"/>
        <v>0.11786892857142858</v>
      </c>
      <c r="X314" s="246">
        <f t="shared" si="134"/>
        <v>0</v>
      </c>
      <c r="Y314" s="246">
        <f t="shared" si="134"/>
        <v>0.23573785714285717</v>
      </c>
      <c r="Z314" s="246">
        <f t="shared" si="134"/>
        <v>1.6501650000000003</v>
      </c>
      <c r="AA314" s="246">
        <f t="shared" si="134"/>
        <v>0</v>
      </c>
      <c r="AB314" s="246">
        <f t="shared" si="134"/>
        <v>0</v>
      </c>
      <c r="AC314" s="246">
        <f t="shared" si="134"/>
        <v>0.14144271428571431</v>
      </c>
      <c r="AD314" s="246">
        <f t="shared" si="134"/>
        <v>0</v>
      </c>
      <c r="AE314" s="246">
        <f t="shared" si="134"/>
        <v>2.3573785714285718</v>
      </c>
      <c r="AF314" s="246">
        <v>0</v>
      </c>
      <c r="AG314" s="246">
        <f t="shared" si="134"/>
        <v>0.23573785714285717</v>
      </c>
      <c r="AH314" s="243"/>
      <c r="AI314" s="102">
        <v>0.9</v>
      </c>
      <c r="AJ314" s="100">
        <v>0</v>
      </c>
      <c r="AL314" s="100">
        <v>0</v>
      </c>
      <c r="AM314" s="237">
        <v>0.3</v>
      </c>
      <c r="AN314" s="241">
        <v>0.94</v>
      </c>
      <c r="AO314" s="241">
        <v>0.26</v>
      </c>
      <c r="AP314" s="247">
        <f>(AN314*365)*(AO314*0.67*0.015*1)</f>
        <v>0.89652030000000005</v>
      </c>
      <c r="AQ314" s="247">
        <f>(AN314*365)*(AO314*0.67*0.005*1)</f>
        <v>0.2988401</v>
      </c>
      <c r="AR314" s="248"/>
      <c r="AS314" s="247">
        <f>(AN314*365)*(AO314*0.67*0.04*1)</f>
        <v>2.3907208</v>
      </c>
      <c r="AT314" s="247">
        <f>(AN314*365)*(AO314*0.67*0.015*1)</f>
        <v>0.89652030000000005</v>
      </c>
      <c r="AU314" s="247">
        <f>(AN314*365)*(AO314*0.67*0.65*1)</f>
        <v>38.849212999999999</v>
      </c>
      <c r="AV314" s="247">
        <f>(AN314*365)*(AO314*0.67*0.79*1)</f>
        <v>47.216735800000002</v>
      </c>
      <c r="AW314" s="247">
        <f>(AN314*365)*(AO314*0.67*0.03*1)</f>
        <v>1.7930406000000001</v>
      </c>
      <c r="AX314" s="248"/>
      <c r="AY314" s="247">
        <f>(AN314*365)*(AO314*0.67*0.65*1)</f>
        <v>38.849212999999999</v>
      </c>
      <c r="AZ314" s="247">
        <f t="shared" si="120"/>
        <v>59.76802</v>
      </c>
      <c r="BA314" s="247">
        <f t="shared" si="121"/>
        <v>5.9768020000000002</v>
      </c>
      <c r="BB314" s="247">
        <f t="shared" si="122"/>
        <v>0.2988401</v>
      </c>
      <c r="BC314" s="247">
        <f>(AN314*365)*(AO314*0.67*0.01*1)</f>
        <v>0.59768019999999999</v>
      </c>
      <c r="BD314" s="247">
        <v>0</v>
      </c>
      <c r="BE314" s="247">
        <v>0</v>
      </c>
      <c r="BH314" s="120"/>
      <c r="BI314" s="203" t="s">
        <v>153</v>
      </c>
      <c r="BJ314" s="190" t="s">
        <v>168</v>
      </c>
      <c r="BK314" s="196">
        <f t="shared" si="123"/>
        <v>0.9</v>
      </c>
      <c r="BL314" s="190" t="s">
        <v>413</v>
      </c>
      <c r="BM314" s="189">
        <v>0.2</v>
      </c>
      <c r="BN314" s="189">
        <v>0.5</v>
      </c>
      <c r="BO314" s="188" t="s">
        <v>258</v>
      </c>
      <c r="BP314" s="196">
        <f t="shared" si="124"/>
        <v>1.2445714285714284</v>
      </c>
      <c r="BQ314" s="190" t="s">
        <v>415</v>
      </c>
      <c r="BR314" s="189">
        <v>0.2</v>
      </c>
      <c r="BS314" s="189">
        <v>0.5</v>
      </c>
      <c r="BT314" s="188" t="s">
        <v>258</v>
      </c>
      <c r="BU314" s="206"/>
      <c r="BV314" s="196">
        <v>22.5</v>
      </c>
      <c r="BW314" s="190" t="s">
        <v>414</v>
      </c>
      <c r="BX314" s="206"/>
      <c r="BY314" s="196">
        <v>370.88228571428567</v>
      </c>
      <c r="BZ314" s="190" t="s">
        <v>414</v>
      </c>
      <c r="CA314" s="207"/>
      <c r="CB314" s="180"/>
      <c r="CC314" s="178"/>
      <c r="CD314" s="178"/>
      <c r="CE314" s="180"/>
      <c r="CF314" s="180"/>
      <c r="CG314" s="180"/>
      <c r="CH314" s="180"/>
      <c r="CI314" s="178"/>
      <c r="CJ314" s="178"/>
      <c r="CK314" s="180"/>
      <c r="CL314" s="180"/>
      <c r="CM314" s="180"/>
      <c r="CN314" s="116"/>
      <c r="CO314" s="218">
        <f t="shared" si="114"/>
        <v>0.2</v>
      </c>
      <c r="CP314" s="100">
        <f t="shared" si="115"/>
        <v>0.35</v>
      </c>
      <c r="CQ314" s="218">
        <f t="shared" si="116"/>
        <v>0.5</v>
      </c>
      <c r="CR314" s="101">
        <v>0.2</v>
      </c>
      <c r="CS314" s="101">
        <v>0.5</v>
      </c>
      <c r="DA314" s="23" t="s">
        <v>153</v>
      </c>
      <c r="DB314" s="23">
        <v>0.9</v>
      </c>
      <c r="DC314" s="142">
        <f t="shared" si="125"/>
        <v>18.900000000000002</v>
      </c>
      <c r="DD314" s="142">
        <f t="shared" si="126"/>
        <v>22.5</v>
      </c>
      <c r="DE314" s="23">
        <v>40</v>
      </c>
      <c r="DF314" s="23">
        <v>0.99</v>
      </c>
      <c r="DG314" s="142">
        <f t="shared" si="127"/>
        <v>39.6</v>
      </c>
      <c r="DH314" s="23">
        <v>0.02</v>
      </c>
      <c r="DI314" s="149">
        <f t="shared" si="128"/>
        <v>1.2445714285714284</v>
      </c>
      <c r="DJ314" s="149">
        <f t="shared" si="129"/>
        <v>385.81714285714281</v>
      </c>
      <c r="DK314" s="149">
        <f t="shared" si="130"/>
        <v>370.88228571428567</v>
      </c>
      <c r="DL314" s="150">
        <f t="shared" si="131"/>
        <v>404.71714285714279</v>
      </c>
      <c r="DM314" s="150">
        <f t="shared" si="131"/>
        <v>393.38228571428567</v>
      </c>
      <c r="DN314" s="116" t="s">
        <v>168</v>
      </c>
      <c r="DO314" s="101" t="s">
        <v>392</v>
      </c>
    </row>
    <row r="315" spans="15:119" s="101" customFormat="1" ht="33.75" hidden="1" thickBot="1" x14ac:dyDescent="0.4">
      <c r="O315" s="227" t="s">
        <v>154</v>
      </c>
      <c r="Q315" s="243">
        <v>1.37</v>
      </c>
      <c r="R315" s="243">
        <v>30</v>
      </c>
      <c r="S315" s="246">
        <f t="shared" si="134"/>
        <v>0</v>
      </c>
      <c r="T315" s="246">
        <f t="shared" si="134"/>
        <v>0</v>
      </c>
      <c r="U315" s="246">
        <f t="shared" si="134"/>
        <v>0.11786892857142858</v>
      </c>
      <c r="V315" s="246">
        <f t="shared" si="134"/>
        <v>0.47147571428571433</v>
      </c>
      <c r="W315" s="246">
        <f t="shared" si="134"/>
        <v>0.11786892857142858</v>
      </c>
      <c r="X315" s="246">
        <f t="shared" si="134"/>
        <v>0</v>
      </c>
      <c r="Y315" s="246">
        <f t="shared" si="134"/>
        <v>0.23573785714285717</v>
      </c>
      <c r="Z315" s="246">
        <f t="shared" si="134"/>
        <v>1.6501650000000003</v>
      </c>
      <c r="AA315" s="246">
        <f t="shared" si="134"/>
        <v>0</v>
      </c>
      <c r="AB315" s="246">
        <f t="shared" si="134"/>
        <v>0</v>
      </c>
      <c r="AC315" s="246">
        <f t="shared" si="134"/>
        <v>0.14144271428571431</v>
      </c>
      <c r="AD315" s="246">
        <f t="shared" si="134"/>
        <v>0</v>
      </c>
      <c r="AE315" s="246">
        <f t="shared" si="134"/>
        <v>2.3573785714285718</v>
      </c>
      <c r="AF315" s="246">
        <v>0</v>
      </c>
      <c r="AG315" s="246">
        <f t="shared" si="134"/>
        <v>0.23573785714285717</v>
      </c>
      <c r="AH315" s="243"/>
      <c r="AI315" s="102">
        <v>1.2</v>
      </c>
      <c r="AJ315" s="100">
        <v>0</v>
      </c>
      <c r="AL315" s="100">
        <v>0</v>
      </c>
      <c r="AM315" s="237">
        <v>0.3</v>
      </c>
      <c r="AN315" s="241">
        <v>0.94</v>
      </c>
      <c r="AO315" s="241">
        <v>0.26</v>
      </c>
      <c r="AP315" s="247">
        <f>(AN315*365)*(AO315*0.67*0.02*1)</f>
        <v>1.1953604</v>
      </c>
      <c r="AQ315" s="247">
        <f>(AN315*365)*(AO315*0.67*0.01*1)</f>
        <v>0.59768019999999999</v>
      </c>
      <c r="AR315" s="248"/>
      <c r="AS315" s="247">
        <f>(AN315*365)*(AO315*0.67*0.05*1)</f>
        <v>2.9884010000000001</v>
      </c>
      <c r="AT315" s="247">
        <f>(AN315*365)*(AO315*0.67*0.02*1)</f>
        <v>1.1953604</v>
      </c>
      <c r="AU315" s="247">
        <f>(AN315*365)*(AO315*0.67*0.8*1)</f>
        <v>47.814416000000001</v>
      </c>
      <c r="AV315" s="247">
        <f>(AN315*365)*(AO315*0.67*0.8*1)</f>
        <v>47.814416000000001</v>
      </c>
      <c r="AW315" s="247">
        <f>(AN315*365)*(AO315*0.67*0.3*1)</f>
        <v>17.930406000000001</v>
      </c>
      <c r="AX315" s="248"/>
      <c r="AY315" s="247">
        <f>(AN315*365)*(AO315*0.67*0.8*1)</f>
        <v>47.814416000000001</v>
      </c>
      <c r="AZ315" s="247">
        <f t="shared" si="120"/>
        <v>59.76802</v>
      </c>
      <c r="BA315" s="247">
        <f t="shared" si="121"/>
        <v>5.9768020000000002</v>
      </c>
      <c r="BB315" s="247">
        <f t="shared" si="122"/>
        <v>0.2988401</v>
      </c>
      <c r="BC315" s="247">
        <f>(AN315*365)*(AO315*0.67*0.015*1)</f>
        <v>0.89652030000000005</v>
      </c>
      <c r="BD315" s="247">
        <v>0</v>
      </c>
      <c r="BE315" s="247">
        <v>0</v>
      </c>
      <c r="BH315" s="120"/>
      <c r="BI315" s="203" t="s">
        <v>154</v>
      </c>
      <c r="BJ315" s="190" t="s">
        <v>168</v>
      </c>
      <c r="BK315" s="196">
        <f t="shared" si="123"/>
        <v>1.19</v>
      </c>
      <c r="BL315" s="190" t="s">
        <v>413</v>
      </c>
      <c r="BM315" s="189">
        <v>0.2</v>
      </c>
      <c r="BN315" s="189">
        <v>0.5</v>
      </c>
      <c r="BO315" s="188" t="s">
        <v>258</v>
      </c>
      <c r="BP315" s="196">
        <f t="shared" si="124"/>
        <v>1.2445714285714284</v>
      </c>
      <c r="BQ315" s="190" t="s">
        <v>415</v>
      </c>
      <c r="BR315" s="189">
        <v>0.2</v>
      </c>
      <c r="BS315" s="189">
        <v>0.5</v>
      </c>
      <c r="BT315" s="188" t="s">
        <v>258</v>
      </c>
      <c r="BU315" s="206"/>
      <c r="BV315" s="196">
        <v>29.75</v>
      </c>
      <c r="BW315" s="190" t="s">
        <v>414</v>
      </c>
      <c r="BX315" s="206"/>
      <c r="BY315" s="196">
        <v>370.88228571428567</v>
      </c>
      <c r="BZ315" s="190" t="s">
        <v>414</v>
      </c>
      <c r="CA315" s="207"/>
      <c r="CB315" s="180"/>
      <c r="CC315" s="178"/>
      <c r="CD315" s="178"/>
      <c r="CE315" s="180"/>
      <c r="CF315" s="180"/>
      <c r="CG315" s="180"/>
      <c r="CH315" s="180"/>
      <c r="CI315" s="178"/>
      <c r="CJ315" s="178"/>
      <c r="CK315" s="180"/>
      <c r="CL315" s="180"/>
      <c r="CM315" s="180"/>
      <c r="CN315" s="116"/>
      <c r="CO315" s="218">
        <f t="shared" si="114"/>
        <v>0.2</v>
      </c>
      <c r="CP315" s="100">
        <f t="shared" si="115"/>
        <v>0.35</v>
      </c>
      <c r="CQ315" s="218">
        <f t="shared" si="116"/>
        <v>0.5</v>
      </c>
      <c r="CR315" s="101">
        <v>0.2</v>
      </c>
      <c r="CS315" s="101">
        <v>0.5</v>
      </c>
      <c r="DA315" s="23" t="s">
        <v>154</v>
      </c>
      <c r="DB315" s="23">
        <v>1.19</v>
      </c>
      <c r="DC315" s="142">
        <f t="shared" si="125"/>
        <v>24.99</v>
      </c>
      <c r="DD315" s="142">
        <f t="shared" si="126"/>
        <v>29.75</v>
      </c>
      <c r="DE315" s="23">
        <v>40</v>
      </c>
      <c r="DF315" s="23">
        <v>0.99</v>
      </c>
      <c r="DG315" s="142">
        <f t="shared" si="127"/>
        <v>39.6</v>
      </c>
      <c r="DH315" s="23">
        <v>0.02</v>
      </c>
      <c r="DI315" s="149">
        <f t="shared" si="128"/>
        <v>1.2445714285714284</v>
      </c>
      <c r="DJ315" s="149">
        <f t="shared" si="129"/>
        <v>385.81714285714281</v>
      </c>
      <c r="DK315" s="149">
        <f t="shared" si="130"/>
        <v>370.88228571428567</v>
      </c>
      <c r="DL315" s="150">
        <f t="shared" si="131"/>
        <v>410.80714285714282</v>
      </c>
      <c r="DM315" s="150">
        <f t="shared" si="131"/>
        <v>400.63228571428567</v>
      </c>
      <c r="DN315" s="116" t="s">
        <v>168</v>
      </c>
      <c r="DO315" s="101" t="s">
        <v>392</v>
      </c>
    </row>
    <row r="316" spans="15:119" s="101" customFormat="1" hidden="1" x14ac:dyDescent="0.25">
      <c r="O316" s="227" t="s">
        <v>548</v>
      </c>
      <c r="Q316" s="243">
        <v>1.37</v>
      </c>
      <c r="R316" s="243">
        <v>30</v>
      </c>
      <c r="S316" s="246">
        <f t="shared" si="134"/>
        <v>0</v>
      </c>
      <c r="T316" s="246">
        <f t="shared" si="134"/>
        <v>0</v>
      </c>
      <c r="U316" s="246">
        <f t="shared" si="134"/>
        <v>0.11786892857142858</v>
      </c>
      <c r="V316" s="246">
        <f t="shared" si="134"/>
        <v>0.47147571428571433</v>
      </c>
      <c r="W316" s="246">
        <f t="shared" si="134"/>
        <v>0.11786892857142858</v>
      </c>
      <c r="X316" s="246">
        <f t="shared" si="134"/>
        <v>0</v>
      </c>
      <c r="Y316" s="246">
        <f t="shared" si="134"/>
        <v>0.23573785714285717</v>
      </c>
      <c r="Z316" s="246">
        <f t="shared" si="134"/>
        <v>1.6501650000000003</v>
      </c>
      <c r="AA316" s="246">
        <f t="shared" si="134"/>
        <v>0</v>
      </c>
      <c r="AB316" s="246">
        <f t="shared" si="134"/>
        <v>0</v>
      </c>
      <c r="AC316" s="246">
        <f t="shared" si="134"/>
        <v>0.14144271428571431</v>
      </c>
      <c r="AD316" s="246">
        <f t="shared" si="134"/>
        <v>0</v>
      </c>
      <c r="AE316" s="246">
        <f t="shared" si="134"/>
        <v>2.3573785714285718</v>
      </c>
      <c r="AF316" s="246">
        <v>0</v>
      </c>
      <c r="AG316" s="246">
        <f t="shared" si="134"/>
        <v>0.23573785714285717</v>
      </c>
      <c r="AH316" s="243"/>
      <c r="AI316" s="102">
        <v>0.08</v>
      </c>
      <c r="AJ316" s="100"/>
      <c r="AK316" s="100"/>
      <c r="AL316" s="100"/>
      <c r="AM316" s="100"/>
      <c r="AN316" s="241">
        <v>0.1</v>
      </c>
      <c r="AO316" s="241">
        <v>0.32</v>
      </c>
      <c r="AP316" s="247">
        <f>(AN316*365)*(AO316*0.67*0.01*1)</f>
        <v>7.8256000000000006E-2</v>
      </c>
      <c r="AQ316" s="247">
        <f>(AN316*365)*(AO316*0.67*0.001*1)</f>
        <v>7.8256000000000003E-3</v>
      </c>
      <c r="AR316" s="248"/>
      <c r="AS316" s="247">
        <f>(AN316*365)*(AO316*0.67*0.02*1)</f>
        <v>0.15651200000000001</v>
      </c>
      <c r="AT316" s="247">
        <f>(AN316*365)*(AO316*0.67*0.01*1)</f>
        <v>7.8256000000000006E-2</v>
      </c>
      <c r="AU316" s="247">
        <f>(AN316*365)*(AO316*0.67*0.25*1)</f>
        <v>1.9564000000000001</v>
      </c>
      <c r="AV316" s="247">
        <f>(AN316*365)*(AO316*0.67*0.73*1)</f>
        <v>5.7126880000000009</v>
      </c>
      <c r="AW316" s="247">
        <f>(AN316*365)*(AO316*0.67*0.03*1)</f>
        <v>0.234768</v>
      </c>
      <c r="AX316" s="248"/>
      <c r="AY316" s="247">
        <f>(AN316*365)*(AO316*0.67*0.25*1)</f>
        <v>1.9564000000000001</v>
      </c>
      <c r="AZ316" s="247">
        <f t="shared" si="120"/>
        <v>7.8256000000000006</v>
      </c>
      <c r="BA316" s="247">
        <f t="shared" si="121"/>
        <v>0.78256000000000003</v>
      </c>
      <c r="BB316" s="247">
        <f t="shared" si="122"/>
        <v>3.9128000000000003E-2</v>
      </c>
      <c r="BC316" s="247">
        <f>(AN316*365)*(AO316*0.67*0.005*1)</f>
        <v>3.9128000000000003E-2</v>
      </c>
      <c r="BD316" s="247">
        <v>0</v>
      </c>
      <c r="BE316" s="247">
        <v>0</v>
      </c>
      <c r="BH316" s="99"/>
      <c r="BI316" s="102"/>
      <c r="BJ316" s="178"/>
      <c r="BK316" s="178"/>
      <c r="BL316" s="178"/>
      <c r="BM316" s="169"/>
      <c r="BN316" s="169"/>
      <c r="BO316" s="169"/>
      <c r="BP316" s="206"/>
      <c r="BQ316" s="206"/>
      <c r="BR316" s="206"/>
      <c r="BS316" s="206"/>
      <c r="BT316" s="206"/>
      <c r="BU316" s="206"/>
      <c r="BV316" s="207"/>
      <c r="BW316" s="206"/>
      <c r="BX316" s="206"/>
      <c r="BY316" s="207"/>
      <c r="BZ316" s="207"/>
      <c r="CA316" s="207"/>
      <c r="CB316" s="180"/>
      <c r="CC316" s="178"/>
      <c r="CD316" s="178"/>
      <c r="CE316" s="180"/>
      <c r="CF316" s="180"/>
      <c r="CG316" s="180"/>
      <c r="CH316" s="180"/>
      <c r="CI316" s="178"/>
      <c r="CJ316" s="178"/>
      <c r="CK316" s="180"/>
      <c r="CL316" s="180"/>
      <c r="CM316" s="180"/>
      <c r="CN316" s="116"/>
      <c r="CO316" s="218">
        <f t="shared" si="114"/>
        <v>0</v>
      </c>
      <c r="CP316" s="100">
        <f t="shared" si="115"/>
        <v>0</v>
      </c>
      <c r="CQ316" s="218">
        <f t="shared" si="116"/>
        <v>0</v>
      </c>
      <c r="DC316" s="116"/>
      <c r="DD316" s="141"/>
      <c r="DE316" s="116"/>
      <c r="DF316" s="116"/>
      <c r="DG316" s="116"/>
      <c r="DH316" s="116"/>
      <c r="DI316" s="116"/>
    </row>
    <row r="317" spans="15:119" s="101" customFormat="1" hidden="1" x14ac:dyDescent="0.25">
      <c r="O317" s="227" t="s">
        <v>549</v>
      </c>
      <c r="Q317" s="243">
        <v>1.37</v>
      </c>
      <c r="R317" s="243">
        <v>30</v>
      </c>
      <c r="S317" s="246">
        <f t="shared" si="134"/>
        <v>0</v>
      </c>
      <c r="T317" s="246">
        <f t="shared" si="134"/>
        <v>0</v>
      </c>
      <c r="U317" s="246">
        <f t="shared" si="134"/>
        <v>0.11786892857142858</v>
      </c>
      <c r="V317" s="246">
        <f t="shared" si="134"/>
        <v>0.47147571428571433</v>
      </c>
      <c r="W317" s="246">
        <f t="shared" si="134"/>
        <v>0.11786892857142858</v>
      </c>
      <c r="X317" s="246">
        <f t="shared" si="134"/>
        <v>0</v>
      </c>
      <c r="Y317" s="246">
        <f t="shared" si="134"/>
        <v>0.23573785714285717</v>
      </c>
      <c r="Z317" s="246">
        <f t="shared" si="134"/>
        <v>1.6501650000000003</v>
      </c>
      <c r="AA317" s="246">
        <f t="shared" si="134"/>
        <v>0</v>
      </c>
      <c r="AB317" s="246">
        <f t="shared" si="134"/>
        <v>0</v>
      </c>
      <c r="AC317" s="246">
        <f t="shared" si="134"/>
        <v>0.14144271428571431</v>
      </c>
      <c r="AD317" s="246">
        <f t="shared" si="134"/>
        <v>0</v>
      </c>
      <c r="AE317" s="246">
        <f t="shared" si="134"/>
        <v>2.3573785714285718</v>
      </c>
      <c r="AF317" s="246">
        <v>0</v>
      </c>
      <c r="AG317" s="246">
        <f t="shared" si="134"/>
        <v>0.23573785714285717</v>
      </c>
      <c r="AH317" s="243"/>
      <c r="AN317" s="241">
        <v>0.1</v>
      </c>
      <c r="AO317" s="241">
        <v>0.32</v>
      </c>
      <c r="AP317" s="247">
        <f>(AN317*365)*(AO317*0.67*0.015*1)</f>
        <v>0.117384</v>
      </c>
      <c r="AQ317" s="247">
        <f>(AN317*365)*(AO317*0.67*0.005*1)</f>
        <v>3.9128000000000003E-2</v>
      </c>
      <c r="AR317" s="248"/>
      <c r="AS317" s="247">
        <f>(AN317*365)*(AO317*0.67*0.04*1)</f>
        <v>0.31302400000000002</v>
      </c>
      <c r="AT317" s="247">
        <f>(AN317*365)*(AO317*0.67*0.015*1)</f>
        <v>0.117384</v>
      </c>
      <c r="AU317" s="247">
        <f>(AN317*365)*(AO317*0.67*0.65*1)</f>
        <v>5.0866400000000001</v>
      </c>
      <c r="AV317" s="247">
        <f>(AN317*365)*(AO317*0.67*0.79*1)</f>
        <v>6.1822240000000006</v>
      </c>
      <c r="AW317" s="247">
        <f>(AN317*365)*(AO317*0.67*0.03*1)</f>
        <v>0.234768</v>
      </c>
      <c r="AX317" s="248"/>
      <c r="AY317" s="247">
        <f>(AN317*365)*(AO317*0.67*0.65*1)</f>
        <v>5.0866400000000001</v>
      </c>
      <c r="AZ317" s="247">
        <f t="shared" si="120"/>
        <v>7.8256000000000006</v>
      </c>
      <c r="BA317" s="247">
        <f t="shared" si="121"/>
        <v>0.78256000000000003</v>
      </c>
      <c r="BB317" s="247">
        <f t="shared" si="122"/>
        <v>3.9128000000000003E-2</v>
      </c>
      <c r="BC317" s="247">
        <f>(AN317*365)*(AO317*0.67*0.01*1)</f>
        <v>7.8256000000000006E-2</v>
      </c>
      <c r="BD317" s="247">
        <v>0</v>
      </c>
      <c r="BE317" s="247">
        <v>0</v>
      </c>
      <c r="BI317" s="102"/>
      <c r="BJ317" s="178"/>
      <c r="BK317" s="178"/>
      <c r="BL317" s="178"/>
      <c r="BM317" s="169"/>
      <c r="BN317" s="169"/>
      <c r="BO317" s="169"/>
      <c r="BP317" s="206"/>
      <c r="BQ317" s="206"/>
      <c r="BR317" s="206"/>
      <c r="BS317" s="206"/>
      <c r="BT317" s="206"/>
      <c r="BU317" s="206"/>
      <c r="BV317" s="207"/>
      <c r="BW317" s="206"/>
      <c r="BX317" s="206"/>
      <c r="BY317" s="207"/>
      <c r="BZ317" s="207"/>
      <c r="CA317" s="207"/>
      <c r="CB317" s="180"/>
      <c r="CC317" s="178"/>
      <c r="CD317" s="178"/>
      <c r="CE317" s="180"/>
      <c r="CF317" s="180"/>
      <c r="CG317" s="180"/>
      <c r="CH317" s="180"/>
      <c r="CI317" s="178"/>
      <c r="CJ317" s="178"/>
      <c r="CK317" s="180"/>
      <c r="CL317" s="180"/>
      <c r="CM317" s="180"/>
      <c r="CN317" s="116"/>
      <c r="CO317" s="218">
        <f t="shared" si="114"/>
        <v>0</v>
      </c>
      <c r="CP317" s="100">
        <f t="shared" si="115"/>
        <v>0</v>
      </c>
      <c r="CQ317" s="218">
        <f t="shared" si="116"/>
        <v>0</v>
      </c>
      <c r="DC317" s="116" t="s">
        <v>67</v>
      </c>
      <c r="DE317" s="116" t="s">
        <v>103</v>
      </c>
      <c r="DF317" s="116" t="s">
        <v>104</v>
      </c>
      <c r="DG317" s="116"/>
      <c r="DH317" s="116"/>
      <c r="DI317" s="116"/>
      <c r="DJ317" s="116" t="s">
        <v>105</v>
      </c>
      <c r="DK317" s="116" t="s">
        <v>106</v>
      </c>
      <c r="DL317" s="116" t="s">
        <v>107</v>
      </c>
      <c r="DM317" s="116"/>
      <c r="DN317" s="116" t="s">
        <v>108</v>
      </c>
    </row>
    <row r="318" spans="15:119" s="101" customFormat="1" ht="18.75" hidden="1" thickBot="1" x14ac:dyDescent="0.3">
      <c r="O318" s="227" t="s">
        <v>550</v>
      </c>
      <c r="Q318" s="243">
        <v>1.37</v>
      </c>
      <c r="R318" s="243">
        <v>30</v>
      </c>
      <c r="S318" s="246">
        <f t="shared" si="134"/>
        <v>0</v>
      </c>
      <c r="T318" s="246">
        <f t="shared" si="134"/>
        <v>0</v>
      </c>
      <c r="U318" s="246">
        <f t="shared" si="134"/>
        <v>0.11786892857142858</v>
      </c>
      <c r="V318" s="246">
        <f t="shared" si="134"/>
        <v>0.47147571428571433</v>
      </c>
      <c r="W318" s="246">
        <f t="shared" si="134"/>
        <v>0.11786892857142858</v>
      </c>
      <c r="X318" s="246">
        <f t="shared" si="134"/>
        <v>0</v>
      </c>
      <c r="Y318" s="246">
        <f t="shared" si="134"/>
        <v>0.23573785714285717</v>
      </c>
      <c r="Z318" s="246">
        <f t="shared" si="134"/>
        <v>1.6501650000000003</v>
      </c>
      <c r="AA318" s="246">
        <f t="shared" si="134"/>
        <v>0</v>
      </c>
      <c r="AB318" s="246">
        <f t="shared" si="134"/>
        <v>0</v>
      </c>
      <c r="AC318" s="246">
        <f t="shared" si="134"/>
        <v>0.14144271428571431</v>
      </c>
      <c r="AD318" s="246">
        <f t="shared" si="134"/>
        <v>0</v>
      </c>
      <c r="AE318" s="246">
        <f t="shared" si="134"/>
        <v>2.3573785714285718</v>
      </c>
      <c r="AF318" s="246">
        <v>0</v>
      </c>
      <c r="AG318" s="246">
        <f t="shared" si="134"/>
        <v>0.23573785714285717</v>
      </c>
      <c r="AH318" s="243"/>
      <c r="AN318" s="241">
        <v>0.1</v>
      </c>
      <c r="AO318" s="241">
        <v>0.32</v>
      </c>
      <c r="AP318" s="247">
        <f>(AN318*365)*(AO318*0.67*0.02*1)</f>
        <v>0.15651200000000001</v>
      </c>
      <c r="AQ318" s="247">
        <f>(AN318*365)*(AO318*0.67*0.01*1)</f>
        <v>7.8256000000000006E-2</v>
      </c>
      <c r="AR318" s="248"/>
      <c r="AS318" s="247">
        <f>(AN318*365)*(AO318*0.67*0.05*1)</f>
        <v>0.39128000000000002</v>
      </c>
      <c r="AT318" s="247">
        <f>(AN318*365)*(AO318*0.67*0.02*1)</f>
        <v>0.15651200000000001</v>
      </c>
      <c r="AU318" s="247">
        <f>(AN318*365)*(AO318*0.67*0.8*1)</f>
        <v>6.2604800000000003</v>
      </c>
      <c r="AV318" s="247">
        <f>(AN318*365)*(AO318*0.67*0.8*1)</f>
        <v>6.2604800000000003</v>
      </c>
      <c r="AW318" s="247">
        <f>(AN318*365)*(AO318*0.67*0.3*1)</f>
        <v>2.34768</v>
      </c>
      <c r="AX318" s="248"/>
      <c r="AY318" s="247">
        <f>(AN318*365)*(AO318*0.67*0.8*1)</f>
        <v>6.2604800000000003</v>
      </c>
      <c r="AZ318" s="247">
        <f t="shared" si="120"/>
        <v>7.8256000000000006</v>
      </c>
      <c r="BA318" s="247">
        <f t="shared" si="121"/>
        <v>0.78256000000000003</v>
      </c>
      <c r="BB318" s="247">
        <f t="shared" si="122"/>
        <v>3.9128000000000003E-2</v>
      </c>
      <c r="BC318" s="247">
        <f>(AN318*365)*(AO318*0.67*0.015*1)</f>
        <v>0.117384</v>
      </c>
      <c r="BD318" s="247">
        <v>0</v>
      </c>
      <c r="BE318" s="247">
        <v>0</v>
      </c>
      <c r="BI318" s="102"/>
      <c r="BJ318" s="178"/>
      <c r="BK318" s="178"/>
      <c r="BL318" s="178"/>
      <c r="BM318" s="169"/>
      <c r="BN318" s="169"/>
      <c r="BO318" s="169"/>
      <c r="BP318" s="206"/>
      <c r="BQ318" s="206"/>
      <c r="BR318" s="206"/>
      <c r="BS318" s="206"/>
      <c r="BT318" s="206"/>
      <c r="BU318" s="206"/>
      <c r="BV318" s="207"/>
      <c r="BW318" s="206"/>
      <c r="BX318" s="206"/>
      <c r="BY318" s="207"/>
      <c r="BZ318" s="207"/>
      <c r="CA318" s="207"/>
      <c r="CB318" s="180"/>
      <c r="CC318" s="178"/>
      <c r="CD318" s="178"/>
      <c r="CE318" s="180"/>
      <c r="CF318" s="180"/>
      <c r="CG318" s="180"/>
      <c r="CH318" s="180"/>
      <c r="CI318" s="178"/>
      <c r="CJ318" s="178"/>
      <c r="CK318" s="180"/>
      <c r="CL318" s="180"/>
      <c r="CM318" s="180"/>
      <c r="CN318" s="116"/>
      <c r="CO318" s="218">
        <f t="shared" si="114"/>
        <v>0</v>
      </c>
      <c r="CP318" s="100">
        <f t="shared" si="115"/>
        <v>0</v>
      </c>
      <c r="CQ318" s="218">
        <f t="shared" si="116"/>
        <v>0</v>
      </c>
      <c r="DA318" s="101" t="s">
        <v>62</v>
      </c>
      <c r="DB318" s="101" t="s">
        <v>49</v>
      </c>
      <c r="DC318" s="101">
        <f>+DN318</f>
        <v>6.1897500000000008E-2</v>
      </c>
      <c r="DE318" s="116">
        <v>1</v>
      </c>
      <c r="DF318" s="116">
        <v>0.9</v>
      </c>
      <c r="DG318" s="116"/>
      <c r="DH318" s="116"/>
      <c r="DI318" s="116"/>
      <c r="DJ318" s="116">
        <v>0.5</v>
      </c>
      <c r="DK318" s="116">
        <v>5.0000000000000001E-3</v>
      </c>
      <c r="DL318" s="116">
        <f>+DE318*DF318*DJ318*DK318*21</f>
        <v>4.7250000000000007E-2</v>
      </c>
      <c r="DM318" s="116"/>
      <c r="DN318" s="101">
        <f>+DL318+DM329</f>
        <v>6.1897500000000008E-2</v>
      </c>
      <c r="DO318" s="116" t="s">
        <v>376</v>
      </c>
    </row>
    <row r="319" spans="15:119" s="101" customFormat="1" ht="15" hidden="1" customHeight="1" x14ac:dyDescent="0.25">
      <c r="O319" s="227" t="s">
        <v>551</v>
      </c>
      <c r="Q319" s="243"/>
      <c r="R319" s="243"/>
      <c r="S319" s="242"/>
      <c r="T319" s="242"/>
      <c r="U319" s="242"/>
      <c r="V319" s="242"/>
      <c r="W319" s="242"/>
      <c r="X319" s="242"/>
      <c r="Y319" s="242"/>
      <c r="Z319" s="242"/>
      <c r="AA319" s="242"/>
      <c r="AB319" s="242"/>
      <c r="AC319" s="242"/>
      <c r="AD319" s="242"/>
      <c r="AE319" s="242"/>
      <c r="AF319" s="242"/>
      <c r="AG319" s="242"/>
      <c r="AH319" s="243"/>
      <c r="AI319" s="102">
        <v>5.67</v>
      </c>
      <c r="AN319" s="241">
        <v>1.1599999999999999</v>
      </c>
      <c r="AO319" s="241">
        <v>0.25</v>
      </c>
      <c r="AP319" s="247">
        <f>(AN319*365)*(AO319*0.67*0.01*1)</f>
        <v>0.70919500000000002</v>
      </c>
      <c r="AQ319" s="247">
        <f>(AN319*365)*(AO319*0.67*0.001*1)</f>
        <v>7.0919499999999996E-2</v>
      </c>
      <c r="AR319" s="248"/>
      <c r="AS319" s="247">
        <f>(AN319*365)*(AO319*0.67*0.02*1)</f>
        <v>1.41839</v>
      </c>
      <c r="AT319" s="247">
        <f>(AN319*365)*(AO319*0.67*0.01*1)</f>
        <v>0.70919500000000002</v>
      </c>
      <c r="AU319" s="247">
        <f>(AN319*365)*(AO319*0.67*0.25*1)</f>
        <v>17.729875</v>
      </c>
      <c r="AV319" s="247">
        <f>(AN319*365)*(AO319*0.67*0.73*1)</f>
        <v>51.771235000000004</v>
      </c>
      <c r="AW319" s="247">
        <f>(AN319*365)*(AO319*0.67*0.03*1)</f>
        <v>2.1275849999999998</v>
      </c>
      <c r="AX319" s="248"/>
      <c r="AY319" s="247">
        <f>(AN319*365)*(AO319*0.67*0.25*1)</f>
        <v>17.729875</v>
      </c>
      <c r="AZ319" s="247">
        <f t="shared" si="120"/>
        <v>70.919499999999999</v>
      </c>
      <c r="BA319" s="247">
        <f t="shared" si="121"/>
        <v>7.0919499999999998</v>
      </c>
      <c r="BB319" s="247">
        <f t="shared" si="122"/>
        <v>0.35459750000000001</v>
      </c>
      <c r="BC319" s="247">
        <f>(AN319*365)*(AO319*0.67*0.005*1)</f>
        <v>0.35459750000000001</v>
      </c>
      <c r="BD319" s="247">
        <v>0</v>
      </c>
      <c r="BE319" s="247">
        <v>0</v>
      </c>
      <c r="BI319" s="1606" t="s">
        <v>58</v>
      </c>
      <c r="BJ319" s="251"/>
      <c r="BK319" s="1606" t="s">
        <v>279</v>
      </c>
      <c r="BL319" s="251"/>
      <c r="BM319" s="1606" t="s">
        <v>233</v>
      </c>
      <c r="BN319" s="1606" t="s">
        <v>233</v>
      </c>
      <c r="BO319" s="1606" t="s">
        <v>240</v>
      </c>
      <c r="BP319" s="1606" t="s">
        <v>282</v>
      </c>
      <c r="BQ319" s="251"/>
      <c r="BR319" s="1606" t="s">
        <v>233</v>
      </c>
      <c r="BS319" s="1606" t="s">
        <v>233</v>
      </c>
      <c r="BT319" s="1606" t="s">
        <v>240</v>
      </c>
      <c r="BU319" s="102"/>
      <c r="BV319" s="207"/>
      <c r="BW319" s="206"/>
      <c r="BX319" s="206"/>
      <c r="BY319" s="207"/>
      <c r="BZ319" s="207"/>
      <c r="CA319" s="207"/>
      <c r="CB319" s="180"/>
      <c r="CC319" s="178"/>
      <c r="CD319" s="178"/>
      <c r="CE319" s="180"/>
      <c r="CF319" s="180"/>
      <c r="CG319" s="180"/>
      <c r="CH319" s="180"/>
      <c r="CI319" s="178"/>
      <c r="CJ319" s="178"/>
      <c r="CK319" s="180"/>
      <c r="CL319" s="180"/>
      <c r="CM319" s="180"/>
      <c r="CN319" s="116"/>
      <c r="CO319" s="218" t="str">
        <f t="shared" si="114"/>
        <v>Incertidumbre (+/- %)</v>
      </c>
      <c r="CP319" s="100" t="e">
        <f t="shared" si="115"/>
        <v>#VALUE!</v>
      </c>
      <c r="CQ319" s="218" t="str">
        <f t="shared" si="116"/>
        <v>Incertidumbre (+/- %)</v>
      </c>
      <c r="DF319" s="116"/>
      <c r="DG319" s="116"/>
      <c r="DH319" s="116"/>
      <c r="DI319" s="116"/>
    </row>
    <row r="320" spans="15:119" s="101" customFormat="1" ht="15.75" hidden="1" thickBot="1" x14ac:dyDescent="0.3">
      <c r="O320" s="227" t="s">
        <v>552</v>
      </c>
      <c r="Q320" s="243"/>
      <c r="R320" s="243"/>
      <c r="S320" s="242"/>
      <c r="T320" s="242"/>
      <c r="U320" s="242"/>
      <c r="V320" s="242"/>
      <c r="W320" s="242"/>
      <c r="X320" s="242"/>
      <c r="Y320" s="242"/>
      <c r="Z320" s="242"/>
      <c r="AA320" s="242"/>
      <c r="AB320" s="242"/>
      <c r="AC320" s="242"/>
      <c r="AD320" s="242"/>
      <c r="AE320" s="242"/>
      <c r="AF320" s="242"/>
      <c r="AG320" s="242"/>
      <c r="AH320" s="243"/>
      <c r="AN320" s="241">
        <v>1.1599999999999999</v>
      </c>
      <c r="AO320" s="241">
        <v>0.25</v>
      </c>
      <c r="AP320" s="247">
        <f>(AN320*365)*(AO320*0.67*0.015*1)</f>
        <v>1.0637924999999999</v>
      </c>
      <c r="AQ320" s="247">
        <f>(AN320*365)*(AO320*0.67*0.005*1)</f>
        <v>0.35459750000000001</v>
      </c>
      <c r="AR320" s="248"/>
      <c r="AS320" s="247">
        <f>(AN320*365)*(AO320*0.67*0.04*1)</f>
        <v>2.8367800000000001</v>
      </c>
      <c r="AT320" s="247">
        <f>(AN320*365)*(AO320*0.67*0.015*1)</f>
        <v>1.0637924999999999</v>
      </c>
      <c r="AU320" s="247">
        <f>(AN320*365)*(AO320*0.67*0.65*1)</f>
        <v>46.097675000000002</v>
      </c>
      <c r="AV320" s="247">
        <f>(AN320*365)*(AO320*0.67*0.79*1)</f>
        <v>56.026405000000011</v>
      </c>
      <c r="AW320" s="247">
        <f>(AN320*365)*(AO320*0.67*0.03*1)</f>
        <v>2.1275849999999998</v>
      </c>
      <c r="AX320" s="248"/>
      <c r="AY320" s="247">
        <f>(AN320*365)*(AO320*0.67*0.65*1)</f>
        <v>46.097675000000002</v>
      </c>
      <c r="AZ320" s="247">
        <f t="shared" si="120"/>
        <v>70.919499999999999</v>
      </c>
      <c r="BA320" s="247">
        <f t="shared" si="121"/>
        <v>7.0919499999999998</v>
      </c>
      <c r="BB320" s="247">
        <f t="shared" si="122"/>
        <v>0.35459750000000001</v>
      </c>
      <c r="BC320" s="247">
        <f>(AN320*365)*(AO320*0.67*0.01*1)</f>
        <v>0.70919500000000002</v>
      </c>
      <c r="BD320" s="247">
        <v>0</v>
      </c>
      <c r="BE320" s="247">
        <v>0</v>
      </c>
      <c r="BI320" s="1607"/>
      <c r="BJ320" s="252" t="s">
        <v>253</v>
      </c>
      <c r="BK320" s="1607"/>
      <c r="BL320" s="252" t="s">
        <v>251</v>
      </c>
      <c r="BM320" s="1607"/>
      <c r="BN320" s="1607"/>
      <c r="BO320" s="1607"/>
      <c r="BP320" s="1607"/>
      <c r="BQ320" s="252" t="s">
        <v>251</v>
      </c>
      <c r="BR320" s="1607"/>
      <c r="BS320" s="1607"/>
      <c r="BT320" s="1607"/>
      <c r="BU320" s="102"/>
      <c r="BV320" s="207"/>
      <c r="BW320" s="206"/>
      <c r="BX320" s="206"/>
      <c r="BY320" s="207"/>
      <c r="BZ320" s="207"/>
      <c r="CA320" s="207"/>
      <c r="CB320" s="180"/>
      <c r="CC320" s="178"/>
      <c r="CD320" s="178"/>
      <c r="CE320" s="180"/>
      <c r="CF320" s="180"/>
      <c r="CG320" s="180"/>
      <c r="CH320" s="180"/>
      <c r="CI320" s="178"/>
      <c r="CJ320" s="178"/>
      <c r="CK320" s="180"/>
      <c r="CL320" s="180"/>
      <c r="CM320" s="180"/>
      <c r="CN320" s="116"/>
      <c r="CO320" s="218">
        <f t="shared" si="114"/>
        <v>0</v>
      </c>
      <c r="CP320" s="100">
        <f t="shared" si="115"/>
        <v>0</v>
      </c>
      <c r="CQ320" s="218">
        <f t="shared" si="116"/>
        <v>0</v>
      </c>
      <c r="DF320" s="116"/>
      <c r="DG320" s="116"/>
      <c r="DH320" s="116"/>
      <c r="DI320" s="116"/>
      <c r="DL320" s="116">
        <f>+DE318*DF318*DJ318*DK318*25</f>
        <v>5.6250000000000008E-2</v>
      </c>
      <c r="DN320" s="101">
        <f>+DL320+DM331</f>
        <v>7.0330500000000004E-2</v>
      </c>
    </row>
    <row r="321" spans="15:117" s="101" customFormat="1" ht="18.75" hidden="1" thickBot="1" x14ac:dyDescent="0.3">
      <c r="O321" s="227" t="s">
        <v>553</v>
      </c>
      <c r="Q321" s="243"/>
      <c r="R321" s="243"/>
      <c r="S321" s="242"/>
      <c r="T321" s="242"/>
      <c r="U321" s="242"/>
      <c r="V321" s="242"/>
      <c r="W321" s="242"/>
      <c r="X321" s="242"/>
      <c r="Y321" s="242"/>
      <c r="Z321" s="242"/>
      <c r="AA321" s="242"/>
      <c r="AB321" s="242"/>
      <c r="AC321" s="242"/>
      <c r="AD321" s="242"/>
      <c r="AE321" s="242"/>
      <c r="AF321" s="242"/>
      <c r="AG321" s="242"/>
      <c r="AH321" s="243"/>
      <c r="AN321" s="241">
        <v>1.1599999999999999</v>
      </c>
      <c r="AO321" s="241">
        <v>0.25</v>
      </c>
      <c r="AP321" s="247">
        <f>(AN321*365)*(AO321*0.67*0.02*1)</f>
        <v>1.41839</v>
      </c>
      <c r="AQ321" s="247">
        <f>(AN321*365)*(AO321*0.67*0.01*1)</f>
        <v>0.70919500000000002</v>
      </c>
      <c r="AR321" s="248"/>
      <c r="AS321" s="247">
        <f>(AN321*365)*(AO321*0.67*0.05*1)</f>
        <v>3.5459749999999999</v>
      </c>
      <c r="AT321" s="247">
        <f>(AN321*365)*(AO321*0.67*0.02*1)</f>
        <v>1.41839</v>
      </c>
      <c r="AU321" s="247">
        <f>(AN321*365)*(AO321*0.67*0.8*1)</f>
        <v>56.735599999999998</v>
      </c>
      <c r="AV321" s="247">
        <f>(AN321*365)*(AO321*0.67*0.8*1)</f>
        <v>56.735599999999998</v>
      </c>
      <c r="AW321" s="247">
        <f>(AN321*365)*(AO321*0.67*0.3*1)</f>
        <v>21.275849999999998</v>
      </c>
      <c r="AX321" s="248"/>
      <c r="AY321" s="247">
        <f>(AN321*365)*(AO321*0.67*0.8*1)</f>
        <v>56.735599999999998</v>
      </c>
      <c r="AZ321" s="247">
        <f t="shared" si="120"/>
        <v>70.919499999999999</v>
      </c>
      <c r="BA321" s="247">
        <f t="shared" si="121"/>
        <v>7.0919499999999998</v>
      </c>
      <c r="BB321" s="247">
        <f t="shared" si="122"/>
        <v>0.35459750000000001</v>
      </c>
      <c r="BC321" s="247">
        <f>(AN321*365)*(AO321*0.67*0.015*1)</f>
        <v>1.0637924999999999</v>
      </c>
      <c r="BD321" s="247">
        <v>0</v>
      </c>
      <c r="BE321" s="247">
        <v>0</v>
      </c>
      <c r="BI321" s="203" t="s">
        <v>470</v>
      </c>
      <c r="BJ321" s="190" t="s">
        <v>471</v>
      </c>
      <c r="BK321" s="196">
        <f>10/1000</f>
        <v>0.01</v>
      </c>
      <c r="BL321" s="190" t="s">
        <v>416</v>
      </c>
      <c r="BM321" s="189">
        <f>0.08/10</f>
        <v>8.0000000000000002E-3</v>
      </c>
      <c r="BN321" s="189">
        <f>20/10</f>
        <v>2</v>
      </c>
      <c r="BO321" s="188" t="s">
        <v>258</v>
      </c>
      <c r="BP321" s="196">
        <f>0.6/1000</f>
        <v>5.9999999999999995E-4</v>
      </c>
      <c r="BQ321" s="190" t="s">
        <v>417</v>
      </c>
      <c r="BR321" s="189">
        <f>0.2/0.6</f>
        <v>0.33333333333333337</v>
      </c>
      <c r="BS321" s="189">
        <f>1.2/0.6</f>
        <v>2</v>
      </c>
      <c r="BT321" s="188" t="s">
        <v>258</v>
      </c>
      <c r="BU321" s="102"/>
      <c r="BV321" s="207"/>
      <c r="BW321" s="206"/>
      <c r="BX321" s="206"/>
      <c r="BY321" s="207"/>
      <c r="BZ321" s="207"/>
      <c r="CA321" s="207"/>
      <c r="CB321" s="180"/>
      <c r="CC321" s="178"/>
      <c r="CD321" s="178"/>
      <c r="CE321" s="180"/>
      <c r="CF321" s="180"/>
      <c r="CG321" s="180"/>
      <c r="CH321" s="180"/>
      <c r="CI321" s="178"/>
      <c r="CJ321" s="178"/>
      <c r="CK321" s="180"/>
      <c r="CL321" s="180"/>
      <c r="CM321" s="180"/>
      <c r="CN321" s="116"/>
      <c r="CO321" s="218">
        <f t="shared" si="114"/>
        <v>8.0000000000000002E-3</v>
      </c>
      <c r="CP321" s="100">
        <f t="shared" si="115"/>
        <v>1.004</v>
      </c>
      <c r="CQ321" s="218">
        <f t="shared" si="116"/>
        <v>2</v>
      </c>
      <c r="CR321" s="101">
        <v>0.9</v>
      </c>
      <c r="CS321" s="101">
        <v>1</v>
      </c>
      <c r="DF321" s="116"/>
      <c r="DG321" s="116"/>
      <c r="DH321" s="116"/>
      <c r="DI321" s="116"/>
      <c r="DL321" s="116"/>
    </row>
    <row r="322" spans="15:117" s="101" customFormat="1" ht="18.75" hidden="1" thickBot="1" x14ac:dyDescent="0.3">
      <c r="BD322" s="101">
        <v>0</v>
      </c>
      <c r="BI322" s="203" t="s">
        <v>472</v>
      </c>
      <c r="BJ322" s="190" t="s">
        <v>475</v>
      </c>
      <c r="BK322" s="196">
        <f>4/1000</f>
        <v>4.0000000000000001E-3</v>
      </c>
      <c r="BL322" s="190" t="s">
        <v>416</v>
      </c>
      <c r="BM322" s="189">
        <f>0.03/4</f>
        <v>7.4999999999999997E-3</v>
      </c>
      <c r="BN322" s="189">
        <f>8/4</f>
        <v>2</v>
      </c>
      <c r="BO322" s="188" t="s">
        <v>258</v>
      </c>
      <c r="BP322" s="196">
        <f>0.3/1000</f>
        <v>2.9999999999999997E-4</v>
      </c>
      <c r="BQ322" s="190" t="s">
        <v>417</v>
      </c>
      <c r="BR322" s="189">
        <f>0.06/0.3</f>
        <v>0.2</v>
      </c>
      <c r="BS322" s="189">
        <f>0.6/0.3</f>
        <v>2</v>
      </c>
      <c r="BT322" s="188" t="s">
        <v>258</v>
      </c>
      <c r="BU322" s="102"/>
      <c r="BV322" s="207"/>
      <c r="BW322" s="206"/>
      <c r="BX322" s="206"/>
      <c r="BY322" s="207"/>
      <c r="BZ322" s="207"/>
      <c r="CA322" s="207"/>
      <c r="CB322" s="180"/>
      <c r="CC322" s="178"/>
      <c r="CD322" s="178"/>
      <c r="CE322" s="180"/>
      <c r="CF322" s="180"/>
      <c r="CG322" s="180"/>
      <c r="CH322" s="180"/>
      <c r="CI322" s="178"/>
      <c r="CJ322" s="178"/>
      <c r="CK322" s="180"/>
      <c r="CL322" s="180"/>
      <c r="CM322" s="180"/>
      <c r="CN322" s="116"/>
      <c r="CO322" s="218">
        <f t="shared" si="114"/>
        <v>7.4999999999999997E-3</v>
      </c>
      <c r="CP322" s="100">
        <f t="shared" si="115"/>
        <v>1.0037499999999999</v>
      </c>
      <c r="CQ322" s="218">
        <f t="shared" si="116"/>
        <v>2</v>
      </c>
      <c r="CR322" s="101">
        <v>0.9</v>
      </c>
      <c r="CS322" s="101">
        <v>1</v>
      </c>
      <c r="DF322" s="116"/>
      <c r="DG322" s="116"/>
      <c r="DH322" s="116"/>
      <c r="DI322" s="116"/>
      <c r="DL322" s="116"/>
    </row>
    <row r="323" spans="15:117" s="101" customFormat="1" ht="18.75" hidden="1" thickBot="1" x14ac:dyDescent="0.3">
      <c r="BI323" s="203" t="s">
        <v>473</v>
      </c>
      <c r="BJ323" s="190" t="s">
        <v>471</v>
      </c>
      <c r="BK323" s="196">
        <f>2/1000</f>
        <v>2E-3</v>
      </c>
      <c r="BL323" s="190" t="s">
        <v>416</v>
      </c>
      <c r="BM323" s="189">
        <f>0/2</f>
        <v>0</v>
      </c>
      <c r="BN323" s="189">
        <f>20/2</f>
        <v>10</v>
      </c>
      <c r="BO323" s="188" t="s">
        <v>258</v>
      </c>
      <c r="BP323" s="196">
        <v>0</v>
      </c>
      <c r="BQ323" s="190" t="s">
        <v>417</v>
      </c>
      <c r="BR323" s="189">
        <v>0</v>
      </c>
      <c r="BS323" s="189">
        <v>0</v>
      </c>
      <c r="BT323" s="188" t="s">
        <v>258</v>
      </c>
      <c r="BU323" s="102"/>
      <c r="BV323" s="207"/>
      <c r="BW323" s="206"/>
      <c r="BX323" s="206"/>
      <c r="BY323" s="207"/>
      <c r="BZ323" s="207"/>
      <c r="CA323" s="207"/>
      <c r="CB323" s="180"/>
      <c r="CC323" s="178"/>
      <c r="CD323" s="178"/>
      <c r="CE323" s="180"/>
      <c r="CF323" s="180"/>
      <c r="CG323" s="180"/>
      <c r="CH323" s="180"/>
      <c r="CI323" s="178"/>
      <c r="CJ323" s="178"/>
      <c r="CK323" s="180"/>
      <c r="CL323" s="180"/>
      <c r="CM323" s="180"/>
      <c r="CN323" s="116"/>
      <c r="CO323" s="218">
        <f t="shared" si="114"/>
        <v>0</v>
      </c>
      <c r="CP323" s="100">
        <f t="shared" si="115"/>
        <v>5</v>
      </c>
      <c r="CQ323" s="218">
        <f t="shared" si="116"/>
        <v>10</v>
      </c>
      <c r="CR323" s="101">
        <v>0.9</v>
      </c>
      <c r="CS323" s="101">
        <v>1</v>
      </c>
      <c r="DF323" s="116"/>
      <c r="DG323" s="116"/>
      <c r="DH323" s="116"/>
      <c r="DI323" s="116"/>
      <c r="DL323" s="116"/>
    </row>
    <row r="324" spans="15:117" s="101" customFormat="1" ht="18.75" hidden="1" thickBot="1" x14ac:dyDescent="0.3">
      <c r="BB324" s="100" t="s">
        <v>509</v>
      </c>
      <c r="BC324" s="100" t="s">
        <v>510</v>
      </c>
      <c r="BD324" s="100" t="s">
        <v>512</v>
      </c>
      <c r="BE324" s="100"/>
      <c r="BF324" s="100" t="s">
        <v>511</v>
      </c>
      <c r="BI324" s="203" t="s">
        <v>474</v>
      </c>
      <c r="BJ324" s="190" t="s">
        <v>475</v>
      </c>
      <c r="BK324" s="196">
        <f>1/1000</f>
        <v>1E-3</v>
      </c>
      <c r="BL324" s="190" t="s">
        <v>416</v>
      </c>
      <c r="BM324" s="189">
        <f>0/2</f>
        <v>0</v>
      </c>
      <c r="BN324" s="189">
        <f>8/1</f>
        <v>8</v>
      </c>
      <c r="BO324" s="188" t="s">
        <v>258</v>
      </c>
      <c r="BP324" s="196">
        <v>0</v>
      </c>
      <c r="BQ324" s="190" t="s">
        <v>417</v>
      </c>
      <c r="BR324" s="189">
        <v>0</v>
      </c>
      <c r="BS324" s="189">
        <v>0</v>
      </c>
      <c r="BT324" s="188" t="s">
        <v>258</v>
      </c>
      <c r="BU324" s="102"/>
      <c r="BV324" s="207"/>
      <c r="BW324" s="206"/>
      <c r="BX324" s="206"/>
      <c r="BY324" s="207"/>
      <c r="BZ324" s="207"/>
      <c r="CA324" s="207"/>
      <c r="CB324" s="180"/>
      <c r="CC324" s="178"/>
      <c r="CD324" s="178"/>
      <c r="CE324" s="180"/>
      <c r="CF324" s="180"/>
      <c r="CG324" s="180"/>
      <c r="CH324" s="180"/>
      <c r="CI324" s="178"/>
      <c r="CJ324" s="178"/>
      <c r="CK324" s="180"/>
      <c r="CL324" s="180"/>
      <c r="CM324" s="180"/>
      <c r="CN324" s="116"/>
      <c r="CO324" s="218">
        <f t="shared" si="114"/>
        <v>0</v>
      </c>
      <c r="CP324" s="100">
        <f t="shared" si="115"/>
        <v>4</v>
      </c>
      <c r="CQ324" s="218">
        <f t="shared" si="116"/>
        <v>8</v>
      </c>
      <c r="CR324" s="101">
        <v>0.9</v>
      </c>
      <c r="CS324" s="101">
        <v>1</v>
      </c>
      <c r="DF324" s="116"/>
      <c r="DG324" s="116"/>
      <c r="DH324" s="116"/>
      <c r="DI324" s="116"/>
      <c r="DL324" s="116"/>
    </row>
    <row r="325" spans="15:117" s="101" customFormat="1" ht="26.25" hidden="1" thickBot="1" x14ac:dyDescent="0.3">
      <c r="BB325" s="100">
        <v>50.4</v>
      </c>
      <c r="BC325" s="100">
        <v>22</v>
      </c>
      <c r="BD325" s="100">
        <f>BC325/((BB325*1000*1000)/(1000*1000))</f>
        <v>0.43650793650793651</v>
      </c>
      <c r="BE325" s="100"/>
      <c r="BF325" s="100">
        <v>0.63500999999999996</v>
      </c>
      <c r="BI325" s="203" t="s">
        <v>507</v>
      </c>
      <c r="BJ325" s="190" t="s">
        <v>505</v>
      </c>
      <c r="BK325" s="196">
        <f>BD325*BF325</f>
        <v>0.27718690476190477</v>
      </c>
      <c r="BL325" s="190" t="s">
        <v>506</v>
      </c>
      <c r="BM325" s="189">
        <f>0%/5%</f>
        <v>0</v>
      </c>
      <c r="BN325" s="189">
        <f>10%/5%</f>
        <v>2</v>
      </c>
      <c r="BO325" s="188" t="s">
        <v>258</v>
      </c>
      <c r="BP325" s="196">
        <v>0</v>
      </c>
      <c r="BQ325" s="190" t="s">
        <v>508</v>
      </c>
      <c r="BR325" s="189">
        <v>0</v>
      </c>
      <c r="BS325" s="189">
        <v>0</v>
      </c>
      <c r="BT325" s="188" t="s">
        <v>258</v>
      </c>
      <c r="BU325" s="102"/>
      <c r="BV325" s="207"/>
      <c r="BW325" s="206"/>
      <c r="BX325" s="206"/>
      <c r="BY325" s="207"/>
      <c r="BZ325" s="207"/>
      <c r="CA325" s="207"/>
      <c r="CB325" s="180"/>
      <c r="CC325" s="178"/>
      <c r="CD325" s="178"/>
      <c r="CE325" s="180"/>
      <c r="CF325" s="180"/>
      <c r="CG325" s="180"/>
      <c r="CH325" s="180"/>
      <c r="CI325" s="178"/>
      <c r="CJ325" s="178"/>
      <c r="CK325" s="180"/>
      <c r="CL325" s="180"/>
      <c r="CM325" s="180"/>
      <c r="CN325" s="116"/>
      <c r="CO325" s="218">
        <f t="shared" si="114"/>
        <v>0</v>
      </c>
      <c r="CP325" s="100">
        <f t="shared" si="115"/>
        <v>1</v>
      </c>
      <c r="CQ325" s="218">
        <f t="shared" si="116"/>
        <v>2</v>
      </c>
      <c r="DF325" s="116"/>
      <c r="DG325" s="116"/>
      <c r="DH325" s="116"/>
      <c r="DI325" s="116"/>
      <c r="DL325" s="116"/>
    </row>
    <row r="326" spans="15:117" s="101" customFormat="1" ht="18.75" hidden="1" thickBot="1" x14ac:dyDescent="0.3">
      <c r="BI326" s="203" t="s">
        <v>316</v>
      </c>
      <c r="BJ326" s="190" t="s">
        <v>49</v>
      </c>
      <c r="BK326" s="196">
        <f>2.7/1000</f>
        <v>2.7000000000000001E-3</v>
      </c>
      <c r="BL326" s="190" t="s">
        <v>416</v>
      </c>
      <c r="BM326" s="189">
        <f>0.9/2.7</f>
        <v>0.33333333333333331</v>
      </c>
      <c r="BN326" s="189">
        <f>0.9/2.7</f>
        <v>0.33333333333333331</v>
      </c>
      <c r="BO326" s="188" t="s">
        <v>258</v>
      </c>
      <c r="BP326" s="196">
        <f>0.07/1000</f>
        <v>7.0000000000000007E-5</v>
      </c>
      <c r="BQ326" s="190" t="s">
        <v>417</v>
      </c>
      <c r="BR326" s="189">
        <f>0.1/0.07</f>
        <v>1.4285714285714286</v>
      </c>
      <c r="BS326" s="189">
        <f>0.1/0.07</f>
        <v>1.4285714285714286</v>
      </c>
      <c r="BT326" s="188" t="s">
        <v>258</v>
      </c>
      <c r="BU326" s="102"/>
      <c r="BV326" s="196">
        <v>1515</v>
      </c>
      <c r="BW326" s="190" t="s">
        <v>461</v>
      </c>
      <c r="BX326" s="189">
        <f>177/1515</f>
        <v>0.11683168316831684</v>
      </c>
      <c r="BY326" s="189">
        <f>177/1515</f>
        <v>0.11683168316831684</v>
      </c>
      <c r="BZ326" s="188" t="s">
        <v>258</v>
      </c>
      <c r="CA326" s="207"/>
      <c r="CB326" s="180"/>
      <c r="CC326" s="178"/>
      <c r="CD326" s="178"/>
      <c r="CE326" s="180"/>
      <c r="CF326" s="180"/>
      <c r="CG326" s="180"/>
      <c r="CH326" s="180"/>
      <c r="CI326" s="178"/>
      <c r="CJ326" s="178"/>
      <c r="CK326" s="180"/>
      <c r="CL326" s="180"/>
      <c r="CM326" s="180"/>
      <c r="CN326" s="116"/>
      <c r="CO326" s="218">
        <f t="shared" ref="CO326:CO389" si="135">BM326</f>
        <v>0.33333333333333331</v>
      </c>
      <c r="CP326" s="100">
        <f t="shared" ref="CP326:CP389" si="136">(CO326+CQ326)/2</f>
        <v>0.33333333333333331</v>
      </c>
      <c r="CQ326" s="218">
        <f t="shared" ref="CQ326:CQ389" si="137">BN326</f>
        <v>0.33333333333333331</v>
      </c>
      <c r="DF326" s="116"/>
      <c r="DG326" s="116"/>
      <c r="DH326" s="116"/>
      <c r="DI326" s="116"/>
      <c r="DL326" s="116"/>
    </row>
    <row r="327" spans="15:117" s="101" customFormat="1" ht="18.75" hidden="1" thickBot="1" x14ac:dyDescent="0.3">
      <c r="BI327" s="203" t="s">
        <v>460</v>
      </c>
      <c r="BJ327" s="190" t="s">
        <v>49</v>
      </c>
      <c r="BK327" s="196">
        <f>2.3/1000</f>
        <v>2.3E-3</v>
      </c>
      <c r="BL327" s="190" t="s">
        <v>416</v>
      </c>
      <c r="BM327" s="189">
        <f>0.9/2.3</f>
        <v>0.39130434782608697</v>
      </c>
      <c r="BN327" s="189">
        <f>0.9/2.3</f>
        <v>0.39130434782608697</v>
      </c>
      <c r="BO327" s="188" t="s">
        <v>258</v>
      </c>
      <c r="BP327" s="196">
        <f>0.21/1000</f>
        <v>2.0999999999999998E-4</v>
      </c>
      <c r="BQ327" s="190" t="s">
        <v>417</v>
      </c>
      <c r="BR327" s="189">
        <f>0.1/0.21</f>
        <v>0.47619047619047622</v>
      </c>
      <c r="BS327" s="189">
        <f>0.1/0.21</f>
        <v>0.47619047619047622</v>
      </c>
      <c r="BT327" s="188" t="s">
        <v>258</v>
      </c>
      <c r="BU327" s="102"/>
      <c r="BV327" s="196">
        <v>1613</v>
      </c>
      <c r="BW327" s="190" t="s">
        <v>461</v>
      </c>
      <c r="BX327" s="189">
        <f>95/1613</f>
        <v>5.8896466212027279E-2</v>
      </c>
      <c r="BY327" s="189">
        <f>95/1613</f>
        <v>5.8896466212027279E-2</v>
      </c>
      <c r="BZ327" s="188" t="s">
        <v>258</v>
      </c>
      <c r="CA327" s="207"/>
      <c r="CB327" s="180"/>
      <c r="CC327" s="178"/>
      <c r="CD327" s="178"/>
      <c r="CE327" s="180"/>
      <c r="CF327" s="180"/>
      <c r="CG327" s="180"/>
      <c r="CH327" s="180"/>
      <c r="CI327" s="178"/>
      <c r="CJ327" s="178"/>
      <c r="CK327" s="180"/>
      <c r="CL327" s="180"/>
      <c r="CM327" s="180"/>
      <c r="CN327" s="116"/>
      <c r="CO327" s="218">
        <f t="shared" si="135"/>
        <v>0.39130434782608697</v>
      </c>
      <c r="CP327" s="100">
        <f t="shared" si="136"/>
        <v>0.39130434782608697</v>
      </c>
      <c r="CQ327" s="218">
        <f t="shared" si="137"/>
        <v>0.39130434782608697</v>
      </c>
      <c r="DF327" s="116"/>
      <c r="DG327" s="116"/>
      <c r="DH327" s="116"/>
      <c r="DI327" s="116"/>
      <c r="DL327" s="116"/>
    </row>
    <row r="328" spans="15:117" s="101" customFormat="1" hidden="1" x14ac:dyDescent="0.25">
      <c r="BI328" s="102"/>
      <c r="BJ328" s="178"/>
      <c r="BK328" s="178"/>
      <c r="BL328" s="178"/>
      <c r="BM328" s="169"/>
      <c r="BN328" s="169"/>
      <c r="BO328" s="169"/>
      <c r="BP328" s="206"/>
      <c r="BQ328" s="178"/>
      <c r="BR328" s="206"/>
      <c r="BS328" s="206"/>
      <c r="BT328" s="206"/>
      <c r="BU328" s="206"/>
      <c r="BV328" s="207"/>
      <c r="BW328" s="206"/>
      <c r="BX328" s="206"/>
      <c r="BY328" s="207"/>
      <c r="BZ328" s="207"/>
      <c r="CA328" s="207"/>
      <c r="CB328" s="180"/>
      <c r="CC328" s="178"/>
      <c r="CD328" s="178"/>
      <c r="CE328" s="180"/>
      <c r="CF328" s="180"/>
      <c r="CG328" s="180"/>
      <c r="CH328" s="180"/>
      <c r="CI328" s="178"/>
      <c r="CJ328" s="178"/>
      <c r="CK328" s="180"/>
      <c r="CL328" s="180"/>
      <c r="CM328" s="180"/>
      <c r="CN328" s="116"/>
      <c r="CO328" s="218">
        <f t="shared" si="135"/>
        <v>0</v>
      </c>
      <c r="CP328" s="100">
        <f t="shared" si="136"/>
        <v>0</v>
      </c>
      <c r="CQ328" s="218">
        <f t="shared" si="137"/>
        <v>0</v>
      </c>
      <c r="DF328" s="116"/>
      <c r="DG328" s="116"/>
      <c r="DH328" s="116"/>
      <c r="DI328" s="116"/>
      <c r="DK328" s="101" t="s">
        <v>109</v>
      </c>
      <c r="DL328" s="101" t="s">
        <v>110</v>
      </c>
      <c r="DM328" s="101" t="s">
        <v>107</v>
      </c>
    </row>
    <row r="329" spans="15:117" s="101" customFormat="1" ht="15.75" hidden="1" thickBot="1" x14ac:dyDescent="0.3">
      <c r="BI329" s="102"/>
      <c r="BJ329" s="178"/>
      <c r="BK329" s="178"/>
      <c r="BL329" s="178"/>
      <c r="BM329" s="169"/>
      <c r="BN329" s="169"/>
      <c r="BO329" s="169"/>
      <c r="BP329" s="206"/>
      <c r="BQ329" s="206"/>
      <c r="BR329" s="206"/>
      <c r="BS329" s="206"/>
      <c r="BT329" s="206"/>
      <c r="BU329" s="206"/>
      <c r="BV329" s="207"/>
      <c r="BW329" s="206"/>
      <c r="BX329" s="206"/>
      <c r="BY329" s="207"/>
      <c r="BZ329" s="207"/>
      <c r="CA329" s="207"/>
      <c r="CB329" s="180"/>
      <c r="CC329" s="178"/>
      <c r="CD329" s="178"/>
      <c r="CE329" s="180"/>
      <c r="CF329" s="180"/>
      <c r="CG329" s="180"/>
      <c r="CH329" s="180"/>
      <c r="CI329" s="178"/>
      <c r="CJ329" s="178"/>
      <c r="CK329" s="180"/>
      <c r="CL329" s="180"/>
      <c r="CM329" s="180"/>
      <c r="CN329" s="116"/>
      <c r="CO329" s="218">
        <f t="shared" si="135"/>
        <v>0</v>
      </c>
      <c r="CP329" s="100">
        <f t="shared" si="136"/>
        <v>0</v>
      </c>
      <c r="CQ329" s="218">
        <f t="shared" si="137"/>
        <v>0</v>
      </c>
      <c r="DF329" s="116"/>
      <c r="DG329" s="116"/>
      <c r="DH329" s="116"/>
      <c r="DI329" s="116"/>
      <c r="DK329" s="101">
        <v>1.4999999999999999E-2</v>
      </c>
      <c r="DL329" s="101">
        <v>7.0000000000000001E-3</v>
      </c>
      <c r="DM329" s="101">
        <f>+DE318*DF318*DJ318*DK329*DL329*310</f>
        <v>1.4647500000000001E-2</v>
      </c>
    </row>
    <row r="330" spans="15:117" s="101" customFormat="1" hidden="1" x14ac:dyDescent="0.25">
      <c r="BI330" s="1606" t="s">
        <v>261</v>
      </c>
      <c r="BJ330" s="251"/>
      <c r="BK330" s="1606" t="s">
        <v>282</v>
      </c>
      <c r="BL330" s="251"/>
      <c r="BM330" s="1606" t="s">
        <v>233</v>
      </c>
      <c r="BN330" s="1606" t="s">
        <v>233</v>
      </c>
      <c r="BO330" s="1606" t="s">
        <v>240</v>
      </c>
      <c r="BP330" s="206"/>
      <c r="BQ330" s="206"/>
      <c r="BR330" s="206"/>
      <c r="BS330" s="206"/>
      <c r="BT330" s="206"/>
      <c r="BU330" s="206"/>
      <c r="BV330" s="207"/>
      <c r="BW330" s="206"/>
      <c r="BX330" s="206"/>
      <c r="BY330" s="207"/>
      <c r="BZ330" s="207"/>
      <c r="CA330" s="207"/>
      <c r="CB330" s="180"/>
      <c r="CC330" s="178"/>
      <c r="CD330" s="178"/>
      <c r="CE330" s="180"/>
      <c r="CF330" s="180"/>
      <c r="CG330" s="180"/>
      <c r="CH330" s="180"/>
      <c r="CI330" s="178"/>
      <c r="CJ330" s="178"/>
      <c r="CK330" s="180"/>
      <c r="CL330" s="180"/>
      <c r="CM330" s="180"/>
      <c r="CN330" s="116"/>
      <c r="CO330" s="218" t="str">
        <f t="shared" si="135"/>
        <v>Incertidumbre (+/- %)</v>
      </c>
      <c r="CP330" s="100" t="e">
        <f t="shared" si="136"/>
        <v>#VALUE!</v>
      </c>
      <c r="CQ330" s="218" t="str">
        <f t="shared" si="137"/>
        <v>Incertidumbre (+/- %)</v>
      </c>
      <c r="DF330" s="116"/>
      <c r="DG330" s="116"/>
      <c r="DH330" s="116"/>
      <c r="DI330" s="116"/>
    </row>
    <row r="331" spans="15:117" s="101" customFormat="1" ht="15.75" hidden="1" thickBot="1" x14ac:dyDescent="0.3">
      <c r="BI331" s="1607"/>
      <c r="BJ331" s="252" t="s">
        <v>253</v>
      </c>
      <c r="BK331" s="1607"/>
      <c r="BL331" s="252" t="s">
        <v>251</v>
      </c>
      <c r="BM331" s="1607"/>
      <c r="BN331" s="1607"/>
      <c r="BO331" s="1607"/>
      <c r="BP331" s="206"/>
      <c r="BQ331" s="206"/>
      <c r="BR331" s="206"/>
      <c r="BS331" s="206"/>
      <c r="BT331" s="206"/>
      <c r="BU331" s="206"/>
      <c r="BV331" s="207"/>
      <c r="BW331" s="206"/>
      <c r="BX331" s="206"/>
      <c r="BY331" s="207"/>
      <c r="BZ331" s="207"/>
      <c r="CA331" s="207"/>
      <c r="CB331" s="180"/>
      <c r="CC331" s="178"/>
      <c r="CD331" s="178"/>
      <c r="CE331" s="180"/>
      <c r="CF331" s="180"/>
      <c r="CG331" s="180"/>
      <c r="CH331" s="180"/>
      <c r="CI331" s="178"/>
      <c r="CJ331" s="178"/>
      <c r="CK331" s="180"/>
      <c r="CL331" s="180"/>
      <c r="CM331" s="180"/>
      <c r="CN331" s="116"/>
      <c r="CO331" s="218">
        <f t="shared" si="135"/>
        <v>0</v>
      </c>
      <c r="CP331" s="100">
        <f t="shared" si="136"/>
        <v>0</v>
      </c>
      <c r="CQ331" s="218">
        <f t="shared" si="137"/>
        <v>0</v>
      </c>
      <c r="DF331" s="116"/>
      <c r="DG331" s="116"/>
      <c r="DH331" s="116"/>
      <c r="DI331" s="116"/>
      <c r="DM331" s="101">
        <f>+DE318*DF318*DJ318*DK329*DL329*298</f>
        <v>1.4080500000000001E-2</v>
      </c>
    </row>
    <row r="332" spans="15:117" s="101" customFormat="1" ht="18.75" hidden="1" thickBot="1" x14ac:dyDescent="0.3">
      <c r="BI332" s="203" t="s">
        <v>450</v>
      </c>
      <c r="BJ332" s="190" t="s">
        <v>419</v>
      </c>
      <c r="BK332" s="196">
        <v>3.6666999999999998E-2</v>
      </c>
      <c r="BL332" s="190" t="s">
        <v>453</v>
      </c>
      <c r="BM332" s="189">
        <v>0.1</v>
      </c>
      <c r="BN332" s="189">
        <v>3</v>
      </c>
      <c r="BO332" s="188" t="s">
        <v>258</v>
      </c>
      <c r="BP332" s="206"/>
      <c r="BQ332" s="206"/>
      <c r="BR332" s="206"/>
      <c r="BS332" s="206"/>
      <c r="BT332" s="206"/>
      <c r="BU332" s="206"/>
      <c r="BV332" s="207"/>
      <c r="BW332" s="206"/>
      <c r="BX332" s="206"/>
      <c r="BY332" s="207"/>
      <c r="BZ332" s="207"/>
      <c r="CA332" s="207"/>
      <c r="CB332" s="180"/>
      <c r="CC332" s="178"/>
      <c r="CD332" s="178"/>
      <c r="CE332" s="180"/>
      <c r="CF332" s="180"/>
      <c r="CG332" s="180"/>
      <c r="CH332" s="180"/>
      <c r="CI332" s="178"/>
      <c r="CJ332" s="178"/>
      <c r="CK332" s="180"/>
      <c r="CL332" s="180"/>
      <c r="CM332" s="180"/>
      <c r="CN332" s="116"/>
      <c r="CO332" s="218">
        <f t="shared" si="135"/>
        <v>0.1</v>
      </c>
      <c r="CP332" s="100">
        <f t="shared" si="136"/>
        <v>1.55</v>
      </c>
      <c r="CQ332" s="218">
        <f t="shared" si="137"/>
        <v>3</v>
      </c>
      <c r="DF332" s="116"/>
      <c r="DG332" s="116"/>
      <c r="DH332" s="116"/>
      <c r="DI332" s="116"/>
    </row>
    <row r="333" spans="15:117" s="101" customFormat="1" ht="18.75" hidden="1" thickBot="1" x14ac:dyDescent="0.3">
      <c r="BI333" s="203" t="s">
        <v>451</v>
      </c>
      <c r="BJ333" s="190" t="s">
        <v>419</v>
      </c>
      <c r="BK333" s="196">
        <v>7.3332999999999995E-2</v>
      </c>
      <c r="BL333" s="190" t="s">
        <v>453</v>
      </c>
      <c r="BM333" s="189">
        <v>0.35</v>
      </c>
      <c r="BN333" s="189">
        <v>3</v>
      </c>
      <c r="BO333" s="188" t="s">
        <v>258</v>
      </c>
      <c r="BP333" s="206"/>
      <c r="BQ333" s="206"/>
      <c r="BR333" s="206"/>
      <c r="BS333" s="206"/>
      <c r="BT333" s="206"/>
      <c r="BU333" s="206"/>
      <c r="BV333" s="207"/>
      <c r="BW333" s="206"/>
      <c r="BX333" s="206"/>
      <c r="BY333" s="207"/>
      <c r="BZ333" s="207"/>
      <c r="CA333" s="207"/>
      <c r="CB333" s="180"/>
      <c r="CC333" s="178"/>
      <c r="CD333" s="178"/>
      <c r="CE333" s="180"/>
      <c r="CF333" s="180"/>
      <c r="CG333" s="180"/>
      <c r="CH333" s="180"/>
      <c r="CI333" s="178"/>
      <c r="CJ333" s="178"/>
      <c r="CK333" s="180"/>
      <c r="CL333" s="180"/>
      <c r="CM333" s="180"/>
      <c r="CN333" s="116"/>
      <c r="CO333" s="218">
        <f t="shared" si="135"/>
        <v>0.35</v>
      </c>
      <c r="CP333" s="100">
        <f t="shared" si="136"/>
        <v>1.675</v>
      </c>
      <c r="CQ333" s="218">
        <f t="shared" si="137"/>
        <v>3</v>
      </c>
      <c r="DF333" s="116"/>
      <c r="DG333" s="116"/>
      <c r="DH333" s="116"/>
      <c r="DI333" s="116"/>
    </row>
    <row r="334" spans="15:117" s="101" customFormat="1" ht="18.75" hidden="1" thickBot="1" x14ac:dyDescent="0.3">
      <c r="BI334" s="203" t="s">
        <v>452</v>
      </c>
      <c r="BJ334" s="190" t="s">
        <v>419</v>
      </c>
      <c r="BK334" s="196">
        <v>3.6666999999999998E-2</v>
      </c>
      <c r="BL334" s="190" t="s">
        <v>453</v>
      </c>
      <c r="BM334" s="189">
        <v>0.33329999999999999</v>
      </c>
      <c r="BN334" s="189">
        <v>3</v>
      </c>
      <c r="BO334" s="188" t="s">
        <v>258</v>
      </c>
      <c r="BP334" s="206"/>
      <c r="BQ334" s="206"/>
      <c r="BR334" s="206"/>
      <c r="BS334" s="206"/>
      <c r="BT334" s="206"/>
      <c r="BU334" s="206"/>
      <c r="BV334" s="207"/>
      <c r="BW334" s="206"/>
      <c r="BX334" s="206"/>
      <c r="BY334" s="207"/>
      <c r="BZ334" s="207"/>
      <c r="CA334" s="207"/>
      <c r="CB334" s="180"/>
      <c r="CC334" s="178"/>
      <c r="CD334" s="178"/>
      <c r="CE334" s="180"/>
      <c r="CF334" s="180"/>
      <c r="CG334" s="180"/>
      <c r="CH334" s="180"/>
      <c r="CI334" s="178"/>
      <c r="CJ334" s="178"/>
      <c r="CK334" s="180"/>
      <c r="CL334" s="180"/>
      <c r="CM334" s="180"/>
      <c r="CN334" s="116"/>
      <c r="CO334" s="218">
        <f t="shared" si="135"/>
        <v>0.33329999999999999</v>
      </c>
      <c r="CP334" s="100">
        <f t="shared" si="136"/>
        <v>1.66665</v>
      </c>
      <c r="CQ334" s="218">
        <f t="shared" si="137"/>
        <v>3</v>
      </c>
      <c r="DF334" s="116"/>
      <c r="DG334" s="116"/>
      <c r="DH334" s="116"/>
      <c r="DI334" s="116"/>
    </row>
    <row r="335" spans="15:117" s="101" customFormat="1" ht="18.75" hidden="1" thickBot="1" x14ac:dyDescent="0.3">
      <c r="BI335" s="203" t="s">
        <v>449</v>
      </c>
      <c r="BJ335" s="190" t="s">
        <v>419</v>
      </c>
      <c r="BK335" s="196">
        <v>1.0999999999999999E-2</v>
      </c>
      <c r="BL335" s="190" t="s">
        <v>453</v>
      </c>
      <c r="BM335" s="189">
        <v>0.01</v>
      </c>
      <c r="BN335" s="189">
        <v>2</v>
      </c>
      <c r="BO335" s="188" t="s">
        <v>258</v>
      </c>
      <c r="BP335" s="206"/>
      <c r="BQ335" s="196">
        <v>3.3525000000000005</v>
      </c>
      <c r="BR335" s="190" t="s">
        <v>420</v>
      </c>
      <c r="BS335" s="206"/>
      <c r="BT335" s="206"/>
      <c r="BU335" s="206"/>
      <c r="BV335" s="207"/>
      <c r="BW335" s="206"/>
      <c r="BX335" s="206"/>
      <c r="BY335" s="207"/>
      <c r="BZ335" s="207"/>
      <c r="CA335" s="207"/>
      <c r="CB335" s="180"/>
      <c r="CC335" s="178"/>
      <c r="CD335" s="178"/>
      <c r="CE335" s="180"/>
      <c r="CF335" s="180"/>
      <c r="CG335" s="180"/>
      <c r="CH335" s="180"/>
      <c r="CI335" s="178"/>
      <c r="CJ335" s="178"/>
      <c r="CK335" s="180"/>
      <c r="CL335" s="180"/>
      <c r="CM335" s="180"/>
      <c r="CN335" s="116"/>
      <c r="CO335" s="218">
        <f t="shared" si="135"/>
        <v>0.01</v>
      </c>
      <c r="CP335" s="100">
        <f t="shared" si="136"/>
        <v>1.0049999999999999</v>
      </c>
      <c r="CQ335" s="218">
        <f t="shared" si="137"/>
        <v>2</v>
      </c>
      <c r="DF335" s="116"/>
      <c r="DG335" s="116"/>
      <c r="DH335" s="116"/>
      <c r="DI335" s="116"/>
    </row>
    <row r="336" spans="15:117" s="101" customFormat="1" ht="18.75" hidden="1" thickBot="1" x14ac:dyDescent="0.3">
      <c r="BI336" s="203" t="s">
        <v>456</v>
      </c>
      <c r="BJ336" s="190" t="s">
        <v>455</v>
      </c>
      <c r="BK336" s="196">
        <f>0.12*(44/12)</f>
        <v>0.43999999999999995</v>
      </c>
      <c r="BL336" s="190" t="s">
        <v>454</v>
      </c>
      <c r="BM336" s="189">
        <v>0.01</v>
      </c>
      <c r="BN336" s="189">
        <v>0.5</v>
      </c>
      <c r="BO336" s="188" t="s">
        <v>258</v>
      </c>
      <c r="BP336" s="206"/>
      <c r="BQ336" s="206"/>
      <c r="BR336" s="206"/>
      <c r="BS336" s="206"/>
      <c r="BT336" s="206"/>
      <c r="BU336" s="206"/>
      <c r="BV336" s="207"/>
      <c r="BW336" s="206"/>
      <c r="BX336" s="206"/>
      <c r="BY336" s="207"/>
      <c r="BZ336" s="207"/>
      <c r="CA336" s="207"/>
      <c r="CB336" s="180"/>
      <c r="CC336" s="178"/>
      <c r="CD336" s="178"/>
      <c r="CE336" s="180"/>
      <c r="CF336" s="180"/>
      <c r="CG336" s="180"/>
      <c r="CH336" s="180"/>
      <c r="CI336" s="178"/>
      <c r="CJ336" s="178"/>
      <c r="CK336" s="180"/>
      <c r="CL336" s="180"/>
      <c r="CM336" s="180"/>
      <c r="CN336" s="116"/>
      <c r="CO336" s="218">
        <f t="shared" si="135"/>
        <v>0.01</v>
      </c>
      <c r="CP336" s="100">
        <f t="shared" si="136"/>
        <v>0.255</v>
      </c>
      <c r="CQ336" s="218">
        <f t="shared" si="137"/>
        <v>0.5</v>
      </c>
      <c r="DF336" s="116"/>
      <c r="DG336" s="116"/>
      <c r="DH336" s="116"/>
      <c r="DI336" s="116"/>
    </row>
    <row r="337" spans="61:119" s="101" customFormat="1" ht="18.75" hidden="1" thickBot="1" x14ac:dyDescent="0.3">
      <c r="BI337" s="203" t="s">
        <v>457</v>
      </c>
      <c r="BJ337" s="190" t="s">
        <v>455</v>
      </c>
      <c r="BK337" s="196">
        <f>0.13*(44/12)</f>
        <v>0.47666666666666668</v>
      </c>
      <c r="BL337" s="190" t="s">
        <v>454</v>
      </c>
      <c r="BM337" s="189">
        <v>0.01</v>
      </c>
      <c r="BN337" s="189">
        <v>0.5</v>
      </c>
      <c r="BO337" s="188" t="s">
        <v>258</v>
      </c>
      <c r="BP337" s="206"/>
      <c r="BQ337" s="206"/>
      <c r="BR337" s="206"/>
      <c r="BS337" s="206"/>
      <c r="BT337" s="206"/>
      <c r="BU337" s="206"/>
      <c r="BV337" s="207"/>
      <c r="BW337" s="206"/>
      <c r="BX337" s="206"/>
      <c r="BY337" s="207"/>
      <c r="BZ337" s="207"/>
      <c r="CA337" s="207"/>
      <c r="CB337" s="180"/>
      <c r="CC337" s="178"/>
      <c r="CD337" s="178"/>
      <c r="CE337" s="180"/>
      <c r="CF337" s="180"/>
      <c r="CG337" s="180"/>
      <c r="CH337" s="180"/>
      <c r="CI337" s="178"/>
      <c r="CJ337" s="178"/>
      <c r="CK337" s="180"/>
      <c r="CL337" s="180"/>
      <c r="CM337" s="180"/>
      <c r="CN337" s="116"/>
      <c r="CO337" s="218">
        <f t="shared" si="135"/>
        <v>0.01</v>
      </c>
      <c r="CP337" s="100">
        <f t="shared" si="136"/>
        <v>0.255</v>
      </c>
      <c r="CQ337" s="218">
        <f t="shared" si="137"/>
        <v>0.5</v>
      </c>
      <c r="DF337" s="116"/>
      <c r="DG337" s="116"/>
      <c r="DH337" s="116"/>
      <c r="DI337" s="116"/>
    </row>
    <row r="338" spans="61:119" s="101" customFormat="1" ht="18.75" hidden="1" thickBot="1" x14ac:dyDescent="0.3">
      <c r="BI338" s="203" t="s">
        <v>493</v>
      </c>
      <c r="BJ338" s="190" t="s">
        <v>458</v>
      </c>
      <c r="BK338" s="196">
        <f>0.2*(44/12)</f>
        <v>0.73333333333333339</v>
      </c>
      <c r="BL338" s="190" t="s">
        <v>459</v>
      </c>
      <c r="BM338" s="189">
        <v>0.01</v>
      </c>
      <c r="BN338" s="189">
        <v>0.5</v>
      </c>
      <c r="BO338" s="188" t="s">
        <v>258</v>
      </c>
      <c r="BP338" s="206"/>
      <c r="BQ338" s="196"/>
      <c r="BR338" s="190"/>
      <c r="BS338" s="206"/>
      <c r="BT338" s="206"/>
      <c r="BU338" s="206"/>
      <c r="BV338" s="207"/>
      <c r="BW338" s="206"/>
      <c r="BX338" s="206"/>
      <c r="BY338" s="207"/>
      <c r="BZ338" s="207"/>
      <c r="CA338" s="207"/>
      <c r="CB338" s="180"/>
      <c r="CC338" s="178"/>
      <c r="CD338" s="178"/>
      <c r="CE338" s="180"/>
      <c r="CF338" s="180"/>
      <c r="CG338" s="180"/>
      <c r="CH338" s="180"/>
      <c r="CI338" s="178"/>
      <c r="CJ338" s="178"/>
      <c r="CK338" s="180"/>
      <c r="CL338" s="180"/>
      <c r="CM338" s="180"/>
      <c r="CN338" s="116"/>
      <c r="CO338" s="218">
        <f t="shared" si="135"/>
        <v>0.01</v>
      </c>
      <c r="CP338" s="100">
        <f t="shared" si="136"/>
        <v>0.255</v>
      </c>
      <c r="CQ338" s="218">
        <f t="shared" si="137"/>
        <v>0.5</v>
      </c>
      <c r="CR338" s="101">
        <v>0.5</v>
      </c>
      <c r="CS338" s="101">
        <v>1</v>
      </c>
      <c r="DF338" s="116"/>
      <c r="DG338" s="116"/>
      <c r="DH338" s="116"/>
      <c r="DI338" s="116"/>
    </row>
    <row r="339" spans="61:119" s="101" customFormat="1" hidden="1" x14ac:dyDescent="0.25">
      <c r="BI339" s="102"/>
      <c r="BJ339" s="178"/>
      <c r="BK339" s="178"/>
      <c r="BL339" s="178"/>
      <c r="BM339" s="169"/>
      <c r="BN339" s="169"/>
      <c r="BO339" s="169"/>
      <c r="BP339" s="206"/>
      <c r="BQ339" s="206"/>
      <c r="BR339" s="206"/>
      <c r="BS339" s="206"/>
      <c r="BT339" s="206"/>
      <c r="BU339" s="206"/>
      <c r="BV339" s="207"/>
      <c r="BW339" s="206"/>
      <c r="BX339" s="206"/>
      <c r="BY339" s="207"/>
      <c r="BZ339" s="207"/>
      <c r="CA339" s="207"/>
      <c r="CB339" s="180"/>
      <c r="CC339" s="178"/>
      <c r="CD339" s="178"/>
      <c r="CE339" s="180"/>
      <c r="CF339" s="180"/>
      <c r="CG339" s="180"/>
      <c r="CH339" s="180"/>
      <c r="CI339" s="178"/>
      <c r="CJ339" s="178"/>
      <c r="CK339" s="180"/>
      <c r="CL339" s="180"/>
      <c r="CM339" s="180"/>
      <c r="CN339" s="116"/>
      <c r="CO339" s="218">
        <f t="shared" si="135"/>
        <v>0</v>
      </c>
      <c r="CP339" s="100">
        <f t="shared" si="136"/>
        <v>0</v>
      </c>
      <c r="CQ339" s="218">
        <f t="shared" si="137"/>
        <v>0</v>
      </c>
      <c r="DB339" s="101" t="s">
        <v>111</v>
      </c>
      <c r="DC339" s="101" t="s">
        <v>112</v>
      </c>
      <c r="DE339" s="101" t="s">
        <v>103</v>
      </c>
      <c r="DF339" s="116" t="s">
        <v>113</v>
      </c>
      <c r="DG339" s="116"/>
      <c r="DH339" s="116"/>
      <c r="DI339" s="116"/>
      <c r="DK339" s="101" t="s">
        <v>114</v>
      </c>
      <c r="DL339" s="124" t="s">
        <v>115</v>
      </c>
      <c r="DM339" s="115" t="s">
        <v>107</v>
      </c>
    </row>
    <row r="340" spans="61:119" s="101" customFormat="1" hidden="1" x14ac:dyDescent="0.25">
      <c r="BI340" s="102"/>
      <c r="BJ340" s="178"/>
      <c r="BK340" s="178"/>
      <c r="BL340" s="178"/>
      <c r="BM340" s="169"/>
      <c r="BN340" s="169"/>
      <c r="BO340" s="169"/>
      <c r="BP340" s="206"/>
      <c r="BQ340" s="206"/>
      <c r="BR340" s="206"/>
      <c r="BS340" s="206"/>
      <c r="BT340" s="206"/>
      <c r="BU340" s="206"/>
      <c r="BV340" s="207"/>
      <c r="BW340" s="206"/>
      <c r="BX340" s="206"/>
      <c r="BY340" s="207"/>
      <c r="BZ340" s="207"/>
      <c r="CA340" s="207"/>
      <c r="CB340" s="180"/>
      <c r="CC340" s="178"/>
      <c r="CD340" s="178"/>
      <c r="CE340" s="180"/>
      <c r="CF340" s="180"/>
      <c r="CG340" s="180"/>
      <c r="CH340" s="180"/>
      <c r="CI340" s="178"/>
      <c r="CJ340" s="178"/>
      <c r="CK340" s="180"/>
      <c r="CL340" s="180"/>
      <c r="CM340" s="180"/>
      <c r="CN340" s="116"/>
      <c r="CO340" s="218">
        <f t="shared" si="135"/>
        <v>0</v>
      </c>
      <c r="CP340" s="100">
        <f t="shared" si="136"/>
        <v>0</v>
      </c>
      <c r="CQ340" s="218">
        <f t="shared" si="137"/>
        <v>0</v>
      </c>
      <c r="DA340" s="101" t="s">
        <v>9</v>
      </c>
      <c r="DC340" s="101">
        <f>+DM340</f>
        <v>3.4875000000000003</v>
      </c>
      <c r="DE340" s="101">
        <v>1</v>
      </c>
      <c r="DF340" s="116">
        <v>0.9</v>
      </c>
      <c r="DG340" s="116"/>
      <c r="DH340" s="116"/>
      <c r="DI340" s="116"/>
      <c r="DK340" s="101">
        <v>1.2500000000000001E-2</v>
      </c>
      <c r="DL340" s="101">
        <v>310</v>
      </c>
      <c r="DM340" s="101">
        <f>+DF340*DK340*DL340</f>
        <v>3.4875000000000003</v>
      </c>
    </row>
    <row r="341" spans="61:119" s="101" customFormat="1" hidden="1" x14ac:dyDescent="0.25">
      <c r="BI341" s="102"/>
      <c r="BJ341" s="178"/>
      <c r="BK341" s="178"/>
      <c r="BL341" s="178"/>
      <c r="BM341" s="169"/>
      <c r="BN341" s="169"/>
      <c r="BO341" s="169"/>
      <c r="BP341" s="206"/>
      <c r="BQ341" s="206"/>
      <c r="BR341" s="206"/>
      <c r="BS341" s="206"/>
      <c r="BT341" s="206"/>
      <c r="BU341" s="206"/>
      <c r="BV341" s="207"/>
      <c r="BW341" s="206"/>
      <c r="BX341" s="206"/>
      <c r="BY341" s="207"/>
      <c r="BZ341" s="207"/>
      <c r="CA341" s="207"/>
      <c r="CB341" s="180"/>
      <c r="CC341" s="178"/>
      <c r="CD341" s="178"/>
      <c r="CE341" s="180"/>
      <c r="CF341" s="180"/>
      <c r="CG341" s="180"/>
      <c r="CH341" s="180"/>
      <c r="CI341" s="178"/>
      <c r="CJ341" s="178"/>
      <c r="CK341" s="180"/>
      <c r="CL341" s="180"/>
      <c r="CM341" s="180"/>
      <c r="CN341" s="116"/>
      <c r="CO341" s="218">
        <f t="shared" si="135"/>
        <v>0</v>
      </c>
      <c r="CP341" s="100">
        <f t="shared" si="136"/>
        <v>0</v>
      </c>
      <c r="CQ341" s="218">
        <f t="shared" si="137"/>
        <v>0</v>
      </c>
      <c r="DF341" s="116"/>
      <c r="DG341" s="116"/>
      <c r="DH341" s="116"/>
      <c r="DI341" s="116"/>
      <c r="DL341" s="101">
        <v>298</v>
      </c>
      <c r="DM341" s="101">
        <f>+DF340*DK340*DL341</f>
        <v>3.3525000000000005</v>
      </c>
    </row>
    <row r="342" spans="61:119" s="101" customFormat="1" ht="15.75" hidden="1" thickBot="1" x14ac:dyDescent="0.3">
      <c r="BI342" s="102"/>
      <c r="BJ342" s="178"/>
      <c r="BK342" s="178"/>
      <c r="BL342" s="178"/>
      <c r="BM342" s="169"/>
      <c r="BN342" s="169"/>
      <c r="BO342" s="169"/>
      <c r="BP342" s="206"/>
      <c r="BQ342" s="206"/>
      <c r="BR342" s="206"/>
      <c r="BS342" s="206"/>
      <c r="BT342" s="206"/>
      <c r="BU342" s="206"/>
      <c r="BV342" s="207"/>
      <c r="BW342" s="206"/>
      <c r="BX342" s="206"/>
      <c r="BY342" s="207"/>
      <c r="BZ342" s="207"/>
      <c r="CA342" s="207"/>
      <c r="CB342" s="180"/>
      <c r="CC342" s="178"/>
      <c r="CD342" s="178"/>
      <c r="CE342" s="180"/>
      <c r="CF342" s="180"/>
      <c r="CG342" s="180"/>
      <c r="CH342" s="180"/>
      <c r="CI342" s="178"/>
      <c r="CJ342" s="178"/>
      <c r="CK342" s="180"/>
      <c r="CL342" s="180"/>
      <c r="CM342" s="180"/>
      <c r="CN342" s="116"/>
      <c r="CO342" s="218">
        <f t="shared" si="135"/>
        <v>0</v>
      </c>
      <c r="CP342" s="100">
        <f t="shared" si="136"/>
        <v>0</v>
      </c>
      <c r="CQ342" s="218">
        <f t="shared" si="137"/>
        <v>0</v>
      </c>
      <c r="DF342" s="116"/>
      <c r="DG342" s="116"/>
      <c r="DH342" s="116"/>
      <c r="DI342" s="116"/>
    </row>
    <row r="343" spans="61:119" s="101" customFormat="1" hidden="1" x14ac:dyDescent="0.25">
      <c r="BI343" s="1606" t="s">
        <v>299</v>
      </c>
      <c r="BJ343" s="251"/>
      <c r="BK343" s="1606" t="s">
        <v>282</v>
      </c>
      <c r="BL343" s="251"/>
      <c r="BM343" s="1606" t="s">
        <v>233</v>
      </c>
      <c r="BN343" s="1606" t="s">
        <v>233</v>
      </c>
      <c r="BO343" s="1606" t="s">
        <v>240</v>
      </c>
      <c r="BP343" s="206"/>
      <c r="BQ343" s="206"/>
      <c r="BR343" s="206"/>
      <c r="BS343" s="206"/>
      <c r="BT343" s="206"/>
      <c r="BU343" s="206"/>
      <c r="BV343" s="207"/>
      <c r="BW343" s="206"/>
      <c r="BX343" s="206"/>
      <c r="BY343" s="207"/>
      <c r="BZ343" s="207"/>
      <c r="CA343" s="207"/>
      <c r="CB343" s="180"/>
      <c r="CC343" s="178"/>
      <c r="CD343" s="178"/>
      <c r="CE343" s="180"/>
      <c r="CF343" s="180"/>
      <c r="CG343" s="180"/>
      <c r="CH343" s="180"/>
      <c r="CI343" s="178"/>
      <c r="CJ343" s="178"/>
      <c r="CK343" s="180"/>
      <c r="CL343" s="180"/>
      <c r="CM343" s="180"/>
      <c r="CN343" s="116"/>
      <c r="CO343" s="218" t="str">
        <f t="shared" si="135"/>
        <v>Incertidumbre (+/- %)</v>
      </c>
      <c r="CP343" s="100" t="e">
        <f t="shared" si="136"/>
        <v>#VALUE!</v>
      </c>
      <c r="CQ343" s="218" t="str">
        <f t="shared" si="137"/>
        <v>Incertidumbre (+/- %)</v>
      </c>
      <c r="DF343" s="116"/>
      <c r="DG343" s="116"/>
      <c r="DH343" s="116"/>
      <c r="DI343" s="116"/>
    </row>
    <row r="344" spans="61:119" s="101" customFormat="1" ht="15.75" hidden="1" thickBot="1" x14ac:dyDescent="0.3">
      <c r="BI344" s="1607"/>
      <c r="BJ344" s="252" t="s">
        <v>253</v>
      </c>
      <c r="BK344" s="1607"/>
      <c r="BL344" s="252" t="s">
        <v>251</v>
      </c>
      <c r="BM344" s="1607"/>
      <c r="BN344" s="1607"/>
      <c r="BO344" s="1607"/>
      <c r="BP344" s="206"/>
      <c r="BQ344" s="206"/>
      <c r="BR344" s="206"/>
      <c r="BS344" s="206"/>
      <c r="BT344" s="206"/>
      <c r="BU344" s="206"/>
      <c r="BV344" s="207"/>
      <c r="BW344" s="206"/>
      <c r="BX344" s="206"/>
      <c r="BY344" s="207"/>
      <c r="BZ344" s="207"/>
      <c r="CA344" s="207"/>
      <c r="CB344" s="180"/>
      <c r="CC344" s="178"/>
      <c r="CD344" s="178"/>
      <c r="CE344" s="180"/>
      <c r="CF344" s="180"/>
      <c r="CG344" s="180"/>
      <c r="CH344" s="180"/>
      <c r="CI344" s="178"/>
      <c r="CJ344" s="178"/>
      <c r="CK344" s="180"/>
      <c r="CL344" s="180"/>
      <c r="CM344" s="180"/>
      <c r="CN344" s="116"/>
      <c r="CO344" s="218">
        <f t="shared" si="135"/>
        <v>0</v>
      </c>
      <c r="CP344" s="100">
        <f t="shared" si="136"/>
        <v>0</v>
      </c>
      <c r="CQ344" s="218">
        <f t="shared" si="137"/>
        <v>0</v>
      </c>
      <c r="DF344" s="116"/>
      <c r="DG344" s="116"/>
      <c r="DH344" s="116"/>
      <c r="DI344" s="116"/>
    </row>
    <row r="345" spans="61:119" s="101" customFormat="1" ht="18.75" hidden="1" thickBot="1" x14ac:dyDescent="0.3">
      <c r="BI345" s="203" t="s">
        <v>443</v>
      </c>
      <c r="BJ345" s="190" t="s">
        <v>76</v>
      </c>
      <c r="BK345" s="196">
        <v>0.19900000000000001</v>
      </c>
      <c r="BL345" s="190" t="s">
        <v>421</v>
      </c>
      <c r="BM345" s="189">
        <v>0.05</v>
      </c>
      <c r="BN345" s="189">
        <v>0.1</v>
      </c>
      <c r="BO345" s="188" t="s">
        <v>262</v>
      </c>
      <c r="BP345" s="206"/>
      <c r="BQ345" s="206"/>
      <c r="BR345" s="206"/>
      <c r="BS345" s="206"/>
      <c r="BT345" s="206"/>
      <c r="BU345" s="206"/>
      <c r="BV345" s="207"/>
      <c r="BW345" s="206"/>
      <c r="BX345" s="206"/>
      <c r="BY345" s="207"/>
      <c r="BZ345" s="207"/>
      <c r="CA345" s="207"/>
      <c r="CB345" s="180"/>
      <c r="CC345" s="178"/>
      <c r="CD345" s="178"/>
      <c r="CE345" s="180"/>
      <c r="CF345" s="180"/>
      <c r="CG345" s="180"/>
      <c r="CH345" s="180"/>
      <c r="CI345" s="178"/>
      <c r="CJ345" s="178"/>
      <c r="CK345" s="180"/>
      <c r="CL345" s="180"/>
      <c r="CM345" s="180"/>
      <c r="CN345" s="116"/>
      <c r="CO345" s="218">
        <f t="shared" si="135"/>
        <v>0.05</v>
      </c>
      <c r="CP345" s="100">
        <f t="shared" si="136"/>
        <v>7.5000000000000011E-2</v>
      </c>
      <c r="CQ345" s="218">
        <f t="shared" si="137"/>
        <v>0.1</v>
      </c>
      <c r="CR345" s="101">
        <v>0.05</v>
      </c>
      <c r="CS345" s="101">
        <v>0.1</v>
      </c>
      <c r="CZ345" s="123"/>
      <c r="DA345" s="122"/>
      <c r="DB345" s="122"/>
      <c r="DC345" s="123"/>
      <c r="DD345" s="123"/>
      <c r="DE345" s="123"/>
      <c r="DF345" s="122"/>
      <c r="DG345" s="122"/>
      <c r="DH345" s="122"/>
      <c r="DI345" s="122"/>
      <c r="DJ345" s="122"/>
      <c r="DK345" s="123"/>
      <c r="DL345" s="23"/>
      <c r="DM345" s="150"/>
      <c r="DN345" s="150"/>
      <c r="DO345" s="116"/>
    </row>
    <row r="346" spans="61:119" s="101" customFormat="1" ht="18.75" hidden="1" thickBot="1" x14ac:dyDescent="0.3">
      <c r="BI346" s="203" t="s">
        <v>191</v>
      </c>
      <c r="BJ346" s="190" t="s">
        <v>76</v>
      </c>
      <c r="BK346" s="196">
        <v>0.19</v>
      </c>
      <c r="BL346" s="190" t="s">
        <v>421</v>
      </c>
      <c r="BM346" s="189">
        <v>0.05</v>
      </c>
      <c r="BN346" s="189">
        <v>0.1</v>
      </c>
      <c r="BO346" s="188" t="s">
        <v>262</v>
      </c>
      <c r="BP346" s="206"/>
      <c r="BQ346" s="206"/>
      <c r="BR346" s="206"/>
      <c r="BS346" s="206"/>
      <c r="BT346" s="206"/>
      <c r="BU346" s="206"/>
      <c r="BV346" s="207"/>
      <c r="BW346" s="206"/>
      <c r="BX346" s="206"/>
      <c r="BY346" s="207"/>
      <c r="BZ346" s="207"/>
      <c r="CA346" s="207"/>
      <c r="CB346" s="180"/>
      <c r="CC346" s="178"/>
      <c r="CD346" s="178"/>
      <c r="CE346" s="180"/>
      <c r="CF346" s="180"/>
      <c r="CG346" s="180"/>
      <c r="CH346" s="180"/>
      <c r="CI346" s="178"/>
      <c r="CJ346" s="178"/>
      <c r="CK346" s="180"/>
      <c r="CL346" s="180"/>
      <c r="CM346" s="180"/>
      <c r="CN346" s="116"/>
      <c r="CO346" s="218">
        <f t="shared" si="135"/>
        <v>0.05</v>
      </c>
      <c r="CP346" s="100">
        <f t="shared" si="136"/>
        <v>7.5000000000000011E-2</v>
      </c>
      <c r="CQ346" s="218">
        <f t="shared" si="137"/>
        <v>0.1</v>
      </c>
      <c r="CR346" s="101">
        <v>0.05</v>
      </c>
      <c r="CS346" s="101">
        <v>0.1</v>
      </c>
      <c r="CZ346" s="123"/>
      <c r="DA346" s="122"/>
      <c r="DB346" s="122"/>
      <c r="DC346" s="123"/>
      <c r="DD346" s="123"/>
      <c r="DE346" s="123"/>
      <c r="DF346" s="122"/>
      <c r="DG346" s="122"/>
      <c r="DH346" s="122"/>
      <c r="DI346" s="122"/>
      <c r="DJ346" s="122"/>
      <c r="DK346" s="123"/>
      <c r="DL346" s="23"/>
      <c r="DM346" s="150"/>
      <c r="DN346" s="150"/>
      <c r="DO346" s="116"/>
    </row>
    <row r="347" spans="61:119" s="101" customFormat="1" ht="18.75" hidden="1" thickBot="1" x14ac:dyDescent="0.3">
      <c r="BI347" s="203" t="s">
        <v>444</v>
      </c>
      <c r="BJ347" s="190" t="s">
        <v>76</v>
      </c>
      <c r="BK347" s="196">
        <v>0.2</v>
      </c>
      <c r="BL347" s="190" t="s">
        <v>421</v>
      </c>
      <c r="BM347" s="189">
        <v>0.05</v>
      </c>
      <c r="BN347" s="189">
        <v>0.1</v>
      </c>
      <c r="BO347" s="188" t="s">
        <v>262</v>
      </c>
      <c r="BP347" s="206"/>
      <c r="BQ347" s="206"/>
      <c r="BR347" s="206"/>
      <c r="BS347" s="206"/>
      <c r="BT347" s="206"/>
      <c r="BU347" s="206"/>
      <c r="BV347" s="207"/>
      <c r="BW347" s="206"/>
      <c r="BX347" s="206"/>
      <c r="BY347" s="207"/>
      <c r="BZ347" s="207"/>
      <c r="CA347" s="207"/>
      <c r="CB347" s="180"/>
      <c r="CC347" s="178"/>
      <c r="CD347" s="178"/>
      <c r="CE347" s="180"/>
      <c r="CF347" s="180"/>
      <c r="CG347" s="180"/>
      <c r="CH347" s="180"/>
      <c r="CI347" s="178"/>
      <c r="CJ347" s="178"/>
      <c r="CK347" s="180"/>
      <c r="CL347" s="180"/>
      <c r="CM347" s="180"/>
      <c r="CN347" s="116"/>
      <c r="CO347" s="218">
        <f t="shared" si="135"/>
        <v>0.05</v>
      </c>
      <c r="CP347" s="100">
        <f t="shared" si="136"/>
        <v>7.5000000000000011E-2</v>
      </c>
      <c r="CQ347" s="218">
        <f t="shared" si="137"/>
        <v>0.1</v>
      </c>
      <c r="CZ347" s="123"/>
      <c r="DA347" s="122"/>
      <c r="DB347" s="122"/>
      <c r="DC347" s="123"/>
      <c r="DD347" s="123"/>
      <c r="DE347" s="123"/>
      <c r="DF347" s="122"/>
      <c r="DG347" s="122"/>
      <c r="DH347" s="122"/>
      <c r="DI347" s="122"/>
      <c r="DJ347" s="122"/>
      <c r="DK347" s="123"/>
      <c r="DL347" s="23"/>
      <c r="DM347" s="150"/>
      <c r="DN347" s="150"/>
      <c r="DO347" s="116"/>
    </row>
    <row r="348" spans="61:119" s="101" customFormat="1" ht="18.75" hidden="1" thickBot="1" x14ac:dyDescent="0.3">
      <c r="BI348" s="203" t="s">
        <v>445</v>
      </c>
      <c r="BJ348" s="190" t="s">
        <v>76</v>
      </c>
      <c r="BK348" s="196">
        <v>0.15</v>
      </c>
      <c r="BL348" s="190" t="s">
        <v>421</v>
      </c>
      <c r="BM348" s="189">
        <v>0.05</v>
      </c>
      <c r="BN348" s="189">
        <v>0.1</v>
      </c>
      <c r="BO348" s="188" t="s">
        <v>262</v>
      </c>
      <c r="BP348" s="206"/>
      <c r="BQ348" s="206"/>
      <c r="BR348" s="206"/>
      <c r="BS348" s="206"/>
      <c r="BT348" s="206"/>
      <c r="BU348" s="206"/>
      <c r="BV348" s="207"/>
      <c r="BW348" s="206"/>
      <c r="BX348" s="206"/>
      <c r="BY348" s="207"/>
      <c r="BZ348" s="207"/>
      <c r="CA348" s="207"/>
      <c r="CB348" s="180"/>
      <c r="CC348" s="178"/>
      <c r="CD348" s="178"/>
      <c r="CE348" s="180"/>
      <c r="CF348" s="180"/>
      <c r="CG348" s="180"/>
      <c r="CH348" s="180"/>
      <c r="CI348" s="178"/>
      <c r="CJ348" s="178"/>
      <c r="CK348" s="180"/>
      <c r="CL348" s="180"/>
      <c r="CM348" s="180"/>
      <c r="CN348" s="116"/>
      <c r="CO348" s="218">
        <f t="shared" si="135"/>
        <v>0.05</v>
      </c>
      <c r="CP348" s="100">
        <f t="shared" si="136"/>
        <v>7.5000000000000011E-2</v>
      </c>
      <c r="CQ348" s="218">
        <f t="shared" si="137"/>
        <v>0.1</v>
      </c>
      <c r="CZ348" s="123"/>
      <c r="DA348" s="122"/>
      <c r="DB348" s="122"/>
      <c r="DC348" s="123"/>
      <c r="DD348" s="123"/>
      <c r="DE348" s="123"/>
      <c r="DF348" s="122"/>
      <c r="DG348" s="122"/>
      <c r="DH348" s="122"/>
      <c r="DI348" s="122"/>
      <c r="DJ348" s="122"/>
      <c r="DK348" s="123"/>
      <c r="DL348" s="23"/>
      <c r="DM348" s="150"/>
      <c r="DN348" s="150"/>
      <c r="DO348" s="116"/>
    </row>
    <row r="349" spans="61:119" s="101" customFormat="1" ht="18.75" hidden="1" thickBot="1" x14ac:dyDescent="0.3">
      <c r="BI349" s="203" t="s">
        <v>447</v>
      </c>
      <c r="BJ349" s="190" t="s">
        <v>76</v>
      </c>
      <c r="BK349" s="196">
        <v>0.22</v>
      </c>
      <c r="BL349" s="190" t="s">
        <v>421</v>
      </c>
      <c r="BM349" s="189">
        <v>0.05</v>
      </c>
      <c r="BN349" s="189">
        <v>0.1</v>
      </c>
      <c r="BO349" s="188" t="s">
        <v>262</v>
      </c>
      <c r="BP349" s="206"/>
      <c r="BQ349" s="206"/>
      <c r="BR349" s="206"/>
      <c r="BS349" s="206"/>
      <c r="BT349" s="206"/>
      <c r="BU349" s="206"/>
      <c r="BV349" s="207"/>
      <c r="BW349" s="206"/>
      <c r="BX349" s="206"/>
      <c r="BY349" s="207"/>
      <c r="BZ349" s="207"/>
      <c r="CA349" s="207"/>
      <c r="CB349" s="180"/>
      <c r="CC349" s="178"/>
      <c r="CD349" s="178"/>
      <c r="CE349" s="180"/>
      <c r="CF349" s="180"/>
      <c r="CG349" s="180"/>
      <c r="CH349" s="180"/>
      <c r="CI349" s="178"/>
      <c r="CJ349" s="178"/>
      <c r="CK349" s="180"/>
      <c r="CL349" s="180"/>
      <c r="CM349" s="180"/>
      <c r="CN349" s="116"/>
      <c r="CO349" s="218">
        <f t="shared" si="135"/>
        <v>0.05</v>
      </c>
      <c r="CP349" s="100">
        <f t="shared" si="136"/>
        <v>7.5000000000000011E-2</v>
      </c>
      <c r="CQ349" s="218">
        <f t="shared" si="137"/>
        <v>0.1</v>
      </c>
      <c r="CZ349" s="123"/>
      <c r="DA349" s="122"/>
      <c r="DB349" s="122"/>
      <c r="DC349" s="123"/>
      <c r="DD349" s="123"/>
      <c r="DE349" s="123"/>
      <c r="DF349" s="122"/>
      <c r="DG349" s="122"/>
      <c r="DH349" s="122"/>
      <c r="DI349" s="122"/>
      <c r="DJ349" s="122"/>
      <c r="DK349" s="123"/>
      <c r="DL349" s="23"/>
      <c r="DM349" s="150"/>
      <c r="DN349" s="150"/>
      <c r="DO349" s="116"/>
    </row>
    <row r="350" spans="61:119" s="101" customFormat="1" ht="18.75" hidden="1" thickBot="1" x14ac:dyDescent="0.3">
      <c r="BI350" s="203" t="s">
        <v>446</v>
      </c>
      <c r="BJ350" s="190" t="s">
        <v>76</v>
      </c>
      <c r="BK350" s="196">
        <v>0.19</v>
      </c>
      <c r="BL350" s="190" t="s">
        <v>421</v>
      </c>
      <c r="BM350" s="189">
        <v>0.05</v>
      </c>
      <c r="BN350" s="189">
        <v>0.1</v>
      </c>
      <c r="BO350" s="188" t="s">
        <v>262</v>
      </c>
      <c r="BP350" s="206"/>
      <c r="BQ350" s="206"/>
      <c r="BR350" s="206"/>
      <c r="BS350" s="206"/>
      <c r="BT350" s="206"/>
      <c r="BU350" s="206"/>
      <c r="BV350" s="207"/>
      <c r="BW350" s="206"/>
      <c r="BX350" s="206"/>
      <c r="BY350" s="207"/>
      <c r="BZ350" s="207"/>
      <c r="CA350" s="207"/>
      <c r="CB350" s="180"/>
      <c r="CC350" s="178"/>
      <c r="CD350" s="178"/>
      <c r="CE350" s="180"/>
      <c r="CF350" s="180"/>
      <c r="CG350" s="180"/>
      <c r="CH350" s="180"/>
      <c r="CI350" s="178"/>
      <c r="CJ350" s="178"/>
      <c r="CK350" s="180"/>
      <c r="CL350" s="180"/>
      <c r="CM350" s="180"/>
      <c r="CN350" s="116"/>
      <c r="CO350" s="218">
        <f t="shared" si="135"/>
        <v>0.05</v>
      </c>
      <c r="CP350" s="100">
        <f t="shared" si="136"/>
        <v>7.5000000000000011E-2</v>
      </c>
      <c r="CQ350" s="218">
        <f t="shared" si="137"/>
        <v>0.1</v>
      </c>
      <c r="CZ350" s="123"/>
      <c r="DA350" s="122"/>
      <c r="DB350" s="122"/>
      <c r="DC350" s="123"/>
      <c r="DD350" s="123"/>
      <c r="DE350" s="123"/>
      <c r="DF350" s="122"/>
      <c r="DG350" s="122"/>
      <c r="DH350" s="122"/>
      <c r="DI350" s="122"/>
      <c r="DJ350" s="122"/>
      <c r="DK350" s="123"/>
      <c r="DL350" s="23"/>
      <c r="DM350" s="150"/>
      <c r="DN350" s="150"/>
      <c r="DO350" s="116"/>
    </row>
    <row r="351" spans="61:119" s="101" customFormat="1" ht="18.75" hidden="1" thickBot="1" x14ac:dyDescent="0.3">
      <c r="BI351" s="203" t="s">
        <v>448</v>
      </c>
      <c r="BJ351" s="190" t="s">
        <v>76</v>
      </c>
      <c r="BK351" s="196">
        <v>0.19</v>
      </c>
      <c r="BL351" s="190" t="s">
        <v>421</v>
      </c>
      <c r="BM351" s="189">
        <v>0.05</v>
      </c>
      <c r="BN351" s="189">
        <v>0.1</v>
      </c>
      <c r="BO351" s="188" t="s">
        <v>262</v>
      </c>
      <c r="BP351" s="206"/>
      <c r="BQ351" s="206"/>
      <c r="BR351" s="206"/>
      <c r="BS351" s="206"/>
      <c r="BT351" s="206"/>
      <c r="BU351" s="206"/>
      <c r="BV351" s="207"/>
      <c r="BW351" s="206"/>
      <c r="BX351" s="206"/>
      <c r="BY351" s="207"/>
      <c r="BZ351" s="207"/>
      <c r="CA351" s="207"/>
      <c r="CB351" s="180"/>
      <c r="CC351" s="178"/>
      <c r="CD351" s="178"/>
      <c r="CE351" s="180"/>
      <c r="CF351" s="180"/>
      <c r="CG351" s="180"/>
      <c r="CH351" s="180"/>
      <c r="CI351" s="178"/>
      <c r="CJ351" s="178"/>
      <c r="CK351" s="180"/>
      <c r="CL351" s="180"/>
      <c r="CM351" s="180"/>
      <c r="CN351" s="116"/>
      <c r="CO351" s="218">
        <f t="shared" si="135"/>
        <v>0.05</v>
      </c>
      <c r="CP351" s="100">
        <f t="shared" si="136"/>
        <v>7.5000000000000011E-2</v>
      </c>
      <c r="CQ351" s="218">
        <f t="shared" si="137"/>
        <v>0.1</v>
      </c>
      <c r="CZ351" s="123"/>
      <c r="DA351" s="122"/>
      <c r="DB351" s="122"/>
      <c r="DC351" s="123"/>
      <c r="DD351" s="123"/>
      <c r="DE351" s="123"/>
      <c r="DF351" s="122"/>
      <c r="DG351" s="122"/>
      <c r="DH351" s="122"/>
      <c r="DI351" s="122"/>
      <c r="DJ351" s="122"/>
      <c r="DK351" s="123"/>
      <c r="DL351" s="23"/>
      <c r="DM351" s="150"/>
      <c r="DN351" s="150"/>
      <c r="DO351" s="116"/>
    </row>
    <row r="352" spans="61:119" s="101" customFormat="1" ht="18.75" hidden="1" thickBot="1" x14ac:dyDescent="0.3">
      <c r="BI352" s="203" t="s">
        <v>190</v>
      </c>
      <c r="BJ352" s="190" t="s">
        <v>76</v>
      </c>
      <c r="BK352" s="196">
        <v>0.153</v>
      </c>
      <c r="BL352" s="190" t="s">
        <v>421</v>
      </c>
      <c r="BM352" s="189">
        <v>0.05</v>
      </c>
      <c r="BN352" s="189">
        <v>0.1</v>
      </c>
      <c r="BO352" s="188" t="s">
        <v>263</v>
      </c>
      <c r="BP352" s="206"/>
      <c r="BQ352" s="206"/>
      <c r="BR352" s="206"/>
      <c r="BS352" s="206"/>
      <c r="BT352" s="206"/>
      <c r="BU352" s="206"/>
      <c r="BV352" s="207"/>
      <c r="BW352" s="206"/>
      <c r="BX352" s="206"/>
      <c r="BY352" s="207"/>
      <c r="BZ352" s="207"/>
      <c r="CA352" s="207"/>
      <c r="CB352" s="180"/>
      <c r="CC352" s="178"/>
      <c r="CD352" s="178"/>
      <c r="CE352" s="180"/>
      <c r="CF352" s="180"/>
      <c r="CG352" s="180"/>
      <c r="CH352" s="180"/>
      <c r="CI352" s="178"/>
      <c r="CJ352" s="178"/>
      <c r="CK352" s="180"/>
      <c r="CL352" s="180"/>
      <c r="CM352" s="180"/>
      <c r="CN352" s="116"/>
      <c r="CO352" s="218">
        <f t="shared" si="135"/>
        <v>0.05</v>
      </c>
      <c r="CP352" s="100">
        <f t="shared" si="136"/>
        <v>7.5000000000000011E-2</v>
      </c>
      <c r="CQ352" s="218">
        <f t="shared" si="137"/>
        <v>0.1</v>
      </c>
      <c r="CZ352" s="123"/>
      <c r="DA352" s="122"/>
      <c r="DB352" s="122"/>
      <c r="DC352" s="123"/>
      <c r="DD352" s="123"/>
      <c r="DE352" s="123"/>
      <c r="DF352" s="122"/>
      <c r="DG352" s="122"/>
      <c r="DH352" s="122"/>
      <c r="DI352" s="122"/>
      <c r="DJ352" s="122"/>
      <c r="DK352" s="123"/>
      <c r="DL352" s="23"/>
      <c r="DM352" s="150"/>
      <c r="DN352" s="150"/>
      <c r="DO352" s="116"/>
    </row>
    <row r="353" spans="61:119" s="101" customFormat="1" ht="18.75" hidden="1" thickBot="1" x14ac:dyDescent="0.3">
      <c r="BI353" s="203" t="s">
        <v>189</v>
      </c>
      <c r="BJ353" s="190" t="s">
        <v>76</v>
      </c>
      <c r="BK353" s="196">
        <v>0.13600000000000001</v>
      </c>
      <c r="BL353" s="190" t="s">
        <v>421</v>
      </c>
      <c r="BM353" s="189">
        <v>0.05</v>
      </c>
      <c r="BN353" s="189">
        <v>0.1</v>
      </c>
      <c r="BO353" s="188" t="s">
        <v>263</v>
      </c>
      <c r="BP353" s="206"/>
      <c r="BQ353" s="206"/>
      <c r="BR353" s="206"/>
      <c r="BS353" s="206"/>
      <c r="BT353" s="206"/>
      <c r="BU353" s="206"/>
      <c r="BV353" s="207"/>
      <c r="BW353" s="206"/>
      <c r="BX353" s="206"/>
      <c r="BY353" s="207"/>
      <c r="BZ353" s="207"/>
      <c r="CA353" s="207"/>
      <c r="CB353" s="180"/>
      <c r="CC353" s="178"/>
      <c r="CD353" s="178"/>
      <c r="CE353" s="180"/>
      <c r="CF353" s="180"/>
      <c r="CG353" s="180"/>
      <c r="CH353" s="180"/>
      <c r="CI353" s="178"/>
      <c r="CJ353" s="178"/>
      <c r="CK353" s="180"/>
      <c r="CL353" s="180"/>
      <c r="CM353" s="180"/>
      <c r="CN353" s="116"/>
      <c r="CO353" s="218">
        <f t="shared" si="135"/>
        <v>0.05</v>
      </c>
      <c r="CP353" s="100">
        <f t="shared" si="136"/>
        <v>7.5000000000000011E-2</v>
      </c>
      <c r="CQ353" s="218">
        <f t="shared" si="137"/>
        <v>0.1</v>
      </c>
      <c r="CR353" s="101">
        <v>0.05</v>
      </c>
      <c r="CS353" s="101">
        <v>0.1</v>
      </c>
      <c r="CZ353" s="123"/>
      <c r="DA353" s="122"/>
      <c r="DB353" s="122"/>
      <c r="DC353" s="123"/>
      <c r="DD353" s="123"/>
      <c r="DE353" s="123"/>
      <c r="DF353" s="122"/>
      <c r="DG353" s="122"/>
      <c r="DH353" s="122"/>
      <c r="DI353" s="122"/>
      <c r="DJ353" s="122"/>
      <c r="DK353" s="123"/>
      <c r="DL353" s="23"/>
      <c r="DM353" s="150"/>
      <c r="DN353" s="150"/>
      <c r="DO353" s="116"/>
    </row>
    <row r="354" spans="61:119" s="101" customFormat="1" ht="18.75" hidden="1" thickBot="1" x14ac:dyDescent="0.3">
      <c r="BI354" s="203" t="s">
        <v>175</v>
      </c>
      <c r="BJ354" s="190" t="s">
        <v>76</v>
      </c>
      <c r="BK354" s="196">
        <v>0.29039999999999999</v>
      </c>
      <c r="BL354" s="190" t="s">
        <v>421</v>
      </c>
      <c r="BM354" s="189">
        <v>0.05</v>
      </c>
      <c r="BN354" s="189">
        <v>0.1</v>
      </c>
      <c r="BO354" s="188" t="s">
        <v>262</v>
      </c>
      <c r="BP354" s="206"/>
      <c r="BQ354" s="206"/>
      <c r="BR354" s="206"/>
      <c r="BS354" s="206"/>
      <c r="BT354" s="206"/>
      <c r="BU354" s="206"/>
      <c r="BV354" s="207"/>
      <c r="BW354" s="206"/>
      <c r="BX354" s="206"/>
      <c r="BY354" s="207"/>
      <c r="BZ354" s="207"/>
      <c r="CA354" s="207"/>
      <c r="CB354" s="180"/>
      <c r="CC354" s="178"/>
      <c r="CD354" s="178"/>
      <c r="CE354" s="180"/>
      <c r="CF354" s="180"/>
      <c r="CG354" s="180"/>
      <c r="CH354" s="180"/>
      <c r="CI354" s="178"/>
      <c r="CJ354" s="178"/>
      <c r="CK354" s="180"/>
      <c r="CL354" s="180"/>
      <c r="CM354" s="180"/>
      <c r="CN354" s="116"/>
      <c r="CO354" s="218">
        <f t="shared" si="135"/>
        <v>0.05</v>
      </c>
      <c r="CP354" s="100">
        <f t="shared" si="136"/>
        <v>7.5000000000000011E-2</v>
      </c>
      <c r="CQ354" s="218">
        <f t="shared" si="137"/>
        <v>0.1</v>
      </c>
      <c r="CR354" s="101">
        <v>0.05</v>
      </c>
      <c r="CS354" s="101">
        <v>0.1</v>
      </c>
      <c r="CZ354" s="123"/>
      <c r="DA354" s="122"/>
      <c r="DB354" s="122"/>
      <c r="DC354" s="123"/>
      <c r="DD354" s="123"/>
      <c r="DE354" s="123"/>
      <c r="DF354" s="122"/>
      <c r="DG354" s="122"/>
      <c r="DH354" s="122"/>
      <c r="DI354" s="122"/>
      <c r="DJ354" s="122"/>
      <c r="DK354" s="123"/>
      <c r="DL354" s="23"/>
      <c r="DM354" s="150"/>
      <c r="DN354" s="150"/>
      <c r="DO354" s="116"/>
    </row>
    <row r="355" spans="61:119" s="101" customFormat="1" hidden="1" x14ac:dyDescent="0.25">
      <c r="BI355" s="102"/>
      <c r="BJ355" s="178"/>
      <c r="BK355" s="178"/>
      <c r="BL355" s="178"/>
      <c r="BM355" s="169"/>
      <c r="BN355" s="169"/>
      <c r="BO355" s="169"/>
      <c r="BP355" s="206"/>
      <c r="BQ355" s="206"/>
      <c r="BR355" s="206"/>
      <c r="BS355" s="206"/>
      <c r="BT355" s="206"/>
      <c r="BU355" s="206"/>
      <c r="BV355" s="207"/>
      <c r="BW355" s="206"/>
      <c r="BX355" s="206"/>
      <c r="BY355" s="207"/>
      <c r="BZ355" s="207"/>
      <c r="CA355" s="207"/>
      <c r="CB355" s="180"/>
      <c r="CC355" s="178"/>
      <c r="CD355" s="178"/>
      <c r="CE355" s="180"/>
      <c r="CF355" s="180"/>
      <c r="CG355" s="180"/>
      <c r="CH355" s="180"/>
      <c r="CI355" s="178"/>
      <c r="CJ355" s="178"/>
      <c r="CK355" s="180"/>
      <c r="CL355" s="180"/>
      <c r="CM355" s="180"/>
      <c r="CN355" s="116"/>
      <c r="CO355" s="218">
        <f t="shared" si="135"/>
        <v>0</v>
      </c>
      <c r="CP355" s="100">
        <f t="shared" si="136"/>
        <v>0</v>
      </c>
      <c r="CQ355" s="218">
        <f t="shared" si="137"/>
        <v>0</v>
      </c>
      <c r="CZ355" s="123"/>
      <c r="DA355" s="122"/>
      <c r="DB355" s="122"/>
      <c r="DC355" s="123"/>
      <c r="DD355" s="123"/>
      <c r="DE355" s="123"/>
      <c r="DF355" s="122"/>
      <c r="DG355" s="122"/>
      <c r="DH355" s="122"/>
      <c r="DI355" s="122"/>
      <c r="DJ355" s="122"/>
      <c r="DK355" s="123"/>
      <c r="DL355" s="23"/>
      <c r="DM355" s="150"/>
      <c r="DN355" s="150"/>
      <c r="DO355" s="116"/>
    </row>
    <row r="356" spans="61:119" s="101" customFormat="1" hidden="1" x14ac:dyDescent="0.25">
      <c r="BI356" s="102"/>
      <c r="BJ356" s="178"/>
      <c r="BK356" s="178"/>
      <c r="BL356" s="178"/>
      <c r="BM356" s="169"/>
      <c r="BN356" s="169"/>
      <c r="BO356" s="169"/>
      <c r="BP356" s="206"/>
      <c r="BQ356" s="206"/>
      <c r="BR356" s="206"/>
      <c r="BS356" s="206"/>
      <c r="BT356" s="206"/>
      <c r="BU356" s="206"/>
      <c r="BV356" s="207"/>
      <c r="BW356" s="206"/>
      <c r="BX356" s="206"/>
      <c r="BY356" s="207"/>
      <c r="BZ356" s="207"/>
      <c r="CA356" s="207"/>
      <c r="CB356" s="180"/>
      <c r="CC356" s="178"/>
      <c r="CD356" s="178"/>
      <c r="CE356" s="180"/>
      <c r="CF356" s="180"/>
      <c r="CG356" s="180"/>
      <c r="CH356" s="180"/>
      <c r="CI356" s="178"/>
      <c r="CJ356" s="178"/>
      <c r="CK356" s="180"/>
      <c r="CL356" s="180"/>
      <c r="CM356" s="180"/>
      <c r="CN356" s="116"/>
      <c r="CO356" s="218">
        <f t="shared" si="135"/>
        <v>0</v>
      </c>
      <c r="CP356" s="100">
        <f t="shared" si="136"/>
        <v>0</v>
      </c>
      <c r="CQ356" s="218">
        <f t="shared" si="137"/>
        <v>0</v>
      </c>
      <c r="CZ356" s="123"/>
      <c r="DA356" s="122"/>
      <c r="DB356" s="122"/>
      <c r="DC356" s="123"/>
      <c r="DD356" s="123"/>
      <c r="DE356" s="123"/>
      <c r="DF356" s="122"/>
      <c r="DG356" s="122"/>
      <c r="DH356" s="122"/>
      <c r="DI356" s="122"/>
      <c r="DJ356" s="122"/>
      <c r="DK356" s="123"/>
      <c r="DL356" s="23"/>
      <c r="DM356" s="150"/>
      <c r="DN356" s="150"/>
      <c r="DO356" s="116"/>
    </row>
    <row r="357" spans="61:119" s="101" customFormat="1" ht="15.75" hidden="1" thickBot="1" x14ac:dyDescent="0.3">
      <c r="BI357" s="102"/>
      <c r="BJ357" s="178"/>
      <c r="BK357" s="178"/>
      <c r="BL357" s="178"/>
      <c r="BM357" s="169"/>
      <c r="BN357" s="169"/>
      <c r="BO357" s="169"/>
      <c r="BP357" s="206"/>
      <c r="BQ357" s="206"/>
      <c r="BR357" s="206"/>
      <c r="BS357" s="206"/>
      <c r="BT357" s="206"/>
      <c r="BU357" s="206"/>
      <c r="BV357" s="207"/>
      <c r="BW357" s="206"/>
      <c r="BX357" s="206"/>
      <c r="BY357" s="207"/>
      <c r="BZ357" s="207"/>
      <c r="CA357" s="207"/>
      <c r="CB357" s="180"/>
      <c r="CC357" s="178"/>
      <c r="CD357" s="178"/>
      <c r="CE357" s="180"/>
      <c r="CF357" s="180"/>
      <c r="CG357" s="180"/>
      <c r="CH357" s="180"/>
      <c r="CI357" s="178"/>
      <c r="CJ357" s="178"/>
      <c r="CK357" s="180"/>
      <c r="CL357" s="180"/>
      <c r="CM357" s="180"/>
      <c r="CN357" s="116"/>
      <c r="CO357" s="218">
        <f t="shared" si="135"/>
        <v>0</v>
      </c>
      <c r="CP357" s="100">
        <f t="shared" si="136"/>
        <v>0</v>
      </c>
      <c r="CQ357" s="218">
        <f t="shared" si="137"/>
        <v>0</v>
      </c>
      <c r="CZ357" s="123"/>
      <c r="DA357" s="122"/>
      <c r="DB357" s="122"/>
      <c r="DC357" s="123"/>
      <c r="DD357" s="123"/>
      <c r="DE357" s="123"/>
      <c r="DF357" s="122"/>
      <c r="DG357" s="122"/>
      <c r="DH357" s="122"/>
      <c r="DI357" s="122"/>
      <c r="DJ357" s="122"/>
      <c r="DK357" s="123"/>
      <c r="DL357" s="23"/>
      <c r="DM357" s="150"/>
      <c r="DN357" s="150"/>
      <c r="DO357" s="116"/>
    </row>
    <row r="358" spans="61:119" s="101" customFormat="1" hidden="1" x14ac:dyDescent="0.25">
      <c r="BI358" s="1606" t="s">
        <v>300</v>
      </c>
      <c r="BJ358" s="251"/>
      <c r="BK358" s="1606" t="s">
        <v>302</v>
      </c>
      <c r="BL358" s="251"/>
      <c r="BM358" s="1606" t="s">
        <v>233</v>
      </c>
      <c r="BN358" s="1606" t="s">
        <v>233</v>
      </c>
      <c r="BO358" s="1606" t="s">
        <v>240</v>
      </c>
      <c r="BP358" s="206"/>
      <c r="BQ358" s="206"/>
      <c r="BR358" s="206"/>
      <c r="BS358" s="206"/>
      <c r="BT358" s="206"/>
      <c r="BU358" s="206"/>
      <c r="BV358" s="207"/>
      <c r="BW358" s="206"/>
      <c r="BX358" s="206"/>
      <c r="BY358" s="207"/>
      <c r="BZ358" s="207"/>
      <c r="CA358" s="207"/>
      <c r="CB358" s="180"/>
      <c r="CC358" s="178"/>
      <c r="CD358" s="178"/>
      <c r="CE358" s="180"/>
      <c r="CF358" s="180"/>
      <c r="CG358" s="180"/>
      <c r="CH358" s="180"/>
      <c r="CI358" s="178"/>
      <c r="CJ358" s="178"/>
      <c r="CK358" s="180"/>
      <c r="CL358" s="180"/>
      <c r="CM358" s="180"/>
      <c r="CN358" s="116"/>
      <c r="CO358" s="218" t="str">
        <f t="shared" si="135"/>
        <v>Incertidumbre (+/- %)</v>
      </c>
      <c r="CP358" s="100" t="e">
        <f t="shared" si="136"/>
        <v>#VALUE!</v>
      </c>
      <c r="CQ358" s="218" t="str">
        <f t="shared" si="137"/>
        <v>Incertidumbre (+/- %)</v>
      </c>
      <c r="CZ358" s="123"/>
      <c r="DA358" s="122"/>
      <c r="DB358" s="122"/>
      <c r="DC358" s="123"/>
      <c r="DD358" s="123"/>
      <c r="DE358" s="123"/>
      <c r="DF358" s="122"/>
      <c r="DG358" s="122"/>
      <c r="DH358" s="122"/>
      <c r="DI358" s="122"/>
      <c r="DJ358" s="122"/>
      <c r="DK358" s="123"/>
      <c r="DL358" s="23"/>
      <c r="DM358" s="150"/>
      <c r="DN358" s="150"/>
      <c r="DO358" s="116"/>
    </row>
    <row r="359" spans="61:119" s="101" customFormat="1" ht="15.75" hidden="1" thickBot="1" x14ac:dyDescent="0.3">
      <c r="BI359" s="1607"/>
      <c r="BJ359" s="252" t="s">
        <v>253</v>
      </c>
      <c r="BK359" s="1607"/>
      <c r="BL359" s="252" t="s">
        <v>251</v>
      </c>
      <c r="BM359" s="1607"/>
      <c r="BN359" s="1607"/>
      <c r="BO359" s="1607"/>
      <c r="BP359" s="206"/>
      <c r="BQ359" s="206"/>
      <c r="BR359" s="206"/>
      <c r="BS359" s="206"/>
      <c r="BT359" s="206"/>
      <c r="BU359" s="206"/>
      <c r="BV359" s="207"/>
      <c r="BW359" s="206"/>
      <c r="BX359" s="206"/>
      <c r="BY359" s="207"/>
      <c r="BZ359" s="207"/>
      <c r="CA359" s="207"/>
      <c r="CB359" s="180"/>
      <c r="CC359" s="178"/>
      <c r="CD359" s="178"/>
      <c r="CE359" s="180"/>
      <c r="CF359" s="180"/>
      <c r="CG359" s="180"/>
      <c r="CH359" s="180"/>
      <c r="CI359" s="178"/>
      <c r="CJ359" s="178"/>
      <c r="CK359" s="180"/>
      <c r="CL359" s="180"/>
      <c r="CM359" s="180"/>
      <c r="CN359" s="116"/>
      <c r="CO359" s="218">
        <f t="shared" si="135"/>
        <v>0</v>
      </c>
      <c r="CP359" s="100">
        <f t="shared" si="136"/>
        <v>0</v>
      </c>
      <c r="CQ359" s="218">
        <f t="shared" si="137"/>
        <v>0</v>
      </c>
      <c r="CZ359" s="123"/>
      <c r="DA359" s="122"/>
      <c r="DB359" s="122"/>
      <c r="DC359" s="123"/>
      <c r="DD359" s="123"/>
      <c r="DE359" s="123"/>
      <c r="DF359" s="122"/>
      <c r="DG359" s="122"/>
      <c r="DH359" s="122"/>
      <c r="DI359" s="122"/>
      <c r="DJ359" s="122"/>
      <c r="DK359" s="123"/>
      <c r="DL359" s="23"/>
      <c r="DM359" s="150"/>
      <c r="DN359" s="150"/>
      <c r="DO359" s="116"/>
    </row>
    <row r="360" spans="61:119" s="101" customFormat="1" ht="18.75" hidden="1" thickBot="1" x14ac:dyDescent="0.3">
      <c r="BI360" s="203" t="s">
        <v>74</v>
      </c>
      <c r="BJ360" s="190" t="s">
        <v>78</v>
      </c>
      <c r="BK360" s="196">
        <v>68.819999999999993</v>
      </c>
      <c r="BL360" s="190" t="s">
        <v>422</v>
      </c>
      <c r="BM360" s="189">
        <v>0.05</v>
      </c>
      <c r="BN360" s="189">
        <v>0.05</v>
      </c>
      <c r="BO360" s="188" t="s">
        <v>77</v>
      </c>
      <c r="BP360" s="206"/>
      <c r="BQ360" s="206"/>
      <c r="BR360" s="206"/>
      <c r="BS360" s="206"/>
      <c r="BT360" s="206"/>
      <c r="BU360" s="206"/>
      <c r="BV360" s="207"/>
      <c r="BW360" s="206"/>
      <c r="BX360" s="206"/>
      <c r="BY360" s="207"/>
      <c r="BZ360" s="207"/>
      <c r="CA360" s="207"/>
      <c r="CB360" s="180"/>
      <c r="CC360" s="178"/>
      <c r="CD360" s="178"/>
      <c r="CE360" s="180"/>
      <c r="CF360" s="180"/>
      <c r="CG360" s="180"/>
      <c r="CH360" s="180"/>
      <c r="CI360" s="178"/>
      <c r="CJ360" s="178"/>
      <c r="CK360" s="180"/>
      <c r="CL360" s="180"/>
      <c r="CM360" s="180"/>
      <c r="CN360" s="116"/>
      <c r="CO360" s="218">
        <f t="shared" si="135"/>
        <v>0.05</v>
      </c>
      <c r="CP360" s="100">
        <f t="shared" si="136"/>
        <v>0.05</v>
      </c>
      <c r="CQ360" s="218">
        <f t="shared" si="137"/>
        <v>0.05</v>
      </c>
      <c r="CR360" s="101">
        <v>0.05</v>
      </c>
      <c r="CS360" s="101">
        <v>0.05</v>
      </c>
      <c r="CZ360" s="123"/>
      <c r="DA360" s="122"/>
      <c r="DB360" s="122"/>
      <c r="DC360" s="123"/>
      <c r="DD360" s="123"/>
      <c r="DE360" s="123"/>
      <c r="DF360" s="122"/>
      <c r="DG360" s="122"/>
      <c r="DH360" s="122"/>
      <c r="DI360" s="122"/>
      <c r="DJ360" s="122"/>
      <c r="DK360" s="123"/>
      <c r="DL360" s="23"/>
      <c r="DM360" s="150"/>
      <c r="DN360" s="150"/>
      <c r="DO360" s="116"/>
    </row>
    <row r="361" spans="61:119" s="101" customFormat="1" ht="18.75" hidden="1" thickBot="1" x14ac:dyDescent="0.3">
      <c r="BI361" s="203" t="s">
        <v>73</v>
      </c>
      <c r="BJ361" s="190" t="s">
        <v>78</v>
      </c>
      <c r="BK361" s="196">
        <v>83.37</v>
      </c>
      <c r="BL361" s="190" t="s">
        <v>422</v>
      </c>
      <c r="BM361" s="189">
        <v>0.05</v>
      </c>
      <c r="BN361" s="189">
        <v>0.05</v>
      </c>
      <c r="BO361" s="188" t="s">
        <v>77</v>
      </c>
      <c r="BP361" s="206"/>
      <c r="BQ361" s="206"/>
      <c r="BR361" s="206"/>
      <c r="BS361" s="206"/>
      <c r="BT361" s="206"/>
      <c r="BU361" s="206"/>
      <c r="BV361" s="207"/>
      <c r="BW361" s="206"/>
      <c r="BX361" s="206"/>
      <c r="BY361" s="207"/>
      <c r="BZ361" s="207"/>
      <c r="CA361" s="207"/>
      <c r="CB361" s="180"/>
      <c r="CC361" s="178"/>
      <c r="CD361" s="178"/>
      <c r="CE361" s="180"/>
      <c r="CF361" s="180"/>
      <c r="CG361" s="180"/>
      <c r="CH361" s="180"/>
      <c r="CI361" s="178"/>
      <c r="CJ361" s="178"/>
      <c r="CK361" s="180"/>
      <c r="CL361" s="180"/>
      <c r="CM361" s="180"/>
      <c r="CN361" s="116"/>
      <c r="CO361" s="218">
        <f t="shared" si="135"/>
        <v>0.05</v>
      </c>
      <c r="CP361" s="100">
        <f t="shared" si="136"/>
        <v>0.05</v>
      </c>
      <c r="CQ361" s="218">
        <f t="shared" si="137"/>
        <v>0.05</v>
      </c>
      <c r="CR361" s="101">
        <v>0.05</v>
      </c>
      <c r="CS361" s="101">
        <v>0.05</v>
      </c>
      <c r="CZ361" s="123"/>
      <c r="DA361" s="122"/>
      <c r="DB361" s="122"/>
      <c r="DC361" s="123"/>
      <c r="DD361" s="123"/>
      <c r="DE361" s="123"/>
      <c r="DF361" s="122"/>
      <c r="DG361" s="122"/>
      <c r="DH361" s="122"/>
      <c r="DI361" s="122"/>
      <c r="DJ361" s="122"/>
      <c r="DK361" s="123"/>
      <c r="DL361" s="23"/>
      <c r="DM361" s="150"/>
      <c r="DN361" s="150"/>
      <c r="DO361" s="116"/>
    </row>
    <row r="362" spans="61:119" s="101" customFormat="1" ht="18.75" hidden="1" thickBot="1" x14ac:dyDescent="0.3">
      <c r="BI362" s="203" t="s">
        <v>79</v>
      </c>
      <c r="BJ362" s="190" t="s">
        <v>78</v>
      </c>
      <c r="BK362" s="196">
        <v>159.43</v>
      </c>
      <c r="BL362" s="190" t="s">
        <v>422</v>
      </c>
      <c r="BM362" s="189">
        <v>0.05</v>
      </c>
      <c r="BN362" s="189">
        <v>0.05</v>
      </c>
      <c r="BO362" s="188" t="s">
        <v>77</v>
      </c>
      <c r="BP362" s="206"/>
      <c r="BQ362" s="206"/>
      <c r="BR362" s="206"/>
      <c r="BS362" s="206"/>
      <c r="BT362" s="206"/>
      <c r="BU362" s="206"/>
      <c r="BV362" s="207"/>
      <c r="BW362" s="206"/>
      <c r="BX362" s="206"/>
      <c r="BY362" s="207"/>
      <c r="BZ362" s="207"/>
      <c r="CA362" s="207"/>
      <c r="CB362" s="180"/>
      <c r="CC362" s="178"/>
      <c r="CD362" s="178"/>
      <c r="CE362" s="180"/>
      <c r="CF362" s="180"/>
      <c r="CG362" s="180"/>
      <c r="CH362" s="180"/>
      <c r="CI362" s="178"/>
      <c r="CJ362" s="178"/>
      <c r="CK362" s="180"/>
      <c r="CL362" s="180"/>
      <c r="CM362" s="180"/>
      <c r="CN362" s="116"/>
      <c r="CO362" s="218">
        <f t="shared" si="135"/>
        <v>0.05</v>
      </c>
      <c r="CP362" s="100">
        <f t="shared" si="136"/>
        <v>0.05</v>
      </c>
      <c r="CQ362" s="218">
        <f t="shared" si="137"/>
        <v>0.05</v>
      </c>
      <c r="CR362" s="101">
        <v>0.05</v>
      </c>
      <c r="CS362" s="101">
        <v>0.05</v>
      </c>
      <c r="CZ362" s="123"/>
      <c r="DA362" s="122"/>
      <c r="DB362" s="122"/>
      <c r="DC362" s="123"/>
      <c r="DD362" s="123"/>
      <c r="DE362" s="123"/>
      <c r="DF362" s="122"/>
      <c r="DG362" s="122"/>
      <c r="DH362" s="122"/>
      <c r="DI362" s="122"/>
      <c r="DJ362" s="122"/>
      <c r="DK362" s="123"/>
      <c r="DL362" s="23"/>
      <c r="DM362" s="150"/>
      <c r="DN362" s="150"/>
      <c r="DO362" s="116"/>
    </row>
    <row r="363" spans="61:119" s="101" customFormat="1" ht="18.75" hidden="1" thickBot="1" x14ac:dyDescent="0.3">
      <c r="BI363" s="203" t="s">
        <v>70</v>
      </c>
      <c r="BJ363" s="190" t="s">
        <v>78</v>
      </c>
      <c r="BK363" s="196">
        <v>102.71</v>
      </c>
      <c r="BL363" s="190" t="s">
        <v>422</v>
      </c>
      <c r="BM363" s="189">
        <v>0.05</v>
      </c>
      <c r="BN363" s="189">
        <v>0.05</v>
      </c>
      <c r="BO363" s="188" t="s">
        <v>77</v>
      </c>
      <c r="BP363" s="206"/>
      <c r="BQ363" s="206"/>
      <c r="BR363" s="206"/>
      <c r="BS363" s="206"/>
      <c r="BT363" s="206"/>
      <c r="BU363" s="206"/>
      <c r="BV363" s="207"/>
      <c r="BW363" s="206"/>
      <c r="BX363" s="206"/>
      <c r="BY363" s="207"/>
      <c r="BZ363" s="207"/>
      <c r="CA363" s="207"/>
      <c r="CB363" s="180"/>
      <c r="CC363" s="178"/>
      <c r="CD363" s="178"/>
      <c r="CE363" s="180"/>
      <c r="CF363" s="180"/>
      <c r="CG363" s="180"/>
      <c r="CH363" s="180"/>
      <c r="CI363" s="178"/>
      <c r="CJ363" s="178"/>
      <c r="CK363" s="180"/>
      <c r="CL363" s="180"/>
      <c r="CM363" s="180"/>
      <c r="CN363" s="116"/>
      <c r="CO363" s="218">
        <f t="shared" si="135"/>
        <v>0.05</v>
      </c>
      <c r="CP363" s="100">
        <f t="shared" si="136"/>
        <v>0.05</v>
      </c>
      <c r="CQ363" s="218">
        <f t="shared" si="137"/>
        <v>0.05</v>
      </c>
      <c r="CR363" s="101">
        <v>0.05</v>
      </c>
      <c r="CS363" s="101">
        <v>0.05</v>
      </c>
      <c r="CZ363" s="123"/>
      <c r="DA363" s="122"/>
      <c r="DB363" s="122"/>
      <c r="DC363" s="123"/>
      <c r="DD363" s="123"/>
      <c r="DE363" s="123"/>
      <c r="DF363" s="122"/>
      <c r="DG363" s="122"/>
      <c r="DH363" s="122"/>
      <c r="DI363" s="122"/>
      <c r="DJ363" s="122"/>
      <c r="DK363" s="123"/>
      <c r="DL363" s="23"/>
      <c r="DM363" s="150"/>
      <c r="DN363" s="150"/>
      <c r="DO363" s="116"/>
    </row>
    <row r="364" spans="61:119" s="101" customFormat="1" ht="18.75" hidden="1" thickBot="1" x14ac:dyDescent="0.3">
      <c r="BI364" s="203" t="s">
        <v>80</v>
      </c>
      <c r="BJ364" s="190" t="s">
        <v>78</v>
      </c>
      <c r="BK364" s="196">
        <v>81.25</v>
      </c>
      <c r="BL364" s="190" t="s">
        <v>422</v>
      </c>
      <c r="BM364" s="189">
        <v>0.05</v>
      </c>
      <c r="BN364" s="189">
        <v>0.05</v>
      </c>
      <c r="BO364" s="188" t="s">
        <v>77</v>
      </c>
      <c r="BP364" s="206"/>
      <c r="BQ364" s="206"/>
      <c r="BR364" s="206"/>
      <c r="BS364" s="206"/>
      <c r="BT364" s="206"/>
      <c r="BU364" s="206"/>
      <c r="BV364" s="207"/>
      <c r="BW364" s="206"/>
      <c r="BX364" s="206"/>
      <c r="BY364" s="207"/>
      <c r="BZ364" s="207"/>
      <c r="CA364" s="207"/>
      <c r="CB364" s="180"/>
      <c r="CC364" s="178"/>
      <c r="CD364" s="178"/>
      <c r="CE364" s="180"/>
      <c r="CF364" s="180"/>
      <c r="CG364" s="180"/>
      <c r="CH364" s="180"/>
      <c r="CI364" s="178"/>
      <c r="CJ364" s="178"/>
      <c r="CK364" s="180"/>
      <c r="CL364" s="180"/>
      <c r="CM364" s="180"/>
      <c r="CN364" s="116"/>
      <c r="CO364" s="218">
        <f t="shared" si="135"/>
        <v>0.05</v>
      </c>
      <c r="CP364" s="100">
        <f t="shared" si="136"/>
        <v>0.05</v>
      </c>
      <c r="CQ364" s="218">
        <f t="shared" si="137"/>
        <v>0.05</v>
      </c>
      <c r="CR364" s="101">
        <v>0.05</v>
      </c>
      <c r="CS364" s="101">
        <v>0.05</v>
      </c>
      <c r="CZ364" s="123"/>
      <c r="DA364" s="122"/>
      <c r="DB364" s="122"/>
      <c r="DC364" s="123"/>
      <c r="DD364" s="123"/>
      <c r="DE364" s="123"/>
      <c r="DF364" s="122"/>
      <c r="DG364" s="122"/>
      <c r="DH364" s="122"/>
      <c r="DI364" s="122"/>
      <c r="DJ364" s="122"/>
      <c r="DK364" s="123"/>
      <c r="DL364" s="23"/>
      <c r="DM364" s="150"/>
      <c r="DN364" s="150"/>
      <c r="DO364" s="116"/>
    </row>
    <row r="365" spans="61:119" s="101" customFormat="1" ht="18.75" hidden="1" thickBot="1" x14ac:dyDescent="0.3">
      <c r="BI365" s="203" t="s">
        <v>71</v>
      </c>
      <c r="BJ365" s="190" t="s">
        <v>78</v>
      </c>
      <c r="BK365" s="196">
        <v>97.7</v>
      </c>
      <c r="BL365" s="190" t="s">
        <v>422</v>
      </c>
      <c r="BM365" s="189">
        <v>0.05</v>
      </c>
      <c r="BN365" s="189">
        <v>0.05</v>
      </c>
      <c r="BO365" s="188" t="s">
        <v>77</v>
      </c>
      <c r="BP365" s="206"/>
      <c r="BQ365" s="206"/>
      <c r="BR365" s="206"/>
      <c r="BS365" s="206"/>
      <c r="BT365" s="206"/>
      <c r="BU365" s="206"/>
      <c r="BV365" s="207"/>
      <c r="BW365" s="206"/>
      <c r="BX365" s="206"/>
      <c r="BY365" s="207"/>
      <c r="BZ365" s="207"/>
      <c r="CA365" s="207"/>
      <c r="CB365" s="180"/>
      <c r="CC365" s="178"/>
      <c r="CD365" s="178"/>
      <c r="CE365" s="180"/>
      <c r="CF365" s="180"/>
      <c r="CG365" s="180"/>
      <c r="CH365" s="180"/>
      <c r="CI365" s="178"/>
      <c r="CJ365" s="178"/>
      <c r="CK365" s="180"/>
      <c r="CL365" s="180"/>
      <c r="CM365" s="180"/>
      <c r="CN365" s="116"/>
      <c r="CO365" s="218">
        <f t="shared" si="135"/>
        <v>0.05</v>
      </c>
      <c r="CP365" s="100">
        <f t="shared" si="136"/>
        <v>0.05</v>
      </c>
      <c r="CQ365" s="218">
        <f t="shared" si="137"/>
        <v>0.05</v>
      </c>
      <c r="CR365" s="101">
        <v>0.05</v>
      </c>
      <c r="CS365" s="101">
        <v>0.05</v>
      </c>
      <c r="CZ365" s="123"/>
      <c r="DA365" s="122"/>
      <c r="DB365" s="122"/>
      <c r="DC365" s="123"/>
      <c r="DD365" s="123"/>
      <c r="DE365" s="123"/>
      <c r="DF365" s="122"/>
      <c r="DG365" s="122"/>
      <c r="DH365" s="122"/>
      <c r="DI365" s="122"/>
      <c r="DJ365" s="122"/>
      <c r="DK365" s="123"/>
      <c r="DL365" s="23"/>
      <c r="DM365" s="150"/>
      <c r="DN365" s="150"/>
      <c r="DO365" s="116"/>
    </row>
    <row r="366" spans="61:119" s="101" customFormat="1" ht="18.75" hidden="1" thickBot="1" x14ac:dyDescent="0.3">
      <c r="BI366" s="203" t="s">
        <v>72</v>
      </c>
      <c r="BJ366" s="190" t="s">
        <v>78</v>
      </c>
      <c r="BK366" s="196">
        <v>159.58000000000001</v>
      </c>
      <c r="BL366" s="190" t="s">
        <v>422</v>
      </c>
      <c r="BM366" s="189">
        <v>0.05</v>
      </c>
      <c r="BN366" s="189">
        <v>0.05</v>
      </c>
      <c r="BO366" s="188" t="s">
        <v>77</v>
      </c>
      <c r="BP366" s="206"/>
      <c r="BQ366" s="206"/>
      <c r="BR366" s="206"/>
      <c r="BS366" s="206"/>
      <c r="BT366" s="206"/>
      <c r="BU366" s="206"/>
      <c r="BV366" s="207"/>
      <c r="BW366" s="206"/>
      <c r="BX366" s="206"/>
      <c r="BY366" s="207"/>
      <c r="BZ366" s="207"/>
      <c r="CA366" s="207"/>
      <c r="CB366" s="180"/>
      <c r="CC366" s="178"/>
      <c r="CD366" s="178"/>
      <c r="CE366" s="180"/>
      <c r="CF366" s="180"/>
      <c r="CG366" s="180"/>
      <c r="CH366" s="180"/>
      <c r="CI366" s="178"/>
      <c r="CJ366" s="178"/>
      <c r="CK366" s="180"/>
      <c r="CL366" s="180"/>
      <c r="CM366" s="180"/>
      <c r="CN366" s="116"/>
      <c r="CO366" s="218">
        <f t="shared" si="135"/>
        <v>0.05</v>
      </c>
      <c r="CP366" s="100">
        <f t="shared" si="136"/>
        <v>0.05</v>
      </c>
      <c r="CQ366" s="218">
        <f t="shared" si="137"/>
        <v>0.05</v>
      </c>
      <c r="CR366" s="101">
        <v>0.05</v>
      </c>
      <c r="CS366" s="101">
        <v>0.05</v>
      </c>
      <c r="CZ366" s="123"/>
      <c r="DA366" s="122"/>
      <c r="DB366" s="122"/>
      <c r="DC366" s="123"/>
      <c r="DD366" s="123"/>
      <c r="DE366" s="123"/>
      <c r="DF366" s="122"/>
      <c r="DG366" s="122"/>
      <c r="DH366" s="122"/>
      <c r="DI366" s="122"/>
      <c r="DJ366" s="122"/>
      <c r="DK366" s="123"/>
      <c r="DL366" s="23"/>
      <c r="DM366" s="150"/>
      <c r="DN366" s="150"/>
      <c r="DO366" s="116"/>
    </row>
    <row r="367" spans="61:119" s="101" customFormat="1" ht="18.75" hidden="1" thickBot="1" x14ac:dyDescent="0.3">
      <c r="BI367" s="203" t="s">
        <v>81</v>
      </c>
      <c r="BJ367" s="190" t="s">
        <v>78</v>
      </c>
      <c r="BK367" s="196">
        <v>116.5</v>
      </c>
      <c r="BL367" s="190" t="s">
        <v>422</v>
      </c>
      <c r="BM367" s="189">
        <v>0.05</v>
      </c>
      <c r="BN367" s="189">
        <v>0.05</v>
      </c>
      <c r="BO367" s="188" t="s">
        <v>77</v>
      </c>
      <c r="BP367" s="206"/>
      <c r="BQ367" s="206"/>
      <c r="BR367" s="206"/>
      <c r="BS367" s="206"/>
      <c r="BT367" s="206"/>
      <c r="BU367" s="206"/>
      <c r="BV367" s="207"/>
      <c r="BW367" s="206"/>
      <c r="BX367" s="206"/>
      <c r="BY367" s="207"/>
      <c r="BZ367" s="207"/>
      <c r="CA367" s="207"/>
      <c r="CB367" s="180"/>
      <c r="CC367" s="178"/>
      <c r="CD367" s="178"/>
      <c r="CE367" s="180"/>
      <c r="CF367" s="180"/>
      <c r="CG367" s="180"/>
      <c r="CH367" s="180"/>
      <c r="CI367" s="178"/>
      <c r="CJ367" s="178"/>
      <c r="CK367" s="180"/>
      <c r="CL367" s="180"/>
      <c r="CM367" s="180"/>
      <c r="CN367" s="116"/>
      <c r="CO367" s="218">
        <f t="shared" si="135"/>
        <v>0.05</v>
      </c>
      <c r="CP367" s="100">
        <f t="shared" si="136"/>
        <v>0.05</v>
      </c>
      <c r="CQ367" s="218">
        <f t="shared" si="137"/>
        <v>0.05</v>
      </c>
      <c r="CR367" s="101">
        <v>0.05</v>
      </c>
      <c r="CS367" s="101">
        <v>0.05</v>
      </c>
      <c r="CZ367" s="123"/>
      <c r="DA367" s="122"/>
      <c r="DB367" s="122"/>
      <c r="DC367" s="123"/>
      <c r="DD367" s="123"/>
      <c r="DE367" s="123"/>
      <c r="DF367" s="122"/>
      <c r="DG367" s="122"/>
      <c r="DH367" s="122"/>
      <c r="DI367" s="122"/>
      <c r="DJ367" s="122"/>
      <c r="DK367" s="123"/>
      <c r="DL367" s="23"/>
      <c r="DM367" s="150"/>
      <c r="DN367" s="150"/>
      <c r="DO367" s="116"/>
    </row>
    <row r="368" spans="61:119" s="101" customFormat="1" ht="18.75" hidden="1" thickBot="1" x14ac:dyDescent="0.3">
      <c r="BI368" s="203" t="s">
        <v>82</v>
      </c>
      <c r="BJ368" s="190" t="s">
        <v>78</v>
      </c>
      <c r="BK368" s="196">
        <v>88.52</v>
      </c>
      <c r="BL368" s="190" t="s">
        <v>422</v>
      </c>
      <c r="BM368" s="189">
        <v>0.05</v>
      </c>
      <c r="BN368" s="189">
        <v>0.05</v>
      </c>
      <c r="BO368" s="188" t="s">
        <v>77</v>
      </c>
      <c r="BP368" s="206"/>
      <c r="BQ368" s="206"/>
      <c r="BR368" s="206"/>
      <c r="BS368" s="206"/>
      <c r="BT368" s="206"/>
      <c r="BU368" s="206"/>
      <c r="BV368" s="207"/>
      <c r="BW368" s="206"/>
      <c r="BX368" s="206"/>
      <c r="BY368" s="207"/>
      <c r="BZ368" s="207"/>
      <c r="CA368" s="207"/>
      <c r="CB368" s="180"/>
      <c r="CC368" s="178"/>
      <c r="CD368" s="178"/>
      <c r="CE368" s="180"/>
      <c r="CF368" s="180"/>
      <c r="CG368" s="180"/>
      <c r="CH368" s="180"/>
      <c r="CI368" s="178"/>
      <c r="CJ368" s="178"/>
      <c r="CK368" s="180"/>
      <c r="CL368" s="180"/>
      <c r="CM368" s="180"/>
      <c r="CN368" s="116"/>
      <c r="CO368" s="218">
        <f t="shared" si="135"/>
        <v>0.05</v>
      </c>
      <c r="CP368" s="100">
        <f t="shared" si="136"/>
        <v>0.05</v>
      </c>
      <c r="CQ368" s="218">
        <f t="shared" si="137"/>
        <v>0.05</v>
      </c>
      <c r="CR368" s="101">
        <v>0.05</v>
      </c>
      <c r="CS368" s="101">
        <v>0.05</v>
      </c>
      <c r="CZ368" s="123"/>
      <c r="DA368" s="122"/>
      <c r="DB368" s="122"/>
      <c r="DC368" s="123"/>
      <c r="DD368" s="123"/>
      <c r="DE368" s="123"/>
      <c r="DF368" s="122"/>
      <c r="DG368" s="122"/>
      <c r="DH368" s="122"/>
      <c r="DI368" s="122"/>
      <c r="DJ368" s="122"/>
      <c r="DK368" s="123"/>
      <c r="DL368" s="23"/>
      <c r="DM368" s="150"/>
      <c r="DN368" s="150"/>
      <c r="DO368" s="116"/>
    </row>
    <row r="369" spans="61:119" s="101" customFormat="1" ht="18.75" hidden="1" thickBot="1" x14ac:dyDescent="0.3">
      <c r="BI369" s="203" t="s">
        <v>83</v>
      </c>
      <c r="BJ369" s="190" t="s">
        <v>78</v>
      </c>
      <c r="BK369" s="196">
        <v>43.4</v>
      </c>
      <c r="BL369" s="190" t="s">
        <v>422</v>
      </c>
      <c r="BM369" s="189">
        <v>0.05</v>
      </c>
      <c r="BN369" s="189">
        <v>0.05</v>
      </c>
      <c r="BO369" s="188" t="s">
        <v>77</v>
      </c>
      <c r="BP369" s="206"/>
      <c r="BQ369" s="206"/>
      <c r="BR369" s="206"/>
      <c r="BS369" s="206"/>
      <c r="BT369" s="206"/>
      <c r="BU369" s="206"/>
      <c r="BV369" s="207"/>
      <c r="BW369" s="206"/>
      <c r="BX369" s="206"/>
      <c r="BY369" s="207"/>
      <c r="BZ369" s="207"/>
      <c r="CA369" s="207"/>
      <c r="CB369" s="180"/>
      <c r="CC369" s="178"/>
      <c r="CD369" s="178"/>
      <c r="CE369" s="180"/>
      <c r="CF369" s="180"/>
      <c r="CG369" s="180"/>
      <c r="CH369" s="180"/>
      <c r="CI369" s="178"/>
      <c r="CJ369" s="178"/>
      <c r="CK369" s="180"/>
      <c r="CL369" s="180"/>
      <c r="CM369" s="180"/>
      <c r="CN369" s="116"/>
      <c r="CO369" s="218">
        <f t="shared" si="135"/>
        <v>0.05</v>
      </c>
      <c r="CP369" s="100">
        <f t="shared" si="136"/>
        <v>0.05</v>
      </c>
      <c r="CQ369" s="218">
        <f t="shared" si="137"/>
        <v>0.05</v>
      </c>
      <c r="CR369" s="101">
        <v>0.05</v>
      </c>
      <c r="CS369" s="101">
        <v>0.05</v>
      </c>
      <c r="CZ369" s="123"/>
      <c r="DA369" s="122"/>
      <c r="DB369" s="122"/>
      <c r="DC369" s="123"/>
      <c r="DD369" s="123"/>
      <c r="DE369" s="123"/>
      <c r="DF369" s="122"/>
      <c r="DG369" s="122"/>
      <c r="DH369" s="122"/>
      <c r="DI369" s="122"/>
      <c r="DJ369" s="122"/>
      <c r="DK369" s="123"/>
      <c r="DL369" s="23"/>
      <c r="DM369" s="150"/>
      <c r="DN369" s="150"/>
      <c r="DO369" s="116"/>
    </row>
    <row r="370" spans="61:119" s="101" customFormat="1" ht="18.75" hidden="1" thickBot="1" x14ac:dyDescent="0.3">
      <c r="BI370" s="203" t="s">
        <v>84</v>
      </c>
      <c r="BJ370" s="190" t="s">
        <v>78</v>
      </c>
      <c r="BK370" s="196">
        <v>229.26</v>
      </c>
      <c r="BL370" s="190" t="s">
        <v>422</v>
      </c>
      <c r="BM370" s="189">
        <v>0.05</v>
      </c>
      <c r="BN370" s="189">
        <v>0.05</v>
      </c>
      <c r="BO370" s="188" t="s">
        <v>77</v>
      </c>
      <c r="BP370" s="206"/>
      <c r="BQ370" s="206"/>
      <c r="BR370" s="206"/>
      <c r="BS370" s="206"/>
      <c r="BT370" s="206"/>
      <c r="BU370" s="206"/>
      <c r="BV370" s="207"/>
      <c r="BW370" s="206"/>
      <c r="BX370" s="206"/>
      <c r="BY370" s="207"/>
      <c r="BZ370" s="207"/>
      <c r="CA370" s="207"/>
      <c r="CB370" s="180"/>
      <c r="CC370" s="178"/>
      <c r="CD370" s="178"/>
      <c r="CE370" s="180"/>
      <c r="CF370" s="180"/>
      <c r="CG370" s="180"/>
      <c r="CH370" s="180"/>
      <c r="CI370" s="178"/>
      <c r="CJ370" s="178"/>
      <c r="CK370" s="180"/>
      <c r="CL370" s="180"/>
      <c r="CM370" s="180"/>
      <c r="CN370" s="116"/>
      <c r="CO370" s="218">
        <f t="shared" si="135"/>
        <v>0.05</v>
      </c>
      <c r="CP370" s="100">
        <f t="shared" si="136"/>
        <v>0.05</v>
      </c>
      <c r="CQ370" s="218">
        <f t="shared" si="137"/>
        <v>0.05</v>
      </c>
      <c r="CR370" s="101">
        <v>0.05</v>
      </c>
      <c r="CS370" s="101">
        <v>0.05</v>
      </c>
      <c r="CZ370" s="123"/>
      <c r="DA370" s="122"/>
      <c r="DB370" s="122"/>
      <c r="DC370" s="123"/>
      <c r="DD370" s="123"/>
      <c r="DE370" s="123"/>
      <c r="DF370" s="122"/>
      <c r="DG370" s="122"/>
      <c r="DH370" s="122"/>
      <c r="DI370" s="122"/>
      <c r="DJ370" s="122"/>
      <c r="DK370" s="123"/>
      <c r="DL370" s="23"/>
      <c r="DM370" s="150"/>
      <c r="DN370" s="150"/>
      <c r="DO370" s="116"/>
    </row>
    <row r="371" spans="61:119" s="101" customFormat="1" ht="18.75" hidden="1" thickBot="1" x14ac:dyDescent="0.3">
      <c r="BI371" s="203" t="s">
        <v>85</v>
      </c>
      <c r="BJ371" s="190" t="s">
        <v>78</v>
      </c>
      <c r="BK371" s="196">
        <v>55.15</v>
      </c>
      <c r="BL371" s="190" t="s">
        <v>422</v>
      </c>
      <c r="BM371" s="189">
        <v>0.05</v>
      </c>
      <c r="BN371" s="189">
        <v>0.05</v>
      </c>
      <c r="BO371" s="188" t="s">
        <v>77</v>
      </c>
      <c r="BP371" s="206"/>
      <c r="BQ371" s="206"/>
      <c r="BR371" s="206"/>
      <c r="BS371" s="206"/>
      <c r="BT371" s="206"/>
      <c r="BU371" s="206"/>
      <c r="BV371" s="207"/>
      <c r="BW371" s="206"/>
      <c r="BX371" s="206"/>
      <c r="BY371" s="207"/>
      <c r="BZ371" s="207"/>
      <c r="CA371" s="207"/>
      <c r="CB371" s="180"/>
      <c r="CC371" s="178"/>
      <c r="CD371" s="178"/>
      <c r="CE371" s="180"/>
      <c r="CF371" s="180"/>
      <c r="CG371" s="180"/>
      <c r="CH371" s="180"/>
      <c r="CI371" s="178"/>
      <c r="CJ371" s="178"/>
      <c r="CK371" s="180"/>
      <c r="CL371" s="180"/>
      <c r="CM371" s="180"/>
      <c r="CN371" s="116"/>
      <c r="CO371" s="218">
        <f t="shared" si="135"/>
        <v>0.05</v>
      </c>
      <c r="CP371" s="100">
        <f t="shared" si="136"/>
        <v>0.05</v>
      </c>
      <c r="CQ371" s="218">
        <f t="shared" si="137"/>
        <v>0.05</v>
      </c>
      <c r="CR371" s="101">
        <v>0.05</v>
      </c>
      <c r="CS371" s="101">
        <v>0.05</v>
      </c>
      <c r="CZ371" s="123"/>
      <c r="DA371" s="122"/>
      <c r="DB371" s="122"/>
      <c r="DC371" s="123"/>
      <c r="DD371" s="123"/>
      <c r="DE371" s="123"/>
      <c r="DF371" s="122"/>
      <c r="DG371" s="122"/>
      <c r="DH371" s="122"/>
      <c r="DI371" s="122"/>
      <c r="DJ371" s="122"/>
      <c r="DK371" s="123"/>
      <c r="DL371" s="23"/>
      <c r="DM371" s="150"/>
      <c r="DN371" s="150"/>
      <c r="DO371" s="116"/>
    </row>
    <row r="372" spans="61:119" s="101" customFormat="1" ht="18.75" hidden="1" thickBot="1" x14ac:dyDescent="0.3">
      <c r="BI372" s="203" t="s">
        <v>86</v>
      </c>
      <c r="BJ372" s="190" t="s">
        <v>78</v>
      </c>
      <c r="BK372" s="196">
        <v>84.94</v>
      </c>
      <c r="BL372" s="190" t="s">
        <v>422</v>
      </c>
      <c r="BM372" s="189">
        <v>0.05</v>
      </c>
      <c r="BN372" s="189">
        <v>0.05</v>
      </c>
      <c r="BO372" s="188" t="s">
        <v>77</v>
      </c>
      <c r="BP372" s="206"/>
      <c r="BQ372" s="206"/>
      <c r="BR372" s="206"/>
      <c r="BS372" s="206"/>
      <c r="BT372" s="206"/>
      <c r="BU372" s="206"/>
      <c r="BV372" s="207"/>
      <c r="BW372" s="206"/>
      <c r="BX372" s="206"/>
      <c r="BY372" s="207"/>
      <c r="BZ372" s="207"/>
      <c r="CA372" s="207"/>
      <c r="CB372" s="180"/>
      <c r="CC372" s="178"/>
      <c r="CD372" s="178"/>
      <c r="CE372" s="180"/>
      <c r="CF372" s="180"/>
      <c r="CG372" s="180"/>
      <c r="CH372" s="180"/>
      <c r="CI372" s="178"/>
      <c r="CJ372" s="178"/>
      <c r="CK372" s="180"/>
      <c r="CL372" s="180"/>
      <c r="CM372" s="180"/>
      <c r="CN372" s="116"/>
      <c r="CO372" s="218">
        <f t="shared" si="135"/>
        <v>0.05</v>
      </c>
      <c r="CP372" s="100">
        <f t="shared" si="136"/>
        <v>0.05</v>
      </c>
      <c r="CQ372" s="218">
        <f t="shared" si="137"/>
        <v>0.05</v>
      </c>
      <c r="CR372" s="101">
        <v>0.05</v>
      </c>
      <c r="CS372" s="101">
        <v>0.05</v>
      </c>
      <c r="CZ372" s="123"/>
      <c r="DA372" s="122"/>
      <c r="DB372" s="122"/>
      <c r="DC372" s="123"/>
      <c r="DD372" s="123"/>
      <c r="DE372" s="123"/>
      <c r="DF372" s="122"/>
      <c r="DG372" s="122"/>
      <c r="DH372" s="122"/>
      <c r="DI372" s="122"/>
      <c r="DJ372" s="122"/>
      <c r="DK372" s="123"/>
      <c r="DL372" s="23"/>
      <c r="DM372" s="150"/>
      <c r="DN372" s="150"/>
      <c r="DO372" s="116"/>
    </row>
    <row r="373" spans="61:119" s="101" customFormat="1" ht="18.75" hidden="1" thickBot="1" x14ac:dyDescent="0.3">
      <c r="BI373" s="203" t="s">
        <v>87</v>
      </c>
      <c r="BJ373" s="190" t="s">
        <v>78</v>
      </c>
      <c r="BK373" s="196">
        <v>169.75</v>
      </c>
      <c r="BL373" s="190" t="s">
        <v>422</v>
      </c>
      <c r="BM373" s="189">
        <v>0.05</v>
      </c>
      <c r="BN373" s="189">
        <v>0.05</v>
      </c>
      <c r="BO373" s="188" t="s">
        <v>77</v>
      </c>
      <c r="BP373" s="206"/>
      <c r="BQ373" s="206"/>
      <c r="BR373" s="206"/>
      <c r="BS373" s="206"/>
      <c r="BT373" s="206"/>
      <c r="BU373" s="206"/>
      <c r="BV373" s="207"/>
      <c r="BW373" s="206"/>
      <c r="BX373" s="206"/>
      <c r="BY373" s="207"/>
      <c r="BZ373" s="207"/>
      <c r="CA373" s="207"/>
      <c r="CB373" s="180"/>
      <c r="CC373" s="178"/>
      <c r="CD373" s="178"/>
      <c r="CE373" s="180"/>
      <c r="CF373" s="180"/>
      <c r="CG373" s="180"/>
      <c r="CH373" s="180"/>
      <c r="CI373" s="178"/>
      <c r="CJ373" s="178"/>
      <c r="CK373" s="180"/>
      <c r="CL373" s="180"/>
      <c r="CM373" s="180"/>
      <c r="CN373" s="116"/>
      <c r="CO373" s="218">
        <f t="shared" si="135"/>
        <v>0.05</v>
      </c>
      <c r="CP373" s="100">
        <f t="shared" si="136"/>
        <v>0.05</v>
      </c>
      <c r="CQ373" s="218">
        <f t="shared" si="137"/>
        <v>0.05</v>
      </c>
      <c r="CR373" s="101">
        <v>0.05</v>
      </c>
      <c r="CS373" s="101">
        <v>0.05</v>
      </c>
      <c r="CZ373" s="123"/>
      <c r="DA373" s="122"/>
      <c r="DB373" s="122"/>
      <c r="DC373" s="123"/>
      <c r="DD373" s="123"/>
      <c r="DE373" s="123"/>
      <c r="DF373" s="122"/>
      <c r="DG373" s="122"/>
      <c r="DH373" s="122"/>
      <c r="DI373" s="122"/>
      <c r="DJ373" s="122"/>
      <c r="DK373" s="123"/>
      <c r="DL373" s="23"/>
      <c r="DM373" s="150"/>
      <c r="DN373" s="150"/>
      <c r="DO373" s="116"/>
    </row>
    <row r="374" spans="61:119" s="101" customFormat="1" ht="18.75" hidden="1" thickBot="1" x14ac:dyDescent="0.3">
      <c r="BI374" s="203" t="s">
        <v>340</v>
      </c>
      <c r="BJ374" s="190" t="s">
        <v>78</v>
      </c>
      <c r="BK374" s="196">
        <v>137.47</v>
      </c>
      <c r="BL374" s="190" t="s">
        <v>422</v>
      </c>
      <c r="BM374" s="189">
        <v>0.05</v>
      </c>
      <c r="BN374" s="189">
        <v>0.05</v>
      </c>
      <c r="BO374" s="188" t="s">
        <v>77</v>
      </c>
      <c r="BP374" s="206"/>
      <c r="BQ374" s="206"/>
      <c r="BR374" s="206"/>
      <c r="BS374" s="206"/>
      <c r="BT374" s="206"/>
      <c r="BU374" s="206"/>
      <c r="BV374" s="207"/>
      <c r="BW374" s="206"/>
      <c r="BX374" s="206"/>
      <c r="BY374" s="207"/>
      <c r="BZ374" s="207"/>
      <c r="CA374" s="207"/>
      <c r="CB374" s="180"/>
      <c r="CC374" s="178"/>
      <c r="CD374" s="178"/>
      <c r="CE374" s="180"/>
      <c r="CF374" s="180"/>
      <c r="CG374" s="180"/>
      <c r="CH374" s="180"/>
      <c r="CI374" s="178"/>
      <c r="CJ374" s="178"/>
      <c r="CK374" s="180"/>
      <c r="CL374" s="180"/>
      <c r="CM374" s="180"/>
      <c r="CN374" s="116"/>
      <c r="CO374" s="218">
        <f t="shared" si="135"/>
        <v>0.05</v>
      </c>
      <c r="CP374" s="100">
        <f t="shared" si="136"/>
        <v>0.05</v>
      </c>
      <c r="CQ374" s="218">
        <f t="shared" si="137"/>
        <v>0.05</v>
      </c>
      <c r="CR374" s="101">
        <v>0.05</v>
      </c>
      <c r="CS374" s="101">
        <v>0.05</v>
      </c>
      <c r="CZ374" s="123"/>
      <c r="DA374" s="122"/>
      <c r="DB374" s="122"/>
      <c r="DC374" s="123"/>
      <c r="DD374" s="123"/>
      <c r="DE374" s="123"/>
      <c r="DF374" s="122"/>
      <c r="DG374" s="122"/>
      <c r="DH374" s="122"/>
      <c r="DI374" s="122"/>
      <c r="DJ374" s="122"/>
      <c r="DK374" s="123"/>
      <c r="DL374" s="23"/>
      <c r="DM374" s="150"/>
      <c r="DN374" s="150"/>
      <c r="DO374" s="116"/>
    </row>
    <row r="375" spans="61:119" s="101" customFormat="1" ht="18.75" hidden="1" thickBot="1" x14ac:dyDescent="0.3">
      <c r="BI375" s="203" t="s">
        <v>88</v>
      </c>
      <c r="BJ375" s="190" t="s">
        <v>78</v>
      </c>
      <c r="BK375" s="196">
        <v>75.37</v>
      </c>
      <c r="BL375" s="190" t="s">
        <v>422</v>
      </c>
      <c r="BM375" s="189">
        <v>0.05</v>
      </c>
      <c r="BN375" s="189">
        <v>0.05</v>
      </c>
      <c r="BO375" s="188" t="s">
        <v>77</v>
      </c>
      <c r="BP375" s="206"/>
      <c r="BQ375" s="206"/>
      <c r="BR375" s="206"/>
      <c r="BS375" s="206"/>
      <c r="BT375" s="206"/>
      <c r="BU375" s="206"/>
      <c r="BV375" s="207"/>
      <c r="BW375" s="206"/>
      <c r="BX375" s="206"/>
      <c r="BY375" s="207"/>
      <c r="BZ375" s="207"/>
      <c r="CA375" s="207"/>
      <c r="CB375" s="180"/>
      <c r="CC375" s="178"/>
      <c r="CD375" s="178"/>
      <c r="CE375" s="180"/>
      <c r="CF375" s="180"/>
      <c r="CG375" s="180"/>
      <c r="CH375" s="180"/>
      <c r="CI375" s="178"/>
      <c r="CJ375" s="178"/>
      <c r="CK375" s="180"/>
      <c r="CL375" s="180"/>
      <c r="CM375" s="180"/>
      <c r="CN375" s="116"/>
      <c r="CO375" s="218">
        <f t="shared" si="135"/>
        <v>0.05</v>
      </c>
      <c r="CP375" s="100">
        <f t="shared" si="136"/>
        <v>0.05</v>
      </c>
      <c r="CQ375" s="218">
        <f t="shared" si="137"/>
        <v>0.05</v>
      </c>
      <c r="CR375" s="101">
        <v>0.05</v>
      </c>
      <c r="CS375" s="101">
        <v>0.05</v>
      </c>
      <c r="CZ375" s="123"/>
      <c r="DA375" s="122"/>
      <c r="DB375" s="122"/>
      <c r="DC375" s="123"/>
      <c r="DD375" s="123"/>
      <c r="DE375" s="123"/>
      <c r="DF375" s="122"/>
      <c r="DG375" s="122"/>
      <c r="DH375" s="122"/>
      <c r="DI375" s="122"/>
      <c r="DJ375" s="122"/>
      <c r="DK375" s="123"/>
      <c r="DL375" s="23"/>
      <c r="DM375" s="150"/>
      <c r="DN375" s="150"/>
      <c r="DO375" s="116"/>
    </row>
    <row r="376" spans="61:119" s="101" customFormat="1" ht="18.75" hidden="1" thickBot="1" x14ac:dyDescent="0.3">
      <c r="BI376" s="203" t="s">
        <v>89</v>
      </c>
      <c r="BJ376" s="190" t="s">
        <v>78</v>
      </c>
      <c r="BK376" s="196">
        <v>130.97999999999999</v>
      </c>
      <c r="BL376" s="190" t="s">
        <v>422</v>
      </c>
      <c r="BM376" s="189">
        <v>0.05</v>
      </c>
      <c r="BN376" s="189">
        <v>0.05</v>
      </c>
      <c r="BO376" s="188" t="s">
        <v>77</v>
      </c>
      <c r="BP376" s="206"/>
      <c r="BQ376" s="206"/>
      <c r="BR376" s="206"/>
      <c r="BS376" s="206"/>
      <c r="BT376" s="206"/>
      <c r="BU376" s="206"/>
      <c r="BV376" s="207"/>
      <c r="BW376" s="206"/>
      <c r="BX376" s="206"/>
      <c r="BY376" s="207"/>
      <c r="BZ376" s="207"/>
      <c r="CA376" s="207"/>
      <c r="CB376" s="180"/>
      <c r="CC376" s="178"/>
      <c r="CD376" s="178"/>
      <c r="CE376" s="180"/>
      <c r="CF376" s="180"/>
      <c r="CG376" s="180"/>
      <c r="CH376" s="180"/>
      <c r="CI376" s="178"/>
      <c r="CJ376" s="178"/>
      <c r="CK376" s="180"/>
      <c r="CL376" s="180"/>
      <c r="CM376" s="180"/>
      <c r="CN376" s="116"/>
      <c r="CO376" s="218">
        <f t="shared" si="135"/>
        <v>0.05</v>
      </c>
      <c r="CP376" s="100">
        <f t="shared" si="136"/>
        <v>0.05</v>
      </c>
      <c r="CQ376" s="218">
        <f t="shared" si="137"/>
        <v>0.05</v>
      </c>
      <c r="CR376" s="101">
        <v>0.05</v>
      </c>
      <c r="CS376" s="101">
        <v>0.05</v>
      </c>
      <c r="CZ376" s="123"/>
      <c r="DA376" s="122"/>
      <c r="DB376" s="122"/>
      <c r="DC376" s="123"/>
      <c r="DD376" s="123"/>
      <c r="DE376" s="123"/>
      <c r="DF376" s="122"/>
      <c r="DG376" s="122"/>
      <c r="DH376" s="122"/>
      <c r="DI376" s="122"/>
      <c r="DJ376" s="122"/>
      <c r="DK376" s="123"/>
      <c r="DL376" s="23"/>
      <c r="DM376" s="150"/>
      <c r="DN376" s="150"/>
      <c r="DO376" s="116"/>
    </row>
    <row r="377" spans="61:119" s="101" customFormat="1" ht="18.75" hidden="1" thickBot="1" x14ac:dyDescent="0.3">
      <c r="BI377" s="203" t="s">
        <v>90</v>
      </c>
      <c r="BJ377" s="190" t="s">
        <v>78</v>
      </c>
      <c r="BK377" s="196">
        <v>79.5</v>
      </c>
      <c r="BL377" s="190" t="s">
        <v>422</v>
      </c>
      <c r="BM377" s="189">
        <v>0.05</v>
      </c>
      <c r="BN377" s="189">
        <v>0.05</v>
      </c>
      <c r="BO377" s="188" t="s">
        <v>77</v>
      </c>
      <c r="BP377" s="206"/>
      <c r="BQ377" s="206"/>
      <c r="BR377" s="206"/>
      <c r="BS377" s="206"/>
      <c r="BT377" s="206"/>
      <c r="BU377" s="206"/>
      <c r="BV377" s="207"/>
      <c r="BW377" s="206"/>
      <c r="BX377" s="206"/>
      <c r="BY377" s="207"/>
      <c r="BZ377" s="207"/>
      <c r="CA377" s="207"/>
      <c r="CB377" s="180"/>
      <c r="CC377" s="178"/>
      <c r="CD377" s="178"/>
      <c r="CE377" s="180"/>
      <c r="CF377" s="180"/>
      <c r="CG377" s="180"/>
      <c r="CH377" s="180"/>
      <c r="CI377" s="178"/>
      <c r="CJ377" s="178"/>
      <c r="CK377" s="180"/>
      <c r="CL377" s="180"/>
      <c r="CM377" s="180"/>
      <c r="CN377" s="116"/>
      <c r="CO377" s="218">
        <f t="shared" si="135"/>
        <v>0.05</v>
      </c>
      <c r="CP377" s="100">
        <f t="shared" si="136"/>
        <v>0.05</v>
      </c>
      <c r="CQ377" s="218">
        <f t="shared" si="137"/>
        <v>0.05</v>
      </c>
      <c r="CR377" s="101">
        <v>0.05</v>
      </c>
      <c r="CS377" s="101">
        <v>0.05</v>
      </c>
      <c r="CZ377" s="123"/>
      <c r="DA377" s="122"/>
      <c r="DB377" s="122"/>
      <c r="DC377" s="123"/>
      <c r="DD377" s="123"/>
      <c r="DE377" s="123"/>
      <c r="DF377" s="122"/>
      <c r="DG377" s="122"/>
      <c r="DH377" s="122"/>
      <c r="DI377" s="122"/>
      <c r="DJ377" s="122"/>
      <c r="DK377" s="123"/>
      <c r="DL377" s="23"/>
      <c r="DM377" s="150"/>
      <c r="DN377" s="150"/>
      <c r="DO377" s="116"/>
    </row>
    <row r="378" spans="61:119" s="101" customFormat="1" ht="18.75" hidden="1" thickBot="1" x14ac:dyDescent="0.3">
      <c r="BI378" s="203" t="s">
        <v>91</v>
      </c>
      <c r="BJ378" s="190" t="s">
        <v>78</v>
      </c>
      <c r="BK378" s="196">
        <v>73.42</v>
      </c>
      <c r="BL378" s="190" t="s">
        <v>422</v>
      </c>
      <c r="BM378" s="189">
        <v>0.05</v>
      </c>
      <c r="BN378" s="189">
        <v>0.05</v>
      </c>
      <c r="BO378" s="188" t="s">
        <v>77</v>
      </c>
      <c r="BP378" s="206"/>
      <c r="BQ378" s="206"/>
      <c r="BR378" s="206"/>
      <c r="BS378" s="206"/>
      <c r="BT378" s="206"/>
      <c r="BU378" s="206"/>
      <c r="BV378" s="207"/>
      <c r="BW378" s="206"/>
      <c r="BX378" s="206"/>
      <c r="BY378" s="207"/>
      <c r="BZ378" s="207"/>
      <c r="CA378" s="207"/>
      <c r="CB378" s="180"/>
      <c r="CC378" s="178"/>
      <c r="CD378" s="178"/>
      <c r="CE378" s="180"/>
      <c r="CF378" s="180"/>
      <c r="CG378" s="180"/>
      <c r="CH378" s="180"/>
      <c r="CI378" s="178"/>
      <c r="CJ378" s="178"/>
      <c r="CK378" s="180"/>
      <c r="CL378" s="180"/>
      <c r="CM378" s="180"/>
      <c r="CN378" s="116"/>
      <c r="CO378" s="218">
        <f t="shared" si="135"/>
        <v>0.05</v>
      </c>
      <c r="CP378" s="100">
        <f t="shared" si="136"/>
        <v>0.05</v>
      </c>
      <c r="CQ378" s="218">
        <f t="shared" si="137"/>
        <v>0.05</v>
      </c>
      <c r="CR378" s="101">
        <v>0.05</v>
      </c>
      <c r="CS378" s="101">
        <v>0.05</v>
      </c>
      <c r="CZ378" s="123"/>
      <c r="DA378" s="122"/>
      <c r="DB378" s="122"/>
      <c r="DC378" s="123"/>
      <c r="DD378" s="123"/>
      <c r="DE378" s="123"/>
      <c r="DF378" s="122"/>
      <c r="DG378" s="122"/>
      <c r="DH378" s="122"/>
      <c r="DI378" s="122"/>
      <c r="DJ378" s="122"/>
      <c r="DK378" s="123"/>
      <c r="DL378" s="23"/>
      <c r="DM378" s="150"/>
      <c r="DN378" s="150"/>
      <c r="DO378" s="116"/>
    </row>
    <row r="379" spans="61:119" s="101" customFormat="1" ht="18.75" hidden="1" thickBot="1" x14ac:dyDescent="0.3">
      <c r="BI379" s="203" t="s">
        <v>332</v>
      </c>
      <c r="BJ379" s="190" t="s">
        <v>78</v>
      </c>
      <c r="BK379" s="196">
        <v>131.06</v>
      </c>
      <c r="BL379" s="190" t="s">
        <v>422</v>
      </c>
      <c r="BM379" s="189">
        <v>0.05</v>
      </c>
      <c r="BN379" s="189">
        <v>0.05</v>
      </c>
      <c r="BO379" s="188" t="s">
        <v>77</v>
      </c>
      <c r="BP379" s="206"/>
      <c r="BQ379" s="206"/>
      <c r="BR379" s="206"/>
      <c r="BS379" s="206"/>
      <c r="BT379" s="206"/>
      <c r="BU379" s="206"/>
      <c r="BV379" s="207"/>
      <c r="BW379" s="206"/>
      <c r="BX379" s="206"/>
      <c r="BY379" s="207"/>
      <c r="BZ379" s="207"/>
      <c r="CA379" s="207"/>
      <c r="CB379" s="180"/>
      <c r="CC379" s="178"/>
      <c r="CD379" s="178"/>
      <c r="CE379" s="180"/>
      <c r="CF379" s="180"/>
      <c r="CG379" s="180"/>
      <c r="CH379" s="180"/>
      <c r="CI379" s="178"/>
      <c r="CJ379" s="178"/>
      <c r="CK379" s="180"/>
      <c r="CL379" s="180"/>
      <c r="CM379" s="180"/>
      <c r="CN379" s="116"/>
      <c r="CO379" s="218">
        <f t="shared" si="135"/>
        <v>0.05</v>
      </c>
      <c r="CP379" s="100">
        <f t="shared" si="136"/>
        <v>0.05</v>
      </c>
      <c r="CQ379" s="218">
        <f t="shared" si="137"/>
        <v>0.05</v>
      </c>
      <c r="CR379" s="101">
        <v>0.05</v>
      </c>
      <c r="CS379" s="101">
        <v>0.05</v>
      </c>
      <c r="CZ379" s="123"/>
      <c r="DA379" s="122"/>
      <c r="DB379" s="122"/>
      <c r="DC379" s="123"/>
      <c r="DD379" s="123"/>
      <c r="DE379" s="123"/>
      <c r="DF379" s="122"/>
      <c r="DG379" s="122"/>
      <c r="DH379" s="122"/>
      <c r="DI379" s="122"/>
      <c r="DJ379" s="122"/>
      <c r="DK379" s="123"/>
      <c r="DL379" s="23"/>
      <c r="DM379" s="150"/>
      <c r="DN379" s="150"/>
      <c r="DO379" s="116"/>
    </row>
    <row r="380" spans="61:119" s="101" customFormat="1" ht="18.75" hidden="1" thickBot="1" x14ac:dyDescent="0.3">
      <c r="BI380" s="203" t="s">
        <v>92</v>
      </c>
      <c r="BJ380" s="190" t="s">
        <v>78</v>
      </c>
      <c r="BK380" s="196">
        <v>196.94</v>
      </c>
      <c r="BL380" s="190" t="s">
        <v>422</v>
      </c>
      <c r="BM380" s="189">
        <v>0.05</v>
      </c>
      <c r="BN380" s="189">
        <v>0.05</v>
      </c>
      <c r="BO380" s="188" t="s">
        <v>77</v>
      </c>
      <c r="BP380" s="206"/>
      <c r="BQ380" s="206"/>
      <c r="BR380" s="206"/>
      <c r="BS380" s="206"/>
      <c r="BT380" s="206"/>
      <c r="BU380" s="206"/>
      <c r="BV380" s="207"/>
      <c r="BW380" s="206"/>
      <c r="BX380" s="206"/>
      <c r="BY380" s="207"/>
      <c r="BZ380" s="207"/>
      <c r="CA380" s="207"/>
      <c r="CB380" s="180"/>
      <c r="CC380" s="178"/>
      <c r="CD380" s="178"/>
      <c r="CE380" s="180"/>
      <c r="CF380" s="180"/>
      <c r="CG380" s="180"/>
      <c r="CH380" s="180"/>
      <c r="CI380" s="178"/>
      <c r="CJ380" s="178"/>
      <c r="CK380" s="180"/>
      <c r="CL380" s="180"/>
      <c r="CM380" s="180"/>
      <c r="CN380" s="116"/>
      <c r="CO380" s="218">
        <f t="shared" si="135"/>
        <v>0.05</v>
      </c>
      <c r="CP380" s="100">
        <f t="shared" si="136"/>
        <v>0.05</v>
      </c>
      <c r="CQ380" s="218">
        <f t="shared" si="137"/>
        <v>0.05</v>
      </c>
      <c r="CR380" s="101">
        <v>0.05</v>
      </c>
      <c r="CS380" s="101">
        <v>0.05</v>
      </c>
      <c r="CZ380" s="123"/>
      <c r="DA380" s="122"/>
      <c r="DB380" s="122"/>
      <c r="DC380" s="123"/>
      <c r="DD380" s="123"/>
      <c r="DE380" s="123"/>
      <c r="DF380" s="122"/>
      <c r="DG380" s="122"/>
      <c r="DH380" s="122"/>
      <c r="DI380" s="122"/>
      <c r="DJ380" s="122"/>
      <c r="DK380" s="123"/>
      <c r="DL380" s="23"/>
      <c r="DM380" s="150"/>
      <c r="DN380" s="150"/>
      <c r="DO380" s="116"/>
    </row>
    <row r="381" spans="61:119" s="101" customFormat="1" ht="18.75" hidden="1" thickBot="1" x14ac:dyDescent="0.3">
      <c r="BI381" s="203" t="s">
        <v>331</v>
      </c>
      <c r="BJ381" s="190" t="s">
        <v>78</v>
      </c>
      <c r="BK381" s="196">
        <v>188.24</v>
      </c>
      <c r="BL381" s="190" t="s">
        <v>422</v>
      </c>
      <c r="BM381" s="189">
        <v>0.05</v>
      </c>
      <c r="BN381" s="189">
        <v>0.05</v>
      </c>
      <c r="BO381" s="188" t="s">
        <v>77</v>
      </c>
      <c r="BP381" s="206"/>
      <c r="BQ381" s="206"/>
      <c r="BR381" s="206"/>
      <c r="BS381" s="206"/>
      <c r="BT381" s="206"/>
      <c r="BU381" s="206"/>
      <c r="BV381" s="207"/>
      <c r="BW381" s="206"/>
      <c r="BX381" s="206"/>
      <c r="BY381" s="207"/>
      <c r="BZ381" s="207"/>
      <c r="CA381" s="207"/>
      <c r="CB381" s="180"/>
      <c r="CC381" s="178"/>
      <c r="CD381" s="178"/>
      <c r="CE381" s="180"/>
      <c r="CF381" s="180"/>
      <c r="CG381" s="180"/>
      <c r="CH381" s="180"/>
      <c r="CI381" s="178"/>
      <c r="CJ381" s="178"/>
      <c r="CK381" s="180"/>
      <c r="CL381" s="180"/>
      <c r="CM381" s="180"/>
      <c r="CN381" s="116"/>
      <c r="CO381" s="218">
        <f t="shared" si="135"/>
        <v>0.05</v>
      </c>
      <c r="CP381" s="100">
        <f t="shared" si="136"/>
        <v>0.05</v>
      </c>
      <c r="CQ381" s="218">
        <f t="shared" si="137"/>
        <v>0.05</v>
      </c>
      <c r="CR381" s="101">
        <v>0.05</v>
      </c>
      <c r="CS381" s="101">
        <v>0.05</v>
      </c>
      <c r="CZ381" s="123"/>
      <c r="DA381" s="122"/>
      <c r="DB381" s="122"/>
      <c r="DC381" s="123"/>
      <c r="DD381" s="123"/>
      <c r="DE381" s="123"/>
      <c r="DF381" s="122"/>
      <c r="DG381" s="122"/>
      <c r="DH381" s="122"/>
      <c r="DI381" s="122"/>
      <c r="DJ381" s="122"/>
      <c r="DK381" s="123"/>
      <c r="DL381" s="23"/>
      <c r="DM381" s="150"/>
      <c r="DN381" s="150"/>
      <c r="DO381" s="116"/>
    </row>
    <row r="382" spans="61:119" s="101" customFormat="1" ht="18.75" hidden="1" thickBot="1" x14ac:dyDescent="0.3">
      <c r="BI382" s="203" t="s">
        <v>305</v>
      </c>
      <c r="BJ382" s="190" t="s">
        <v>78</v>
      </c>
      <c r="BK382" s="196">
        <v>166.07</v>
      </c>
      <c r="BL382" s="190" t="s">
        <v>422</v>
      </c>
      <c r="BM382" s="189">
        <v>0.05</v>
      </c>
      <c r="BN382" s="189">
        <v>0.05</v>
      </c>
      <c r="BO382" s="188" t="s">
        <v>77</v>
      </c>
      <c r="BP382" s="206"/>
      <c r="BQ382" s="206"/>
      <c r="BR382" s="206"/>
      <c r="BS382" s="206"/>
      <c r="BT382" s="206"/>
      <c r="BU382" s="206"/>
      <c r="BV382" s="207"/>
      <c r="BW382" s="206"/>
      <c r="BX382" s="206"/>
      <c r="BY382" s="207"/>
      <c r="BZ382" s="207"/>
      <c r="CA382" s="207"/>
      <c r="CB382" s="180"/>
      <c r="CC382" s="178"/>
      <c r="CD382" s="178"/>
      <c r="CE382" s="180"/>
      <c r="CF382" s="180"/>
      <c r="CG382" s="180"/>
      <c r="CH382" s="180"/>
      <c r="CI382" s="178"/>
      <c r="CJ382" s="178"/>
      <c r="CK382" s="180"/>
      <c r="CL382" s="180"/>
      <c r="CM382" s="180"/>
      <c r="CN382" s="116"/>
      <c r="CO382" s="218">
        <f t="shared" si="135"/>
        <v>0.05</v>
      </c>
      <c r="CP382" s="100">
        <f t="shared" si="136"/>
        <v>0.05</v>
      </c>
      <c r="CQ382" s="218">
        <f t="shared" si="137"/>
        <v>0.05</v>
      </c>
      <c r="CR382" s="101">
        <v>0.05</v>
      </c>
      <c r="CS382" s="101">
        <v>0.05</v>
      </c>
      <c r="CZ382" s="123"/>
      <c r="DA382" s="122"/>
      <c r="DB382" s="122"/>
      <c r="DC382" s="123"/>
      <c r="DD382" s="123"/>
      <c r="DE382" s="123"/>
      <c r="DF382" s="122"/>
      <c r="DG382" s="122"/>
      <c r="DH382" s="122"/>
      <c r="DI382" s="122"/>
      <c r="DJ382" s="122"/>
      <c r="DK382" s="123"/>
      <c r="DL382" s="23"/>
      <c r="DM382" s="150"/>
      <c r="DN382" s="150"/>
      <c r="DO382" s="116"/>
    </row>
    <row r="383" spans="61:119" s="101" customFormat="1" ht="18.75" hidden="1" thickBot="1" x14ac:dyDescent="0.3">
      <c r="BI383" s="203" t="s">
        <v>93</v>
      </c>
      <c r="BJ383" s="190" t="s">
        <v>78</v>
      </c>
      <c r="BK383" s="196">
        <v>176.09</v>
      </c>
      <c r="BL383" s="190" t="s">
        <v>422</v>
      </c>
      <c r="BM383" s="189">
        <v>0.05</v>
      </c>
      <c r="BN383" s="189">
        <v>0.05</v>
      </c>
      <c r="BO383" s="188" t="s">
        <v>77</v>
      </c>
      <c r="BP383" s="206"/>
      <c r="BQ383" s="206"/>
      <c r="BR383" s="206"/>
      <c r="BS383" s="206"/>
      <c r="BT383" s="206"/>
      <c r="BU383" s="206"/>
      <c r="BV383" s="207"/>
      <c r="BW383" s="206"/>
      <c r="BX383" s="206"/>
      <c r="BY383" s="207"/>
      <c r="BZ383" s="207"/>
      <c r="CA383" s="207"/>
      <c r="CB383" s="180"/>
      <c r="CC383" s="178"/>
      <c r="CD383" s="178"/>
      <c r="CE383" s="180"/>
      <c r="CF383" s="180"/>
      <c r="CG383" s="180"/>
      <c r="CH383" s="180"/>
      <c r="CI383" s="178"/>
      <c r="CJ383" s="178"/>
      <c r="CK383" s="180"/>
      <c r="CL383" s="180"/>
      <c r="CM383" s="180"/>
      <c r="CN383" s="116"/>
      <c r="CO383" s="218">
        <f t="shared" si="135"/>
        <v>0.05</v>
      </c>
      <c r="CP383" s="100">
        <f t="shared" si="136"/>
        <v>0.05</v>
      </c>
      <c r="CQ383" s="218">
        <f t="shared" si="137"/>
        <v>0.05</v>
      </c>
      <c r="CR383" s="101">
        <v>0.05</v>
      </c>
      <c r="CS383" s="101">
        <v>0.05</v>
      </c>
      <c r="CZ383" s="123"/>
      <c r="DA383" s="122"/>
      <c r="DB383" s="122"/>
      <c r="DC383" s="123"/>
      <c r="DD383" s="123"/>
      <c r="DE383" s="123"/>
      <c r="DF383" s="122"/>
      <c r="DG383" s="122"/>
      <c r="DH383" s="122"/>
      <c r="DI383" s="122"/>
      <c r="DJ383" s="122"/>
      <c r="DK383" s="123"/>
      <c r="DL383" s="23"/>
      <c r="DM383" s="150"/>
      <c r="DN383" s="150"/>
      <c r="DO383" s="116"/>
    </row>
    <row r="384" spans="61:119" s="101" customFormat="1" ht="18.75" hidden="1" thickBot="1" x14ac:dyDescent="0.3">
      <c r="BI384" s="203" t="s">
        <v>94</v>
      </c>
      <c r="BJ384" s="190" t="s">
        <v>78</v>
      </c>
      <c r="BK384" s="196">
        <v>162.44</v>
      </c>
      <c r="BL384" s="190" t="s">
        <v>422</v>
      </c>
      <c r="BM384" s="189">
        <v>0.05</v>
      </c>
      <c r="BN384" s="189">
        <v>0.05</v>
      </c>
      <c r="BO384" s="188" t="s">
        <v>77</v>
      </c>
      <c r="BP384" s="206"/>
      <c r="BQ384" s="206"/>
      <c r="BR384" s="206"/>
      <c r="BS384" s="206"/>
      <c r="BT384" s="206"/>
      <c r="BU384" s="206"/>
      <c r="BV384" s="207"/>
      <c r="BW384" s="206"/>
      <c r="BX384" s="206"/>
      <c r="BY384" s="207"/>
      <c r="BZ384" s="207"/>
      <c r="CA384" s="207"/>
      <c r="CB384" s="180"/>
      <c r="CC384" s="178"/>
      <c r="CD384" s="178"/>
      <c r="CE384" s="180"/>
      <c r="CF384" s="180"/>
      <c r="CG384" s="180"/>
      <c r="CH384" s="180"/>
      <c r="CI384" s="178"/>
      <c r="CJ384" s="178"/>
      <c r="CK384" s="180"/>
      <c r="CL384" s="180"/>
      <c r="CM384" s="180"/>
      <c r="CN384" s="116"/>
      <c r="CO384" s="218">
        <f t="shared" si="135"/>
        <v>0.05</v>
      </c>
      <c r="CP384" s="100">
        <f t="shared" si="136"/>
        <v>0.05</v>
      </c>
      <c r="CQ384" s="218">
        <f t="shared" si="137"/>
        <v>0.05</v>
      </c>
      <c r="CR384" s="101">
        <v>0.05</v>
      </c>
      <c r="CS384" s="101">
        <v>0.05</v>
      </c>
      <c r="CZ384" s="123"/>
      <c r="DA384" s="122"/>
      <c r="DB384" s="122"/>
      <c r="DC384" s="123"/>
      <c r="DD384" s="123"/>
      <c r="DE384" s="123"/>
      <c r="DF384" s="122"/>
      <c r="DG384" s="122"/>
      <c r="DH384" s="122"/>
      <c r="DI384" s="122"/>
      <c r="DJ384" s="122"/>
      <c r="DK384" s="123"/>
      <c r="DL384" s="23"/>
      <c r="DM384" s="150"/>
      <c r="DN384" s="150"/>
      <c r="DO384" s="116"/>
    </row>
    <row r="385" spans="61:119" s="101" customFormat="1" ht="18.75" hidden="1" thickBot="1" x14ac:dyDescent="0.3">
      <c r="BI385" s="203" t="s">
        <v>95</v>
      </c>
      <c r="BJ385" s="190" t="s">
        <v>78</v>
      </c>
      <c r="BK385" s="196">
        <v>39.6</v>
      </c>
      <c r="BL385" s="190" t="s">
        <v>422</v>
      </c>
      <c r="BM385" s="189">
        <v>0.05</v>
      </c>
      <c r="BN385" s="189">
        <v>0.05</v>
      </c>
      <c r="BO385" s="188" t="s">
        <v>77</v>
      </c>
      <c r="BP385" s="206"/>
      <c r="BQ385" s="206"/>
      <c r="BR385" s="206"/>
      <c r="BS385" s="206"/>
      <c r="BT385" s="206"/>
      <c r="BU385" s="206"/>
      <c r="BV385" s="207"/>
      <c r="BW385" s="206"/>
      <c r="BX385" s="206"/>
      <c r="BY385" s="207"/>
      <c r="BZ385" s="207"/>
      <c r="CA385" s="207"/>
      <c r="CB385" s="180"/>
      <c r="CC385" s="178"/>
      <c r="CD385" s="178"/>
      <c r="CE385" s="180"/>
      <c r="CF385" s="180"/>
      <c r="CG385" s="180"/>
      <c r="CH385" s="180"/>
      <c r="CI385" s="178"/>
      <c r="CJ385" s="178"/>
      <c r="CK385" s="180"/>
      <c r="CL385" s="180"/>
      <c r="CM385" s="180"/>
      <c r="CN385" s="116"/>
      <c r="CO385" s="218">
        <f t="shared" si="135"/>
        <v>0.05</v>
      </c>
      <c r="CP385" s="100">
        <f t="shared" si="136"/>
        <v>0.05</v>
      </c>
      <c r="CQ385" s="218">
        <f t="shared" si="137"/>
        <v>0.05</v>
      </c>
      <c r="CR385" s="101">
        <v>0.05</v>
      </c>
      <c r="CS385" s="101">
        <v>0.05</v>
      </c>
      <c r="CZ385" s="123"/>
      <c r="DA385" s="122"/>
      <c r="DB385" s="122"/>
      <c r="DC385" s="123"/>
      <c r="DD385" s="123"/>
      <c r="DE385" s="123"/>
      <c r="DF385" s="122"/>
      <c r="DG385" s="122"/>
      <c r="DH385" s="122"/>
      <c r="DI385" s="122"/>
      <c r="DJ385" s="122"/>
      <c r="DK385" s="123"/>
      <c r="DL385" s="23"/>
      <c r="DM385" s="150"/>
      <c r="DN385" s="150"/>
      <c r="DO385" s="116"/>
    </row>
    <row r="386" spans="61:119" s="101" customFormat="1" ht="18.75" hidden="1" thickBot="1" x14ac:dyDescent="0.3">
      <c r="BI386" s="203" t="s">
        <v>96</v>
      </c>
      <c r="BJ386" s="190" t="s">
        <v>78</v>
      </c>
      <c r="BK386" s="196">
        <v>83.35</v>
      </c>
      <c r="BL386" s="190" t="s">
        <v>422</v>
      </c>
      <c r="BM386" s="189">
        <v>0.05</v>
      </c>
      <c r="BN386" s="189">
        <v>0.05</v>
      </c>
      <c r="BO386" s="188" t="s">
        <v>77</v>
      </c>
      <c r="BP386" s="206"/>
      <c r="BQ386" s="206"/>
      <c r="BR386" s="206"/>
      <c r="BS386" s="206"/>
      <c r="BT386" s="206"/>
      <c r="BU386" s="206"/>
      <c r="BV386" s="207"/>
      <c r="BW386" s="206"/>
      <c r="BX386" s="206"/>
      <c r="BY386" s="207"/>
      <c r="BZ386" s="207"/>
      <c r="CA386" s="207"/>
      <c r="CB386" s="180"/>
      <c r="CC386" s="178"/>
      <c r="CD386" s="178"/>
      <c r="CE386" s="180"/>
      <c r="CF386" s="180"/>
      <c r="CG386" s="180"/>
      <c r="CH386" s="180"/>
      <c r="CI386" s="178"/>
      <c r="CJ386" s="178"/>
      <c r="CK386" s="180"/>
      <c r="CL386" s="180"/>
      <c r="CM386" s="180"/>
      <c r="CN386" s="116"/>
      <c r="CO386" s="218">
        <f t="shared" si="135"/>
        <v>0.05</v>
      </c>
      <c r="CP386" s="100">
        <f t="shared" si="136"/>
        <v>0.05</v>
      </c>
      <c r="CQ386" s="218">
        <f t="shared" si="137"/>
        <v>0.05</v>
      </c>
      <c r="CR386" s="101">
        <v>0.05</v>
      </c>
      <c r="CS386" s="101">
        <v>0.05</v>
      </c>
      <c r="CZ386" s="123"/>
      <c r="DA386" s="122"/>
      <c r="DB386" s="122"/>
      <c r="DC386" s="123"/>
      <c r="DD386" s="123"/>
      <c r="DE386" s="123"/>
      <c r="DF386" s="122"/>
      <c r="DG386" s="122"/>
      <c r="DH386" s="122"/>
      <c r="DI386" s="122"/>
      <c r="DJ386" s="122"/>
      <c r="DK386" s="123"/>
      <c r="DL386" s="23"/>
      <c r="DM386" s="150"/>
      <c r="DN386" s="150"/>
      <c r="DO386" s="116"/>
    </row>
    <row r="387" spans="61:119" s="101" customFormat="1" ht="15.75" hidden="1" thickBot="1" x14ac:dyDescent="0.3">
      <c r="BI387" s="203" t="s">
        <v>350</v>
      </c>
      <c r="BJ387" s="203" t="s">
        <v>632</v>
      </c>
      <c r="BK387" s="196">
        <v>1.05</v>
      </c>
      <c r="BL387" s="203" t="s">
        <v>633</v>
      </c>
      <c r="BM387" s="208">
        <v>0.05</v>
      </c>
      <c r="BN387" s="208">
        <v>0.05</v>
      </c>
      <c r="BO387" s="203" t="s">
        <v>351</v>
      </c>
      <c r="BP387" s="206"/>
      <c r="BQ387" s="206"/>
      <c r="BR387" s="206"/>
      <c r="BS387" s="206"/>
      <c r="BT387" s="206"/>
      <c r="BU387" s="206"/>
      <c r="BV387" s="207"/>
      <c r="BW387" s="206"/>
      <c r="BX387" s="206"/>
      <c r="BY387" s="207"/>
      <c r="BZ387" s="207"/>
      <c r="CA387" s="207"/>
      <c r="CB387" s="180"/>
      <c r="CC387" s="178"/>
      <c r="CD387" s="178"/>
      <c r="CE387" s="180"/>
      <c r="CF387" s="180"/>
      <c r="CG387" s="180"/>
      <c r="CH387" s="180"/>
      <c r="CI387" s="178"/>
      <c r="CJ387" s="178"/>
      <c r="CK387" s="180"/>
      <c r="CL387" s="180"/>
      <c r="CM387" s="180"/>
      <c r="CN387" s="116"/>
      <c r="CO387" s="218">
        <f t="shared" si="135"/>
        <v>0.05</v>
      </c>
      <c r="CP387" s="100">
        <f t="shared" si="136"/>
        <v>0.05</v>
      </c>
      <c r="CQ387" s="218">
        <f t="shared" si="137"/>
        <v>0.05</v>
      </c>
      <c r="CR387" s="101">
        <v>0.05</v>
      </c>
      <c r="CS387" s="101">
        <v>0.05</v>
      </c>
      <c r="CZ387" s="123"/>
      <c r="DA387" s="122"/>
      <c r="DB387" s="122"/>
      <c r="DC387" s="123"/>
      <c r="DD387" s="123"/>
      <c r="DE387" s="123"/>
      <c r="DF387" s="122"/>
      <c r="DG387" s="122"/>
      <c r="DH387" s="122"/>
      <c r="DI387" s="122"/>
      <c r="DJ387" s="122"/>
      <c r="DK387" s="123"/>
      <c r="DL387" s="23"/>
      <c r="DM387" s="150"/>
      <c r="DN387" s="150"/>
      <c r="DO387" s="116"/>
    </row>
    <row r="388" spans="61:119" s="101" customFormat="1" ht="26.25" hidden="1" thickBot="1" x14ac:dyDescent="0.3">
      <c r="BI388" s="203" t="s">
        <v>352</v>
      </c>
      <c r="BJ388" s="203" t="s">
        <v>632</v>
      </c>
      <c r="BK388" s="196">
        <v>1.44E-2</v>
      </c>
      <c r="BL388" s="203" t="s">
        <v>633</v>
      </c>
      <c r="BM388" s="208">
        <v>0.05</v>
      </c>
      <c r="BN388" s="208">
        <v>0.05</v>
      </c>
      <c r="BO388" s="203" t="s">
        <v>353</v>
      </c>
      <c r="BP388" s="206"/>
      <c r="BQ388" s="206"/>
      <c r="BR388" s="206"/>
      <c r="BS388" s="206"/>
      <c r="BT388" s="206"/>
      <c r="BU388" s="206"/>
      <c r="BV388" s="207"/>
      <c r="BW388" s="206"/>
      <c r="BX388" s="206"/>
      <c r="BY388" s="207"/>
      <c r="BZ388" s="207"/>
      <c r="CA388" s="207"/>
      <c r="CB388" s="180"/>
      <c r="CC388" s="178"/>
      <c r="CD388" s="178"/>
      <c r="CE388" s="180"/>
      <c r="CF388" s="180"/>
      <c r="CG388" s="180"/>
      <c r="CH388" s="180"/>
      <c r="CI388" s="178"/>
      <c r="CJ388" s="178"/>
      <c r="CK388" s="180"/>
      <c r="CL388" s="180"/>
      <c r="CM388" s="180"/>
      <c r="CN388" s="116"/>
      <c r="CO388" s="218">
        <f t="shared" si="135"/>
        <v>0.05</v>
      </c>
      <c r="CP388" s="100">
        <f t="shared" si="136"/>
        <v>0.05</v>
      </c>
      <c r="CQ388" s="218">
        <f t="shared" si="137"/>
        <v>0.05</v>
      </c>
      <c r="CR388" s="101">
        <v>0.05</v>
      </c>
      <c r="CS388" s="101">
        <v>0.05</v>
      </c>
      <c r="CZ388" s="123"/>
      <c r="DA388" s="122"/>
      <c r="DB388" s="122"/>
      <c r="DC388" s="123"/>
      <c r="DD388" s="123"/>
      <c r="DE388" s="123"/>
      <c r="DF388" s="122"/>
      <c r="DG388" s="122"/>
      <c r="DH388" s="122"/>
      <c r="DI388" s="122"/>
      <c r="DJ388" s="122"/>
      <c r="DK388" s="123"/>
      <c r="DL388" s="23"/>
      <c r="DM388" s="150"/>
      <c r="DN388" s="150"/>
      <c r="DO388" s="116"/>
    </row>
    <row r="389" spans="61:119" s="101" customFormat="1" ht="15.75" hidden="1" thickBot="1" x14ac:dyDescent="0.3">
      <c r="BI389" s="203" t="s">
        <v>354</v>
      </c>
      <c r="BJ389" s="203" t="s">
        <v>632</v>
      </c>
      <c r="BK389" s="196">
        <v>7.8200000000000006E-2</v>
      </c>
      <c r="BL389" s="203" t="s">
        <v>633</v>
      </c>
      <c r="BM389" s="208">
        <v>0.05</v>
      </c>
      <c r="BN389" s="208">
        <v>0.05</v>
      </c>
      <c r="BO389" s="203" t="s">
        <v>355</v>
      </c>
      <c r="BP389" s="206"/>
      <c r="BQ389" s="206"/>
      <c r="BR389" s="206"/>
      <c r="BS389" s="206"/>
      <c r="BT389" s="206"/>
      <c r="BU389" s="206"/>
      <c r="BV389" s="207"/>
      <c r="BW389" s="206"/>
      <c r="BX389" s="206"/>
      <c r="BY389" s="207"/>
      <c r="BZ389" s="207"/>
      <c r="CA389" s="207"/>
      <c r="CB389" s="180"/>
      <c r="CC389" s="178"/>
      <c r="CD389" s="178"/>
      <c r="CE389" s="180"/>
      <c r="CF389" s="180"/>
      <c r="CG389" s="180"/>
      <c r="CH389" s="180"/>
      <c r="CI389" s="178"/>
      <c r="CJ389" s="178"/>
      <c r="CK389" s="180"/>
      <c r="CL389" s="180"/>
      <c r="CM389" s="180"/>
      <c r="CN389" s="116"/>
      <c r="CO389" s="218">
        <f t="shared" si="135"/>
        <v>0.05</v>
      </c>
      <c r="CP389" s="100">
        <f t="shared" si="136"/>
        <v>0.05</v>
      </c>
      <c r="CQ389" s="218">
        <f t="shared" si="137"/>
        <v>0.05</v>
      </c>
      <c r="CR389" s="101">
        <v>0.05</v>
      </c>
      <c r="CS389" s="101">
        <v>0.05</v>
      </c>
      <c r="CZ389" s="123"/>
      <c r="DA389" s="122"/>
      <c r="DB389" s="122"/>
      <c r="DC389" s="123"/>
      <c r="DD389" s="123"/>
      <c r="DE389" s="123"/>
      <c r="DF389" s="122"/>
      <c r="DG389" s="122"/>
      <c r="DH389" s="122"/>
      <c r="DI389" s="122"/>
      <c r="DJ389" s="122"/>
      <c r="DK389" s="123"/>
      <c r="DL389" s="23"/>
      <c r="DM389" s="150"/>
      <c r="DN389" s="150"/>
      <c r="DO389" s="116"/>
    </row>
    <row r="390" spans="61:119" s="101" customFormat="1" hidden="1" x14ac:dyDescent="0.25">
      <c r="BI390" s="102"/>
      <c r="BJ390" s="178"/>
      <c r="BK390" s="178"/>
      <c r="BL390" s="178"/>
      <c r="BM390" s="169"/>
      <c r="BN390" s="169"/>
      <c r="BO390" s="169"/>
      <c r="BP390" s="206"/>
      <c r="BQ390" s="206"/>
      <c r="BR390" s="206"/>
      <c r="BS390" s="206"/>
      <c r="BT390" s="206"/>
      <c r="BU390" s="206"/>
      <c r="BV390" s="207"/>
      <c r="BW390" s="206"/>
      <c r="BX390" s="206"/>
      <c r="BY390" s="207"/>
      <c r="BZ390" s="207"/>
      <c r="CA390" s="207"/>
      <c r="CB390" s="180"/>
      <c r="CC390" s="178"/>
      <c r="CD390" s="178"/>
      <c r="CE390" s="180"/>
      <c r="CF390" s="180"/>
      <c r="CG390" s="180"/>
      <c r="CH390" s="180"/>
      <c r="CI390" s="178"/>
      <c r="CJ390" s="178"/>
      <c r="CK390" s="180"/>
      <c r="CL390" s="180"/>
      <c r="CM390" s="180"/>
      <c r="CN390" s="116"/>
      <c r="CO390" s="218">
        <f t="shared" ref="CO390:CO450" si="138">BM390</f>
        <v>0</v>
      </c>
      <c r="CP390" s="100">
        <f t="shared" ref="CP390:CP450" si="139">(CO390+CQ390)/2</f>
        <v>0</v>
      </c>
      <c r="CQ390" s="218">
        <f t="shared" ref="CQ390:CQ450" si="140">BN390</f>
        <v>0</v>
      </c>
      <c r="CZ390" s="123"/>
      <c r="DA390" s="122"/>
      <c r="DB390" s="122"/>
      <c r="DC390" s="123"/>
      <c r="DD390" s="123"/>
      <c r="DE390" s="123"/>
      <c r="DF390" s="122"/>
      <c r="DG390" s="122"/>
      <c r="DH390" s="122"/>
      <c r="DI390" s="122"/>
      <c r="DJ390" s="122"/>
      <c r="DK390" s="123"/>
      <c r="DL390" s="23"/>
      <c r="DM390" s="150"/>
      <c r="DN390" s="150"/>
      <c r="DO390" s="116"/>
    </row>
    <row r="391" spans="61:119" s="101" customFormat="1" hidden="1" x14ac:dyDescent="0.25">
      <c r="BI391" s="102"/>
      <c r="BJ391" s="178"/>
      <c r="BK391" s="178"/>
      <c r="BL391" s="178"/>
      <c r="BM391" s="169"/>
      <c r="BN391" s="169"/>
      <c r="BO391" s="169"/>
      <c r="BP391" s="206"/>
      <c r="BQ391" s="206"/>
      <c r="BR391" s="206"/>
      <c r="BS391" s="206"/>
      <c r="BT391" s="206"/>
      <c r="BU391" s="206"/>
      <c r="BV391" s="207"/>
      <c r="BW391" s="206"/>
      <c r="BX391" s="206"/>
      <c r="BY391" s="207"/>
      <c r="BZ391" s="207"/>
      <c r="CA391" s="207"/>
      <c r="CB391" s="180"/>
      <c r="CC391" s="178"/>
      <c r="CD391" s="178"/>
      <c r="CE391" s="180"/>
      <c r="CF391" s="180"/>
      <c r="CG391" s="180"/>
      <c r="CH391" s="180"/>
      <c r="CI391" s="178"/>
      <c r="CJ391" s="178"/>
      <c r="CK391" s="180"/>
      <c r="CL391" s="180"/>
      <c r="CM391" s="180"/>
      <c r="CN391" s="116"/>
      <c r="CO391" s="218">
        <f t="shared" si="138"/>
        <v>0</v>
      </c>
      <c r="CP391" s="100">
        <f t="shared" si="139"/>
        <v>0</v>
      </c>
      <c r="CQ391" s="218">
        <f t="shared" si="140"/>
        <v>0</v>
      </c>
      <c r="CZ391" s="123"/>
      <c r="DA391" s="122"/>
      <c r="DB391" s="122"/>
      <c r="DC391" s="123"/>
      <c r="DD391" s="123"/>
      <c r="DE391" s="123"/>
      <c r="DF391" s="122"/>
      <c r="DG391" s="122"/>
      <c r="DH391" s="122"/>
      <c r="DI391" s="122"/>
      <c r="DJ391" s="122"/>
      <c r="DK391" s="123"/>
      <c r="DL391" s="23"/>
      <c r="DM391" s="150"/>
      <c r="DN391" s="150"/>
      <c r="DO391" s="116"/>
    </row>
    <row r="392" spans="61:119" s="101" customFormat="1" ht="15.75" hidden="1" thickBot="1" x14ac:dyDescent="0.3">
      <c r="BI392" s="102"/>
      <c r="BJ392" s="178"/>
      <c r="BK392" s="178"/>
      <c r="BL392" s="178"/>
      <c r="BM392" s="169"/>
      <c r="BN392" s="169"/>
      <c r="BO392" s="169"/>
      <c r="BP392" s="206"/>
      <c r="BQ392" s="206"/>
      <c r="BR392" s="206"/>
      <c r="BS392" s="206"/>
      <c r="BT392" s="206"/>
      <c r="BU392" s="206"/>
      <c r="BV392" s="207"/>
      <c r="BW392" s="206"/>
      <c r="BX392" s="206"/>
      <c r="BY392" s="207"/>
      <c r="BZ392" s="207"/>
      <c r="CA392" s="207"/>
      <c r="CB392" s="180"/>
      <c r="CC392" s="178"/>
      <c r="CD392" s="178"/>
      <c r="CE392" s="180"/>
      <c r="CF392" s="180"/>
      <c r="CG392" s="180"/>
      <c r="CH392" s="180"/>
      <c r="CI392" s="178"/>
      <c r="CJ392" s="178"/>
      <c r="CK392" s="180"/>
      <c r="CL392" s="180"/>
      <c r="CM392" s="180"/>
      <c r="CN392" s="116"/>
      <c r="CO392" s="218">
        <f t="shared" si="138"/>
        <v>0</v>
      </c>
      <c r="CP392" s="100">
        <f t="shared" si="139"/>
        <v>0</v>
      </c>
      <c r="CQ392" s="218">
        <f t="shared" si="140"/>
        <v>0</v>
      </c>
      <c r="CZ392" s="123"/>
      <c r="DA392" s="122"/>
      <c r="DB392" s="122"/>
      <c r="DC392" s="123"/>
      <c r="DD392" s="123"/>
      <c r="DE392" s="123"/>
      <c r="DF392" s="122"/>
      <c r="DG392" s="122"/>
      <c r="DH392" s="122"/>
      <c r="DI392" s="122"/>
      <c r="DJ392" s="122"/>
      <c r="DK392" s="123"/>
      <c r="DL392" s="23"/>
      <c r="DM392" s="150"/>
      <c r="DN392" s="150"/>
      <c r="DO392" s="116"/>
    </row>
    <row r="393" spans="61:119" s="101" customFormat="1" ht="15" hidden="1" customHeight="1" x14ac:dyDescent="0.25">
      <c r="BI393" s="1606" t="s">
        <v>301</v>
      </c>
      <c r="BJ393" s="251"/>
      <c r="BK393" s="1606" t="s">
        <v>302</v>
      </c>
      <c r="BL393" s="251"/>
      <c r="BM393" s="1606" t="s">
        <v>233</v>
      </c>
      <c r="BN393" s="1606" t="s">
        <v>233</v>
      </c>
      <c r="BO393" s="1606" t="s">
        <v>240</v>
      </c>
      <c r="BP393" s="206"/>
      <c r="BQ393" s="206"/>
      <c r="BR393" s="206"/>
      <c r="BS393" s="206"/>
      <c r="BT393" s="206"/>
      <c r="BU393" s="206"/>
      <c r="BV393" s="207"/>
      <c r="BW393" s="206"/>
      <c r="BX393" s="206"/>
      <c r="BY393" s="207"/>
      <c r="BZ393" s="207"/>
      <c r="CA393" s="207"/>
      <c r="CB393" s="180"/>
      <c r="CC393" s="178"/>
      <c r="CD393" s="178"/>
      <c r="CE393" s="180"/>
      <c r="CF393" s="180"/>
      <c r="CG393" s="180"/>
      <c r="CH393" s="180"/>
      <c r="CI393" s="178"/>
      <c r="CJ393" s="178"/>
      <c r="CK393" s="180"/>
      <c r="CL393" s="180"/>
      <c r="CM393" s="180"/>
      <c r="CN393" s="116"/>
      <c r="CO393" s="218" t="str">
        <f t="shared" si="138"/>
        <v>Incertidumbre (+/- %)</v>
      </c>
      <c r="CP393" s="100" t="e">
        <f t="shared" si="139"/>
        <v>#VALUE!</v>
      </c>
      <c r="CQ393" s="218" t="str">
        <f t="shared" si="140"/>
        <v>Incertidumbre (+/- %)</v>
      </c>
      <c r="CZ393" s="123"/>
      <c r="DA393" s="122"/>
      <c r="DB393" s="122"/>
      <c r="DC393" s="123"/>
      <c r="DD393" s="123"/>
      <c r="DE393" s="123"/>
      <c r="DF393" s="122"/>
      <c r="DG393" s="122"/>
      <c r="DH393" s="122"/>
      <c r="DI393" s="122"/>
      <c r="DJ393" s="122"/>
      <c r="DK393" s="123"/>
      <c r="DL393" s="23"/>
      <c r="DM393" s="150"/>
      <c r="DN393" s="150"/>
      <c r="DO393" s="116"/>
    </row>
    <row r="394" spans="61:119" s="101" customFormat="1" ht="15.75" hidden="1" thickBot="1" x14ac:dyDescent="0.3">
      <c r="BI394" s="1607"/>
      <c r="BJ394" s="252" t="s">
        <v>253</v>
      </c>
      <c r="BK394" s="1607"/>
      <c r="BL394" s="252" t="s">
        <v>251</v>
      </c>
      <c r="BM394" s="1607"/>
      <c r="BN394" s="1607"/>
      <c r="BO394" s="1607"/>
      <c r="BP394" s="206"/>
      <c r="BQ394" s="206"/>
      <c r="BR394" s="206"/>
      <c r="BS394" s="206"/>
      <c r="BT394" s="206"/>
      <c r="BU394" s="206"/>
      <c r="BV394" s="207"/>
      <c r="BW394" s="206"/>
      <c r="BX394" s="206"/>
      <c r="BY394" s="207"/>
      <c r="BZ394" s="207"/>
      <c r="CA394" s="207"/>
      <c r="CB394" s="180"/>
      <c r="CC394" s="178"/>
      <c r="CD394" s="178"/>
      <c r="CE394" s="180"/>
      <c r="CF394" s="180"/>
      <c r="CG394" s="180"/>
      <c r="CH394" s="180"/>
      <c r="CI394" s="178"/>
      <c r="CJ394" s="178"/>
      <c r="CK394" s="180"/>
      <c r="CL394" s="180"/>
      <c r="CM394" s="180"/>
      <c r="CN394" s="116"/>
      <c r="CO394" s="218">
        <f t="shared" si="138"/>
        <v>0</v>
      </c>
      <c r="CP394" s="100">
        <f t="shared" si="139"/>
        <v>0</v>
      </c>
      <c r="CQ394" s="218">
        <f t="shared" si="140"/>
        <v>0</v>
      </c>
      <c r="CZ394" s="123"/>
      <c r="DA394" s="122"/>
      <c r="DB394" s="122"/>
      <c r="DC394" s="123"/>
      <c r="DD394" s="123"/>
      <c r="DE394" s="123"/>
      <c r="DF394" s="122"/>
      <c r="DG394" s="122"/>
      <c r="DH394" s="122"/>
      <c r="DI394" s="122"/>
      <c r="DJ394" s="122"/>
      <c r="DK394" s="123"/>
      <c r="DL394" s="23"/>
      <c r="DM394" s="150"/>
      <c r="DN394" s="150"/>
      <c r="DO394" s="116"/>
    </row>
    <row r="395" spans="61:119" s="101" customFormat="1" ht="18.75" hidden="1" customHeight="1" thickBot="1" x14ac:dyDescent="0.3">
      <c r="BI395" s="203" t="s">
        <v>68</v>
      </c>
      <c r="BJ395" s="190" t="s">
        <v>49</v>
      </c>
      <c r="BK395" s="196">
        <v>1.05</v>
      </c>
      <c r="BL395" s="190" t="s">
        <v>418</v>
      </c>
      <c r="BM395" s="189">
        <v>0.01</v>
      </c>
      <c r="BN395" s="189">
        <v>0.5</v>
      </c>
      <c r="BO395" s="209" t="s">
        <v>341</v>
      </c>
      <c r="BP395" s="206"/>
      <c r="BQ395" s="206"/>
      <c r="BR395" s="206"/>
      <c r="BS395" s="206"/>
      <c r="BT395" s="206"/>
      <c r="BU395" s="206"/>
      <c r="BV395" s="207"/>
      <c r="BW395" s="206"/>
      <c r="BX395" s="206"/>
      <c r="BY395" s="207"/>
      <c r="BZ395" s="207"/>
      <c r="CA395" s="207"/>
      <c r="CB395" s="180"/>
      <c r="CC395" s="178"/>
      <c r="CD395" s="178"/>
      <c r="CE395" s="180"/>
      <c r="CF395" s="180"/>
      <c r="CG395" s="180"/>
      <c r="CH395" s="180"/>
      <c r="CI395" s="178"/>
      <c r="CJ395" s="178"/>
      <c r="CK395" s="180"/>
      <c r="CL395" s="180"/>
      <c r="CM395" s="180"/>
      <c r="CN395" s="116"/>
      <c r="CO395" s="218">
        <f t="shared" si="138"/>
        <v>0.01</v>
      </c>
      <c r="CP395" s="100">
        <f t="shared" si="139"/>
        <v>0.255</v>
      </c>
      <c r="CQ395" s="218">
        <f t="shared" si="140"/>
        <v>0.5</v>
      </c>
      <c r="CR395" s="101">
        <v>0.01</v>
      </c>
      <c r="CS395" s="101">
        <v>0.5</v>
      </c>
      <c r="CZ395" s="123"/>
      <c r="DA395" s="122"/>
      <c r="DB395" s="122"/>
      <c r="DC395" s="123"/>
      <c r="DD395" s="123"/>
      <c r="DE395" s="123"/>
      <c r="DF395" s="122"/>
      <c r="DG395" s="122"/>
      <c r="DH395" s="122"/>
      <c r="DI395" s="122"/>
      <c r="DJ395" s="122"/>
      <c r="DK395" s="123"/>
      <c r="DL395" s="23"/>
      <c r="DM395" s="150"/>
      <c r="DN395" s="150"/>
      <c r="DO395" s="116"/>
    </row>
    <row r="396" spans="61:119" s="101" customFormat="1" ht="18.75" hidden="1" customHeight="1" thickBot="1" x14ac:dyDescent="0.3">
      <c r="BI396" s="203" t="s">
        <v>69</v>
      </c>
      <c r="BJ396" s="190" t="s">
        <v>49</v>
      </c>
      <c r="BK396" s="196">
        <v>0.81</v>
      </c>
      <c r="BL396" s="190" t="s">
        <v>418</v>
      </c>
      <c r="BM396" s="189">
        <v>0.01</v>
      </c>
      <c r="BN396" s="189">
        <v>0.5</v>
      </c>
      <c r="BO396" s="210" t="s">
        <v>320</v>
      </c>
      <c r="BP396" s="206"/>
      <c r="BQ396" s="206"/>
      <c r="BR396" s="206"/>
      <c r="BS396" s="206"/>
      <c r="BT396" s="206"/>
      <c r="BU396" s="206"/>
      <c r="BV396" s="207"/>
      <c r="BW396" s="206"/>
      <c r="BX396" s="206"/>
      <c r="BY396" s="207"/>
      <c r="BZ396" s="207"/>
      <c r="CA396" s="207"/>
      <c r="CB396" s="180"/>
      <c r="CC396" s="178"/>
      <c r="CD396" s="178"/>
      <c r="CE396" s="180"/>
      <c r="CF396" s="180"/>
      <c r="CG396" s="180"/>
      <c r="CH396" s="180"/>
      <c r="CI396" s="178"/>
      <c r="CJ396" s="178"/>
      <c r="CK396" s="180"/>
      <c r="CL396" s="180"/>
      <c r="CM396" s="180"/>
      <c r="CN396" s="116"/>
      <c r="CO396" s="218">
        <f t="shared" si="138"/>
        <v>0.01</v>
      </c>
      <c r="CP396" s="100">
        <f t="shared" si="139"/>
        <v>0.255</v>
      </c>
      <c r="CQ396" s="218">
        <f t="shared" si="140"/>
        <v>0.5</v>
      </c>
      <c r="CR396" s="101">
        <v>0.01</v>
      </c>
      <c r="CS396" s="101">
        <v>0.5</v>
      </c>
      <c r="CZ396" s="123"/>
      <c r="DA396" s="122"/>
      <c r="DB396" s="122"/>
      <c r="DC396" s="123"/>
      <c r="DD396" s="123"/>
      <c r="DE396" s="123"/>
      <c r="DF396" s="122"/>
      <c r="DG396" s="122"/>
      <c r="DH396" s="122"/>
      <c r="DI396" s="122"/>
      <c r="DJ396" s="122"/>
      <c r="DK396" s="123"/>
      <c r="DL396" s="23"/>
      <c r="DM396" s="150"/>
      <c r="DN396" s="150"/>
      <c r="DO396" s="116"/>
    </row>
    <row r="397" spans="61:119" s="101" customFormat="1" ht="18.75" hidden="1" customHeight="1" thickBot="1" x14ac:dyDescent="0.3">
      <c r="BI397" s="203" t="s">
        <v>317</v>
      </c>
      <c r="BJ397" s="190" t="s">
        <v>49</v>
      </c>
      <c r="BK397" s="196">
        <v>0.83</v>
      </c>
      <c r="BL397" s="190" t="s">
        <v>418</v>
      </c>
      <c r="BM397" s="189">
        <v>0.01</v>
      </c>
      <c r="BN397" s="189">
        <v>0.5</v>
      </c>
      <c r="BO397" s="209" t="s">
        <v>342</v>
      </c>
      <c r="BP397" s="206"/>
      <c r="BQ397" s="206"/>
      <c r="BR397" s="206"/>
      <c r="BS397" s="206"/>
      <c r="BT397" s="206"/>
      <c r="BU397" s="206"/>
      <c r="BV397" s="207"/>
      <c r="BW397" s="206"/>
      <c r="BX397" s="206"/>
      <c r="BY397" s="207"/>
      <c r="BZ397" s="207"/>
      <c r="CA397" s="207"/>
      <c r="CB397" s="180"/>
      <c r="CC397" s="178"/>
      <c r="CD397" s="178"/>
      <c r="CE397" s="180"/>
      <c r="CF397" s="180"/>
      <c r="CG397" s="180"/>
      <c r="CH397" s="180"/>
      <c r="CI397" s="178"/>
      <c r="CJ397" s="178"/>
      <c r="CK397" s="180"/>
      <c r="CL397" s="180"/>
      <c r="CM397" s="180"/>
      <c r="CN397" s="116"/>
      <c r="CO397" s="218">
        <f t="shared" si="138"/>
        <v>0.01</v>
      </c>
      <c r="CP397" s="100">
        <f t="shared" si="139"/>
        <v>0.255</v>
      </c>
      <c r="CQ397" s="218">
        <f t="shared" si="140"/>
        <v>0.5</v>
      </c>
      <c r="CR397" s="101">
        <v>0.01</v>
      </c>
      <c r="CS397" s="101">
        <v>0.5</v>
      </c>
      <c r="CZ397" s="123"/>
      <c r="DA397" s="122"/>
      <c r="DB397" s="122"/>
      <c r="DC397" s="123"/>
      <c r="DD397" s="123"/>
      <c r="DE397" s="123"/>
      <c r="DF397" s="122"/>
      <c r="DG397" s="122"/>
      <c r="DH397" s="122"/>
      <c r="DI397" s="122"/>
      <c r="DJ397" s="122"/>
      <c r="DK397" s="123"/>
      <c r="DL397" s="23"/>
      <c r="DM397" s="150"/>
      <c r="DN397" s="150"/>
      <c r="DO397" s="116"/>
    </row>
    <row r="398" spans="61:119" s="101" customFormat="1" ht="18.75" hidden="1" customHeight="1" thickBot="1" x14ac:dyDescent="0.3">
      <c r="BI398" s="203" t="s">
        <v>318</v>
      </c>
      <c r="BJ398" s="190" t="s">
        <v>49</v>
      </c>
      <c r="BK398" s="196">
        <v>1.39</v>
      </c>
      <c r="BL398" s="190" t="s">
        <v>418</v>
      </c>
      <c r="BM398" s="189">
        <v>0.01</v>
      </c>
      <c r="BN398" s="189">
        <v>0.5</v>
      </c>
      <c r="BO398" s="209" t="s">
        <v>342</v>
      </c>
      <c r="BP398" s="206"/>
      <c r="BQ398" s="206"/>
      <c r="BR398" s="206"/>
      <c r="BS398" s="206"/>
      <c r="BT398" s="206"/>
      <c r="BU398" s="206"/>
      <c r="BV398" s="207"/>
      <c r="BW398" s="206"/>
      <c r="BX398" s="206"/>
      <c r="BY398" s="207"/>
      <c r="BZ398" s="207"/>
      <c r="CA398" s="207"/>
      <c r="CB398" s="180"/>
      <c r="CC398" s="178"/>
      <c r="CD398" s="178"/>
      <c r="CE398" s="180"/>
      <c r="CF398" s="180"/>
      <c r="CG398" s="180"/>
      <c r="CH398" s="180"/>
      <c r="CI398" s="178"/>
      <c r="CJ398" s="178"/>
      <c r="CK398" s="180"/>
      <c r="CL398" s="180"/>
      <c r="CM398" s="180"/>
      <c r="CN398" s="116"/>
      <c r="CO398" s="218">
        <f t="shared" si="138"/>
        <v>0.01</v>
      </c>
      <c r="CP398" s="100">
        <f t="shared" si="139"/>
        <v>0.255</v>
      </c>
      <c r="CQ398" s="218">
        <f t="shared" si="140"/>
        <v>0.5</v>
      </c>
      <c r="CR398" s="101">
        <v>0.01</v>
      </c>
      <c r="CS398" s="101">
        <v>0.5</v>
      </c>
      <c r="CZ398" s="123"/>
      <c r="DA398" s="122"/>
      <c r="DB398" s="122"/>
      <c r="DC398" s="123"/>
      <c r="DD398" s="123"/>
      <c r="DE398" s="123"/>
      <c r="DF398" s="122"/>
      <c r="DG398" s="122"/>
      <c r="DH398" s="122"/>
      <c r="DI398" s="122"/>
      <c r="DJ398" s="122"/>
      <c r="DK398" s="123"/>
      <c r="DL398" s="23"/>
      <c r="DM398" s="150"/>
      <c r="DN398" s="150"/>
      <c r="DO398" s="116"/>
    </row>
    <row r="399" spans="61:119" s="101" customFormat="1" ht="18.75" hidden="1" customHeight="1" thickBot="1" x14ac:dyDescent="0.3">
      <c r="BI399" s="203" t="s">
        <v>326</v>
      </c>
      <c r="BJ399" s="190" t="s">
        <v>49</v>
      </c>
      <c r="BK399" s="196">
        <v>2.87</v>
      </c>
      <c r="BL399" s="190" t="s">
        <v>418</v>
      </c>
      <c r="BM399" s="189">
        <v>0.01</v>
      </c>
      <c r="BN399" s="189">
        <v>0.5</v>
      </c>
      <c r="BO399" s="210" t="s">
        <v>319</v>
      </c>
      <c r="BP399" s="206"/>
      <c r="BQ399" s="206"/>
      <c r="BR399" s="206"/>
      <c r="BS399" s="206"/>
      <c r="BT399" s="206"/>
      <c r="BU399" s="206"/>
      <c r="BV399" s="207"/>
      <c r="BW399" s="206"/>
      <c r="BX399" s="206"/>
      <c r="BY399" s="207"/>
      <c r="BZ399" s="207"/>
      <c r="CA399" s="207"/>
      <c r="CB399" s="180"/>
      <c r="CC399" s="178"/>
      <c r="CD399" s="178"/>
      <c r="CE399" s="180"/>
      <c r="CF399" s="180"/>
      <c r="CG399" s="180"/>
      <c r="CH399" s="180"/>
      <c r="CI399" s="178"/>
      <c r="CJ399" s="178"/>
      <c r="CK399" s="180"/>
      <c r="CL399" s="180"/>
      <c r="CM399" s="180"/>
      <c r="CN399" s="116"/>
      <c r="CO399" s="218">
        <f t="shared" si="138"/>
        <v>0.01</v>
      </c>
      <c r="CP399" s="100">
        <f t="shared" si="139"/>
        <v>0.255</v>
      </c>
      <c r="CQ399" s="218">
        <f t="shared" si="140"/>
        <v>0.5</v>
      </c>
      <c r="CR399" s="101">
        <v>0.01</v>
      </c>
      <c r="CS399" s="101">
        <v>0.5</v>
      </c>
      <c r="CZ399" s="123"/>
      <c r="DA399" s="122"/>
      <c r="DB399" s="122"/>
      <c r="DC399" s="123"/>
      <c r="DD399" s="123"/>
      <c r="DE399" s="123"/>
      <c r="DF399" s="122"/>
      <c r="DG399" s="122"/>
      <c r="DH399" s="122"/>
      <c r="DI399" s="122"/>
      <c r="DJ399" s="122"/>
      <c r="DK399" s="123"/>
      <c r="DL399" s="23"/>
      <c r="DM399" s="150"/>
      <c r="DN399" s="150"/>
      <c r="DO399" s="116"/>
    </row>
    <row r="400" spans="61:119" s="101" customFormat="1" ht="18.75" hidden="1" customHeight="1" thickBot="1" x14ac:dyDescent="0.3">
      <c r="BI400" s="203" t="s">
        <v>327</v>
      </c>
      <c r="BJ400" s="190" t="s">
        <v>49</v>
      </c>
      <c r="BK400" s="196">
        <v>2.08</v>
      </c>
      <c r="BL400" s="190" t="s">
        <v>418</v>
      </c>
      <c r="BM400" s="189">
        <v>0.01</v>
      </c>
      <c r="BN400" s="189">
        <v>0.5</v>
      </c>
      <c r="BO400" s="210" t="s">
        <v>322</v>
      </c>
      <c r="BP400" s="206"/>
      <c r="BQ400" s="206"/>
      <c r="BR400" s="206"/>
      <c r="BS400" s="206"/>
      <c r="BT400" s="206"/>
      <c r="BU400" s="206"/>
      <c r="BV400" s="207"/>
      <c r="BW400" s="206"/>
      <c r="BX400" s="206"/>
      <c r="BY400" s="207"/>
      <c r="BZ400" s="207"/>
      <c r="CA400" s="207"/>
      <c r="CB400" s="180"/>
      <c r="CC400" s="178"/>
      <c r="CD400" s="178"/>
      <c r="CE400" s="180"/>
      <c r="CF400" s="180"/>
      <c r="CG400" s="180"/>
      <c r="CH400" s="180"/>
      <c r="CI400" s="178"/>
      <c r="CJ400" s="178"/>
      <c r="CK400" s="180"/>
      <c r="CL400" s="180"/>
      <c r="CM400" s="180"/>
      <c r="CN400" s="116"/>
      <c r="CO400" s="218">
        <f t="shared" si="138"/>
        <v>0.01</v>
      </c>
      <c r="CP400" s="100">
        <f t="shared" si="139"/>
        <v>0.255</v>
      </c>
      <c r="CQ400" s="218">
        <f t="shared" si="140"/>
        <v>0.5</v>
      </c>
      <c r="CR400" s="101">
        <v>0.01</v>
      </c>
      <c r="CS400" s="101">
        <v>0.5</v>
      </c>
      <c r="CZ400" s="123"/>
      <c r="DA400" s="122"/>
      <c r="DB400" s="122"/>
      <c r="DC400" s="123"/>
      <c r="DD400" s="123"/>
      <c r="DE400" s="123"/>
      <c r="DF400" s="122"/>
      <c r="DG400" s="122"/>
      <c r="DH400" s="122"/>
      <c r="DI400" s="122"/>
      <c r="DJ400" s="122"/>
      <c r="DK400" s="123"/>
      <c r="DL400" s="23"/>
      <c r="DM400" s="150"/>
      <c r="DN400" s="150"/>
      <c r="DO400" s="116"/>
    </row>
    <row r="401" spans="61:120" s="101" customFormat="1" ht="18.75" hidden="1" customHeight="1" thickBot="1" x14ac:dyDescent="0.3">
      <c r="BI401" s="203" t="s">
        <v>328</v>
      </c>
      <c r="BJ401" s="190" t="s">
        <v>49</v>
      </c>
      <c r="BK401" s="196">
        <v>2.89</v>
      </c>
      <c r="BL401" s="190" t="s">
        <v>418</v>
      </c>
      <c r="BM401" s="189">
        <v>0.01</v>
      </c>
      <c r="BN401" s="189">
        <v>0.5</v>
      </c>
      <c r="BO401" s="210" t="s">
        <v>321</v>
      </c>
      <c r="BP401" s="206"/>
      <c r="BQ401" s="206"/>
      <c r="BR401" s="206"/>
      <c r="BS401" s="206"/>
      <c r="BT401" s="206"/>
      <c r="BU401" s="206"/>
      <c r="BV401" s="207"/>
      <c r="BW401" s="206"/>
      <c r="BX401" s="206"/>
      <c r="BY401" s="207"/>
      <c r="BZ401" s="207"/>
      <c r="CA401" s="207"/>
      <c r="CB401" s="180"/>
      <c r="CC401" s="178"/>
      <c r="CD401" s="178"/>
      <c r="CE401" s="180"/>
      <c r="CF401" s="180"/>
      <c r="CG401" s="180"/>
      <c r="CH401" s="180"/>
      <c r="CI401" s="178"/>
      <c r="CJ401" s="178"/>
      <c r="CK401" s="180"/>
      <c r="CL401" s="180"/>
      <c r="CM401" s="180"/>
      <c r="CN401" s="116"/>
      <c r="CO401" s="218">
        <f t="shared" si="138"/>
        <v>0.01</v>
      </c>
      <c r="CP401" s="100">
        <f t="shared" si="139"/>
        <v>0.255</v>
      </c>
      <c r="CQ401" s="218">
        <f t="shared" si="140"/>
        <v>0.5</v>
      </c>
      <c r="CR401" s="101">
        <v>0.01</v>
      </c>
      <c r="CS401" s="101">
        <v>0.5</v>
      </c>
      <c r="CZ401" s="123"/>
      <c r="DA401" s="122"/>
      <c r="DB401" s="122"/>
      <c r="DC401" s="123"/>
      <c r="DD401" s="123"/>
      <c r="DE401" s="123"/>
      <c r="DF401" s="122"/>
      <c r="DG401" s="122"/>
      <c r="DH401" s="122"/>
      <c r="DI401" s="122"/>
      <c r="DJ401" s="122"/>
      <c r="DK401" s="123"/>
      <c r="DL401" s="23"/>
      <c r="DM401" s="150"/>
      <c r="DN401" s="150"/>
      <c r="DO401" s="116"/>
    </row>
    <row r="402" spans="61:120" s="101" customFormat="1" ht="18.75" hidden="1" customHeight="1" thickBot="1" x14ac:dyDescent="0.3">
      <c r="BI402" s="203" t="s">
        <v>323</v>
      </c>
      <c r="BJ402" s="190" t="s">
        <v>49</v>
      </c>
      <c r="BK402" s="196">
        <v>11.1</v>
      </c>
      <c r="BL402" s="190" t="s">
        <v>418</v>
      </c>
      <c r="BM402" s="189">
        <v>0.01</v>
      </c>
      <c r="BN402" s="189">
        <v>0.5</v>
      </c>
      <c r="BO402" s="210" t="s">
        <v>325</v>
      </c>
      <c r="BP402" s="206"/>
      <c r="BQ402" s="206"/>
      <c r="BR402" s="206"/>
      <c r="BS402" s="206"/>
      <c r="BT402" s="206"/>
      <c r="BU402" s="206"/>
      <c r="BV402" s="207"/>
      <c r="BW402" s="206"/>
      <c r="BX402" s="206"/>
      <c r="BY402" s="207"/>
      <c r="BZ402" s="207"/>
      <c r="CA402" s="207"/>
      <c r="CB402" s="180"/>
      <c r="CC402" s="178"/>
      <c r="CD402" s="178"/>
      <c r="CE402" s="180"/>
      <c r="CF402" s="180"/>
      <c r="CG402" s="180"/>
      <c r="CH402" s="180"/>
      <c r="CI402" s="178"/>
      <c r="CJ402" s="178"/>
      <c r="CK402" s="180"/>
      <c r="CL402" s="180"/>
      <c r="CM402" s="180"/>
      <c r="CN402" s="116"/>
      <c r="CO402" s="218">
        <f t="shared" si="138"/>
        <v>0.01</v>
      </c>
      <c r="CP402" s="100">
        <f t="shared" si="139"/>
        <v>0.255</v>
      </c>
      <c r="CQ402" s="218">
        <f t="shared" si="140"/>
        <v>0.5</v>
      </c>
      <c r="CR402" s="101">
        <v>0.01</v>
      </c>
      <c r="CS402" s="101">
        <v>0.5</v>
      </c>
      <c r="CZ402" s="123"/>
      <c r="DA402" s="122"/>
      <c r="DB402" s="122"/>
      <c r="DC402" s="123"/>
      <c r="DD402" s="123"/>
      <c r="DE402" s="123"/>
      <c r="DF402" s="122"/>
      <c r="DG402" s="122"/>
      <c r="DH402" s="122"/>
      <c r="DI402" s="122"/>
      <c r="DJ402" s="122"/>
      <c r="DK402" s="123"/>
      <c r="DL402" s="23"/>
      <c r="DM402" s="150"/>
      <c r="DN402" s="150"/>
      <c r="DO402" s="116"/>
    </row>
    <row r="403" spans="61:120" s="101" customFormat="1" ht="18.75" hidden="1" customHeight="1" thickBot="1" x14ac:dyDescent="0.3">
      <c r="BI403" s="203" t="s">
        <v>324</v>
      </c>
      <c r="BJ403" s="190" t="s">
        <v>49</v>
      </c>
      <c r="BK403" s="196">
        <v>2.33</v>
      </c>
      <c r="BL403" s="190" t="s">
        <v>418</v>
      </c>
      <c r="BM403" s="189">
        <v>0.01</v>
      </c>
      <c r="BN403" s="189">
        <v>0.5</v>
      </c>
      <c r="BO403" s="210" t="s">
        <v>329</v>
      </c>
      <c r="BP403" s="206"/>
      <c r="BQ403" s="206"/>
      <c r="BR403" s="206"/>
      <c r="BS403" s="206"/>
      <c r="BT403" s="206"/>
      <c r="BU403" s="206"/>
      <c r="BV403" s="207"/>
      <c r="BW403" s="206"/>
      <c r="BX403" s="206"/>
      <c r="BY403" s="207"/>
      <c r="BZ403" s="207"/>
      <c r="CA403" s="207"/>
      <c r="CB403" s="180"/>
      <c r="CC403" s="178"/>
      <c r="CD403" s="178"/>
      <c r="CE403" s="180"/>
      <c r="CF403" s="180"/>
      <c r="CG403" s="180"/>
      <c r="CH403" s="180"/>
      <c r="CI403" s="178"/>
      <c r="CJ403" s="178"/>
      <c r="CK403" s="180"/>
      <c r="CL403" s="180"/>
      <c r="CM403" s="180"/>
      <c r="CN403" s="116"/>
      <c r="CO403" s="218">
        <f t="shared" si="138"/>
        <v>0.01</v>
      </c>
      <c r="CP403" s="100">
        <f t="shared" si="139"/>
        <v>0.255</v>
      </c>
      <c r="CQ403" s="218">
        <f t="shared" si="140"/>
        <v>0.5</v>
      </c>
      <c r="CR403" s="101">
        <v>0.01</v>
      </c>
      <c r="CS403" s="101">
        <v>0.5</v>
      </c>
      <c r="CZ403" s="123"/>
      <c r="DA403" s="122"/>
      <c r="DB403" s="122"/>
      <c r="DC403" s="123"/>
      <c r="DD403" s="123"/>
      <c r="DE403" s="123"/>
      <c r="DF403" s="122"/>
      <c r="DG403" s="122"/>
      <c r="DH403" s="122"/>
      <c r="DI403" s="122"/>
      <c r="DJ403" s="122"/>
      <c r="DK403" s="123"/>
      <c r="DL403" s="23"/>
      <c r="DM403" s="150"/>
      <c r="DN403" s="150"/>
      <c r="DO403" s="116"/>
    </row>
    <row r="404" spans="61:120" s="101" customFormat="1" ht="18.75" hidden="1" customHeight="1" thickBot="1" x14ac:dyDescent="0.3">
      <c r="BI404" s="203"/>
      <c r="BJ404" s="190"/>
      <c r="BK404" s="196"/>
      <c r="BL404" s="190"/>
      <c r="BM404" s="189"/>
      <c r="BN404" s="189"/>
      <c r="BO404" s="210"/>
      <c r="BP404" s="206"/>
      <c r="BQ404" s="206"/>
      <c r="BR404" s="206"/>
      <c r="BS404" s="206"/>
      <c r="BT404" s="206"/>
      <c r="BU404" s="206"/>
      <c r="BV404" s="207"/>
      <c r="BW404" s="206"/>
      <c r="BX404" s="206"/>
      <c r="BY404" s="207"/>
      <c r="BZ404" s="207"/>
      <c r="CA404" s="207"/>
      <c r="CB404" s="180"/>
      <c r="CC404" s="178"/>
      <c r="CD404" s="178"/>
      <c r="CE404" s="180"/>
      <c r="CF404" s="180"/>
      <c r="CG404" s="180"/>
      <c r="CH404" s="180"/>
      <c r="CI404" s="178"/>
      <c r="CJ404" s="178"/>
      <c r="CK404" s="180"/>
      <c r="CL404" s="180"/>
      <c r="CM404" s="180"/>
      <c r="CN404" s="116"/>
      <c r="CO404" s="218">
        <f t="shared" si="138"/>
        <v>0</v>
      </c>
      <c r="CP404" s="100">
        <f t="shared" si="139"/>
        <v>0</v>
      </c>
      <c r="CQ404" s="218">
        <f t="shared" si="140"/>
        <v>0</v>
      </c>
      <c r="CR404" s="101">
        <v>0.01</v>
      </c>
      <c r="CS404" s="101">
        <v>0.5</v>
      </c>
      <c r="CZ404" s="123"/>
      <c r="DA404" s="122"/>
      <c r="DB404" s="122"/>
      <c r="DC404" s="123"/>
      <c r="DD404" s="123"/>
      <c r="DE404" s="123"/>
      <c r="DF404" s="122"/>
      <c r="DG404" s="122"/>
      <c r="DH404" s="122"/>
      <c r="DI404" s="122"/>
      <c r="DJ404" s="122"/>
      <c r="DK404" s="123"/>
      <c r="DL404" s="23"/>
      <c r="DM404" s="150"/>
      <c r="DN404" s="150"/>
      <c r="DO404" s="116"/>
    </row>
    <row r="405" spans="61:120" s="101" customFormat="1" hidden="1" x14ac:dyDescent="0.25">
      <c r="BI405" s="102"/>
      <c r="BJ405" s="178"/>
      <c r="BK405" s="178"/>
      <c r="BL405" s="178"/>
      <c r="BM405" s="169"/>
      <c r="BN405" s="169"/>
      <c r="BO405" s="169"/>
      <c r="BP405" s="206"/>
      <c r="BQ405" s="206"/>
      <c r="BR405" s="206"/>
      <c r="BS405" s="206"/>
      <c r="BT405" s="206"/>
      <c r="BU405" s="206"/>
      <c r="BV405" s="207"/>
      <c r="BW405" s="206"/>
      <c r="BX405" s="206"/>
      <c r="BY405" s="207"/>
      <c r="BZ405" s="207"/>
      <c r="CA405" s="207"/>
      <c r="CB405" s="180"/>
      <c r="CC405" s="178"/>
      <c r="CD405" s="178"/>
      <c r="CE405" s="180"/>
      <c r="CF405" s="180"/>
      <c r="CG405" s="180"/>
      <c r="CH405" s="180"/>
      <c r="CI405" s="178"/>
      <c r="CJ405" s="178"/>
      <c r="CK405" s="180"/>
      <c r="CL405" s="180"/>
      <c r="CM405" s="180"/>
      <c r="CN405" s="116"/>
      <c r="CO405" s="218">
        <f t="shared" si="138"/>
        <v>0</v>
      </c>
      <c r="CP405" s="100">
        <f t="shared" si="139"/>
        <v>0</v>
      </c>
      <c r="CQ405" s="218">
        <f t="shared" si="140"/>
        <v>0</v>
      </c>
      <c r="CZ405" s="123"/>
      <c r="DA405" s="122"/>
      <c r="DB405" s="122"/>
      <c r="DC405" s="123"/>
      <c r="DD405" s="123"/>
      <c r="DE405" s="123"/>
      <c r="DF405" s="122"/>
      <c r="DG405" s="122"/>
      <c r="DH405" s="122"/>
      <c r="DI405" s="122"/>
      <c r="DJ405" s="122"/>
      <c r="DK405" s="123"/>
      <c r="DL405" s="23"/>
      <c r="DM405" s="150"/>
      <c r="DN405" s="150"/>
      <c r="DO405" s="116"/>
    </row>
    <row r="406" spans="61:120" s="101" customFormat="1" hidden="1" x14ac:dyDescent="0.25">
      <c r="BI406" s="102"/>
      <c r="BJ406" s="178"/>
      <c r="BK406" s="178"/>
      <c r="BL406" s="178"/>
      <c r="BM406" s="169"/>
      <c r="BN406" s="169"/>
      <c r="BO406" s="169"/>
      <c r="BP406" s="206"/>
      <c r="BQ406" s="206"/>
      <c r="BR406" s="206"/>
      <c r="BS406" s="206"/>
      <c r="BT406" s="206"/>
      <c r="BU406" s="206"/>
      <c r="BV406" s="207"/>
      <c r="BW406" s="206"/>
      <c r="BX406" s="206"/>
      <c r="BY406" s="207"/>
      <c r="BZ406" s="207"/>
      <c r="CA406" s="207"/>
      <c r="CB406" s="180"/>
      <c r="CC406" s="178"/>
      <c r="CD406" s="178"/>
      <c r="CE406" s="180"/>
      <c r="CF406" s="180"/>
      <c r="CG406" s="180"/>
      <c r="CH406" s="180"/>
      <c r="CI406" s="178"/>
      <c r="CJ406" s="178"/>
      <c r="CK406" s="180"/>
      <c r="CL406" s="180"/>
      <c r="CM406" s="180"/>
      <c r="CN406" s="116"/>
      <c r="CO406" s="218">
        <f t="shared" si="138"/>
        <v>0</v>
      </c>
      <c r="CP406" s="100">
        <f t="shared" si="139"/>
        <v>0</v>
      </c>
      <c r="CQ406" s="218">
        <f t="shared" si="140"/>
        <v>0</v>
      </c>
      <c r="CZ406" s="123"/>
      <c r="DA406" s="122"/>
      <c r="DB406" s="122"/>
      <c r="DC406" s="123"/>
      <c r="DD406" s="123"/>
      <c r="DE406" s="123"/>
      <c r="DF406" s="122"/>
      <c r="DG406" s="122"/>
      <c r="DH406" s="122"/>
      <c r="DI406" s="122"/>
      <c r="DJ406" s="122"/>
      <c r="DK406" s="123"/>
      <c r="DL406" s="23"/>
      <c r="DM406" s="150"/>
      <c r="DN406" s="150"/>
      <c r="DO406" s="116"/>
    </row>
    <row r="407" spans="61:120" s="101" customFormat="1" hidden="1" x14ac:dyDescent="0.25">
      <c r="BI407" s="102"/>
      <c r="BJ407" s="178"/>
      <c r="BK407" s="178"/>
      <c r="BL407" s="178"/>
      <c r="BM407" s="169"/>
      <c r="BN407" s="169"/>
      <c r="BO407" s="169"/>
      <c r="BP407" s="206"/>
      <c r="BQ407" s="206"/>
      <c r="BR407" s="206"/>
      <c r="BS407" s="206"/>
      <c r="BT407" s="206"/>
      <c r="BU407" s="206"/>
      <c r="BV407" s="207"/>
      <c r="BW407" s="206"/>
      <c r="BX407" s="206"/>
      <c r="BY407" s="207"/>
      <c r="BZ407" s="207"/>
      <c r="CA407" s="207"/>
      <c r="CB407" s="180"/>
      <c r="CC407" s="178"/>
      <c r="CD407" s="178"/>
      <c r="CE407" s="180"/>
      <c r="CF407" s="180"/>
      <c r="CG407" s="180"/>
      <c r="CH407" s="180"/>
      <c r="CI407" s="178"/>
      <c r="CJ407" s="178"/>
      <c r="CK407" s="180"/>
      <c r="CL407" s="180"/>
      <c r="CM407" s="180"/>
      <c r="CN407" s="116"/>
      <c r="CO407" s="218">
        <f t="shared" si="138"/>
        <v>0</v>
      </c>
      <c r="CP407" s="100">
        <f t="shared" si="139"/>
        <v>0</v>
      </c>
      <c r="CQ407" s="218">
        <f t="shared" si="140"/>
        <v>0</v>
      </c>
      <c r="CZ407" s="123"/>
      <c r="DA407" s="122"/>
      <c r="DB407" s="122"/>
      <c r="DC407" s="123"/>
      <c r="DD407" s="123"/>
      <c r="DE407" s="123"/>
      <c r="DF407" s="122"/>
      <c r="DG407" s="122"/>
      <c r="DH407" s="122"/>
      <c r="DI407" s="122"/>
      <c r="DJ407" s="122"/>
      <c r="DK407" s="123"/>
      <c r="DL407" s="23"/>
      <c r="DM407" s="150"/>
      <c r="DN407" s="150"/>
      <c r="DO407" s="116"/>
    </row>
    <row r="408" spans="61:120" s="101" customFormat="1" hidden="1" x14ac:dyDescent="0.25">
      <c r="BI408" s="102"/>
      <c r="BJ408" s="178"/>
      <c r="BK408" s="178"/>
      <c r="BL408" s="178"/>
      <c r="BM408" s="169"/>
      <c r="BN408" s="169"/>
      <c r="BO408" s="169"/>
      <c r="BP408" s="206"/>
      <c r="BQ408" s="206"/>
      <c r="BR408" s="206"/>
      <c r="BS408" s="206"/>
      <c r="BT408" s="206"/>
      <c r="BU408" s="206"/>
      <c r="BV408" s="207"/>
      <c r="BW408" s="206"/>
      <c r="BX408" s="206"/>
      <c r="BY408" s="207"/>
      <c r="BZ408" s="207"/>
      <c r="CA408" s="207"/>
      <c r="CB408" s="180"/>
      <c r="CC408" s="178"/>
      <c r="CD408" s="178"/>
      <c r="CE408" s="180"/>
      <c r="CF408" s="180"/>
      <c r="CG408" s="180"/>
      <c r="CH408" s="180"/>
      <c r="CI408" s="178"/>
      <c r="CJ408" s="178"/>
      <c r="CK408" s="180"/>
      <c r="CL408" s="180"/>
      <c r="CM408" s="180"/>
      <c r="CN408" s="116"/>
      <c r="CO408" s="218">
        <f t="shared" si="138"/>
        <v>0</v>
      </c>
      <c r="CP408" s="100">
        <f t="shared" si="139"/>
        <v>0</v>
      </c>
      <c r="CQ408" s="218">
        <f t="shared" si="140"/>
        <v>0</v>
      </c>
      <c r="CZ408" s="123"/>
      <c r="DA408" s="122"/>
      <c r="DB408" s="122"/>
      <c r="DC408" s="123"/>
      <c r="DD408" s="123"/>
      <c r="DE408" s="123"/>
      <c r="DF408" s="122"/>
      <c r="DG408" s="122"/>
      <c r="DH408" s="122"/>
      <c r="DI408" s="122"/>
      <c r="DJ408" s="122"/>
      <c r="DK408" s="123"/>
      <c r="DL408" s="23"/>
      <c r="DM408" s="150"/>
      <c r="DN408" s="150"/>
      <c r="DO408" s="116"/>
    </row>
    <row r="409" spans="61:120" s="101" customFormat="1" hidden="1" x14ac:dyDescent="0.25">
      <c r="BI409" s="102"/>
      <c r="BJ409" s="178"/>
      <c r="BK409" s="178"/>
      <c r="BL409" s="178"/>
      <c r="BM409" s="169"/>
      <c r="BN409" s="169"/>
      <c r="BO409" s="169"/>
      <c r="BP409" s="206"/>
      <c r="BQ409" s="206"/>
      <c r="BR409" s="206"/>
      <c r="BS409" s="206"/>
      <c r="BT409" s="206"/>
      <c r="BU409" s="206"/>
      <c r="BV409" s="207"/>
      <c r="BW409" s="206"/>
      <c r="BX409" s="206"/>
      <c r="BY409" s="207"/>
      <c r="BZ409" s="207"/>
      <c r="CA409" s="207"/>
      <c r="CB409" s="180"/>
      <c r="CC409" s="178"/>
      <c r="CD409" s="178"/>
      <c r="CE409" s="180"/>
      <c r="CF409" s="180"/>
      <c r="CG409" s="180"/>
      <c r="CH409" s="180"/>
      <c r="CI409" s="178"/>
      <c r="CJ409" s="178"/>
      <c r="CK409" s="180"/>
      <c r="CL409" s="180"/>
      <c r="CM409" s="180"/>
      <c r="CN409" s="116"/>
      <c r="CO409" s="218">
        <f t="shared" si="138"/>
        <v>0</v>
      </c>
      <c r="CP409" s="100">
        <f t="shared" si="139"/>
        <v>0</v>
      </c>
      <c r="CQ409" s="218">
        <f t="shared" si="140"/>
        <v>0</v>
      </c>
      <c r="CZ409" s="123"/>
      <c r="DA409" s="122"/>
      <c r="DB409" s="122"/>
      <c r="DC409" s="123"/>
      <c r="DD409" s="123"/>
      <c r="DE409" s="123"/>
      <c r="DF409" s="122"/>
      <c r="DG409" s="122"/>
      <c r="DH409" s="122"/>
      <c r="DI409" s="122"/>
      <c r="DJ409" s="122"/>
      <c r="DK409" s="123"/>
      <c r="DL409" s="23"/>
      <c r="DM409" s="150"/>
      <c r="DN409" s="150"/>
      <c r="DO409" s="116"/>
    </row>
    <row r="410" spans="61:120" s="101" customFormat="1" hidden="1" x14ac:dyDescent="0.25">
      <c r="BI410" s="102"/>
      <c r="BJ410" s="178"/>
      <c r="BK410" s="178"/>
      <c r="BL410" s="178"/>
      <c r="BM410" s="169"/>
      <c r="BN410" s="169"/>
      <c r="BO410" s="169"/>
      <c r="BP410" s="206"/>
      <c r="BQ410" s="206"/>
      <c r="BR410" s="206"/>
      <c r="BS410" s="206"/>
      <c r="BT410" s="206"/>
      <c r="BU410" s="206"/>
      <c r="BV410" s="207"/>
      <c r="BW410" s="206"/>
      <c r="BX410" s="206"/>
      <c r="BY410" s="207"/>
      <c r="BZ410" s="207"/>
      <c r="CA410" s="207"/>
      <c r="CB410" s="180"/>
      <c r="CC410" s="178"/>
      <c r="CD410" s="178"/>
      <c r="CE410" s="180"/>
      <c r="CF410" s="180"/>
      <c r="CG410" s="180"/>
      <c r="CH410" s="180"/>
      <c r="CI410" s="178"/>
      <c r="CJ410" s="178"/>
      <c r="CK410" s="180"/>
      <c r="CL410" s="180"/>
      <c r="CM410" s="180"/>
      <c r="CN410" s="116"/>
      <c r="CO410" s="218">
        <f t="shared" si="138"/>
        <v>0</v>
      </c>
      <c r="CP410" s="100">
        <f t="shared" si="139"/>
        <v>0</v>
      </c>
      <c r="CQ410" s="218">
        <f t="shared" si="140"/>
        <v>0</v>
      </c>
      <c r="CZ410" s="123"/>
      <c r="DA410" s="122"/>
      <c r="DB410" s="122"/>
      <c r="DC410" s="123"/>
      <c r="DD410" s="123"/>
      <c r="DE410" s="123"/>
      <c r="DF410" s="122"/>
      <c r="DG410" s="122"/>
      <c r="DH410" s="122"/>
      <c r="DI410" s="122"/>
      <c r="DJ410" s="122"/>
      <c r="DK410" s="123"/>
      <c r="DL410" s="23"/>
      <c r="DM410" s="150"/>
      <c r="DN410" s="150"/>
      <c r="DO410" s="116"/>
    </row>
    <row r="411" spans="61:120" s="101" customFormat="1" ht="15.75" hidden="1" thickBot="1" x14ac:dyDescent="0.3">
      <c r="BI411" s="102"/>
      <c r="BJ411" s="178"/>
      <c r="BK411" s="178"/>
      <c r="BL411" s="178"/>
      <c r="BM411" s="169"/>
      <c r="BN411" s="169"/>
      <c r="BO411" s="169"/>
      <c r="BP411" s="206"/>
      <c r="BQ411" s="206"/>
      <c r="BR411" s="206"/>
      <c r="BS411" s="206"/>
      <c r="BT411" s="206"/>
      <c r="BU411" s="206"/>
      <c r="BV411" s="207"/>
      <c r="BW411" s="206"/>
      <c r="BX411" s="206"/>
      <c r="BY411" s="207"/>
      <c r="BZ411" s="207"/>
      <c r="CA411" s="207"/>
      <c r="CB411" s="180"/>
      <c r="CC411" s="178"/>
      <c r="CD411" s="178"/>
      <c r="CE411" s="180"/>
      <c r="CF411" s="180"/>
      <c r="CG411" s="180"/>
      <c r="CH411" s="180"/>
      <c r="CI411" s="178"/>
      <c r="CJ411" s="178"/>
      <c r="CK411" s="180"/>
      <c r="CL411" s="180"/>
      <c r="CM411" s="180"/>
      <c r="CN411" s="116"/>
      <c r="CO411" s="218">
        <f t="shared" si="138"/>
        <v>0</v>
      </c>
      <c r="CP411" s="100">
        <f t="shared" si="139"/>
        <v>0</v>
      </c>
      <c r="CQ411" s="218">
        <f t="shared" si="140"/>
        <v>0</v>
      </c>
      <c r="CZ411" s="123"/>
      <c r="DA411" s="122"/>
      <c r="DB411" s="122"/>
      <c r="DC411" s="123"/>
      <c r="DD411" s="123"/>
      <c r="DE411" s="123"/>
      <c r="DF411" s="122"/>
      <c r="DG411" s="122"/>
      <c r="DH411" s="122"/>
      <c r="DI411" s="122"/>
      <c r="DJ411" s="122"/>
      <c r="DK411" s="123"/>
      <c r="DL411" s="23"/>
      <c r="DM411" s="150"/>
      <c r="DN411" s="150"/>
      <c r="DO411" s="116"/>
    </row>
    <row r="412" spans="61:120" s="101" customFormat="1" ht="15.75" hidden="1" thickBot="1" x14ac:dyDescent="0.3">
      <c r="BI412" s="211" t="s">
        <v>116</v>
      </c>
      <c r="BJ412" s="212" t="s">
        <v>117</v>
      </c>
      <c r="BK412" s="178"/>
      <c r="BL412" s="178"/>
      <c r="BM412" s="169"/>
      <c r="BN412" s="169"/>
      <c r="BO412" s="169"/>
      <c r="BP412" s="206"/>
      <c r="BQ412" s="206"/>
      <c r="BR412" s="206"/>
      <c r="BS412" s="206"/>
      <c r="BT412" s="206"/>
      <c r="BU412" s="206"/>
      <c r="BV412" s="207"/>
      <c r="BW412" s="206"/>
      <c r="BX412" s="206"/>
      <c r="BY412" s="207"/>
      <c r="BZ412" s="207"/>
      <c r="CA412" s="207"/>
      <c r="CB412" s="180"/>
      <c r="CC412" s="178"/>
      <c r="CD412" s="178"/>
      <c r="CE412" s="180"/>
      <c r="CF412" s="180"/>
      <c r="CG412" s="180"/>
      <c r="CH412" s="180"/>
      <c r="CI412" s="178"/>
      <c r="CJ412" s="178"/>
      <c r="CK412" s="180"/>
      <c r="CL412" s="180"/>
      <c r="CM412" s="180"/>
      <c r="CN412" s="116"/>
      <c r="CO412" s="218">
        <f t="shared" si="138"/>
        <v>0</v>
      </c>
      <c r="CP412" s="100">
        <f t="shared" si="139"/>
        <v>0</v>
      </c>
      <c r="CQ412" s="218">
        <f t="shared" si="140"/>
        <v>0</v>
      </c>
      <c r="CZ412" s="123"/>
      <c r="DA412" s="122"/>
      <c r="DB412" s="122"/>
      <c r="DC412" s="123"/>
      <c r="DD412" s="123"/>
      <c r="DE412" s="123"/>
      <c r="DF412" s="122"/>
      <c r="DG412" s="122"/>
      <c r="DH412" s="122"/>
      <c r="DI412" s="122"/>
      <c r="DJ412" s="122"/>
      <c r="DK412" s="123"/>
      <c r="DL412" s="23"/>
      <c r="DM412" s="150"/>
      <c r="DN412" s="150"/>
      <c r="DO412" s="116"/>
    </row>
    <row r="413" spans="61:120" s="101" customFormat="1" ht="15.75" hidden="1" thickBot="1" x14ac:dyDescent="0.3">
      <c r="BI413" s="190">
        <v>0</v>
      </c>
      <c r="BJ413" s="203">
        <v>0</v>
      </c>
      <c r="BK413" s="178"/>
      <c r="BL413" s="178"/>
      <c r="BM413" s="169"/>
      <c r="BN413" s="169"/>
      <c r="BO413" s="169"/>
      <c r="BP413" s="206"/>
      <c r="BQ413" s="206"/>
      <c r="BR413" s="206"/>
      <c r="BS413" s="206"/>
      <c r="BT413" s="206"/>
      <c r="BU413" s="206"/>
      <c r="BV413" s="207"/>
      <c r="BW413" s="206"/>
      <c r="BX413" s="206"/>
      <c r="BY413" s="207"/>
      <c r="BZ413" s="207"/>
      <c r="CA413" s="207"/>
      <c r="CB413" s="180"/>
      <c r="CC413" s="178"/>
      <c r="CD413" s="178"/>
      <c r="CE413" s="180"/>
      <c r="CF413" s="180"/>
      <c r="CG413" s="180"/>
      <c r="CH413" s="180"/>
      <c r="CI413" s="178"/>
      <c r="CJ413" s="178"/>
      <c r="CK413" s="180"/>
      <c r="CL413" s="180"/>
      <c r="CM413" s="180"/>
      <c r="CN413" s="116"/>
      <c r="CO413" s="218">
        <f t="shared" si="138"/>
        <v>0</v>
      </c>
      <c r="CP413" s="100">
        <f t="shared" si="139"/>
        <v>0</v>
      </c>
      <c r="CQ413" s="218">
        <f t="shared" si="140"/>
        <v>0</v>
      </c>
      <c r="CZ413" s="123"/>
      <c r="DA413" s="122"/>
      <c r="DB413" s="122"/>
      <c r="DC413" s="123"/>
      <c r="DD413" s="123"/>
      <c r="DE413" s="123"/>
      <c r="DF413" s="122"/>
      <c r="DG413" s="122"/>
      <c r="DH413" s="122"/>
      <c r="DI413" s="122"/>
      <c r="DJ413" s="122"/>
      <c r="DK413" s="123"/>
      <c r="DL413" s="23"/>
      <c r="DM413" s="150"/>
      <c r="DN413" s="150"/>
      <c r="DO413" s="116"/>
    </row>
    <row r="414" spans="61:120" s="101" customFormat="1" ht="15.75" hidden="1" thickBot="1" x14ac:dyDescent="0.3">
      <c r="BI414" s="190">
        <v>2</v>
      </c>
      <c r="BJ414" s="203">
        <v>12.71</v>
      </c>
      <c r="BK414" s="178"/>
      <c r="BL414" s="178"/>
      <c r="BM414" s="169"/>
      <c r="BN414" s="169"/>
      <c r="BO414" s="169"/>
      <c r="BP414" s="180"/>
      <c r="BQ414" s="180"/>
      <c r="BR414" s="180"/>
      <c r="BS414" s="180"/>
      <c r="BT414" s="180"/>
      <c r="BU414" s="180"/>
      <c r="BV414" s="180"/>
      <c r="BW414" s="180"/>
      <c r="BX414" s="180"/>
      <c r="BY414" s="180"/>
      <c r="BZ414" s="180"/>
      <c r="CA414" s="180"/>
      <c r="CB414" s="180"/>
      <c r="CC414" s="178"/>
      <c r="CD414" s="178"/>
      <c r="CE414" s="180"/>
      <c r="CF414" s="180"/>
      <c r="CG414" s="180"/>
      <c r="CH414" s="180"/>
      <c r="CI414" s="178"/>
      <c r="CJ414" s="178"/>
      <c r="CK414" s="180"/>
      <c r="CL414" s="180"/>
      <c r="CM414" s="180"/>
      <c r="CN414" s="116"/>
      <c r="CO414" s="218">
        <f t="shared" si="138"/>
        <v>0</v>
      </c>
      <c r="CP414" s="100">
        <f t="shared" si="139"/>
        <v>0</v>
      </c>
      <c r="CQ414" s="218">
        <f t="shared" si="140"/>
        <v>0</v>
      </c>
      <c r="CZ414" s="116"/>
      <c r="DA414" s="116"/>
      <c r="DB414" s="116"/>
      <c r="DC414" s="116"/>
      <c r="DD414" s="116"/>
      <c r="DE414" s="116"/>
      <c r="DF414" s="116"/>
      <c r="DG414" s="116"/>
      <c r="DH414" s="116"/>
      <c r="DI414" s="116"/>
      <c r="DJ414" s="116"/>
      <c r="DK414" s="116"/>
      <c r="DL414" s="116"/>
    </row>
    <row r="415" spans="61:120" s="101" customFormat="1" ht="15.75" hidden="1" thickBot="1" x14ac:dyDescent="0.3">
      <c r="BI415" s="190">
        <v>3</v>
      </c>
      <c r="BJ415" s="203">
        <v>4.3</v>
      </c>
      <c r="BK415" s="178"/>
      <c r="BL415" s="178"/>
      <c r="BM415" s="169"/>
      <c r="BN415" s="169"/>
      <c r="BO415" s="169"/>
      <c r="BP415" s="180"/>
      <c r="BQ415" s="180"/>
      <c r="BR415" s="180"/>
      <c r="BS415" s="180"/>
      <c r="BT415" s="180"/>
      <c r="BU415" s="180"/>
      <c r="BV415" s="180"/>
      <c r="BW415" s="180"/>
      <c r="BX415" s="180"/>
      <c r="BY415" s="180"/>
      <c r="BZ415" s="180"/>
      <c r="CA415" s="180"/>
      <c r="CB415" s="180"/>
      <c r="CC415" s="178"/>
      <c r="CD415" s="178"/>
      <c r="CE415" s="180"/>
      <c r="CF415" s="180"/>
      <c r="CG415" s="180"/>
      <c r="CH415" s="180"/>
      <c r="CI415" s="178"/>
      <c r="CJ415" s="178"/>
      <c r="CK415" s="180"/>
      <c r="CL415" s="180"/>
      <c r="CM415" s="180"/>
      <c r="CN415" s="116"/>
      <c r="CO415" s="218">
        <f t="shared" si="138"/>
        <v>0</v>
      </c>
      <c r="CP415" s="100">
        <f t="shared" si="139"/>
        <v>0</v>
      </c>
      <c r="CQ415" s="218">
        <f t="shared" si="140"/>
        <v>0</v>
      </c>
      <c r="CZ415" s="116"/>
      <c r="DA415" s="116"/>
      <c r="DB415" s="116"/>
      <c r="DC415" s="116"/>
      <c r="DD415" s="116"/>
      <c r="DE415" s="116"/>
      <c r="DF415" s="116"/>
      <c r="DG415" s="116"/>
      <c r="DH415" s="116"/>
      <c r="DI415" s="116"/>
      <c r="DJ415" s="116"/>
      <c r="DK415" s="116"/>
      <c r="DL415" s="116"/>
      <c r="DM415" s="116"/>
      <c r="DN415" s="116"/>
      <c r="DO415" s="116"/>
    </row>
    <row r="416" spans="61:120" s="101" customFormat="1" ht="15.75" hidden="1" thickBot="1" x14ac:dyDescent="0.3">
      <c r="BI416" s="190">
        <v>4</v>
      </c>
      <c r="BJ416" s="203">
        <v>3.18</v>
      </c>
      <c r="BK416" s="178"/>
      <c r="BL416" s="178"/>
      <c r="BM416" s="169"/>
      <c r="BN416" s="169"/>
      <c r="BO416" s="169"/>
      <c r="BP416" s="178"/>
      <c r="BQ416" s="178"/>
      <c r="BR416" s="178"/>
      <c r="BS416" s="178"/>
      <c r="BT416" s="178"/>
      <c r="BU416" s="178"/>
      <c r="BV416" s="180"/>
      <c r="BW416" s="178"/>
      <c r="BX416" s="178"/>
      <c r="BY416" s="180"/>
      <c r="BZ416" s="180"/>
      <c r="CA416" s="180"/>
      <c r="CB416" s="180"/>
      <c r="CC416" s="178"/>
      <c r="CD416" s="178"/>
      <c r="CE416" s="180"/>
      <c r="CF416" s="180"/>
      <c r="CG416" s="180"/>
      <c r="CH416" s="180"/>
      <c r="CI416" s="178"/>
      <c r="CJ416" s="178"/>
      <c r="CK416" s="180"/>
      <c r="CL416" s="180"/>
      <c r="CM416" s="180"/>
      <c r="CN416" s="116"/>
      <c r="CO416" s="218">
        <f t="shared" si="138"/>
        <v>0</v>
      </c>
      <c r="CP416" s="100">
        <f t="shared" si="139"/>
        <v>0</v>
      </c>
      <c r="CQ416" s="218">
        <f t="shared" si="140"/>
        <v>0</v>
      </c>
      <c r="CZ416" s="116"/>
      <c r="DA416" s="115"/>
      <c r="DB416" s="115"/>
      <c r="DC416" s="116"/>
      <c r="DD416" s="116"/>
      <c r="DE416" s="116"/>
      <c r="DF416" s="116"/>
      <c r="DG416" s="115"/>
      <c r="DH416" s="115"/>
      <c r="DI416" s="116"/>
      <c r="DJ416" s="116"/>
      <c r="DK416" s="116"/>
      <c r="DL416" s="116"/>
      <c r="DM416" s="116"/>
      <c r="DN416" s="116"/>
      <c r="DP416" s="116"/>
    </row>
    <row r="417" spans="1:116" s="101" customFormat="1" ht="15.75" hidden="1" thickBot="1" x14ac:dyDescent="0.3">
      <c r="BI417" s="190">
        <v>5</v>
      </c>
      <c r="BJ417" s="203">
        <v>2.78</v>
      </c>
      <c r="BK417" s="178"/>
      <c r="BL417" s="178"/>
      <c r="BM417" s="169"/>
      <c r="BN417" s="169"/>
      <c r="BO417" s="169"/>
      <c r="BP417" s="178"/>
      <c r="BQ417" s="178"/>
      <c r="BR417" s="178"/>
      <c r="BS417" s="178"/>
      <c r="BT417" s="178"/>
      <c r="BU417" s="178"/>
      <c r="BV417" s="178"/>
      <c r="BW417" s="178"/>
      <c r="BX417" s="178"/>
      <c r="BY417" s="178"/>
      <c r="BZ417" s="178"/>
      <c r="CA417" s="178"/>
      <c r="CB417" s="180"/>
      <c r="CC417" s="178"/>
      <c r="CD417" s="178"/>
      <c r="CE417" s="180"/>
      <c r="CF417" s="180"/>
      <c r="CG417" s="180"/>
      <c r="CH417" s="180"/>
      <c r="CI417" s="178"/>
      <c r="CJ417" s="178"/>
      <c r="CK417" s="180"/>
      <c r="CL417" s="180"/>
      <c r="CM417" s="180"/>
      <c r="CN417" s="116"/>
      <c r="CO417" s="218">
        <f t="shared" si="138"/>
        <v>0</v>
      </c>
      <c r="CP417" s="100">
        <f t="shared" si="139"/>
        <v>0</v>
      </c>
      <c r="CQ417" s="218">
        <f t="shared" si="140"/>
        <v>0</v>
      </c>
      <c r="CZ417" s="116"/>
      <c r="DA417" s="115"/>
      <c r="DB417" s="115"/>
      <c r="DC417" s="116"/>
      <c r="DD417" s="116"/>
      <c r="DE417" s="116"/>
      <c r="DF417" s="116"/>
      <c r="DG417" s="115"/>
      <c r="DH417" s="115"/>
      <c r="DI417" s="116"/>
      <c r="DJ417" s="116"/>
      <c r="DK417" s="116"/>
      <c r="DL417" s="116"/>
    </row>
    <row r="418" spans="1:116" s="101" customFormat="1" ht="15.75" hidden="1" thickBot="1" x14ac:dyDescent="0.3">
      <c r="BI418" s="190">
        <v>6</v>
      </c>
      <c r="BJ418" s="203">
        <v>2.57</v>
      </c>
      <c r="BK418" s="178"/>
      <c r="BL418" s="178"/>
      <c r="BM418" s="169"/>
      <c r="BN418" s="169"/>
      <c r="BO418" s="169"/>
      <c r="BP418" s="178"/>
      <c r="BQ418" s="178"/>
      <c r="BR418" s="178"/>
      <c r="BS418" s="178"/>
      <c r="BT418" s="178"/>
      <c r="BU418" s="178"/>
      <c r="BV418" s="178"/>
      <c r="BW418" s="178"/>
      <c r="BX418" s="178"/>
      <c r="BY418" s="178"/>
      <c r="BZ418" s="178"/>
      <c r="CA418" s="178"/>
      <c r="CB418" s="180"/>
      <c r="CC418" s="178"/>
      <c r="CD418" s="178"/>
      <c r="CE418" s="180"/>
      <c r="CF418" s="180"/>
      <c r="CG418" s="180"/>
      <c r="CH418" s="180"/>
      <c r="CI418" s="178"/>
      <c r="CJ418" s="178"/>
      <c r="CK418" s="180"/>
      <c r="CL418" s="180"/>
      <c r="CM418" s="180"/>
      <c r="CN418" s="116"/>
      <c r="CO418" s="218">
        <f t="shared" si="138"/>
        <v>0</v>
      </c>
      <c r="CP418" s="100">
        <f t="shared" si="139"/>
        <v>0</v>
      </c>
      <c r="CQ418" s="218">
        <f t="shared" si="140"/>
        <v>0</v>
      </c>
      <c r="CR418" s="116"/>
    </row>
    <row r="419" spans="1:116" s="101" customFormat="1" ht="15.75" hidden="1" thickBot="1" x14ac:dyDescent="0.3">
      <c r="BI419" s="190">
        <v>7</v>
      </c>
      <c r="BJ419" s="203">
        <v>2.4500000000000002</v>
      </c>
      <c r="BK419" s="178"/>
      <c r="BL419" s="178"/>
      <c r="BM419" s="169"/>
      <c r="BN419" s="169"/>
      <c r="BO419" s="169"/>
      <c r="BP419" s="178"/>
      <c r="BQ419" s="178"/>
      <c r="BR419" s="178"/>
      <c r="BS419" s="178"/>
      <c r="BT419" s="178"/>
      <c r="BU419" s="178"/>
      <c r="BV419" s="178"/>
      <c r="BW419" s="178"/>
      <c r="BX419" s="178"/>
      <c r="BY419" s="178"/>
      <c r="BZ419" s="178"/>
      <c r="CA419" s="178"/>
      <c r="CB419" s="180"/>
      <c r="CC419" s="178"/>
      <c r="CD419" s="178"/>
      <c r="CE419" s="180"/>
      <c r="CF419" s="180"/>
      <c r="CG419" s="180"/>
      <c r="CH419" s="180"/>
      <c r="CI419" s="178"/>
      <c r="CJ419" s="178"/>
      <c r="CK419" s="180"/>
      <c r="CL419" s="180"/>
      <c r="CM419" s="180"/>
      <c r="CN419" s="116"/>
      <c r="CO419" s="218">
        <f t="shared" si="138"/>
        <v>0</v>
      </c>
      <c r="CP419" s="100">
        <f t="shared" si="139"/>
        <v>0</v>
      </c>
      <c r="CQ419" s="218">
        <f t="shared" si="140"/>
        <v>0</v>
      </c>
    </row>
    <row r="420" spans="1:116" s="101" customFormat="1" ht="15.75" hidden="1" thickBot="1" x14ac:dyDescent="0.3">
      <c r="BI420" s="190">
        <v>8</v>
      </c>
      <c r="BJ420" s="203">
        <v>2.36</v>
      </c>
      <c r="BK420" s="178"/>
      <c r="BL420" s="178"/>
      <c r="BM420" s="169"/>
      <c r="BN420" s="169"/>
      <c r="BO420" s="169"/>
      <c r="BP420" s="178"/>
      <c r="BQ420" s="178"/>
      <c r="BR420" s="178"/>
      <c r="BS420" s="178"/>
      <c r="BT420" s="178"/>
      <c r="BU420" s="178"/>
      <c r="BV420" s="178"/>
      <c r="BW420" s="178"/>
      <c r="BX420" s="178"/>
      <c r="BY420" s="178"/>
      <c r="BZ420" s="178"/>
      <c r="CA420" s="178"/>
      <c r="CB420" s="180"/>
      <c r="CC420" s="178"/>
      <c r="CD420" s="178"/>
      <c r="CE420" s="180"/>
      <c r="CF420" s="180"/>
      <c r="CG420" s="180"/>
      <c r="CH420" s="180"/>
      <c r="CI420" s="178"/>
      <c r="CJ420" s="178"/>
      <c r="CK420" s="180"/>
      <c r="CL420" s="180"/>
      <c r="CM420" s="180"/>
      <c r="CN420" s="116"/>
      <c r="CO420" s="218">
        <f t="shared" si="138"/>
        <v>0</v>
      </c>
      <c r="CP420" s="100">
        <f t="shared" si="139"/>
        <v>0</v>
      </c>
      <c r="CQ420" s="218">
        <f t="shared" si="140"/>
        <v>0</v>
      </c>
    </row>
    <row r="421" spans="1:116" s="101" customFormat="1" ht="15.75" hidden="1" thickBot="1" x14ac:dyDescent="0.3">
      <c r="BI421" s="190">
        <v>9</v>
      </c>
      <c r="BJ421" s="203">
        <v>2.31</v>
      </c>
      <c r="BK421" s="178"/>
      <c r="BL421" s="178"/>
      <c r="BM421" s="169"/>
      <c r="BN421" s="169"/>
      <c r="BO421" s="169"/>
      <c r="BP421" s="178"/>
      <c r="BQ421" s="178"/>
      <c r="BR421" s="178"/>
      <c r="BS421" s="178"/>
      <c r="BT421" s="178"/>
      <c r="BU421" s="178"/>
      <c r="BV421" s="178"/>
      <c r="BW421" s="178"/>
      <c r="BX421" s="178"/>
      <c r="BY421" s="178"/>
      <c r="BZ421" s="178"/>
      <c r="CA421" s="178"/>
      <c r="CB421" s="180"/>
      <c r="CC421" s="178"/>
      <c r="CD421" s="178"/>
      <c r="CE421" s="180"/>
      <c r="CF421" s="180"/>
      <c r="CG421" s="180"/>
      <c r="CH421" s="180"/>
      <c r="CI421" s="178"/>
      <c r="CJ421" s="178"/>
      <c r="CK421" s="180"/>
      <c r="CL421" s="180"/>
      <c r="CM421" s="180"/>
      <c r="CN421" s="116"/>
      <c r="CO421" s="218">
        <f t="shared" si="138"/>
        <v>0</v>
      </c>
      <c r="CP421" s="100">
        <f t="shared" si="139"/>
        <v>0</v>
      </c>
      <c r="CQ421" s="218">
        <f t="shared" si="140"/>
        <v>0</v>
      </c>
    </row>
    <row r="422" spans="1:116" s="101" customFormat="1" ht="15.75" hidden="1" thickBot="1" x14ac:dyDescent="0.3">
      <c r="BI422" s="190">
        <v>10</v>
      </c>
      <c r="BJ422" s="203">
        <v>2.2599999999999998</v>
      </c>
      <c r="BK422" s="178"/>
      <c r="BL422" s="178"/>
      <c r="BM422" s="169"/>
      <c r="BN422" s="169"/>
      <c r="BO422" s="169"/>
      <c r="BP422" s="178"/>
      <c r="BQ422" s="178"/>
      <c r="BR422" s="178"/>
      <c r="BS422" s="178"/>
      <c r="BT422" s="178"/>
      <c r="BU422" s="178"/>
      <c r="BV422" s="178"/>
      <c r="BW422" s="178"/>
      <c r="BX422" s="178"/>
      <c r="BY422" s="178"/>
      <c r="BZ422" s="178"/>
      <c r="CA422" s="178"/>
      <c r="CB422" s="180"/>
      <c r="CC422" s="178"/>
      <c r="CD422" s="178"/>
      <c r="CE422" s="180"/>
      <c r="CF422" s="180"/>
      <c r="CG422" s="180"/>
      <c r="CH422" s="180"/>
      <c r="CI422" s="178"/>
      <c r="CJ422" s="178"/>
      <c r="CK422" s="180"/>
      <c r="CL422" s="180"/>
      <c r="CM422" s="180"/>
      <c r="CN422" s="116"/>
      <c r="CO422" s="218">
        <f t="shared" si="138"/>
        <v>0</v>
      </c>
      <c r="CP422" s="100">
        <f t="shared" si="139"/>
        <v>0</v>
      </c>
      <c r="CQ422" s="218">
        <f t="shared" si="140"/>
        <v>0</v>
      </c>
    </row>
    <row r="423" spans="1:116" s="101" customFormat="1" ht="15.75" hidden="1" thickBot="1" x14ac:dyDescent="0.3">
      <c r="BI423" s="190">
        <v>11</v>
      </c>
      <c r="BJ423" s="203">
        <v>2.23</v>
      </c>
      <c r="BK423" s="178"/>
      <c r="BL423" s="178"/>
      <c r="BM423" s="169"/>
      <c r="BN423" s="169"/>
      <c r="BO423" s="169"/>
      <c r="BP423" s="178"/>
      <c r="BQ423" s="178"/>
      <c r="BR423" s="178"/>
      <c r="BS423" s="178"/>
      <c r="BT423" s="178"/>
      <c r="BU423" s="178"/>
      <c r="BV423" s="178"/>
      <c r="BW423" s="178"/>
      <c r="BX423" s="178"/>
      <c r="BY423" s="178"/>
      <c r="BZ423" s="178"/>
      <c r="CA423" s="178"/>
      <c r="CB423" s="180"/>
      <c r="CC423" s="178"/>
      <c r="CD423" s="178"/>
      <c r="CE423" s="180"/>
      <c r="CF423" s="180"/>
      <c r="CG423" s="180"/>
      <c r="CH423" s="180"/>
      <c r="CI423" s="178"/>
      <c r="CJ423" s="178"/>
      <c r="CK423" s="180"/>
      <c r="CL423" s="180"/>
      <c r="CM423" s="180"/>
      <c r="CN423" s="116"/>
      <c r="CO423" s="218">
        <f t="shared" si="138"/>
        <v>0</v>
      </c>
      <c r="CP423" s="100">
        <f t="shared" si="139"/>
        <v>0</v>
      </c>
      <c r="CQ423" s="218">
        <f t="shared" si="140"/>
        <v>0</v>
      </c>
    </row>
    <row r="424" spans="1:116" s="101" customFormat="1" ht="15.75" hidden="1" thickBot="1" x14ac:dyDescent="0.3">
      <c r="BI424" s="190">
        <v>12</v>
      </c>
      <c r="BJ424" s="203">
        <v>2.2000000000000002</v>
      </c>
      <c r="BK424" s="178"/>
      <c r="BL424" s="178"/>
      <c r="BM424" s="169"/>
      <c r="BN424" s="169"/>
      <c r="BO424" s="169"/>
      <c r="BP424" s="178"/>
      <c r="BQ424" s="178"/>
      <c r="BR424" s="178"/>
      <c r="BS424" s="178"/>
      <c r="BT424" s="178"/>
      <c r="BU424" s="178"/>
      <c r="BV424" s="178"/>
      <c r="BW424" s="178"/>
      <c r="BX424" s="178"/>
      <c r="BY424" s="178"/>
      <c r="BZ424" s="178"/>
      <c r="CA424" s="178"/>
      <c r="CB424" s="180"/>
      <c r="CC424" s="178"/>
      <c r="CD424" s="178"/>
      <c r="CE424" s="180"/>
      <c r="CF424" s="180"/>
      <c r="CG424" s="180"/>
      <c r="CH424" s="180"/>
      <c r="CI424" s="178"/>
      <c r="CJ424" s="178"/>
      <c r="CK424" s="180"/>
      <c r="CL424" s="180"/>
      <c r="CM424" s="180"/>
      <c r="CN424" s="116"/>
      <c r="CO424" s="218">
        <f t="shared" si="138"/>
        <v>0</v>
      </c>
      <c r="CP424" s="100">
        <f t="shared" si="139"/>
        <v>0</v>
      </c>
      <c r="CQ424" s="218">
        <f t="shared" si="140"/>
        <v>0</v>
      </c>
    </row>
    <row r="425" spans="1:116" s="101" customFormat="1" hidden="1" x14ac:dyDescent="0.25">
      <c r="BI425" s="102"/>
      <c r="BJ425" s="178"/>
      <c r="BK425" s="178"/>
      <c r="BL425" s="178"/>
      <c r="BM425" s="169"/>
      <c r="BN425" s="169"/>
      <c r="BO425" s="169"/>
      <c r="BP425" s="178"/>
      <c r="BQ425" s="178"/>
      <c r="BR425" s="178"/>
      <c r="BS425" s="178"/>
      <c r="BT425" s="178"/>
      <c r="BU425" s="178"/>
      <c r="BV425" s="178"/>
      <c r="BW425" s="178"/>
      <c r="BX425" s="178"/>
      <c r="BY425" s="178"/>
      <c r="BZ425" s="178"/>
      <c r="CA425" s="178"/>
      <c r="CB425" s="180"/>
      <c r="CC425" s="178"/>
      <c r="CD425" s="178"/>
      <c r="CE425" s="180"/>
      <c r="CF425" s="180"/>
      <c r="CG425" s="180"/>
      <c r="CH425" s="180"/>
      <c r="CI425" s="178"/>
      <c r="CJ425" s="178"/>
      <c r="CK425" s="180"/>
      <c r="CL425" s="180"/>
      <c r="CM425" s="180"/>
      <c r="CN425" s="116"/>
      <c r="CO425" s="218">
        <f t="shared" si="138"/>
        <v>0</v>
      </c>
      <c r="CP425" s="100">
        <f t="shared" si="139"/>
        <v>0</v>
      </c>
      <c r="CQ425" s="218">
        <f t="shared" si="140"/>
        <v>0</v>
      </c>
      <c r="CR425" s="124"/>
      <c r="CS425" s="115"/>
    </row>
    <row r="426" spans="1:116" s="101" customFormat="1" hidden="1" x14ac:dyDescent="0.25">
      <c r="A426" s="99"/>
      <c r="V426" s="103"/>
      <c r="AA426" s="104"/>
      <c r="AB426" s="104"/>
      <c r="AD426" s="104"/>
      <c r="AE426" s="105"/>
      <c r="AH426" s="106"/>
      <c r="AI426" s="106"/>
      <c r="AK426" s="104"/>
      <c r="AR426" s="104"/>
      <c r="AV426" s="104"/>
      <c r="AX426" s="104"/>
      <c r="BB426" s="104"/>
      <c r="BC426" s="104"/>
      <c r="BE426" s="104"/>
      <c r="BH426" s="99"/>
      <c r="BI426" s="102"/>
      <c r="BJ426" s="178"/>
      <c r="BK426" s="178"/>
      <c r="BL426" s="178"/>
      <c r="BM426" s="169"/>
      <c r="BN426" s="169"/>
      <c r="BO426" s="169"/>
      <c r="BP426" s="178"/>
      <c r="BQ426" s="178"/>
      <c r="BR426" s="178"/>
      <c r="BS426" s="178"/>
      <c r="BT426" s="178"/>
      <c r="BU426" s="178"/>
      <c r="BV426" s="178"/>
      <c r="BW426" s="178"/>
      <c r="BX426" s="178"/>
      <c r="BY426" s="178"/>
      <c r="BZ426" s="178"/>
      <c r="CA426" s="178"/>
      <c r="CB426" s="180"/>
      <c r="CC426" s="178"/>
      <c r="CD426" s="178"/>
      <c r="CE426" s="180"/>
      <c r="CF426" s="180"/>
      <c r="CG426" s="180"/>
      <c r="CH426" s="180"/>
      <c r="CI426" s="178"/>
      <c r="CJ426" s="178"/>
      <c r="CK426" s="180"/>
      <c r="CL426" s="180"/>
      <c r="CM426" s="180"/>
      <c r="CN426" s="116"/>
      <c r="CO426" s="218">
        <f t="shared" si="138"/>
        <v>0</v>
      </c>
      <c r="CP426" s="100">
        <f t="shared" si="139"/>
        <v>0</v>
      </c>
      <c r="CQ426" s="218">
        <f t="shared" si="140"/>
        <v>0</v>
      </c>
    </row>
    <row r="427" spans="1:116" s="101" customFormat="1" ht="15.75" hidden="1" thickBot="1" x14ac:dyDescent="0.3">
      <c r="A427" s="99"/>
      <c r="V427" s="103"/>
      <c r="AA427" s="104"/>
      <c r="AB427" s="104"/>
      <c r="AD427" s="104"/>
      <c r="AE427" s="105"/>
      <c r="AH427" s="106"/>
      <c r="AI427" s="106"/>
      <c r="AK427" s="104"/>
      <c r="AR427" s="104"/>
      <c r="AV427" s="104"/>
      <c r="AX427" s="104"/>
      <c r="BB427" s="104"/>
      <c r="BC427" s="104"/>
      <c r="BE427" s="104"/>
      <c r="BH427" s="99"/>
      <c r="BI427" s="102"/>
      <c r="BJ427" s="178"/>
      <c r="BK427" s="178"/>
      <c r="BL427" s="178"/>
      <c r="BM427" s="169"/>
      <c r="BN427" s="169"/>
      <c r="BO427" s="169"/>
      <c r="BP427" s="178"/>
      <c r="BQ427" s="178"/>
      <c r="BR427" s="178"/>
      <c r="BS427" s="178"/>
      <c r="BT427" s="178"/>
      <c r="BU427" s="178"/>
      <c r="BV427" s="178"/>
      <c r="BW427" s="178"/>
      <c r="BX427" s="178"/>
      <c r="BY427" s="178"/>
      <c r="BZ427" s="178"/>
      <c r="CA427" s="178"/>
      <c r="CB427" s="180"/>
      <c r="CC427" s="178"/>
      <c r="CD427" s="178"/>
      <c r="CE427" s="180"/>
      <c r="CF427" s="180"/>
      <c r="CG427" s="180"/>
      <c r="CH427" s="180"/>
      <c r="CI427" s="178"/>
      <c r="CJ427" s="178"/>
      <c r="CK427" s="180"/>
      <c r="CL427" s="180"/>
      <c r="CM427" s="180"/>
      <c r="CN427" s="116"/>
      <c r="CO427" s="218">
        <f t="shared" si="138"/>
        <v>0</v>
      </c>
      <c r="CP427" s="100">
        <f t="shared" si="139"/>
        <v>0</v>
      </c>
      <c r="CQ427" s="218">
        <f t="shared" si="140"/>
        <v>0</v>
      </c>
    </row>
    <row r="428" spans="1:116" s="101" customFormat="1" ht="15.75" hidden="1" thickBot="1" x14ac:dyDescent="0.3">
      <c r="A428" s="99"/>
      <c r="V428" s="103"/>
      <c r="AA428" s="104"/>
      <c r="AB428" s="104"/>
      <c r="AD428" s="104"/>
      <c r="AE428" s="105"/>
      <c r="AH428" s="106"/>
      <c r="AI428" s="106"/>
      <c r="AK428" s="104"/>
      <c r="AR428" s="104"/>
      <c r="AV428" s="104"/>
      <c r="AX428" s="104"/>
      <c r="BB428" s="104"/>
      <c r="BC428" s="104"/>
      <c r="BE428" s="104"/>
      <c r="BH428" s="99"/>
      <c r="BI428" s="211"/>
      <c r="BJ428" s="211" t="s">
        <v>309</v>
      </c>
      <c r="BK428" s="211" t="s">
        <v>310</v>
      </c>
      <c r="BL428" s="211" t="s">
        <v>567</v>
      </c>
      <c r="BM428" s="169"/>
      <c r="BN428" s="169"/>
      <c r="BO428" s="169"/>
      <c r="BP428" s="178"/>
      <c r="BQ428" s="178"/>
      <c r="BR428" s="178"/>
      <c r="BS428" s="178"/>
      <c r="BT428" s="178"/>
      <c r="BU428" s="178"/>
      <c r="BV428" s="178"/>
      <c r="BW428" s="178"/>
      <c r="BX428" s="178"/>
      <c r="BY428" s="178"/>
      <c r="BZ428" s="178"/>
      <c r="CA428" s="178"/>
      <c r="CB428" s="180"/>
      <c r="CC428" s="178"/>
      <c r="CD428" s="178"/>
      <c r="CE428" s="180"/>
      <c r="CF428" s="180"/>
      <c r="CG428" s="180"/>
      <c r="CH428" s="180"/>
      <c r="CI428" s="178"/>
      <c r="CJ428" s="178"/>
      <c r="CK428" s="180"/>
      <c r="CL428" s="180"/>
      <c r="CM428" s="180"/>
      <c r="CN428" s="116"/>
      <c r="CO428" s="218">
        <f t="shared" si="138"/>
        <v>0</v>
      </c>
      <c r="CP428" s="100">
        <f t="shared" si="139"/>
        <v>0</v>
      </c>
      <c r="CQ428" s="218">
        <f t="shared" si="140"/>
        <v>0</v>
      </c>
    </row>
    <row r="429" spans="1:116" s="101" customFormat="1" ht="25.5" hidden="1" customHeight="1" thickBot="1" x14ac:dyDescent="0.3">
      <c r="A429" s="99"/>
      <c r="V429" s="103"/>
      <c r="AA429" s="104"/>
      <c r="AB429" s="104"/>
      <c r="AD429" s="104"/>
      <c r="AE429" s="105"/>
      <c r="AH429" s="106"/>
      <c r="AI429" s="106"/>
      <c r="AK429" s="104"/>
      <c r="AR429" s="104"/>
      <c r="AV429" s="104"/>
      <c r="AX429" s="104"/>
      <c r="BB429" s="104"/>
      <c r="BC429" s="104"/>
      <c r="BE429" s="104"/>
      <c r="BH429" s="99"/>
      <c r="BI429" s="211" t="s">
        <v>307</v>
      </c>
      <c r="BJ429" s="211" t="s">
        <v>308</v>
      </c>
      <c r="BK429" s="211" t="s">
        <v>308</v>
      </c>
      <c r="BL429" s="211" t="s">
        <v>308</v>
      </c>
      <c r="BM429" s="169"/>
      <c r="BN429" s="169"/>
      <c r="BO429" s="169"/>
      <c r="BP429" s="178"/>
      <c r="BQ429" s="178"/>
      <c r="BR429" s="178"/>
      <c r="BS429" s="178"/>
      <c r="BT429" s="178"/>
      <c r="BU429" s="178"/>
      <c r="BV429" s="178"/>
      <c r="BW429" s="178"/>
      <c r="BX429" s="178"/>
      <c r="BY429" s="178"/>
      <c r="BZ429" s="178"/>
      <c r="CA429" s="178"/>
      <c r="CB429" s="180"/>
      <c r="CC429" s="178"/>
      <c r="CD429" s="178"/>
      <c r="CE429" s="180"/>
      <c r="CF429" s="180"/>
      <c r="CG429" s="180"/>
      <c r="CH429" s="180"/>
      <c r="CI429" s="178"/>
      <c r="CJ429" s="178"/>
      <c r="CK429" s="180"/>
      <c r="CL429" s="180"/>
      <c r="CM429" s="180"/>
      <c r="CN429" s="116"/>
      <c r="CO429" s="218">
        <f t="shared" si="138"/>
        <v>0</v>
      </c>
      <c r="CP429" s="100">
        <f t="shared" si="139"/>
        <v>0</v>
      </c>
      <c r="CQ429" s="218">
        <f t="shared" si="140"/>
        <v>0</v>
      </c>
    </row>
    <row r="430" spans="1:116" s="101" customFormat="1" ht="15.75" hidden="1" thickBot="1" x14ac:dyDescent="0.3">
      <c r="A430" s="99"/>
      <c r="V430" s="103"/>
      <c r="AA430" s="104"/>
      <c r="AB430" s="104"/>
      <c r="AD430" s="104"/>
      <c r="AE430" s="105"/>
      <c r="AH430" s="106"/>
      <c r="AI430" s="106"/>
      <c r="AK430" s="104"/>
      <c r="AR430" s="104"/>
      <c r="AV430" s="104"/>
      <c r="AX430" s="104"/>
      <c r="BB430" s="104"/>
      <c r="BC430" s="104"/>
      <c r="BE430" s="104"/>
      <c r="BH430" s="99"/>
      <c r="BI430" s="190" t="s">
        <v>170</v>
      </c>
      <c r="BJ430" s="190">
        <v>1</v>
      </c>
      <c r="BK430" s="190">
        <v>1</v>
      </c>
      <c r="BL430" s="190">
        <v>1</v>
      </c>
      <c r="BM430" s="169"/>
      <c r="BN430" s="169"/>
      <c r="BO430" s="169"/>
      <c r="BP430" s="178"/>
      <c r="BQ430" s="178"/>
      <c r="BR430" s="178"/>
      <c r="BS430" s="178"/>
      <c r="BT430" s="178"/>
      <c r="BU430" s="178"/>
      <c r="BV430" s="178"/>
      <c r="BW430" s="178"/>
      <c r="BX430" s="178"/>
      <c r="BY430" s="178"/>
      <c r="BZ430" s="178"/>
      <c r="CA430" s="178"/>
      <c r="CB430" s="180"/>
      <c r="CC430" s="178"/>
      <c r="CD430" s="178"/>
      <c r="CE430" s="180"/>
      <c r="CF430" s="180"/>
      <c r="CG430" s="180"/>
      <c r="CH430" s="180"/>
      <c r="CI430" s="178"/>
      <c r="CJ430" s="178"/>
      <c r="CK430" s="180"/>
      <c r="CL430" s="180"/>
      <c r="CM430" s="180"/>
      <c r="CN430" s="116"/>
      <c r="CO430" s="218">
        <f t="shared" si="138"/>
        <v>0</v>
      </c>
      <c r="CP430" s="100">
        <f t="shared" si="139"/>
        <v>0</v>
      </c>
      <c r="CQ430" s="218">
        <f t="shared" si="140"/>
        <v>0</v>
      </c>
    </row>
    <row r="431" spans="1:116" s="101" customFormat="1" ht="15.75" hidden="1" thickBot="1" x14ac:dyDescent="0.3">
      <c r="A431" s="99"/>
      <c r="V431" s="103"/>
      <c r="AA431" s="104"/>
      <c r="AB431" s="104"/>
      <c r="AD431" s="104"/>
      <c r="AE431" s="105"/>
      <c r="AH431" s="106"/>
      <c r="AI431" s="106"/>
      <c r="AK431" s="104"/>
      <c r="AR431" s="104"/>
      <c r="AV431" s="104"/>
      <c r="AX431" s="104"/>
      <c r="BB431" s="104"/>
      <c r="BC431" s="104"/>
      <c r="BE431" s="104"/>
      <c r="BH431" s="99"/>
      <c r="BI431" s="190" t="s">
        <v>106</v>
      </c>
      <c r="BJ431" s="190">
        <v>28</v>
      </c>
      <c r="BK431" s="190">
        <v>25</v>
      </c>
      <c r="BL431" s="190">
        <v>21</v>
      </c>
      <c r="BM431" s="169"/>
      <c r="BN431" s="169"/>
      <c r="BO431" s="169"/>
      <c r="BP431" s="178"/>
      <c r="BQ431" s="178"/>
      <c r="BR431" s="178"/>
      <c r="BS431" s="178"/>
      <c r="BT431" s="178"/>
      <c r="BU431" s="178"/>
      <c r="BV431" s="178"/>
      <c r="BW431" s="178"/>
      <c r="BX431" s="178"/>
      <c r="BY431" s="178"/>
      <c r="BZ431" s="178"/>
      <c r="CA431" s="178"/>
      <c r="CB431" s="180"/>
      <c r="CC431" s="178"/>
      <c r="CD431" s="178"/>
      <c r="CE431" s="180"/>
      <c r="CF431" s="180"/>
      <c r="CG431" s="180"/>
      <c r="CH431" s="180"/>
      <c r="CI431" s="178"/>
      <c r="CJ431" s="178"/>
      <c r="CK431" s="180"/>
      <c r="CL431" s="180"/>
      <c r="CM431" s="180"/>
      <c r="CN431" s="116"/>
      <c r="CO431" s="218">
        <f t="shared" si="138"/>
        <v>0</v>
      </c>
      <c r="CP431" s="100">
        <f t="shared" si="139"/>
        <v>0</v>
      </c>
      <c r="CQ431" s="218">
        <f t="shared" si="140"/>
        <v>0</v>
      </c>
    </row>
    <row r="432" spans="1:116" s="101" customFormat="1" ht="15.75" hidden="1" thickBot="1" x14ac:dyDescent="0.3">
      <c r="A432" s="99"/>
      <c r="V432" s="103"/>
      <c r="AA432" s="104"/>
      <c r="AB432" s="104"/>
      <c r="AD432" s="104"/>
      <c r="AE432" s="105"/>
      <c r="AH432" s="106"/>
      <c r="AI432" s="106"/>
      <c r="AK432" s="104"/>
      <c r="AR432" s="104"/>
      <c r="AV432" s="104"/>
      <c r="AX432" s="104"/>
      <c r="BB432" s="104"/>
      <c r="BC432" s="104"/>
      <c r="BE432" s="104"/>
      <c r="BH432" s="99"/>
      <c r="BI432" s="190" t="s">
        <v>110</v>
      </c>
      <c r="BJ432" s="190">
        <v>265</v>
      </c>
      <c r="BK432" s="190">
        <v>298</v>
      </c>
      <c r="BL432" s="190">
        <v>310</v>
      </c>
      <c r="BM432" s="169"/>
      <c r="BN432" s="169"/>
      <c r="BO432" s="169"/>
      <c r="BP432" s="178"/>
      <c r="BQ432" s="178"/>
      <c r="BR432" s="178"/>
      <c r="BS432" s="178"/>
      <c r="BT432" s="178"/>
      <c r="BU432" s="178"/>
      <c r="BV432" s="178"/>
      <c r="BW432" s="178"/>
      <c r="BX432" s="178"/>
      <c r="BY432" s="178"/>
      <c r="BZ432" s="178"/>
      <c r="CA432" s="178"/>
      <c r="CB432" s="180"/>
      <c r="CC432" s="178"/>
      <c r="CD432" s="178"/>
      <c r="CE432" s="180"/>
      <c r="CF432" s="180"/>
      <c r="CG432" s="180"/>
      <c r="CH432" s="180"/>
      <c r="CI432" s="178"/>
      <c r="CJ432" s="178"/>
      <c r="CK432" s="180"/>
      <c r="CL432" s="180"/>
      <c r="CM432" s="180"/>
      <c r="CN432" s="116"/>
      <c r="CO432" s="218">
        <f t="shared" si="138"/>
        <v>0</v>
      </c>
      <c r="CP432" s="100">
        <f t="shared" si="139"/>
        <v>0</v>
      </c>
      <c r="CQ432" s="218">
        <f t="shared" si="140"/>
        <v>0</v>
      </c>
    </row>
    <row r="433" spans="1:137" s="101" customFormat="1" ht="15.75" hidden="1" thickBot="1" x14ac:dyDescent="0.3">
      <c r="A433" s="99"/>
      <c r="V433" s="103"/>
      <c r="AA433" s="104"/>
      <c r="AB433" s="104"/>
      <c r="AD433" s="104"/>
      <c r="AE433" s="105"/>
      <c r="AH433" s="106"/>
      <c r="AI433" s="106"/>
      <c r="AK433" s="104"/>
      <c r="AR433" s="104"/>
      <c r="AV433" s="104"/>
      <c r="AX433" s="104"/>
      <c r="BB433" s="104"/>
      <c r="BC433" s="104"/>
      <c r="BE433" s="104"/>
      <c r="BH433" s="99"/>
      <c r="BI433" s="190" t="s">
        <v>8</v>
      </c>
      <c r="BJ433" s="190">
        <v>23500</v>
      </c>
      <c r="BK433" s="190">
        <v>22800</v>
      </c>
      <c r="BL433" s="190"/>
      <c r="BM433" s="169"/>
      <c r="BN433" s="169"/>
      <c r="BO433" s="169"/>
      <c r="BP433" s="178"/>
      <c r="BQ433" s="178"/>
      <c r="BR433" s="178"/>
      <c r="BS433" s="178"/>
      <c r="BT433" s="178"/>
      <c r="BU433" s="178"/>
      <c r="BV433" s="178"/>
      <c r="BW433" s="178"/>
      <c r="BX433" s="178"/>
      <c r="BY433" s="178"/>
      <c r="BZ433" s="178"/>
      <c r="CA433" s="178"/>
      <c r="CB433" s="180"/>
      <c r="CC433" s="178"/>
      <c r="CD433" s="178"/>
      <c r="CE433" s="180"/>
      <c r="CF433" s="180"/>
      <c r="CG433" s="180"/>
      <c r="CH433" s="180"/>
      <c r="CI433" s="178"/>
      <c r="CJ433" s="178"/>
      <c r="CK433" s="180"/>
      <c r="CL433" s="180"/>
      <c r="CM433" s="180"/>
      <c r="CN433" s="116"/>
      <c r="CO433" s="218">
        <f t="shared" si="138"/>
        <v>0</v>
      </c>
      <c r="CP433" s="100">
        <f t="shared" si="139"/>
        <v>0</v>
      </c>
      <c r="CQ433" s="218">
        <f t="shared" si="140"/>
        <v>0</v>
      </c>
    </row>
    <row r="434" spans="1:137" s="101" customFormat="1" ht="15.75" hidden="1" thickBot="1" x14ac:dyDescent="0.3">
      <c r="A434" s="99"/>
      <c r="V434" s="103"/>
      <c r="AA434" s="104"/>
      <c r="AB434" s="104"/>
      <c r="AD434" s="104"/>
      <c r="AE434" s="105"/>
      <c r="AH434" s="106"/>
      <c r="AI434" s="106"/>
      <c r="AK434" s="104"/>
      <c r="AR434" s="104"/>
      <c r="AV434" s="104"/>
      <c r="AX434" s="104"/>
      <c r="BB434" s="104"/>
      <c r="BC434" s="104"/>
      <c r="BE434" s="104"/>
      <c r="BH434" s="99"/>
      <c r="BI434" s="190" t="s">
        <v>313</v>
      </c>
      <c r="BJ434" s="190">
        <v>16100</v>
      </c>
      <c r="BK434" s="190">
        <v>17200</v>
      </c>
      <c r="BL434" s="190" t="s">
        <v>314</v>
      </c>
      <c r="BM434" s="169"/>
      <c r="BN434" s="169"/>
      <c r="BO434" s="169"/>
      <c r="BP434" s="178"/>
      <c r="BQ434" s="178"/>
      <c r="BR434" s="178"/>
      <c r="BS434" s="178"/>
      <c r="BT434" s="178"/>
      <c r="BU434" s="178"/>
      <c r="BV434" s="178"/>
      <c r="BW434" s="178"/>
      <c r="BX434" s="178"/>
      <c r="BY434" s="178"/>
      <c r="BZ434" s="178"/>
      <c r="CA434" s="178"/>
      <c r="CB434" s="180"/>
      <c r="CC434" s="178"/>
      <c r="CD434" s="178"/>
      <c r="CE434" s="180"/>
      <c r="CF434" s="180"/>
      <c r="CG434" s="180"/>
      <c r="CH434" s="180"/>
      <c r="CI434" s="178"/>
      <c r="CJ434" s="178"/>
      <c r="CK434" s="180"/>
      <c r="CL434" s="180"/>
      <c r="CM434" s="180"/>
      <c r="CN434" s="116"/>
      <c r="CO434" s="218">
        <f t="shared" si="138"/>
        <v>0</v>
      </c>
      <c r="CP434" s="100">
        <f t="shared" si="139"/>
        <v>0</v>
      </c>
      <c r="CQ434" s="218">
        <f t="shared" si="140"/>
        <v>0</v>
      </c>
    </row>
    <row r="435" spans="1:137" s="101" customFormat="1" ht="15.75" hidden="1" thickBot="1" x14ac:dyDescent="0.3">
      <c r="A435" s="99"/>
      <c r="V435" s="103"/>
      <c r="AA435" s="104"/>
      <c r="AB435" s="104"/>
      <c r="AD435" s="104"/>
      <c r="AE435" s="105"/>
      <c r="AH435" s="106"/>
      <c r="AI435" s="106"/>
      <c r="AK435" s="104"/>
      <c r="AR435" s="104"/>
      <c r="AV435" s="104"/>
      <c r="AX435" s="104"/>
      <c r="BB435" s="104"/>
      <c r="BC435" s="104"/>
      <c r="BE435" s="104"/>
      <c r="BH435" s="99"/>
      <c r="BI435" s="190"/>
      <c r="BJ435" s="190"/>
      <c r="BK435" s="190"/>
      <c r="BL435" s="190"/>
      <c r="BM435" s="169"/>
      <c r="BN435" s="169"/>
      <c r="BO435" s="169"/>
      <c r="BP435" s="178"/>
      <c r="BQ435" s="178"/>
      <c r="BR435" s="178"/>
      <c r="BS435" s="178"/>
      <c r="BT435" s="178"/>
      <c r="BU435" s="178"/>
      <c r="BV435" s="178"/>
      <c r="BW435" s="178"/>
      <c r="BX435" s="178"/>
      <c r="BY435" s="178"/>
      <c r="BZ435" s="178"/>
      <c r="CA435" s="178"/>
      <c r="CB435" s="180"/>
      <c r="CC435" s="178"/>
      <c r="CD435" s="178"/>
      <c r="CE435" s="180"/>
      <c r="CF435" s="180"/>
      <c r="CG435" s="180"/>
      <c r="CH435" s="180"/>
      <c r="CI435" s="178"/>
      <c r="CJ435" s="178"/>
      <c r="CK435" s="180"/>
      <c r="CL435" s="180"/>
      <c r="CM435" s="180"/>
      <c r="CN435" s="116"/>
      <c r="CO435" s="218">
        <f t="shared" si="138"/>
        <v>0</v>
      </c>
      <c r="CP435" s="100">
        <f t="shared" si="139"/>
        <v>0</v>
      </c>
      <c r="CQ435" s="218">
        <f t="shared" si="140"/>
        <v>0</v>
      </c>
    </row>
    <row r="436" spans="1:137" s="101" customFormat="1" ht="15.75" hidden="1" thickBot="1" x14ac:dyDescent="0.3">
      <c r="A436" s="99"/>
      <c r="V436" s="103"/>
      <c r="AA436" s="104"/>
      <c r="AB436" s="104"/>
      <c r="AD436" s="104"/>
      <c r="AE436" s="105"/>
      <c r="AH436" s="106"/>
      <c r="AI436" s="106"/>
      <c r="AK436" s="104"/>
      <c r="AR436" s="104"/>
      <c r="AV436" s="104"/>
      <c r="AX436" s="104"/>
      <c r="BB436" s="104"/>
      <c r="BC436" s="104"/>
      <c r="BE436" s="104"/>
      <c r="BH436" s="99"/>
      <c r="BI436" s="190"/>
      <c r="BJ436" s="190"/>
      <c r="BK436" s="190"/>
      <c r="BL436" s="190"/>
      <c r="BM436" s="169"/>
      <c r="BN436" s="169"/>
      <c r="BO436" s="169"/>
      <c r="BP436" s="178"/>
      <c r="BQ436" s="178"/>
      <c r="BR436" s="178"/>
      <c r="BS436" s="178"/>
      <c r="BT436" s="178"/>
      <c r="BU436" s="178"/>
      <c r="BV436" s="178"/>
      <c r="BW436" s="178"/>
      <c r="BX436" s="178"/>
      <c r="BY436" s="178"/>
      <c r="BZ436" s="178"/>
      <c r="CA436" s="178"/>
      <c r="CB436" s="180"/>
      <c r="CC436" s="178"/>
      <c r="CD436" s="178"/>
      <c r="CE436" s="180"/>
      <c r="CF436" s="180"/>
      <c r="CG436" s="180"/>
      <c r="CH436" s="180"/>
      <c r="CI436" s="178"/>
      <c r="CJ436" s="178"/>
      <c r="CK436" s="180"/>
      <c r="CL436" s="180"/>
      <c r="CM436" s="180"/>
      <c r="CN436" s="116"/>
      <c r="CO436" s="218">
        <f t="shared" si="138"/>
        <v>0</v>
      </c>
      <c r="CP436" s="100">
        <f t="shared" si="139"/>
        <v>0</v>
      </c>
      <c r="CQ436" s="218">
        <f t="shared" si="140"/>
        <v>0</v>
      </c>
    </row>
    <row r="437" spans="1:137" s="101" customFormat="1" ht="15.75" hidden="1" thickBot="1" x14ac:dyDescent="0.3">
      <c r="A437" s="99"/>
      <c r="V437" s="103"/>
      <c r="AA437" s="104"/>
      <c r="AB437" s="104"/>
      <c r="AD437" s="104"/>
      <c r="AE437" s="105"/>
      <c r="AH437" s="106"/>
      <c r="AI437" s="106"/>
      <c r="AK437" s="104"/>
      <c r="AR437" s="104"/>
      <c r="AV437" s="104"/>
      <c r="AX437" s="104"/>
      <c r="BB437" s="104"/>
      <c r="BC437" s="104"/>
      <c r="BE437" s="104"/>
      <c r="BH437" s="99"/>
      <c r="BI437" s="190"/>
      <c r="BJ437" s="190"/>
      <c r="BK437" s="190"/>
      <c r="BL437" s="190"/>
      <c r="BM437" s="169"/>
      <c r="BN437" s="169"/>
      <c r="BO437" s="169"/>
      <c r="BP437" s="178"/>
      <c r="BQ437" s="178"/>
      <c r="BR437" s="178"/>
      <c r="BS437" s="178"/>
      <c r="BT437" s="178"/>
      <c r="BU437" s="178"/>
      <c r="BV437" s="178"/>
      <c r="BW437" s="178"/>
      <c r="BX437" s="178"/>
      <c r="BY437" s="178"/>
      <c r="BZ437" s="178"/>
      <c r="CA437" s="178"/>
      <c r="CB437" s="180"/>
      <c r="CC437" s="178"/>
      <c r="CD437" s="178"/>
      <c r="CE437" s="180"/>
      <c r="CF437" s="180"/>
      <c r="CG437" s="180"/>
      <c r="CH437" s="180"/>
      <c r="CI437" s="178"/>
      <c r="CJ437" s="178"/>
      <c r="CK437" s="180"/>
      <c r="CL437" s="180"/>
      <c r="CM437" s="180"/>
      <c r="CN437" s="116"/>
      <c r="CO437" s="218">
        <f t="shared" si="138"/>
        <v>0</v>
      </c>
      <c r="CP437" s="100">
        <f t="shared" si="139"/>
        <v>0</v>
      </c>
      <c r="CQ437" s="218">
        <f t="shared" si="140"/>
        <v>0</v>
      </c>
    </row>
    <row r="438" spans="1:137" s="101" customFormat="1" hidden="1" x14ac:dyDescent="0.25">
      <c r="A438" s="99"/>
      <c r="V438" s="103"/>
      <c r="AA438" s="104"/>
      <c r="AB438" s="104"/>
      <c r="AD438" s="104"/>
      <c r="AE438" s="105"/>
      <c r="AH438" s="106"/>
      <c r="AI438" s="106"/>
      <c r="AK438" s="104"/>
      <c r="AR438" s="104"/>
      <c r="AV438" s="104"/>
      <c r="AX438" s="104"/>
      <c r="BB438" s="104"/>
      <c r="BC438" s="104"/>
      <c r="BE438" s="104"/>
      <c r="BH438" s="99"/>
      <c r="BI438" s="102"/>
      <c r="BJ438" s="178"/>
      <c r="BK438" s="178"/>
      <c r="BL438" s="178"/>
      <c r="BM438" s="169"/>
      <c r="BN438" s="169"/>
      <c r="BO438" s="169"/>
      <c r="BP438" s="178"/>
      <c r="BQ438" s="178"/>
      <c r="BR438" s="178"/>
      <c r="BS438" s="178"/>
      <c r="BT438" s="178"/>
      <c r="BU438" s="178"/>
      <c r="BV438" s="178"/>
      <c r="BW438" s="178"/>
      <c r="BX438" s="178"/>
      <c r="BY438" s="178"/>
      <c r="BZ438" s="178"/>
      <c r="CA438" s="178"/>
      <c r="CB438" s="180"/>
      <c r="CC438" s="178"/>
      <c r="CD438" s="178"/>
      <c r="CE438" s="180"/>
      <c r="CF438" s="180"/>
      <c r="CG438" s="180"/>
      <c r="CH438" s="180"/>
      <c r="CI438" s="178"/>
      <c r="CJ438" s="178"/>
      <c r="CK438" s="180"/>
      <c r="CL438" s="180"/>
      <c r="CM438" s="180"/>
      <c r="CN438" s="116"/>
      <c r="CO438" s="218">
        <f t="shared" si="138"/>
        <v>0</v>
      </c>
      <c r="CP438" s="100">
        <f t="shared" si="139"/>
        <v>0</v>
      </c>
      <c r="CQ438" s="218">
        <f t="shared" si="140"/>
        <v>0</v>
      </c>
    </row>
    <row r="439" spans="1:137" s="101" customFormat="1" hidden="1" x14ac:dyDescent="0.25">
      <c r="A439" s="99"/>
      <c r="V439" s="103"/>
      <c r="AA439" s="104"/>
      <c r="AB439" s="104"/>
      <c r="AD439" s="104"/>
      <c r="AE439" s="105"/>
      <c r="AH439" s="106"/>
      <c r="AI439" s="106"/>
      <c r="AK439" s="104"/>
      <c r="AR439" s="104"/>
      <c r="AV439" s="104"/>
      <c r="AX439" s="104"/>
      <c r="BB439" s="104"/>
      <c r="BC439" s="104"/>
      <c r="BE439" s="104"/>
      <c r="BH439" s="99"/>
      <c r="BI439" s="102"/>
      <c r="BJ439" s="178"/>
      <c r="BK439" s="178"/>
      <c r="BL439" s="178"/>
      <c r="BM439" s="169"/>
      <c r="BN439" s="169"/>
      <c r="BO439" s="169"/>
      <c r="BP439" s="178"/>
      <c r="BQ439" s="178"/>
      <c r="BR439" s="178"/>
      <c r="BS439" s="178"/>
      <c r="BT439" s="178"/>
      <c r="BU439" s="178"/>
      <c r="BV439" s="178"/>
      <c r="BW439" s="178"/>
      <c r="BX439" s="178"/>
      <c r="BY439" s="178"/>
      <c r="BZ439" s="178"/>
      <c r="CA439" s="178"/>
      <c r="CB439" s="180"/>
      <c r="CC439" s="178"/>
      <c r="CD439" s="178"/>
      <c r="CE439" s="180"/>
      <c r="CF439" s="180"/>
      <c r="CG439" s="180"/>
      <c r="CH439" s="180"/>
      <c r="CI439" s="178"/>
      <c r="CJ439" s="178"/>
      <c r="CK439" s="180"/>
      <c r="CL439" s="180"/>
      <c r="CM439" s="180"/>
      <c r="CN439" s="116"/>
      <c r="CO439" s="218">
        <f t="shared" si="138"/>
        <v>0</v>
      </c>
      <c r="CP439" s="100">
        <f t="shared" si="139"/>
        <v>0</v>
      </c>
      <c r="CQ439" s="218">
        <f t="shared" si="140"/>
        <v>0</v>
      </c>
    </row>
    <row r="440" spans="1:137" s="101" customFormat="1" hidden="1" x14ac:dyDescent="0.25">
      <c r="A440" s="99"/>
      <c r="V440" s="103"/>
      <c r="AA440" s="104"/>
      <c r="AB440" s="104"/>
      <c r="AD440" s="104"/>
      <c r="AE440" s="105"/>
      <c r="AH440" s="106"/>
      <c r="AI440" s="106"/>
      <c r="AK440" s="104"/>
      <c r="AR440" s="104"/>
      <c r="AV440" s="104"/>
      <c r="AX440" s="104"/>
      <c r="BB440" s="104"/>
      <c r="BC440" s="104"/>
      <c r="BE440" s="104"/>
      <c r="BH440" s="99"/>
      <c r="BI440" s="102"/>
      <c r="BJ440" s="178"/>
      <c r="BK440" s="178"/>
      <c r="BL440" s="178"/>
      <c r="BM440" s="169"/>
      <c r="BN440" s="169"/>
      <c r="BO440" s="169"/>
      <c r="BP440" s="178"/>
      <c r="BQ440" s="178"/>
      <c r="BR440" s="178"/>
      <c r="BS440" s="178"/>
      <c r="BT440" s="178"/>
      <c r="BU440" s="178"/>
      <c r="BV440" s="178"/>
      <c r="BW440" s="178"/>
      <c r="BX440" s="178"/>
      <c r="BY440" s="178"/>
      <c r="BZ440" s="178"/>
      <c r="CA440" s="178"/>
      <c r="CB440" s="180"/>
      <c r="CC440" s="178"/>
      <c r="CD440" s="178"/>
      <c r="CE440" s="180"/>
      <c r="CF440" s="180"/>
      <c r="CG440" s="180"/>
      <c r="CH440" s="180"/>
      <c r="CI440" s="178"/>
      <c r="CJ440" s="178"/>
      <c r="CK440" s="180"/>
      <c r="CL440" s="180"/>
      <c r="CM440" s="180"/>
      <c r="CN440" s="116"/>
      <c r="CO440" s="218">
        <f t="shared" si="138"/>
        <v>0</v>
      </c>
      <c r="CP440" s="100">
        <f t="shared" si="139"/>
        <v>0</v>
      </c>
      <c r="CQ440" s="218">
        <f t="shared" si="140"/>
        <v>0</v>
      </c>
    </row>
    <row r="441" spans="1:137" s="101" customFormat="1" hidden="1" x14ac:dyDescent="0.25">
      <c r="A441" s="99"/>
      <c r="V441" s="103"/>
      <c r="AA441" s="104"/>
      <c r="AB441" s="104"/>
      <c r="AD441" s="104"/>
      <c r="AE441" s="105"/>
      <c r="AH441" s="106"/>
      <c r="AI441" s="106"/>
      <c r="AK441" s="104"/>
      <c r="AR441" s="104"/>
      <c r="AV441" s="104"/>
      <c r="AX441" s="104"/>
      <c r="BB441" s="104"/>
      <c r="BC441" s="104"/>
      <c r="BE441" s="104"/>
      <c r="BH441" s="99"/>
      <c r="BI441" s="102"/>
      <c r="BJ441" s="178"/>
      <c r="BK441" s="178"/>
      <c r="BL441" s="178"/>
      <c r="BM441" s="169"/>
      <c r="BN441" s="169"/>
      <c r="BO441" s="169"/>
      <c r="BP441" s="178"/>
      <c r="BQ441" s="178"/>
      <c r="BR441" s="178"/>
      <c r="BS441" s="178"/>
      <c r="BT441" s="178"/>
      <c r="BU441" s="178"/>
      <c r="BV441" s="178"/>
      <c r="BW441" s="178"/>
      <c r="BX441" s="178"/>
      <c r="BY441" s="178"/>
      <c r="BZ441" s="178"/>
      <c r="CA441" s="178"/>
      <c r="CB441" s="180"/>
      <c r="CC441" s="178"/>
      <c r="CD441" s="178"/>
      <c r="CE441" s="180"/>
      <c r="CF441" s="180"/>
      <c r="CG441" s="180"/>
      <c r="CH441" s="180"/>
      <c r="CI441" s="178"/>
      <c r="CJ441" s="178"/>
      <c r="CK441" s="180"/>
      <c r="CL441" s="180"/>
      <c r="CM441" s="180"/>
      <c r="CN441" s="116"/>
      <c r="CO441" s="218">
        <f t="shared" si="138"/>
        <v>0</v>
      </c>
      <c r="CP441" s="100">
        <f t="shared" si="139"/>
        <v>0</v>
      </c>
      <c r="CQ441" s="218">
        <f t="shared" si="140"/>
        <v>0</v>
      </c>
    </row>
    <row r="442" spans="1:137" ht="15" hidden="1" customHeight="1" x14ac:dyDescent="0.25">
      <c r="BI442" s="102" t="s">
        <v>232</v>
      </c>
      <c r="BK442" s="178" t="s">
        <v>607</v>
      </c>
      <c r="BM442" s="169" t="s">
        <v>233</v>
      </c>
      <c r="BN442" s="169" t="s">
        <v>233</v>
      </c>
      <c r="BO442" s="169" t="s">
        <v>240</v>
      </c>
      <c r="BP442" s="178" t="s">
        <v>645</v>
      </c>
      <c r="CO442" s="218" t="str">
        <f t="shared" si="138"/>
        <v>Incertidumbre (+/- %)</v>
      </c>
      <c r="CP442" s="100" t="e">
        <f t="shared" si="139"/>
        <v>#VALUE!</v>
      </c>
      <c r="CQ442" s="218" t="str">
        <f t="shared" si="140"/>
        <v>Incertidumbre (+/- %)</v>
      </c>
      <c r="CR442" s="98"/>
      <c r="CS442" s="98"/>
      <c r="CT442" s="98"/>
      <c r="CU442" s="98"/>
      <c r="CV442" s="98"/>
      <c r="CW442" s="98"/>
      <c r="CX442" s="98"/>
      <c r="CY442" s="98"/>
      <c r="CZ442" s="98"/>
      <c r="DA442" s="98"/>
      <c r="DB442" s="98"/>
      <c r="DC442" s="98"/>
      <c r="DD442" s="98"/>
      <c r="DE442" s="98"/>
      <c r="DF442" s="98"/>
      <c r="DG442" s="98"/>
      <c r="DH442" s="98"/>
      <c r="DI442" s="98"/>
      <c r="DJ442" s="98"/>
      <c r="DK442" s="98"/>
      <c r="DL442" s="98"/>
      <c r="DM442" s="98"/>
      <c r="DN442" s="98"/>
      <c r="DO442" s="98"/>
      <c r="DP442" s="98"/>
      <c r="DQ442" s="98"/>
      <c r="DR442" s="98"/>
      <c r="DS442" s="98"/>
      <c r="DT442" s="98"/>
      <c r="DU442" s="98"/>
      <c r="DV442" s="98"/>
      <c r="DW442" s="98"/>
      <c r="DX442" s="98"/>
      <c r="DY442" s="98"/>
      <c r="DZ442" s="98"/>
      <c r="EA442" s="98"/>
      <c r="EB442" s="98"/>
      <c r="EC442" s="98"/>
      <c r="ED442" s="98"/>
      <c r="EE442" s="98"/>
      <c r="EF442" s="98"/>
      <c r="EG442" s="98"/>
    </row>
    <row r="443" spans="1:137" hidden="1" x14ac:dyDescent="0.25">
      <c r="BJ443" s="178" t="s">
        <v>253</v>
      </c>
      <c r="BL443" s="178" t="s">
        <v>251</v>
      </c>
      <c r="CO443" s="218">
        <f t="shared" si="138"/>
        <v>0</v>
      </c>
      <c r="CP443" s="100">
        <f t="shared" si="139"/>
        <v>0</v>
      </c>
      <c r="CQ443" s="218">
        <f t="shared" si="140"/>
        <v>0</v>
      </c>
      <c r="CR443" s="98"/>
      <c r="CS443" s="98"/>
      <c r="CT443" s="98"/>
      <c r="CU443" s="98"/>
      <c r="CV443" s="98"/>
      <c r="CW443" s="98"/>
      <c r="CX443" s="98"/>
      <c r="CY443" s="98"/>
      <c r="CZ443" s="98"/>
      <c r="DA443" s="98"/>
      <c r="DB443" s="98"/>
      <c r="DC443" s="98"/>
      <c r="DD443" s="98"/>
      <c r="DE443" s="98"/>
      <c r="DF443" s="98"/>
      <c r="DG443" s="98"/>
      <c r="DH443" s="98"/>
      <c r="DI443" s="98"/>
      <c r="DJ443" s="98"/>
      <c r="DK443" s="98"/>
      <c r="DL443" s="98"/>
      <c r="DM443" s="98"/>
      <c r="DN443" s="98"/>
      <c r="DO443" s="98"/>
      <c r="DP443" s="98"/>
      <c r="DQ443" s="98"/>
      <c r="DR443" s="98"/>
      <c r="DS443" s="98"/>
      <c r="DT443" s="98"/>
      <c r="DU443" s="98"/>
      <c r="DV443" s="98"/>
      <c r="DW443" s="98"/>
      <c r="DX443" s="98"/>
      <c r="DY443" s="98"/>
      <c r="DZ443" s="98"/>
      <c r="EA443" s="98"/>
      <c r="EB443" s="98"/>
      <c r="EC443" s="98"/>
      <c r="ED443" s="98"/>
      <c r="EE443" s="98"/>
      <c r="EF443" s="98"/>
      <c r="EG443" s="98"/>
    </row>
    <row r="444" spans="1:137" hidden="1" x14ac:dyDescent="0.25">
      <c r="BI444" s="102" t="s">
        <v>1</v>
      </c>
      <c r="BJ444" s="178" t="s">
        <v>615</v>
      </c>
      <c r="BK444" s="178">
        <v>1664.9169999999999</v>
      </c>
      <c r="BL444" s="178" t="s">
        <v>641</v>
      </c>
      <c r="BM444" s="169">
        <v>4.3E-3</v>
      </c>
      <c r="BN444" s="169">
        <v>4.3E-3</v>
      </c>
      <c r="BO444" s="169" t="s">
        <v>241</v>
      </c>
      <c r="BP444" s="263">
        <v>1</v>
      </c>
      <c r="CO444" s="218">
        <f t="shared" si="138"/>
        <v>4.3E-3</v>
      </c>
      <c r="CP444" s="100">
        <f t="shared" si="139"/>
        <v>4.3E-3</v>
      </c>
      <c r="CQ444" s="218">
        <f t="shared" si="140"/>
        <v>4.3E-3</v>
      </c>
      <c r="CR444" s="98"/>
      <c r="CS444" s="98"/>
      <c r="CT444" s="98"/>
      <c r="CU444" s="98"/>
      <c r="CV444" s="98"/>
      <c r="CW444" s="98"/>
      <c r="CX444" s="98"/>
      <c r="CY444" s="98"/>
      <c r="CZ444" s="98"/>
      <c r="DA444" s="98"/>
      <c r="DB444" s="98"/>
      <c r="DC444" s="98"/>
      <c r="DD444" s="98"/>
      <c r="DE444" s="98"/>
      <c r="DF444" s="98"/>
      <c r="DG444" s="98"/>
      <c r="DH444" s="98"/>
      <c r="DI444" s="98"/>
      <c r="DJ444" s="98"/>
      <c r="DK444" s="98"/>
      <c r="DL444" s="98"/>
      <c r="DM444" s="98"/>
      <c r="DN444" s="98"/>
      <c r="DO444" s="98"/>
      <c r="DP444" s="98"/>
      <c r="DQ444" s="98"/>
      <c r="DR444" s="98"/>
      <c r="DS444" s="98"/>
      <c r="DT444" s="98"/>
      <c r="DU444" s="98"/>
      <c r="DV444" s="98"/>
      <c r="DW444" s="98"/>
      <c r="DX444" s="98"/>
      <c r="DY444" s="98"/>
      <c r="DZ444" s="98"/>
      <c r="EA444" s="98"/>
      <c r="EB444" s="98"/>
      <c r="EC444" s="98"/>
      <c r="ED444" s="98"/>
      <c r="EE444" s="98"/>
      <c r="EF444" s="98"/>
      <c r="EG444" s="98"/>
    </row>
    <row r="445" spans="1:137" hidden="1" x14ac:dyDescent="0.25">
      <c r="BI445" s="102" t="s">
        <v>221</v>
      </c>
      <c r="BJ445" s="178" t="s">
        <v>615</v>
      </c>
      <c r="BK445" s="178">
        <v>1869.837</v>
      </c>
      <c r="BL445" s="178" t="s">
        <v>641</v>
      </c>
      <c r="BM445" s="169">
        <v>3.82E-3</v>
      </c>
      <c r="BN445" s="169">
        <v>3.82E-3</v>
      </c>
      <c r="BO445" s="169" t="s">
        <v>241</v>
      </c>
      <c r="BP445" s="263">
        <v>1</v>
      </c>
      <c r="CO445" s="218">
        <f t="shared" si="138"/>
        <v>3.82E-3</v>
      </c>
      <c r="CP445" s="100">
        <f t="shared" si="139"/>
        <v>3.82E-3</v>
      </c>
      <c r="CQ445" s="218">
        <f t="shared" si="140"/>
        <v>3.82E-3</v>
      </c>
      <c r="CR445" s="98"/>
      <c r="CS445" s="98"/>
      <c r="CT445" s="98"/>
      <c r="CU445" s="98"/>
      <c r="CV445" s="98"/>
      <c r="CW445" s="98"/>
      <c r="CX445" s="98"/>
      <c r="CY445" s="98"/>
      <c r="CZ445" s="98"/>
      <c r="DA445" s="98"/>
      <c r="DB445" s="98"/>
      <c r="DC445" s="98"/>
      <c r="DD445" s="98"/>
      <c r="DE445" s="98"/>
      <c r="DF445" s="98"/>
      <c r="DG445" s="98"/>
      <c r="DH445" s="98"/>
      <c r="DI445" s="98"/>
      <c r="DJ445" s="98"/>
      <c r="DK445" s="98"/>
      <c r="DL445" s="98"/>
      <c r="DM445" s="98"/>
      <c r="DN445" s="98"/>
      <c r="DO445" s="98"/>
      <c r="DP445" s="98"/>
      <c r="DQ445" s="98"/>
      <c r="DR445" s="98"/>
      <c r="DS445" s="98"/>
      <c r="DT445" s="98"/>
      <c r="DU445" s="98"/>
      <c r="DV445" s="98"/>
      <c r="DW445" s="98"/>
      <c r="DX445" s="98"/>
      <c r="DY445" s="98"/>
      <c r="DZ445" s="98"/>
      <c r="EA445" s="98"/>
      <c r="EB445" s="98"/>
      <c r="EC445" s="98"/>
      <c r="ED445" s="98"/>
      <c r="EE445" s="98"/>
      <c r="EF445" s="98"/>
      <c r="EG445" s="98"/>
    </row>
    <row r="446" spans="1:137" hidden="1" x14ac:dyDescent="0.25">
      <c r="BI446" s="102" t="s">
        <v>222</v>
      </c>
      <c r="BJ446" s="178" t="s">
        <v>615</v>
      </c>
      <c r="BK446" s="178">
        <v>1758.4449999999999</v>
      </c>
      <c r="BL446" s="178" t="s">
        <v>641</v>
      </c>
      <c r="BM446" s="169">
        <v>3.98E-3</v>
      </c>
      <c r="BN446" s="169">
        <v>3.98E-3</v>
      </c>
      <c r="BO446" s="169" t="s">
        <v>241</v>
      </c>
      <c r="BP446" s="263">
        <v>1</v>
      </c>
      <c r="CO446" s="218">
        <f t="shared" si="138"/>
        <v>3.98E-3</v>
      </c>
      <c r="CP446" s="100">
        <f t="shared" si="139"/>
        <v>3.98E-3</v>
      </c>
      <c r="CQ446" s="218">
        <f t="shared" si="140"/>
        <v>3.98E-3</v>
      </c>
      <c r="CR446" s="98"/>
      <c r="CS446" s="98"/>
      <c r="CT446" s="98"/>
      <c r="CU446" s="98"/>
      <c r="CV446" s="98"/>
      <c r="CW446" s="98"/>
      <c r="CX446" s="98"/>
      <c r="CY446" s="98"/>
      <c r="CZ446" s="98"/>
      <c r="DA446" s="98"/>
      <c r="DB446" s="98"/>
      <c r="DC446" s="98"/>
      <c r="DD446" s="98"/>
      <c r="DE446" s="98"/>
      <c r="DF446" s="98"/>
      <c r="DG446" s="98"/>
      <c r="DH446" s="98"/>
      <c r="DI446" s="98"/>
      <c r="DJ446" s="98"/>
      <c r="DK446" s="98"/>
      <c r="DL446" s="98"/>
      <c r="DM446" s="98"/>
      <c r="DN446" s="98"/>
      <c r="DO446" s="98"/>
      <c r="DP446" s="98"/>
      <c r="DQ446" s="98"/>
      <c r="DR446" s="98"/>
      <c r="DS446" s="98"/>
      <c r="DT446" s="98"/>
      <c r="DU446" s="98"/>
      <c r="DV446" s="98"/>
      <c r="DW446" s="98"/>
      <c r="DX446" s="98"/>
      <c r="DY446" s="98"/>
      <c r="DZ446" s="98"/>
      <c r="EA446" s="98"/>
      <c r="EB446" s="98"/>
      <c r="EC446" s="98"/>
      <c r="ED446" s="98"/>
      <c r="EE446" s="98"/>
      <c r="EF446" s="98"/>
      <c r="EG446" s="98"/>
    </row>
    <row r="447" spans="1:137" hidden="1" x14ac:dyDescent="0.25">
      <c r="BI447" s="102" t="s">
        <v>223</v>
      </c>
      <c r="BJ447" s="178" t="s">
        <v>615</v>
      </c>
      <c r="BK447" s="178" t="s">
        <v>403</v>
      </c>
      <c r="BL447" s="178" t="s">
        <v>641</v>
      </c>
      <c r="BM447" s="169">
        <v>3.5799999999999998E-3</v>
      </c>
      <c r="BN447" s="169">
        <v>3.5799999999999998E-3</v>
      </c>
      <c r="BO447" s="169" t="s">
        <v>241</v>
      </c>
      <c r="BP447" s="263">
        <v>1</v>
      </c>
      <c r="CO447" s="218">
        <f t="shared" si="138"/>
        <v>3.5799999999999998E-3</v>
      </c>
      <c r="CP447" s="100">
        <f t="shared" si="139"/>
        <v>3.5799999999999998E-3</v>
      </c>
      <c r="CQ447" s="218">
        <f t="shared" si="140"/>
        <v>3.5799999999999998E-3</v>
      </c>
      <c r="CR447" s="98"/>
      <c r="CS447" s="98"/>
      <c r="CT447" s="98"/>
      <c r="CU447" s="98"/>
      <c r="CV447" s="98"/>
      <c r="CW447" s="98"/>
      <c r="CX447" s="98"/>
      <c r="CY447" s="98"/>
      <c r="CZ447" s="98"/>
      <c r="DA447" s="98"/>
      <c r="DB447" s="98"/>
      <c r="DC447" s="98"/>
      <c r="DD447" s="98"/>
      <c r="DE447" s="98"/>
      <c r="DF447" s="98"/>
      <c r="DG447" s="98"/>
      <c r="DH447" s="98"/>
      <c r="DI447" s="98"/>
      <c r="DJ447" s="98"/>
      <c r="DK447" s="98"/>
      <c r="DL447" s="98"/>
      <c r="DM447" s="98"/>
      <c r="DN447" s="98"/>
      <c r="DO447" s="98"/>
      <c r="DP447" s="98"/>
      <c r="DQ447" s="98"/>
      <c r="DR447" s="98"/>
      <c r="DS447" s="98"/>
      <c r="DT447" s="98"/>
      <c r="DU447" s="98"/>
      <c r="DV447" s="98"/>
      <c r="DW447" s="98"/>
      <c r="DX447" s="98"/>
      <c r="DY447" s="98"/>
      <c r="DZ447" s="98"/>
      <c r="EA447" s="98"/>
      <c r="EB447" s="98"/>
      <c r="EC447" s="98"/>
      <c r="ED447" s="98"/>
      <c r="EE447" s="98"/>
      <c r="EF447" s="98"/>
      <c r="EG447" s="98"/>
    </row>
    <row r="448" spans="1:137" hidden="1" x14ac:dyDescent="0.25">
      <c r="BI448" s="102" t="s">
        <v>224</v>
      </c>
      <c r="BJ448" s="178" t="s">
        <v>615</v>
      </c>
      <c r="BK448" s="178">
        <v>1553.251</v>
      </c>
      <c r="BL448" s="178" t="s">
        <v>641</v>
      </c>
      <c r="BM448" s="169">
        <v>4.4900000000000001E-3</v>
      </c>
      <c r="BN448" s="169">
        <v>4.4900000000000001E-3</v>
      </c>
      <c r="BO448" s="169" t="s">
        <v>241</v>
      </c>
      <c r="BP448" s="263">
        <v>1</v>
      </c>
      <c r="CO448" s="218">
        <f t="shared" si="138"/>
        <v>4.4900000000000001E-3</v>
      </c>
      <c r="CP448" s="100">
        <f t="shared" si="139"/>
        <v>4.4900000000000001E-3</v>
      </c>
      <c r="CQ448" s="218">
        <f t="shared" si="140"/>
        <v>4.4900000000000001E-3</v>
      </c>
      <c r="CR448" s="98"/>
      <c r="CS448" s="98"/>
      <c r="CT448" s="98"/>
      <c r="CU448" s="98"/>
      <c r="CV448" s="98"/>
      <c r="CW448" s="98"/>
      <c r="CX448" s="98"/>
      <c r="CY448" s="98"/>
      <c r="CZ448" s="98"/>
      <c r="DA448" s="98"/>
      <c r="DB448" s="98"/>
      <c r="DC448" s="98"/>
      <c r="DD448" s="98"/>
      <c r="DE448" s="98"/>
      <c r="DF448" s="98"/>
      <c r="DG448" s="98"/>
      <c r="DH448" s="98"/>
      <c r="DI448" s="98"/>
      <c r="DJ448" s="98"/>
      <c r="DK448" s="98"/>
      <c r="DL448" s="98"/>
      <c r="DM448" s="98"/>
      <c r="DN448" s="98"/>
      <c r="DO448" s="98"/>
      <c r="DP448" s="98"/>
      <c r="DQ448" s="98"/>
      <c r="DR448" s="98"/>
      <c r="DS448" s="98"/>
      <c r="DT448" s="98"/>
      <c r="DU448" s="98"/>
      <c r="DV448" s="98"/>
      <c r="DW448" s="98"/>
      <c r="DX448" s="98"/>
      <c r="DY448" s="98"/>
      <c r="DZ448" s="98"/>
      <c r="EA448" s="98"/>
      <c r="EB448" s="98"/>
      <c r="EC448" s="98"/>
      <c r="ED448" s="98"/>
      <c r="EE448" s="98"/>
      <c r="EF448" s="98"/>
      <c r="EG448" s="98"/>
    </row>
    <row r="449" spans="1:137" hidden="1" x14ac:dyDescent="0.25">
      <c r="BI449" s="102" t="s">
        <v>225</v>
      </c>
      <c r="BJ449" s="178" t="s">
        <v>615</v>
      </c>
      <c r="BK449" s="178">
        <v>2222.1489999999999</v>
      </c>
      <c r="BL449" s="178" t="s">
        <v>641</v>
      </c>
      <c r="BM449" s="169">
        <v>3.0299999999999997E-3</v>
      </c>
      <c r="BN449" s="169">
        <v>3.0299999999999997E-3</v>
      </c>
      <c r="BO449" s="169" t="s">
        <v>241</v>
      </c>
      <c r="BP449" s="263">
        <v>1</v>
      </c>
      <c r="CO449" s="218">
        <f t="shared" si="138"/>
        <v>3.0299999999999997E-3</v>
      </c>
      <c r="CP449" s="100">
        <f t="shared" si="139"/>
        <v>3.0299999999999997E-3</v>
      </c>
      <c r="CQ449" s="218">
        <f t="shared" si="140"/>
        <v>3.0299999999999997E-3</v>
      </c>
      <c r="CR449" s="98"/>
      <c r="CS449" s="98"/>
      <c r="CT449" s="98"/>
      <c r="CU449" s="98"/>
      <c r="CV449" s="98"/>
      <c r="CW449" s="98"/>
      <c r="CX449" s="98"/>
      <c r="CY449" s="98"/>
      <c r="CZ449" s="98"/>
      <c r="DA449" s="98"/>
      <c r="DB449" s="98"/>
      <c r="DC449" s="98"/>
      <c r="DD449" s="98"/>
      <c r="DE449" s="98"/>
      <c r="DF449" s="98"/>
      <c r="DG449" s="98"/>
      <c r="DH449" s="98"/>
      <c r="DI449" s="98"/>
      <c r="DJ449" s="98"/>
      <c r="DK449" s="98"/>
      <c r="DL449" s="98"/>
      <c r="DM449" s="98"/>
      <c r="DN449" s="98"/>
      <c r="DO449" s="98"/>
      <c r="DP449" s="98"/>
      <c r="DQ449" s="98"/>
      <c r="DR449" s="98"/>
      <c r="DS449" s="98"/>
      <c r="DT449" s="98"/>
      <c r="DU449" s="98"/>
      <c r="DV449" s="98"/>
      <c r="DW449" s="98"/>
      <c r="DX449" s="98"/>
      <c r="DY449" s="98"/>
      <c r="DZ449" s="98"/>
      <c r="EA449" s="98"/>
      <c r="EB449" s="98"/>
      <c r="EC449" s="98"/>
      <c r="ED449" s="98"/>
      <c r="EE449" s="98"/>
      <c r="EF449" s="98"/>
      <c r="EG449" s="98"/>
    </row>
    <row r="450" spans="1:137" hidden="1" x14ac:dyDescent="0.25">
      <c r="BI450" s="102" t="s">
        <v>226</v>
      </c>
      <c r="BJ450" s="178" t="s">
        <v>615</v>
      </c>
      <c r="BK450" s="178">
        <v>1871.6690000000001</v>
      </c>
      <c r="BL450" s="178" t="s">
        <v>641</v>
      </c>
      <c r="BM450" s="169">
        <v>3.7299999999999998E-3</v>
      </c>
      <c r="BN450" s="169">
        <v>3.7299999999999998E-3</v>
      </c>
      <c r="BO450" s="169" t="s">
        <v>241</v>
      </c>
      <c r="BP450" s="263">
        <v>1</v>
      </c>
      <c r="CO450" s="218">
        <f t="shared" si="138"/>
        <v>3.7299999999999998E-3</v>
      </c>
      <c r="CP450" s="100">
        <f t="shared" si="139"/>
        <v>3.7299999999999998E-3</v>
      </c>
      <c r="CQ450" s="218">
        <f t="shared" si="140"/>
        <v>3.7299999999999998E-3</v>
      </c>
      <c r="CR450" s="98"/>
      <c r="CS450" s="98"/>
      <c r="CT450" s="98"/>
      <c r="CU450" s="98"/>
      <c r="CV450" s="98"/>
      <c r="CW450" s="98"/>
      <c r="CX450" s="98"/>
      <c r="CY450" s="98"/>
      <c r="CZ450" s="98"/>
      <c r="DA450" s="98"/>
      <c r="DB450" s="98"/>
      <c r="DC450" s="98"/>
      <c r="DD450" s="98"/>
      <c r="DE450" s="98"/>
      <c r="DF450" s="98"/>
      <c r="DG450" s="98"/>
      <c r="DH450" s="98"/>
      <c r="DI450" s="98"/>
      <c r="DJ450" s="98"/>
      <c r="DK450" s="98"/>
      <c r="DL450" s="98"/>
      <c r="DM450" s="98"/>
      <c r="DN450" s="98"/>
      <c r="DO450" s="98"/>
      <c r="DP450" s="98"/>
      <c r="DQ450" s="98"/>
      <c r="DR450" s="98"/>
      <c r="DS450" s="98"/>
      <c r="DT450" s="98"/>
      <c r="DU450" s="98"/>
      <c r="DV450" s="98"/>
      <c r="DW450" s="98"/>
      <c r="DX450" s="98"/>
      <c r="DY450" s="98"/>
      <c r="DZ450" s="98"/>
      <c r="EA450" s="98"/>
      <c r="EB450" s="98"/>
      <c r="EC450" s="98"/>
      <c r="ED450" s="98"/>
      <c r="EE450" s="98"/>
      <c r="EF450" s="98"/>
      <c r="EG450" s="98"/>
    </row>
    <row r="451" spans="1:137" hidden="1" x14ac:dyDescent="0.25">
      <c r="BI451" s="102" t="s">
        <v>3</v>
      </c>
      <c r="BJ451" s="178" t="s">
        <v>615</v>
      </c>
      <c r="BK451" s="178">
        <v>1521.3389999999999</v>
      </c>
      <c r="BL451" s="178" t="s">
        <v>641</v>
      </c>
      <c r="BM451" s="169">
        <v>4.4099999999999999E-3</v>
      </c>
      <c r="BN451" s="169">
        <v>4.4099999999999999E-3</v>
      </c>
      <c r="BO451" s="169" t="s">
        <v>241</v>
      </c>
      <c r="BP451" s="263">
        <v>1</v>
      </c>
      <c r="CR451" s="98"/>
      <c r="CS451" s="98"/>
      <c r="CT451" s="98"/>
      <c r="CU451" s="98"/>
      <c r="CV451" s="98"/>
      <c r="CW451" s="98"/>
      <c r="CX451" s="98"/>
      <c r="CY451" s="98"/>
      <c r="CZ451" s="98"/>
      <c r="DA451" s="98"/>
      <c r="DB451" s="98"/>
      <c r="DC451" s="98"/>
      <c r="DD451" s="98"/>
      <c r="DE451" s="98"/>
      <c r="DF451" s="98"/>
      <c r="DG451" s="98"/>
      <c r="DH451" s="98"/>
      <c r="DI451" s="98"/>
      <c r="DJ451" s="98"/>
      <c r="DK451" s="98"/>
      <c r="DL451" s="98"/>
      <c r="DM451" s="98"/>
      <c r="DN451" s="98"/>
      <c r="DO451" s="98"/>
      <c r="DP451" s="98"/>
      <c r="DQ451" s="98"/>
      <c r="DR451" s="98"/>
      <c r="DS451" s="98"/>
      <c r="DT451" s="98"/>
      <c r="DU451" s="98"/>
      <c r="DV451" s="98"/>
      <c r="DW451" s="98"/>
      <c r="DX451" s="98"/>
      <c r="DY451" s="98"/>
      <c r="DZ451" s="98"/>
      <c r="EA451" s="98"/>
      <c r="EB451" s="98"/>
      <c r="EC451" s="98"/>
      <c r="ED451" s="98"/>
      <c r="EE451" s="98"/>
      <c r="EF451" s="98"/>
      <c r="EG451" s="98"/>
    </row>
    <row r="452" spans="1:137" hidden="1" x14ac:dyDescent="0.25">
      <c r="BI452" s="102" t="s">
        <v>227</v>
      </c>
      <c r="BJ452" s="178" t="s">
        <v>615</v>
      </c>
      <c r="BK452" s="178">
        <v>1958.4190000000001</v>
      </c>
      <c r="BL452" s="178" t="s">
        <v>641</v>
      </c>
      <c r="BM452" s="169">
        <v>3.6800000000000001E-3</v>
      </c>
      <c r="BN452" s="169">
        <v>3.6800000000000001E-3</v>
      </c>
      <c r="BO452" s="169" t="s">
        <v>241</v>
      </c>
      <c r="BP452" s="263">
        <v>1</v>
      </c>
      <c r="CR452" s="98"/>
      <c r="CS452" s="98"/>
      <c r="CT452" s="98"/>
      <c r="CU452" s="98"/>
      <c r="CV452" s="98"/>
      <c r="CW452" s="98"/>
      <c r="CX452" s="98"/>
      <c r="CY452" s="98"/>
      <c r="CZ452" s="98"/>
      <c r="DA452" s="98"/>
      <c r="DB452" s="98"/>
      <c r="DC452" s="98"/>
      <c r="DD452" s="98"/>
      <c r="DE452" s="98"/>
      <c r="DF452" s="98"/>
      <c r="DG452" s="98"/>
      <c r="DH452" s="98"/>
      <c r="DI452" s="98"/>
      <c r="DJ452" s="98"/>
      <c r="DK452" s="98"/>
      <c r="DL452" s="98"/>
      <c r="DM452" s="98"/>
      <c r="DN452" s="98"/>
      <c r="DO452" s="98"/>
      <c r="DP452" s="98"/>
      <c r="DQ452" s="98"/>
      <c r="DR452" s="98"/>
      <c r="DS452" s="98"/>
      <c r="DT452" s="98"/>
      <c r="DU452" s="98"/>
      <c r="DV452" s="98"/>
      <c r="DW452" s="98"/>
      <c r="DX452" s="98"/>
      <c r="DY452" s="98"/>
      <c r="DZ452" s="98"/>
      <c r="EA452" s="98"/>
      <c r="EB452" s="98"/>
      <c r="EC452" s="98"/>
      <c r="ED452" s="98"/>
      <c r="EE452" s="98"/>
      <c r="EF452" s="98"/>
      <c r="EG452" s="98"/>
    </row>
    <row r="453" spans="1:137" hidden="1" x14ac:dyDescent="0.25">
      <c r="BI453" s="102" t="s">
        <v>228</v>
      </c>
      <c r="BJ453" s="178" t="s">
        <v>615</v>
      </c>
      <c r="BK453" s="178">
        <v>1953.38</v>
      </c>
      <c r="BL453" s="178" t="s">
        <v>641</v>
      </c>
      <c r="BM453" s="169">
        <v>3.5899999999999999E-3</v>
      </c>
      <c r="BN453" s="169">
        <v>3.5899999999999999E-3</v>
      </c>
      <c r="BO453" s="169" t="s">
        <v>241</v>
      </c>
      <c r="BP453" s="263">
        <v>1</v>
      </c>
      <c r="CR453" s="98"/>
      <c r="CS453" s="98"/>
      <c r="CT453" s="98"/>
      <c r="CU453" s="98"/>
      <c r="CV453" s="98"/>
      <c r="CW453" s="98"/>
      <c r="CX453" s="98"/>
      <c r="CY453" s="98"/>
      <c r="CZ453" s="98"/>
      <c r="DA453" s="98"/>
      <c r="DB453" s="98"/>
      <c r="DC453" s="98"/>
      <c r="DD453" s="98"/>
      <c r="DE453" s="98"/>
      <c r="DF453" s="98"/>
      <c r="DG453" s="98"/>
      <c r="DH453" s="98"/>
      <c r="DI453" s="98"/>
      <c r="DJ453" s="98"/>
      <c r="DK453" s="98"/>
      <c r="DL453" s="98"/>
      <c r="DM453" s="98"/>
      <c r="DN453" s="98"/>
      <c r="DO453" s="98"/>
      <c r="DP453" s="98"/>
      <c r="DQ453" s="98"/>
      <c r="DR453" s="98"/>
      <c r="DS453" s="98"/>
      <c r="DT453" s="98"/>
      <c r="DU453" s="98"/>
      <c r="DV453" s="98"/>
      <c r="DW453" s="98"/>
      <c r="DX453" s="98"/>
      <c r="DY453" s="98"/>
      <c r="DZ453" s="98"/>
      <c r="EA453" s="98"/>
      <c r="EB453" s="98"/>
      <c r="EC453" s="98"/>
      <c r="ED453" s="98"/>
      <c r="EE453" s="98"/>
      <c r="EF453" s="98"/>
      <c r="EG453" s="98"/>
    </row>
    <row r="454" spans="1:137" hidden="1" x14ac:dyDescent="0.25">
      <c r="BI454" s="102" t="s">
        <v>229</v>
      </c>
      <c r="BJ454" s="178" t="s">
        <v>615</v>
      </c>
      <c r="BK454" s="178">
        <v>2005.412</v>
      </c>
      <c r="BL454" s="178" t="s">
        <v>641</v>
      </c>
      <c r="BM454" s="169">
        <v>3.4999999999999996E-3</v>
      </c>
      <c r="BN454" s="169">
        <v>3.4999999999999996E-3</v>
      </c>
      <c r="BO454" s="169" t="s">
        <v>241</v>
      </c>
      <c r="BP454" s="263">
        <v>1</v>
      </c>
      <c r="CR454" s="98"/>
      <c r="CS454" s="98"/>
      <c r="CT454" s="98"/>
      <c r="CU454" s="98"/>
      <c r="CV454" s="98"/>
      <c r="CW454" s="98"/>
      <c r="CX454" s="98"/>
      <c r="CY454" s="98"/>
      <c r="CZ454" s="98"/>
      <c r="DA454" s="98"/>
      <c r="DB454" s="98"/>
      <c r="DC454" s="98"/>
      <c r="DD454" s="98"/>
      <c r="DE454" s="98"/>
      <c r="DF454" s="98"/>
      <c r="DG454" s="98"/>
      <c r="DH454" s="98"/>
      <c r="DI454" s="98"/>
      <c r="DJ454" s="98"/>
      <c r="DK454" s="98"/>
      <c r="DL454" s="98"/>
      <c r="DM454" s="98"/>
      <c r="DN454" s="98"/>
      <c r="DO454" s="98"/>
      <c r="DP454" s="98"/>
      <c r="DQ454" s="98"/>
      <c r="DR454" s="98"/>
      <c r="DS454" s="98"/>
      <c r="DT454" s="98"/>
      <c r="DU454" s="98"/>
      <c r="DV454" s="98"/>
      <c r="DW454" s="98"/>
      <c r="DX454" s="98"/>
      <c r="DY454" s="98"/>
      <c r="DZ454" s="98"/>
      <c r="EA454" s="98"/>
      <c r="EB454" s="98"/>
      <c r="EC454" s="98"/>
      <c r="ED454" s="98"/>
      <c r="EE454" s="98"/>
      <c r="EF454" s="98"/>
      <c r="EG454" s="98"/>
    </row>
    <row r="455" spans="1:137" hidden="1" x14ac:dyDescent="0.25">
      <c r="BI455" s="102" t="s">
        <v>230</v>
      </c>
      <c r="BJ455" s="178" t="s">
        <v>615</v>
      </c>
      <c r="BK455" s="178">
        <v>1942.7539999999999</v>
      </c>
      <c r="BL455" s="178" t="s">
        <v>641</v>
      </c>
      <c r="BM455" s="169">
        <v>3.5899999999999999E-3</v>
      </c>
      <c r="BN455" s="169">
        <v>3.5899999999999999E-3</v>
      </c>
      <c r="BO455" s="169" t="s">
        <v>241</v>
      </c>
      <c r="BP455" s="263">
        <v>1</v>
      </c>
      <c r="CR455" s="98"/>
      <c r="CS455" s="98"/>
      <c r="CT455" s="98"/>
      <c r="CU455" s="98"/>
      <c r="CV455" s="98"/>
      <c r="CW455" s="98"/>
      <c r="CX455" s="98"/>
      <c r="CY455" s="98"/>
      <c r="CZ455" s="98"/>
      <c r="DA455" s="98"/>
      <c r="DB455" s="98"/>
      <c r="DC455" s="98"/>
      <c r="DD455" s="98"/>
      <c r="DE455" s="98"/>
      <c r="DF455" s="98"/>
      <c r="DG455" s="98"/>
      <c r="DH455" s="98"/>
      <c r="DI455" s="98"/>
      <c r="DJ455" s="98"/>
      <c r="DK455" s="98"/>
      <c r="DL455" s="98"/>
      <c r="DM455" s="98"/>
      <c r="DN455" s="98"/>
      <c r="DO455" s="98"/>
      <c r="DP455" s="98"/>
      <c r="DQ455" s="98"/>
      <c r="DR455" s="98"/>
      <c r="DS455" s="98"/>
      <c r="DT455" s="98"/>
      <c r="DU455" s="98"/>
      <c r="DV455" s="98"/>
      <c r="DW455" s="98"/>
      <c r="DX455" s="98"/>
      <c r="DY455" s="98"/>
      <c r="DZ455" s="98"/>
      <c r="EA455" s="98"/>
      <c r="EB455" s="98"/>
      <c r="EC455" s="98"/>
      <c r="ED455" s="98"/>
      <c r="EE455" s="98"/>
      <c r="EF455" s="98"/>
      <c r="EG455" s="98"/>
    </row>
    <row r="456" spans="1:137" hidden="1" x14ac:dyDescent="0.25">
      <c r="BI456" s="102" t="s">
        <v>231</v>
      </c>
      <c r="BJ456" s="178" t="s">
        <v>615</v>
      </c>
      <c r="BK456" s="178">
        <v>1932.1279999999999</v>
      </c>
      <c r="BL456" s="178" t="s">
        <v>641</v>
      </c>
      <c r="BM456" s="169">
        <v>3.6099999999999999E-3</v>
      </c>
      <c r="BN456" s="169">
        <v>3.6099999999999999E-3</v>
      </c>
      <c r="BO456" s="169" t="s">
        <v>241</v>
      </c>
      <c r="BP456" s="263">
        <v>1</v>
      </c>
      <c r="CR456" s="98"/>
      <c r="CS456" s="98"/>
      <c r="CT456" s="98"/>
      <c r="CU456" s="98"/>
      <c r="CV456" s="98"/>
      <c r="CW456" s="98"/>
      <c r="CX456" s="98"/>
      <c r="CY456" s="98"/>
      <c r="CZ456" s="98"/>
      <c r="DA456" s="98"/>
      <c r="DB456" s="98"/>
      <c r="DC456" s="98"/>
      <c r="DD456" s="98"/>
      <c r="DE456" s="98"/>
      <c r="DF456" s="98"/>
      <c r="DG456" s="98"/>
      <c r="DH456" s="98"/>
      <c r="DI456" s="98"/>
      <c r="DJ456" s="98"/>
      <c r="DK456" s="98"/>
      <c r="DL456" s="98"/>
      <c r="DM456" s="98"/>
      <c r="DN456" s="98"/>
      <c r="DO456" s="98"/>
      <c r="DP456" s="98"/>
      <c r="DQ456" s="98"/>
      <c r="DR456" s="98"/>
      <c r="DS456" s="98"/>
      <c r="DT456" s="98"/>
      <c r="DU456" s="98"/>
      <c r="DV456" s="98"/>
      <c r="DW456" s="98"/>
      <c r="DX456" s="98"/>
      <c r="DY456" s="98"/>
      <c r="DZ456" s="98"/>
      <c r="EA456" s="98"/>
      <c r="EB456" s="98"/>
      <c r="EC456" s="98"/>
      <c r="ED456" s="98"/>
      <c r="EE456" s="98"/>
      <c r="EF456" s="98"/>
      <c r="EG456" s="98"/>
    </row>
    <row r="457" spans="1:137" hidden="1" x14ac:dyDescent="0.25">
      <c r="A457" s="98"/>
      <c r="V457" s="98"/>
      <c r="AA457" s="98"/>
      <c r="AB457" s="98"/>
      <c r="AD457" s="98"/>
      <c r="AE457" s="98"/>
      <c r="AH457" s="98"/>
      <c r="AI457" s="98"/>
      <c r="AK457" s="98"/>
      <c r="AR457" s="98"/>
      <c r="AV457" s="98"/>
      <c r="AX457" s="98"/>
      <c r="BB457" s="98"/>
      <c r="BC457" s="98"/>
      <c r="BE457" s="98"/>
      <c r="BH457" s="98"/>
      <c r="BI457" s="102" t="s">
        <v>602</v>
      </c>
      <c r="BJ457" s="178" t="s">
        <v>49</v>
      </c>
      <c r="BK457" s="178">
        <v>1.521339</v>
      </c>
      <c r="BL457" s="178" t="s">
        <v>259</v>
      </c>
      <c r="BM457" s="169">
        <v>4.4099999999999999E-3</v>
      </c>
      <c r="BN457" s="169">
        <v>4.4099999999999999E-3</v>
      </c>
      <c r="BO457" s="169" t="s">
        <v>241</v>
      </c>
      <c r="BP457" s="263">
        <v>1</v>
      </c>
      <c r="BQ457" s="98"/>
      <c r="BR457" s="98"/>
      <c r="BS457" s="98"/>
      <c r="BT457" s="98"/>
      <c r="BU457" s="98"/>
      <c r="BV457" s="98"/>
      <c r="BW457" s="98"/>
      <c r="BX457" s="98"/>
      <c r="BY457" s="98"/>
      <c r="BZ457" s="98"/>
      <c r="CA457" s="98"/>
      <c r="CB457" s="98"/>
      <c r="CC457" s="98"/>
      <c r="CD457" s="98"/>
      <c r="CE457" s="98"/>
      <c r="CF457" s="98"/>
      <c r="CG457" s="98"/>
      <c r="CH457" s="98"/>
      <c r="CI457" s="98"/>
      <c r="CJ457" s="98"/>
      <c r="CK457" s="98"/>
      <c r="CL457" s="98"/>
      <c r="CM457" s="98"/>
      <c r="CN457" s="98"/>
      <c r="CR457" s="98"/>
      <c r="CS457" s="98"/>
      <c r="CT457" s="98"/>
      <c r="CU457" s="98"/>
      <c r="CV457" s="98"/>
      <c r="CW457" s="98"/>
      <c r="CX457" s="98"/>
      <c r="CY457" s="98"/>
      <c r="CZ457" s="98"/>
      <c r="DA457" s="98"/>
      <c r="DB457" s="98"/>
      <c r="DC457" s="98"/>
      <c r="DD457" s="98"/>
      <c r="DE457" s="98"/>
      <c r="DF457" s="98"/>
      <c r="DG457" s="98"/>
      <c r="DH457" s="98"/>
      <c r="DI457" s="98"/>
      <c r="DJ457" s="98"/>
      <c r="DK457" s="98"/>
      <c r="DL457" s="98"/>
      <c r="DM457" s="98"/>
      <c r="DN457" s="98"/>
      <c r="DO457" s="98"/>
      <c r="DP457" s="98"/>
      <c r="DQ457" s="98"/>
      <c r="DR457" s="98"/>
      <c r="DS457" s="98"/>
      <c r="DT457" s="98"/>
      <c r="DU457" s="98"/>
      <c r="DV457" s="98"/>
      <c r="DW457" s="98"/>
      <c r="DX457" s="98"/>
      <c r="DY457" s="98"/>
      <c r="DZ457" s="98"/>
      <c r="EA457" s="98"/>
      <c r="EB457" s="98"/>
      <c r="EC457" s="98"/>
      <c r="ED457" s="98"/>
      <c r="EE457" s="98"/>
      <c r="EF457" s="98"/>
      <c r="EG457" s="98"/>
    </row>
    <row r="458" spans="1:137" hidden="1" x14ac:dyDescent="0.25">
      <c r="A458" s="98"/>
      <c r="V458" s="98"/>
      <c r="AA458" s="98"/>
      <c r="AB458" s="98"/>
      <c r="AD458" s="98"/>
      <c r="AE458" s="98"/>
      <c r="AH458" s="98"/>
      <c r="AI458" s="98"/>
      <c r="AK458" s="98"/>
      <c r="AR458" s="98"/>
      <c r="AV458" s="98"/>
      <c r="AX458" s="98"/>
      <c r="BB458" s="98"/>
      <c r="BC458" s="98"/>
      <c r="BE458" s="98"/>
      <c r="BH458" s="98"/>
      <c r="BI458" s="102" t="s">
        <v>603</v>
      </c>
      <c r="BJ458" s="178" t="s">
        <v>49</v>
      </c>
      <c r="BK458" s="178">
        <v>1.521339</v>
      </c>
      <c r="BL458" s="178" t="s">
        <v>259</v>
      </c>
      <c r="BM458" s="169">
        <v>4.4099999999999999E-3</v>
      </c>
      <c r="BN458" s="169">
        <v>4.4099999999999999E-3</v>
      </c>
      <c r="BO458" s="169" t="s">
        <v>241</v>
      </c>
      <c r="BP458" s="263">
        <v>1</v>
      </c>
      <c r="BQ458" s="98"/>
      <c r="BR458" s="98"/>
      <c r="BS458" s="98"/>
      <c r="BT458" s="98"/>
      <c r="BU458" s="98"/>
      <c r="BV458" s="98"/>
      <c r="BW458" s="98"/>
      <c r="BX458" s="98"/>
      <c r="BY458" s="98"/>
      <c r="BZ458" s="98"/>
      <c r="CA458" s="98"/>
      <c r="CB458" s="98"/>
      <c r="CC458" s="98"/>
      <c r="CD458" s="98"/>
      <c r="CE458" s="98"/>
      <c r="CF458" s="98"/>
      <c r="CG458" s="98"/>
      <c r="CH458" s="98"/>
      <c r="CI458" s="98"/>
      <c r="CJ458" s="98"/>
      <c r="CK458" s="98"/>
      <c r="CL458" s="98"/>
      <c r="CM458" s="98"/>
      <c r="CN458" s="98"/>
      <c r="CR458" s="98"/>
      <c r="CS458" s="98"/>
      <c r="CT458" s="98"/>
      <c r="CU458" s="98"/>
      <c r="CV458" s="98"/>
      <c r="CW458" s="98"/>
      <c r="CX458" s="98"/>
      <c r="CY458" s="98"/>
      <c r="CZ458" s="98"/>
      <c r="DA458" s="98"/>
      <c r="DB458" s="98"/>
      <c r="DC458" s="98"/>
      <c r="DD458" s="98"/>
      <c r="DE458" s="98"/>
      <c r="DF458" s="98"/>
      <c r="DG458" s="98"/>
      <c r="DH458" s="98"/>
      <c r="DI458" s="98"/>
      <c r="DJ458" s="98"/>
      <c r="DK458" s="98"/>
      <c r="DL458" s="98"/>
      <c r="DM458" s="98"/>
      <c r="DN458" s="98"/>
      <c r="DO458" s="98"/>
      <c r="DP458" s="98"/>
      <c r="DQ458" s="98"/>
      <c r="DR458" s="98"/>
      <c r="DS458" s="98"/>
      <c r="DT458" s="98"/>
      <c r="DU458" s="98"/>
      <c r="DV458" s="98"/>
      <c r="DW458" s="98"/>
      <c r="DX458" s="98"/>
      <c r="DY458" s="98"/>
      <c r="DZ458" s="98"/>
      <c r="EA458" s="98"/>
      <c r="EB458" s="98"/>
      <c r="EC458" s="98"/>
      <c r="ED458" s="98"/>
      <c r="EE458" s="98"/>
      <c r="EF458" s="98"/>
      <c r="EG458" s="98"/>
    </row>
    <row r="459" spans="1:137" hidden="1" x14ac:dyDescent="0.25">
      <c r="A459" s="98"/>
      <c r="V459" s="98"/>
      <c r="AA459" s="98"/>
      <c r="AB459" s="98"/>
      <c r="AD459" s="98"/>
      <c r="AE459" s="98"/>
      <c r="AH459" s="98"/>
      <c r="AI459" s="98"/>
      <c r="AK459" s="98"/>
      <c r="AR459" s="98"/>
      <c r="AV459" s="98"/>
      <c r="AX459" s="98"/>
      <c r="BB459" s="98"/>
      <c r="BC459" s="98"/>
      <c r="BE459" s="98"/>
      <c r="BH459" s="98"/>
      <c r="BI459" s="102">
        <v>0</v>
      </c>
      <c r="BJ459" s="178">
        <v>0</v>
      </c>
      <c r="BK459" s="178">
        <v>0</v>
      </c>
      <c r="BL459" s="178">
        <v>0</v>
      </c>
      <c r="BM459" s="169">
        <v>0</v>
      </c>
      <c r="BN459" s="169">
        <v>0</v>
      </c>
      <c r="BO459" s="169">
        <v>0</v>
      </c>
      <c r="BQ459" s="98"/>
      <c r="BR459" s="98"/>
      <c r="BS459" s="98"/>
      <c r="BT459" s="98"/>
      <c r="BU459" s="98"/>
      <c r="BV459" s="98"/>
      <c r="BW459" s="98"/>
      <c r="BX459" s="98"/>
      <c r="BY459" s="98"/>
      <c r="BZ459" s="98"/>
      <c r="CA459" s="98"/>
      <c r="CB459" s="98"/>
      <c r="CC459" s="98"/>
      <c r="CD459" s="98"/>
      <c r="CE459" s="98"/>
      <c r="CF459" s="98"/>
      <c r="CG459" s="98"/>
      <c r="CH459" s="98"/>
      <c r="CI459" s="98"/>
      <c r="CJ459" s="98"/>
      <c r="CK459" s="98"/>
      <c r="CL459" s="98"/>
      <c r="CM459" s="98"/>
      <c r="CN459" s="98"/>
      <c r="CR459" s="98"/>
      <c r="CS459" s="98"/>
      <c r="CT459" s="98"/>
      <c r="CU459" s="98"/>
      <c r="CV459" s="98"/>
      <c r="CW459" s="98"/>
      <c r="CX459" s="98"/>
      <c r="CY459" s="98"/>
      <c r="CZ459" s="98"/>
      <c r="DA459" s="98"/>
      <c r="DB459" s="98"/>
      <c r="DC459" s="98"/>
      <c r="DD459" s="98"/>
      <c r="DE459" s="98"/>
      <c r="DF459" s="98"/>
      <c r="DG459" s="98"/>
      <c r="DH459" s="98"/>
      <c r="DI459" s="98"/>
      <c r="DJ459" s="98"/>
      <c r="DK459" s="98"/>
      <c r="DL459" s="98"/>
      <c r="DM459" s="98"/>
      <c r="DN459" s="98"/>
      <c r="DO459" s="98"/>
      <c r="DP459" s="98"/>
      <c r="DQ459" s="98"/>
      <c r="DR459" s="98"/>
      <c r="DS459" s="98"/>
      <c r="DT459" s="98"/>
      <c r="DU459" s="98"/>
      <c r="DV459" s="98"/>
      <c r="DW459" s="98"/>
      <c r="DX459" s="98"/>
      <c r="DY459" s="98"/>
      <c r="DZ459" s="98"/>
      <c r="EA459" s="98"/>
      <c r="EB459" s="98"/>
      <c r="EC459" s="98"/>
      <c r="ED459" s="98"/>
      <c r="EE459" s="98"/>
      <c r="EF459" s="98"/>
      <c r="EG459" s="98"/>
    </row>
    <row r="460" spans="1:137" hidden="1" x14ac:dyDescent="0.25">
      <c r="A460" s="98"/>
      <c r="V460" s="98"/>
      <c r="AA460" s="98"/>
      <c r="AB460" s="98"/>
      <c r="AD460" s="98"/>
      <c r="AE460" s="98"/>
      <c r="AH460" s="98"/>
      <c r="AI460" s="98"/>
      <c r="AK460" s="98"/>
      <c r="AR460" s="98"/>
      <c r="AV460" s="98"/>
      <c r="AX460" s="98"/>
      <c r="BB460" s="98"/>
      <c r="BC460" s="98"/>
      <c r="BE460" s="98"/>
      <c r="BH460" s="98"/>
      <c r="BQ460" s="98"/>
      <c r="BR460" s="98"/>
      <c r="BS460" s="98"/>
      <c r="BT460" s="98"/>
      <c r="BU460" s="98"/>
      <c r="BV460" s="98"/>
      <c r="BW460" s="98"/>
      <c r="BX460" s="98"/>
      <c r="BY460" s="98"/>
      <c r="BZ460" s="98"/>
      <c r="CA460" s="98"/>
      <c r="CB460" s="98"/>
      <c r="CC460" s="98"/>
      <c r="CD460" s="98"/>
      <c r="CE460" s="98"/>
      <c r="CF460" s="98"/>
      <c r="CG460" s="98"/>
      <c r="CH460" s="98"/>
      <c r="CI460" s="98"/>
      <c r="CJ460" s="98"/>
      <c r="CK460" s="98"/>
      <c r="CL460" s="98"/>
      <c r="CM460" s="98"/>
      <c r="CN460" s="98"/>
      <c r="CR460" s="98"/>
      <c r="CS460" s="98"/>
      <c r="CT460" s="98"/>
      <c r="CU460" s="98"/>
      <c r="CV460" s="98"/>
      <c r="CW460" s="98"/>
      <c r="CX460" s="98"/>
      <c r="CY460" s="98"/>
      <c r="CZ460" s="98"/>
      <c r="DA460" s="98"/>
      <c r="DB460" s="98"/>
      <c r="DC460" s="98"/>
      <c r="DD460" s="98"/>
      <c r="DE460" s="98"/>
      <c r="DF460" s="98"/>
      <c r="DG460" s="98"/>
      <c r="DH460" s="98"/>
      <c r="DI460" s="98"/>
      <c r="DJ460" s="98"/>
      <c r="DK460" s="98"/>
      <c r="DL460" s="98"/>
      <c r="DM460" s="98"/>
      <c r="DN460" s="98"/>
      <c r="DO460" s="98"/>
      <c r="DP460" s="98"/>
      <c r="DQ460" s="98"/>
      <c r="DR460" s="98"/>
      <c r="DS460" s="98"/>
      <c r="DT460" s="98"/>
      <c r="DU460" s="98"/>
      <c r="DV460" s="98"/>
      <c r="DW460" s="98"/>
      <c r="DX460" s="98"/>
      <c r="DY460" s="98"/>
      <c r="DZ460" s="98"/>
      <c r="EA460" s="98"/>
      <c r="EB460" s="98"/>
      <c r="EC460" s="98"/>
      <c r="ED460" s="98"/>
      <c r="EE460" s="98"/>
      <c r="EF460" s="98"/>
      <c r="EG460" s="98"/>
    </row>
    <row r="461" spans="1:137" ht="15" hidden="1" customHeight="1" x14ac:dyDescent="0.25">
      <c r="A461" s="98"/>
      <c r="V461" s="98"/>
      <c r="AA461" s="98"/>
      <c r="AB461" s="98"/>
      <c r="AD461" s="98"/>
      <c r="AE461" s="98"/>
      <c r="AH461" s="98"/>
      <c r="AI461" s="98"/>
      <c r="AK461" s="98"/>
      <c r="AR461" s="98"/>
      <c r="AV461" s="98"/>
      <c r="AX461" s="98"/>
      <c r="BB461" s="98"/>
      <c r="BC461" s="98"/>
      <c r="BE461" s="98"/>
      <c r="BH461" s="98"/>
      <c r="BI461" s="102" t="s">
        <v>232</v>
      </c>
      <c r="BK461" s="178" t="s">
        <v>267</v>
      </c>
      <c r="BM461" s="169" t="s">
        <v>233</v>
      </c>
      <c r="BN461" s="169" t="s">
        <v>233</v>
      </c>
      <c r="BO461" s="169" t="s">
        <v>240</v>
      </c>
      <c r="BQ461" s="98"/>
      <c r="BR461" s="98"/>
      <c r="BS461" s="98"/>
      <c r="BT461" s="98"/>
      <c r="BU461" s="98"/>
      <c r="BV461" s="98"/>
      <c r="BW461" s="98"/>
      <c r="BX461" s="98"/>
      <c r="BY461" s="98"/>
      <c r="BZ461" s="98"/>
      <c r="CA461" s="98"/>
      <c r="CB461" s="98"/>
      <c r="CC461" s="98"/>
      <c r="CD461" s="98"/>
      <c r="CE461" s="98"/>
      <c r="CF461" s="98"/>
      <c r="CG461" s="98"/>
      <c r="CH461" s="98"/>
      <c r="CI461" s="98"/>
      <c r="CJ461" s="98"/>
      <c r="CK461" s="98"/>
      <c r="CL461" s="98"/>
      <c r="CM461" s="98"/>
      <c r="CN461" s="98"/>
      <c r="CR461" s="98"/>
      <c r="CS461" s="98"/>
      <c r="CT461" s="98"/>
      <c r="CU461" s="98"/>
      <c r="CV461" s="98"/>
      <c r="CW461" s="98"/>
      <c r="CX461" s="98"/>
      <c r="CY461" s="98"/>
      <c r="CZ461" s="98"/>
      <c r="DA461" s="98"/>
      <c r="DB461" s="98"/>
      <c r="DC461" s="98"/>
      <c r="DD461" s="98"/>
      <c r="DE461" s="98"/>
      <c r="DF461" s="98"/>
      <c r="DG461" s="98"/>
      <c r="DH461" s="98"/>
      <c r="DI461" s="98"/>
      <c r="DJ461" s="98"/>
      <c r="DK461" s="98"/>
      <c r="DL461" s="98"/>
      <c r="DM461" s="98"/>
      <c r="DN461" s="98"/>
      <c r="DO461" s="98"/>
      <c r="DP461" s="98"/>
      <c r="DQ461" s="98"/>
      <c r="DR461" s="98"/>
      <c r="DS461" s="98"/>
      <c r="DT461" s="98"/>
      <c r="DU461" s="98"/>
      <c r="DV461" s="98"/>
      <c r="DW461" s="98"/>
      <c r="DX461" s="98"/>
      <c r="DY461" s="98"/>
      <c r="DZ461" s="98"/>
      <c r="EA461" s="98"/>
      <c r="EB461" s="98"/>
      <c r="EC461" s="98"/>
      <c r="ED461" s="98"/>
      <c r="EE461" s="98"/>
      <c r="EF461" s="98"/>
      <c r="EG461" s="98"/>
    </row>
    <row r="462" spans="1:137" hidden="1" x14ac:dyDescent="0.25">
      <c r="A462" s="98"/>
      <c r="V462" s="98"/>
      <c r="AA462" s="98"/>
      <c r="AB462" s="98"/>
      <c r="AD462" s="98"/>
      <c r="AE462" s="98"/>
      <c r="AH462" s="98"/>
      <c r="AI462" s="98"/>
      <c r="AK462" s="98"/>
      <c r="AR462" s="98"/>
      <c r="AV462" s="98"/>
      <c r="AX462" s="98"/>
      <c r="BB462" s="98"/>
      <c r="BC462" s="98"/>
      <c r="BE462" s="98"/>
      <c r="BH462" s="98"/>
      <c r="BJ462" s="178" t="s">
        <v>253</v>
      </c>
      <c r="BL462" s="178" t="s">
        <v>251</v>
      </c>
      <c r="BQ462" s="98"/>
      <c r="BR462" s="98"/>
      <c r="BS462" s="98"/>
      <c r="BT462" s="98"/>
      <c r="BU462" s="98"/>
      <c r="BV462" s="98"/>
      <c r="BW462" s="98"/>
      <c r="BX462" s="98"/>
      <c r="BY462" s="98"/>
      <c r="BZ462" s="98"/>
      <c r="CA462" s="98"/>
      <c r="CB462" s="98"/>
      <c r="CC462" s="98"/>
      <c r="CD462" s="98"/>
      <c r="CE462" s="98"/>
      <c r="CF462" s="98"/>
      <c r="CG462" s="98"/>
      <c r="CH462" s="98"/>
      <c r="CI462" s="98"/>
      <c r="CJ462" s="98"/>
      <c r="CK462" s="98"/>
      <c r="CL462" s="98"/>
      <c r="CM462" s="98"/>
      <c r="CN462" s="98"/>
      <c r="CR462" s="98"/>
      <c r="CS462" s="98"/>
      <c r="CT462" s="98"/>
      <c r="CU462" s="98"/>
      <c r="CV462" s="98"/>
      <c r="CW462" s="98"/>
      <c r="CX462" s="98"/>
      <c r="CY462" s="98"/>
      <c r="CZ462" s="98"/>
      <c r="DA462" s="98"/>
      <c r="DB462" s="98"/>
      <c r="DC462" s="98"/>
      <c r="DD462" s="98"/>
      <c r="DE462" s="98"/>
      <c r="DF462" s="98"/>
      <c r="DG462" s="98"/>
      <c r="DH462" s="98"/>
      <c r="DI462" s="98"/>
      <c r="DJ462" s="98"/>
      <c r="DK462" s="98"/>
      <c r="DL462" s="98"/>
      <c r="DM462" s="98"/>
      <c r="DN462" s="98"/>
      <c r="DO462" s="98"/>
      <c r="DP462" s="98"/>
      <c r="DQ462" s="98"/>
      <c r="DR462" s="98"/>
      <c r="DS462" s="98"/>
      <c r="DT462" s="98"/>
      <c r="DU462" s="98"/>
      <c r="DV462" s="98"/>
      <c r="DW462" s="98"/>
      <c r="DX462" s="98"/>
      <c r="DY462" s="98"/>
      <c r="DZ462" s="98"/>
      <c r="EA462" s="98"/>
      <c r="EB462" s="98"/>
      <c r="EC462" s="98"/>
      <c r="ED462" s="98"/>
      <c r="EE462" s="98"/>
      <c r="EF462" s="98"/>
      <c r="EG462" s="98"/>
    </row>
    <row r="463" spans="1:137" hidden="1" x14ac:dyDescent="0.25">
      <c r="A463" s="98"/>
      <c r="V463" s="98"/>
      <c r="AA463" s="98"/>
      <c r="AB463" s="98"/>
      <c r="AD463" s="98"/>
      <c r="AE463" s="98"/>
      <c r="AH463" s="98"/>
      <c r="AI463" s="98"/>
      <c r="AK463" s="98"/>
      <c r="AR463" s="98"/>
      <c r="AV463" s="98"/>
      <c r="AX463" s="98"/>
      <c r="BB463" s="98"/>
      <c r="BC463" s="98"/>
      <c r="BE463" s="98"/>
      <c r="BH463" s="98"/>
      <c r="BI463" s="102" t="s">
        <v>237</v>
      </c>
      <c r="BJ463" s="178" t="s">
        <v>252</v>
      </c>
      <c r="BK463" s="178">
        <v>6.8822999999999999</v>
      </c>
      <c r="BL463" s="178" t="s">
        <v>642</v>
      </c>
      <c r="BM463" s="169">
        <v>2.98E-3</v>
      </c>
      <c r="BN463" s="169">
        <v>2.98E-3</v>
      </c>
      <c r="BO463" s="169" t="s">
        <v>241</v>
      </c>
      <c r="BP463" s="263">
        <v>1</v>
      </c>
      <c r="BQ463" s="98"/>
      <c r="BR463" s="98"/>
      <c r="BS463" s="98"/>
      <c r="BT463" s="98"/>
      <c r="BU463" s="98"/>
      <c r="BV463" s="98"/>
      <c r="BW463" s="98"/>
      <c r="BX463" s="98"/>
      <c r="BY463" s="98"/>
      <c r="BZ463" s="98"/>
      <c r="CA463" s="98"/>
      <c r="CB463" s="98"/>
      <c r="CC463" s="98"/>
      <c r="CD463" s="98"/>
      <c r="CE463" s="98"/>
      <c r="CF463" s="98"/>
      <c r="CG463" s="98"/>
      <c r="CH463" s="98"/>
      <c r="CI463" s="98"/>
      <c r="CJ463" s="98"/>
      <c r="CK463" s="98"/>
      <c r="CL463" s="98"/>
      <c r="CM463" s="98"/>
      <c r="CN463" s="98"/>
      <c r="CR463" s="98"/>
      <c r="CS463" s="98"/>
      <c r="CT463" s="98"/>
      <c r="CU463" s="98"/>
      <c r="CV463" s="98"/>
      <c r="CW463" s="98"/>
      <c r="CX463" s="98"/>
      <c r="CY463" s="98"/>
      <c r="CZ463" s="98"/>
      <c r="DA463" s="98"/>
      <c r="DB463" s="98"/>
      <c r="DC463" s="98"/>
      <c r="DD463" s="98"/>
      <c r="DE463" s="98"/>
      <c r="DF463" s="98"/>
      <c r="DG463" s="98"/>
      <c r="DH463" s="98"/>
      <c r="DI463" s="98"/>
      <c r="DJ463" s="98"/>
      <c r="DK463" s="98"/>
      <c r="DL463" s="98"/>
      <c r="DM463" s="98"/>
      <c r="DN463" s="98"/>
      <c r="DO463" s="98"/>
      <c r="DP463" s="98"/>
      <c r="DQ463" s="98"/>
      <c r="DR463" s="98"/>
      <c r="DS463" s="98"/>
      <c r="DT463" s="98"/>
      <c r="DU463" s="98"/>
      <c r="DV463" s="98"/>
      <c r="DW463" s="98"/>
      <c r="DX463" s="98"/>
      <c r="DY463" s="98"/>
      <c r="DZ463" s="98"/>
      <c r="EA463" s="98"/>
      <c r="EB463" s="98"/>
      <c r="EC463" s="98"/>
      <c r="ED463" s="98"/>
      <c r="EE463" s="98"/>
      <c r="EF463" s="98"/>
      <c r="EG463" s="98"/>
    </row>
    <row r="464" spans="1:137" hidden="1" x14ac:dyDescent="0.25">
      <c r="A464" s="98"/>
      <c r="V464" s="98"/>
      <c r="AA464" s="98"/>
      <c r="AB464" s="98"/>
      <c r="AD464" s="98"/>
      <c r="AE464" s="98"/>
      <c r="AH464" s="98"/>
      <c r="AI464" s="98"/>
      <c r="AK464" s="98"/>
      <c r="AR464" s="98"/>
      <c r="AV464" s="98"/>
      <c r="AX464" s="98"/>
      <c r="BB464" s="98"/>
      <c r="BC464" s="98"/>
      <c r="BE464" s="98"/>
      <c r="BH464" s="98"/>
      <c r="BI464" s="102" t="s">
        <v>368</v>
      </c>
      <c r="BJ464" s="178" t="s">
        <v>252</v>
      </c>
      <c r="BK464" s="178">
        <v>5.9200999999999997</v>
      </c>
      <c r="BL464" s="178" t="s">
        <v>642</v>
      </c>
      <c r="BM464" s="169">
        <v>3.4799999999999996E-3</v>
      </c>
      <c r="BN464" s="169">
        <v>3.4799999999999996E-3</v>
      </c>
      <c r="BO464" s="169" t="s">
        <v>241</v>
      </c>
      <c r="BP464" s="263">
        <v>1</v>
      </c>
      <c r="BQ464" s="98"/>
      <c r="BR464" s="98"/>
      <c r="BS464" s="98"/>
      <c r="BT464" s="98"/>
      <c r="BU464" s="98"/>
      <c r="BV464" s="98"/>
      <c r="BW464" s="98"/>
      <c r="BX464" s="98"/>
      <c r="BY464" s="98"/>
      <c r="BZ464" s="98"/>
      <c r="CA464" s="98"/>
      <c r="CB464" s="98"/>
      <c r="CC464" s="98"/>
      <c r="CD464" s="98"/>
      <c r="CE464" s="98"/>
      <c r="CF464" s="98"/>
      <c r="CG464" s="98"/>
      <c r="CH464" s="98"/>
      <c r="CI464" s="98"/>
      <c r="CJ464" s="98"/>
      <c r="CK464" s="98"/>
      <c r="CL464" s="98"/>
      <c r="CM464" s="98"/>
      <c r="CN464" s="98"/>
      <c r="CR464" s="98"/>
      <c r="CS464" s="98"/>
      <c r="CT464" s="98"/>
      <c r="CU464" s="98"/>
      <c r="CV464" s="98"/>
      <c r="CW464" s="98"/>
      <c r="CX464" s="98"/>
      <c r="CY464" s="98"/>
      <c r="CZ464" s="98"/>
      <c r="DA464" s="98"/>
      <c r="DB464" s="98"/>
      <c r="DC464" s="98"/>
      <c r="DD464" s="98"/>
      <c r="DE464" s="98"/>
      <c r="DF464" s="98"/>
      <c r="DG464" s="98"/>
      <c r="DH464" s="98"/>
      <c r="DI464" s="98"/>
      <c r="DJ464" s="98"/>
      <c r="DK464" s="98"/>
      <c r="DL464" s="98"/>
      <c r="DM464" s="98"/>
      <c r="DN464" s="98"/>
      <c r="DO464" s="98"/>
      <c r="DP464" s="98"/>
      <c r="DQ464" s="98"/>
      <c r="DR464" s="98"/>
      <c r="DS464" s="98"/>
      <c r="DT464" s="98"/>
      <c r="DU464" s="98"/>
      <c r="DV464" s="98"/>
      <c r="DW464" s="98"/>
      <c r="DX464" s="98"/>
      <c r="DY464" s="98"/>
      <c r="DZ464" s="98"/>
      <c r="EA464" s="98"/>
      <c r="EB464" s="98"/>
      <c r="EC464" s="98"/>
      <c r="ED464" s="98"/>
      <c r="EE464" s="98"/>
      <c r="EF464" s="98"/>
      <c r="EG464" s="98"/>
    </row>
    <row r="465" spans="1:137" hidden="1" x14ac:dyDescent="0.25">
      <c r="A465" s="98"/>
      <c r="V465" s="98"/>
      <c r="AA465" s="98"/>
      <c r="AB465" s="98"/>
      <c r="AD465" s="98"/>
      <c r="AE465" s="98"/>
      <c r="AH465" s="98"/>
      <c r="AI465" s="98"/>
      <c r="AK465" s="98"/>
      <c r="AR465" s="98"/>
      <c r="AV465" s="98"/>
      <c r="AX465" s="98"/>
      <c r="BB465" s="98"/>
      <c r="BC465" s="98"/>
      <c r="BE465" s="98"/>
      <c r="BH465" s="98"/>
      <c r="BQ465" s="98"/>
      <c r="BR465" s="98"/>
      <c r="BS465" s="98"/>
      <c r="BT465" s="98"/>
      <c r="BU465" s="98"/>
      <c r="BV465" s="98"/>
      <c r="BW465" s="98"/>
      <c r="BX465" s="98"/>
      <c r="BY465" s="98"/>
      <c r="BZ465" s="98"/>
      <c r="CA465" s="98"/>
      <c r="CB465" s="98"/>
      <c r="CC465" s="98"/>
      <c r="CD465" s="98"/>
      <c r="CE465" s="98"/>
      <c r="CF465" s="98"/>
      <c r="CG465" s="98"/>
      <c r="CH465" s="98"/>
      <c r="CI465" s="98"/>
      <c r="CJ465" s="98"/>
      <c r="CK465" s="98"/>
      <c r="CL465" s="98"/>
      <c r="CM465" s="98"/>
      <c r="CN465" s="98"/>
      <c r="CR465" s="98"/>
      <c r="CS465" s="98"/>
      <c r="CT465" s="98"/>
      <c r="CU465" s="98"/>
      <c r="CV465" s="98"/>
      <c r="CW465" s="98"/>
      <c r="CX465" s="98"/>
      <c r="CY465" s="98"/>
      <c r="CZ465" s="98"/>
      <c r="DA465" s="98"/>
      <c r="DB465" s="98"/>
      <c r="DC465" s="98"/>
      <c r="DD465" s="98"/>
      <c r="DE465" s="98"/>
      <c r="DF465" s="98"/>
      <c r="DG465" s="98"/>
      <c r="DH465" s="98"/>
      <c r="DI465" s="98"/>
      <c r="DJ465" s="98"/>
      <c r="DK465" s="98"/>
      <c r="DL465" s="98"/>
      <c r="DM465" s="98"/>
      <c r="DN465" s="98"/>
      <c r="DO465" s="98"/>
      <c r="DP465" s="98"/>
      <c r="DQ465" s="98"/>
      <c r="DR465" s="98"/>
      <c r="DS465" s="98"/>
      <c r="DT465" s="98"/>
      <c r="DU465" s="98"/>
      <c r="DV465" s="98"/>
      <c r="DW465" s="98"/>
      <c r="DX465" s="98"/>
      <c r="DY465" s="98"/>
      <c r="DZ465" s="98"/>
      <c r="EA465" s="98"/>
      <c r="EB465" s="98"/>
      <c r="EC465" s="98"/>
      <c r="ED465" s="98"/>
      <c r="EE465" s="98"/>
      <c r="EF465" s="98"/>
      <c r="EG465" s="98"/>
    </row>
    <row r="466" spans="1:137" hidden="1" x14ac:dyDescent="0.25">
      <c r="A466" s="98"/>
      <c r="V466" s="98"/>
      <c r="AA466" s="98"/>
      <c r="AB466" s="98"/>
      <c r="AD466" s="98"/>
      <c r="AE466" s="98"/>
      <c r="AH466" s="98"/>
      <c r="AI466" s="98"/>
      <c r="AK466" s="98"/>
      <c r="AR466" s="98"/>
      <c r="AV466" s="98"/>
      <c r="AX466" s="98"/>
      <c r="BB466" s="98"/>
      <c r="BC466" s="98"/>
      <c r="BE466" s="98"/>
      <c r="BH466" s="98"/>
      <c r="BQ466" s="98"/>
      <c r="BR466" s="98"/>
      <c r="BS466" s="98"/>
      <c r="BT466" s="98"/>
      <c r="BU466" s="98"/>
      <c r="BV466" s="98"/>
      <c r="BW466" s="98"/>
      <c r="BX466" s="98"/>
      <c r="BY466" s="98"/>
      <c r="BZ466" s="98"/>
      <c r="CA466" s="98"/>
      <c r="CB466" s="98"/>
      <c r="CC466" s="98"/>
      <c r="CD466" s="98"/>
      <c r="CE466" s="98"/>
      <c r="CF466" s="98"/>
      <c r="CG466" s="98"/>
      <c r="CH466" s="98"/>
      <c r="CI466" s="98"/>
      <c r="CJ466" s="98"/>
      <c r="CK466" s="98"/>
      <c r="CL466" s="98"/>
      <c r="CM466" s="98"/>
      <c r="CN466" s="98"/>
      <c r="CR466" s="98"/>
      <c r="CS466" s="98"/>
      <c r="CT466" s="98"/>
      <c r="CU466" s="98"/>
      <c r="CV466" s="98"/>
      <c r="CW466" s="98"/>
      <c r="CX466" s="98"/>
      <c r="CY466" s="98"/>
      <c r="CZ466" s="98"/>
      <c r="DA466" s="98"/>
      <c r="DB466" s="98"/>
      <c r="DC466" s="98"/>
      <c r="DD466" s="98"/>
      <c r="DE466" s="98"/>
      <c r="DF466" s="98"/>
      <c r="DG466" s="98"/>
      <c r="DH466" s="98"/>
      <c r="DI466" s="98"/>
      <c r="DJ466" s="98"/>
      <c r="DK466" s="98"/>
      <c r="DL466" s="98"/>
      <c r="DM466" s="98"/>
      <c r="DN466" s="98"/>
      <c r="DO466" s="98"/>
      <c r="DP466" s="98"/>
      <c r="DQ466" s="98"/>
      <c r="DR466" s="98"/>
      <c r="DS466" s="98"/>
      <c r="DT466" s="98"/>
      <c r="DU466" s="98"/>
      <c r="DV466" s="98"/>
      <c r="DW466" s="98"/>
      <c r="DX466" s="98"/>
      <c r="DY466" s="98"/>
      <c r="DZ466" s="98"/>
      <c r="EA466" s="98"/>
      <c r="EB466" s="98"/>
      <c r="EC466" s="98"/>
      <c r="ED466" s="98"/>
      <c r="EE466" s="98"/>
      <c r="EF466" s="98"/>
      <c r="EG466" s="98"/>
    </row>
    <row r="467" spans="1:137" ht="15" hidden="1" customHeight="1" x14ac:dyDescent="0.25">
      <c r="A467" s="98"/>
      <c r="V467" s="98"/>
      <c r="AA467" s="98"/>
      <c r="AB467" s="98"/>
      <c r="AD467" s="98"/>
      <c r="AE467" s="98"/>
      <c r="AH467" s="98"/>
      <c r="AI467" s="98"/>
      <c r="AK467" s="98"/>
      <c r="AR467" s="98"/>
      <c r="AV467" s="98"/>
      <c r="AX467" s="98"/>
      <c r="BB467" s="98"/>
      <c r="BC467" s="98"/>
      <c r="BE467" s="98"/>
      <c r="BH467" s="98"/>
      <c r="BI467" s="102" t="s">
        <v>232</v>
      </c>
      <c r="BK467" s="178" t="s">
        <v>267</v>
      </c>
      <c r="BM467" s="169" t="s">
        <v>233</v>
      </c>
      <c r="BN467" s="169" t="s">
        <v>233</v>
      </c>
      <c r="BO467" s="169" t="s">
        <v>240</v>
      </c>
      <c r="BQ467" s="98"/>
      <c r="BR467" s="98"/>
      <c r="BS467" s="98"/>
      <c r="BT467" s="98"/>
      <c r="BU467" s="98"/>
      <c r="BV467" s="98"/>
      <c r="BW467" s="98"/>
      <c r="BX467" s="98"/>
      <c r="BY467" s="98"/>
      <c r="BZ467" s="98"/>
      <c r="CA467" s="98"/>
      <c r="CB467" s="98"/>
      <c r="CC467" s="98"/>
      <c r="CD467" s="98"/>
      <c r="CE467" s="98"/>
      <c r="CF467" s="98"/>
      <c r="CG467" s="98"/>
      <c r="CH467" s="98"/>
      <c r="CI467" s="98"/>
      <c r="CJ467" s="98"/>
      <c r="CK467" s="98"/>
      <c r="CL467" s="98"/>
      <c r="CM467" s="98"/>
      <c r="CN467" s="98"/>
      <c r="CR467" s="98"/>
      <c r="CS467" s="98"/>
      <c r="CT467" s="98"/>
      <c r="CU467" s="98"/>
      <c r="CV467" s="98"/>
      <c r="CW467" s="98"/>
      <c r="CX467" s="98"/>
      <c r="CY467" s="98"/>
      <c r="CZ467" s="98"/>
      <c r="DA467" s="98"/>
      <c r="DB467" s="98"/>
      <c r="DC467" s="98"/>
      <c r="DD467" s="98"/>
      <c r="DE467" s="98"/>
      <c r="DF467" s="98"/>
      <c r="DG467" s="98"/>
      <c r="DH467" s="98"/>
      <c r="DI467" s="98"/>
      <c r="DJ467" s="98"/>
      <c r="DK467" s="98"/>
      <c r="DL467" s="98"/>
      <c r="DM467" s="98"/>
      <c r="DN467" s="98"/>
      <c r="DO467" s="98"/>
      <c r="DP467" s="98"/>
      <c r="DQ467" s="98"/>
      <c r="DR467" s="98"/>
      <c r="DS467" s="98"/>
      <c r="DT467" s="98"/>
      <c r="DU467" s="98"/>
      <c r="DV467" s="98"/>
      <c r="DW467" s="98"/>
      <c r="DX467" s="98"/>
      <c r="DY467" s="98"/>
      <c r="DZ467" s="98"/>
      <c r="EA467" s="98"/>
      <c r="EB467" s="98"/>
      <c r="EC467" s="98"/>
      <c r="ED467" s="98"/>
      <c r="EE467" s="98"/>
      <c r="EF467" s="98"/>
      <c r="EG467" s="98"/>
    </row>
    <row r="468" spans="1:137" hidden="1" x14ac:dyDescent="0.25">
      <c r="A468" s="98"/>
      <c r="V468" s="98"/>
      <c r="AA468" s="98"/>
      <c r="AB468" s="98"/>
      <c r="AD468" s="98"/>
      <c r="AE468" s="98"/>
      <c r="AH468" s="98"/>
      <c r="AI468" s="98"/>
      <c r="AK468" s="98"/>
      <c r="AR468" s="98"/>
      <c r="AV468" s="98"/>
      <c r="AX468" s="98"/>
      <c r="BB468" s="98"/>
      <c r="BC468" s="98"/>
      <c r="BE468" s="98"/>
      <c r="BH468" s="98"/>
      <c r="BJ468" s="178" t="s">
        <v>253</v>
      </c>
      <c r="BL468" s="178" t="s">
        <v>251</v>
      </c>
      <c r="BQ468" s="98"/>
      <c r="BR468" s="98"/>
      <c r="BS468" s="98"/>
      <c r="BT468" s="98"/>
      <c r="BU468" s="98"/>
      <c r="BV468" s="98"/>
      <c r="BW468" s="98"/>
      <c r="BX468" s="98"/>
      <c r="BY468" s="98"/>
      <c r="BZ468" s="98"/>
      <c r="CA468" s="98"/>
      <c r="CB468" s="98"/>
      <c r="CC468" s="98"/>
      <c r="CD468" s="98"/>
      <c r="CE468" s="98"/>
      <c r="CF468" s="98"/>
      <c r="CG468" s="98"/>
      <c r="CH468" s="98"/>
      <c r="CI468" s="98"/>
      <c r="CJ468" s="98"/>
      <c r="CK468" s="98"/>
      <c r="CL468" s="98"/>
      <c r="CM468" s="98"/>
      <c r="CN468" s="98"/>
      <c r="CR468" s="98"/>
      <c r="CS468" s="98"/>
      <c r="CT468" s="98"/>
      <c r="CU468" s="98"/>
      <c r="CV468" s="98"/>
      <c r="CW468" s="98"/>
      <c r="CX468" s="98"/>
      <c r="CY468" s="98"/>
      <c r="CZ468" s="98"/>
      <c r="DA468" s="98"/>
      <c r="DB468" s="98"/>
      <c r="DC468" s="98"/>
      <c r="DD468" s="98"/>
      <c r="DE468" s="98"/>
      <c r="DF468" s="98"/>
      <c r="DG468" s="98"/>
      <c r="DH468" s="98"/>
      <c r="DI468" s="98"/>
      <c r="DJ468" s="98"/>
      <c r="DK468" s="98"/>
      <c r="DL468" s="98"/>
      <c r="DM468" s="98"/>
      <c r="DN468" s="98"/>
      <c r="DO468" s="98"/>
      <c r="DP468" s="98"/>
      <c r="DQ468" s="98"/>
      <c r="DR468" s="98"/>
      <c r="DS468" s="98"/>
      <c r="DT468" s="98"/>
      <c r="DU468" s="98"/>
      <c r="DV468" s="98"/>
      <c r="DW468" s="98"/>
      <c r="DX468" s="98"/>
      <c r="DY468" s="98"/>
      <c r="DZ468" s="98"/>
      <c r="EA468" s="98"/>
      <c r="EB468" s="98"/>
      <c r="EC468" s="98"/>
      <c r="ED468" s="98"/>
      <c r="EE468" s="98"/>
      <c r="EF468" s="98"/>
      <c r="EG468" s="98"/>
    </row>
    <row r="469" spans="1:137" hidden="1" x14ac:dyDescent="0.25">
      <c r="A469" s="98"/>
      <c r="V469" s="98"/>
      <c r="AA469" s="98"/>
      <c r="AB469" s="98"/>
      <c r="AD469" s="98"/>
      <c r="AE469" s="98"/>
      <c r="AH469" s="98"/>
      <c r="AI469" s="98"/>
      <c r="AK469" s="98"/>
      <c r="AR469" s="98"/>
      <c r="AV469" s="98"/>
      <c r="AX469" s="98"/>
      <c r="BB469" s="98"/>
      <c r="BC469" s="98"/>
      <c r="BE469" s="98"/>
      <c r="BH469" s="98"/>
      <c r="BI469" s="102" t="s">
        <v>274</v>
      </c>
      <c r="BJ469" s="178" t="s">
        <v>643</v>
      </c>
      <c r="BK469" s="178">
        <v>1.8565</v>
      </c>
      <c r="BL469" s="178" t="s">
        <v>644</v>
      </c>
      <c r="BM469" s="169">
        <v>8.8870000000000005E-2</v>
      </c>
      <c r="BN469" s="169">
        <v>8.8870000000000005E-2</v>
      </c>
      <c r="BO469" s="169" t="s">
        <v>241</v>
      </c>
      <c r="BP469" s="263">
        <v>1</v>
      </c>
      <c r="BQ469" s="98"/>
      <c r="BR469" s="98"/>
      <c r="BS469" s="98"/>
      <c r="BT469" s="98"/>
      <c r="BU469" s="98"/>
      <c r="BV469" s="98"/>
      <c r="BW469" s="98"/>
      <c r="BX469" s="98"/>
      <c r="BY469" s="98"/>
      <c r="BZ469" s="98"/>
      <c r="CA469" s="98"/>
      <c r="CB469" s="98"/>
      <c r="CC469" s="98"/>
      <c r="CD469" s="98"/>
      <c r="CE469" s="98"/>
      <c r="CF469" s="98"/>
      <c r="CG469" s="98"/>
      <c r="CH469" s="98"/>
      <c r="CI469" s="98"/>
      <c r="CJ469" s="98"/>
      <c r="CK469" s="98"/>
      <c r="CL469" s="98"/>
      <c r="CM469" s="98"/>
      <c r="CN469" s="98"/>
      <c r="CR469" s="98"/>
      <c r="CS469" s="98"/>
      <c r="CT469" s="98"/>
      <c r="CU469" s="98"/>
      <c r="CV469" s="98"/>
      <c r="CW469" s="98"/>
      <c r="CX469" s="98"/>
      <c r="CY469" s="98"/>
      <c r="CZ469" s="98"/>
      <c r="DA469" s="98"/>
      <c r="DB469" s="98"/>
      <c r="DC469" s="98"/>
      <c r="DD469" s="98"/>
      <c r="DE469" s="98"/>
      <c r="DF469" s="98"/>
      <c r="DG469" s="98"/>
      <c r="DH469" s="98"/>
      <c r="DI469" s="98"/>
      <c r="DJ469" s="98"/>
      <c r="DK469" s="98"/>
      <c r="DL469" s="98"/>
      <c r="DM469" s="98"/>
      <c r="DN469" s="98"/>
      <c r="DO469" s="98"/>
      <c r="DP469" s="98"/>
      <c r="DQ469" s="98"/>
      <c r="DR469" s="98"/>
      <c r="DS469" s="98"/>
      <c r="DT469" s="98"/>
      <c r="DU469" s="98"/>
      <c r="DV469" s="98"/>
      <c r="DW469" s="98"/>
      <c r="DX469" s="98"/>
      <c r="DY469" s="98"/>
      <c r="DZ469" s="98"/>
      <c r="EA469" s="98"/>
      <c r="EB469" s="98"/>
      <c r="EC469" s="98"/>
      <c r="ED469" s="98"/>
      <c r="EE469" s="98"/>
      <c r="EF469" s="98"/>
      <c r="EG469" s="98"/>
    </row>
    <row r="470" spans="1:137" hidden="1" x14ac:dyDescent="0.25">
      <c r="A470" s="98"/>
      <c r="V470" s="98"/>
      <c r="AA470" s="98"/>
      <c r="AB470" s="98"/>
      <c r="AD470" s="98"/>
      <c r="AE470" s="98"/>
      <c r="AH470" s="98"/>
      <c r="AI470" s="98"/>
      <c r="AK470" s="98"/>
      <c r="AR470" s="98"/>
      <c r="AV470" s="98"/>
      <c r="AX470" s="98"/>
      <c r="BB470" s="98"/>
      <c r="BC470" s="98"/>
      <c r="BE470" s="98"/>
      <c r="BH470" s="98"/>
      <c r="BQ470" s="98"/>
      <c r="BR470" s="98"/>
      <c r="BS470" s="98"/>
      <c r="BT470" s="98"/>
      <c r="BU470" s="98"/>
      <c r="BV470" s="98"/>
      <c r="BW470" s="98"/>
      <c r="BX470" s="98"/>
      <c r="BY470" s="98"/>
      <c r="BZ470" s="98"/>
      <c r="CA470" s="98"/>
      <c r="CB470" s="98"/>
      <c r="CC470" s="98"/>
      <c r="CD470" s="98"/>
      <c r="CE470" s="98"/>
      <c r="CF470" s="98"/>
      <c r="CG470" s="98"/>
      <c r="CH470" s="98"/>
      <c r="CI470" s="98"/>
      <c r="CJ470" s="98"/>
      <c r="CK470" s="98"/>
      <c r="CL470" s="98"/>
      <c r="CM470" s="98"/>
      <c r="CN470" s="98"/>
      <c r="CR470" s="98"/>
      <c r="CS470" s="98"/>
      <c r="CT470" s="98"/>
      <c r="CU470" s="98"/>
      <c r="CV470" s="98"/>
      <c r="CW470" s="98"/>
      <c r="CX470" s="98"/>
      <c r="CY470" s="98"/>
      <c r="CZ470" s="98"/>
      <c r="DA470" s="98"/>
      <c r="DB470" s="98"/>
      <c r="DC470" s="98"/>
      <c r="DD470" s="98"/>
      <c r="DE470" s="98"/>
      <c r="DF470" s="98"/>
      <c r="DG470" s="98"/>
      <c r="DH470" s="98"/>
      <c r="DI470" s="98"/>
      <c r="DJ470" s="98"/>
      <c r="DK470" s="98"/>
      <c r="DL470" s="98"/>
      <c r="DM470" s="98"/>
      <c r="DN470" s="98"/>
      <c r="DO470" s="98"/>
      <c r="DP470" s="98"/>
      <c r="DQ470" s="98"/>
      <c r="DR470" s="98"/>
      <c r="DS470" s="98"/>
      <c r="DT470" s="98"/>
      <c r="DU470" s="98"/>
      <c r="DV470" s="98"/>
      <c r="DW470" s="98"/>
      <c r="DX470" s="98"/>
      <c r="DY470" s="98"/>
      <c r="DZ470" s="98"/>
      <c r="EA470" s="98"/>
      <c r="EB470" s="98"/>
      <c r="EC470" s="98"/>
      <c r="ED470" s="98"/>
      <c r="EE470" s="98"/>
      <c r="EF470" s="98"/>
      <c r="EG470" s="98"/>
    </row>
    <row r="471" spans="1:137" hidden="1" x14ac:dyDescent="0.25">
      <c r="A471" s="98"/>
      <c r="V471" s="98"/>
      <c r="AA471" s="98"/>
      <c r="AB471" s="98"/>
      <c r="AD471" s="98"/>
      <c r="AE471" s="98"/>
      <c r="AH471" s="98"/>
      <c r="AI471" s="98"/>
      <c r="AK471" s="98"/>
      <c r="AR471" s="98"/>
      <c r="AV471" s="98"/>
      <c r="AX471" s="98"/>
      <c r="BB471" s="98"/>
      <c r="BC471" s="98"/>
      <c r="BE471" s="98"/>
      <c r="BH471" s="98"/>
      <c r="BQ471" s="98"/>
      <c r="BR471" s="98"/>
      <c r="BS471" s="98"/>
      <c r="BT471" s="98"/>
      <c r="BU471" s="98"/>
      <c r="BV471" s="98"/>
      <c r="BW471" s="98"/>
      <c r="BX471" s="98"/>
      <c r="BY471" s="98"/>
      <c r="BZ471" s="98"/>
      <c r="CA471" s="98"/>
      <c r="CB471" s="98"/>
      <c r="CC471" s="98"/>
      <c r="CD471" s="98"/>
      <c r="CE471" s="98"/>
      <c r="CF471" s="98"/>
      <c r="CG471" s="98"/>
      <c r="CH471" s="98"/>
      <c r="CI471" s="98"/>
      <c r="CJ471" s="98"/>
      <c r="CK471" s="98"/>
      <c r="CL471" s="98"/>
      <c r="CM471" s="98"/>
      <c r="CN471" s="98"/>
      <c r="CR471" s="98"/>
      <c r="CS471" s="98"/>
      <c r="CT471" s="98"/>
      <c r="CU471" s="98"/>
      <c r="CV471" s="98"/>
      <c r="CW471" s="98"/>
      <c r="CX471" s="98"/>
      <c r="CY471" s="98"/>
      <c r="CZ471" s="98"/>
      <c r="DA471" s="98"/>
      <c r="DB471" s="98"/>
      <c r="DC471" s="98"/>
      <c r="DD471" s="98"/>
      <c r="DE471" s="98"/>
      <c r="DF471" s="98"/>
      <c r="DG471" s="98"/>
      <c r="DH471" s="98"/>
      <c r="DI471" s="98"/>
      <c r="DJ471" s="98"/>
      <c r="DK471" s="98"/>
      <c r="DL471" s="98"/>
      <c r="DM471" s="98"/>
      <c r="DN471" s="98"/>
      <c r="DO471" s="98"/>
      <c r="DP471" s="98"/>
      <c r="DQ471" s="98"/>
      <c r="DR471" s="98"/>
      <c r="DS471" s="98"/>
      <c r="DT471" s="98"/>
      <c r="DU471" s="98"/>
      <c r="DV471" s="98"/>
      <c r="DW471" s="98"/>
      <c r="DX471" s="98"/>
      <c r="DY471" s="98"/>
      <c r="DZ471" s="98"/>
      <c r="EA471" s="98"/>
      <c r="EB471" s="98"/>
      <c r="EC471" s="98"/>
      <c r="ED471" s="98"/>
      <c r="EE471" s="98"/>
      <c r="EF471" s="98"/>
      <c r="EG471" s="98"/>
    </row>
  </sheetData>
  <sheetProtection password="C935" sheet="1" objects="1" scenarios="1" formatCells="0" formatColumns="0" formatRows="0" insertRows="0" deleteRows="0"/>
  <protectedRanges>
    <protectedRange algorithmName="SHA-512" hashValue="JkwGMkyN6uDZy9K3UnLYKHbONkTneyvcBkZbw832pf3/OvzPn47/tOjWWFkoHruJFqsDNzL3ZtFhUW1rxpiesQ==" saltValue="hiIEQ6ppq6xjmWFZjcvCAg==" spinCount="100000" sqref="BP105:BS106 BP90:BP104 BP122:BS123 BW105:BX106 BW122:BX123 CC105:CD106 CC122:CD123 CI105:CJ106 CI122:CJ123 BU105:BU106 BU122:BU123 BS104 BT104:BT106 BS91:BT103 BS109:BT120 BT121:BT123 BS121 CI109:CI121 CC109:CC121 BW109:BW121 BP109:BQ121" name="Rango1_10"/>
  </protectedRanges>
  <mergeCells count="160">
    <mergeCell ref="B64:AA64"/>
    <mergeCell ref="B40:AE40"/>
    <mergeCell ref="AF40:BG40"/>
    <mergeCell ref="AE52:AE53"/>
    <mergeCell ref="AF52:AF53"/>
    <mergeCell ref="D15:E15"/>
    <mergeCell ref="X15:AB15"/>
    <mergeCell ref="AE15:AI15"/>
    <mergeCell ref="AL15:AP15"/>
    <mergeCell ref="AS15:AV15"/>
    <mergeCell ref="AY15:BC15"/>
    <mergeCell ref="BF15:BF16"/>
    <mergeCell ref="BG15:BG16"/>
    <mergeCell ref="B15:B16"/>
    <mergeCell ref="C15:C16"/>
    <mergeCell ref="B54:B57"/>
    <mergeCell ref="B58:B59"/>
    <mergeCell ref="B60:B61"/>
    <mergeCell ref="B62:AA62"/>
    <mergeCell ref="B52:B53"/>
    <mergeCell ref="C52:C53"/>
    <mergeCell ref="D52:R52"/>
    <mergeCell ref="S52:W52"/>
    <mergeCell ref="X52:AD52"/>
    <mergeCell ref="BN358:BN359"/>
    <mergeCell ref="BO358:BO359"/>
    <mergeCell ref="BI393:BI394"/>
    <mergeCell ref="BK393:BK394"/>
    <mergeCell ref="BM393:BM394"/>
    <mergeCell ref="BN393:BN394"/>
    <mergeCell ref="BO393:BO394"/>
    <mergeCell ref="BI330:BI331"/>
    <mergeCell ref="BK330:BK331"/>
    <mergeCell ref="BM330:BM331"/>
    <mergeCell ref="BN330:BN331"/>
    <mergeCell ref="BO330:BO331"/>
    <mergeCell ref="BI343:BI344"/>
    <mergeCell ref="BK343:BK344"/>
    <mergeCell ref="BM343:BM344"/>
    <mergeCell ref="BN343:BN344"/>
    <mergeCell ref="BO343:BO344"/>
    <mergeCell ref="BI358:BI359"/>
    <mergeCell ref="BK358:BK359"/>
    <mergeCell ref="BM358:BM359"/>
    <mergeCell ref="BI319:BI320"/>
    <mergeCell ref="BK319:BK320"/>
    <mergeCell ref="BM319:BM320"/>
    <mergeCell ref="BN319:BN320"/>
    <mergeCell ref="BO319:BO320"/>
    <mergeCell ref="BP319:BP320"/>
    <mergeCell ref="BR319:BR320"/>
    <mergeCell ref="BS319:BS320"/>
    <mergeCell ref="BT319:BT320"/>
    <mergeCell ref="DG283:DG284"/>
    <mergeCell ref="DH283:DH284"/>
    <mergeCell ref="DI283:DI284"/>
    <mergeCell ref="DJ283:DK283"/>
    <mergeCell ref="DL283:DM283"/>
    <mergeCell ref="AI284:AM284"/>
    <mergeCell ref="BI284:BI285"/>
    <mergeCell ref="BK284:BK285"/>
    <mergeCell ref="BM284:BM285"/>
    <mergeCell ref="BN284:BN285"/>
    <mergeCell ref="BK283:BO283"/>
    <mergeCell ref="BP283:BT283"/>
    <mergeCell ref="DB283:DB284"/>
    <mergeCell ref="DC283:DD283"/>
    <mergeCell ref="DE283:DE284"/>
    <mergeCell ref="DF283:DF284"/>
    <mergeCell ref="BO284:BO285"/>
    <mergeCell ref="BP284:BP285"/>
    <mergeCell ref="BR284:BR285"/>
    <mergeCell ref="BS284:BS285"/>
    <mergeCell ref="BT284:BT285"/>
    <mergeCell ref="BN262:BN263"/>
    <mergeCell ref="BO262:BO263"/>
    <mergeCell ref="BQ188:BQ189"/>
    <mergeCell ref="BS188:BS189"/>
    <mergeCell ref="BT188:BT189"/>
    <mergeCell ref="BU188:BU189"/>
    <mergeCell ref="BI195:BI196"/>
    <mergeCell ref="BK195:BK196"/>
    <mergeCell ref="BM195:BM196"/>
    <mergeCell ref="BN195:BN196"/>
    <mergeCell ref="BO195:BO196"/>
    <mergeCell ref="BI262:BI263"/>
    <mergeCell ref="BJ262:BJ263"/>
    <mergeCell ref="BK262:BK263"/>
    <mergeCell ref="BM262:BM263"/>
    <mergeCell ref="BN183:BN184"/>
    <mergeCell ref="BO183:BO184"/>
    <mergeCell ref="BI188:BI189"/>
    <mergeCell ref="BK188:BK189"/>
    <mergeCell ref="BM188:BM189"/>
    <mergeCell ref="BN188:BN189"/>
    <mergeCell ref="BO188:BO189"/>
    <mergeCell ref="BT171:BT172"/>
    <mergeCell ref="BU171:BU172"/>
    <mergeCell ref="BI177:BI178"/>
    <mergeCell ref="BK177:BK178"/>
    <mergeCell ref="BM177:BM178"/>
    <mergeCell ref="BN177:BN178"/>
    <mergeCell ref="BO177:BO178"/>
    <mergeCell ref="BI183:BI184"/>
    <mergeCell ref="BK183:BK184"/>
    <mergeCell ref="BM183:BM184"/>
    <mergeCell ref="BS145:BS146"/>
    <mergeCell ref="BT145:BT146"/>
    <mergeCell ref="BU145:BU146"/>
    <mergeCell ref="BI171:BI172"/>
    <mergeCell ref="BK171:BK172"/>
    <mergeCell ref="BM171:BM172"/>
    <mergeCell ref="BN171:BN172"/>
    <mergeCell ref="BO171:BO172"/>
    <mergeCell ref="BQ171:BQ172"/>
    <mergeCell ref="BS171:BS172"/>
    <mergeCell ref="BI145:BI146"/>
    <mergeCell ref="BK145:BK146"/>
    <mergeCell ref="BM145:BM146"/>
    <mergeCell ref="BN145:BN146"/>
    <mergeCell ref="BO145:BO146"/>
    <mergeCell ref="BQ145:BQ146"/>
    <mergeCell ref="CB107:CM107"/>
    <mergeCell ref="BI124:BI125"/>
    <mergeCell ref="BK124:BK125"/>
    <mergeCell ref="BM124:BM125"/>
    <mergeCell ref="BN124:BN125"/>
    <mergeCell ref="BO124:BO125"/>
    <mergeCell ref="BP124:CA124"/>
    <mergeCell ref="CB124:CM124"/>
    <mergeCell ref="BN78:BN79"/>
    <mergeCell ref="BO78:BO79"/>
    <mergeCell ref="BP78:CA78"/>
    <mergeCell ref="CB78:CM78"/>
    <mergeCell ref="BI107:BI108"/>
    <mergeCell ref="BK107:BK108"/>
    <mergeCell ref="BM107:BM108"/>
    <mergeCell ref="BN107:BN108"/>
    <mergeCell ref="BO107:BO108"/>
    <mergeCell ref="BP107:CA107"/>
    <mergeCell ref="BK78:BK79"/>
    <mergeCell ref="BM78:BM79"/>
    <mergeCell ref="B2:AL3"/>
    <mergeCell ref="B44:E44"/>
    <mergeCell ref="C8:K8"/>
    <mergeCell ref="Y8:AL8"/>
    <mergeCell ref="C9:K9"/>
    <mergeCell ref="Y9:AL9"/>
    <mergeCell ref="C10:K10"/>
    <mergeCell ref="Y10:AL10"/>
    <mergeCell ref="C6:K6"/>
    <mergeCell ref="Y6:AL6"/>
    <mergeCell ref="C7:K7"/>
    <mergeCell ref="Y7:AL7"/>
    <mergeCell ref="B5:AE5"/>
    <mergeCell ref="AF5:AL5"/>
    <mergeCell ref="B12:AE12"/>
    <mergeCell ref="AF12:BG12"/>
    <mergeCell ref="B14:AE14"/>
    <mergeCell ref="AF14:BG14"/>
  </mergeCells>
  <dataValidations count="8">
    <dataValidation type="list" allowBlank="1" showInputMessage="1" showErrorMessage="1" sqref="C60:C61">
      <formula1>$BI$469:$BI$470</formula1>
    </dataValidation>
    <dataValidation type="list" allowBlank="1" showInputMessage="1" showErrorMessage="1" sqref="C58:C59">
      <formula1>$BI$463:$BI$464</formula1>
    </dataValidation>
    <dataValidation type="list" allowBlank="1" showInputMessage="1" showErrorMessage="1" sqref="C29:C34">
      <formula1>$BI$147:$BI$168</formula1>
    </dataValidation>
    <dataValidation type="list" allowBlank="1" showInputMessage="1" showErrorMessage="1" sqref="C41">
      <formula1>$BI$345:$BI$354</formula1>
    </dataValidation>
    <dataValidation type="list" allowBlank="1" showInputMessage="1" showErrorMessage="1" sqref="C25:C27">
      <formula1>$BI$126:$BI$143</formula1>
    </dataValidation>
    <dataValidation type="list" allowBlank="1" showInputMessage="1" showErrorMessage="1" sqref="C21:C24">
      <formula1>$BI$109:$BI$121</formula1>
    </dataValidation>
    <dataValidation type="list" allowBlank="1" showInputMessage="1" showErrorMessage="1" sqref="C17:C20">
      <formula1>$BI$80:$BI$104</formula1>
    </dataValidation>
    <dataValidation type="list" allowBlank="1" showInputMessage="1" showErrorMessage="1" sqref="C54:C57">
      <formula1>$BI$444:$BI$456</formula1>
    </dataValidation>
  </dataValidations>
  <hyperlinks>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D16" location="'INSTRUCCIONES INCERTIDUMBRE'!C19" display="UNIDAD"/>
    <hyperlink ref="E16" location="'HC CORPORATIVA-INCERTIDUMBRE'!C20" display="DATO 1"/>
    <hyperlink ref="BU159" r:id="rId1"/>
    <hyperlink ref="BO165" r:id="rId2"/>
    <hyperlink ref="Q53" location="'INSTRUCCIONES INCERTIDUMBRE'!C21" display="TOTAL"/>
    <hyperlink ref="R53" location="'INSTRUCCIONES INCERTIDUMBRE'!C22" display="No. DATOS"/>
    <hyperlink ref="S53" location="'INSTRUCCIONES INCERTIDUMBRE'!C23" display="PROMEDIO"/>
    <hyperlink ref="T53" location="'INSTRUCCIONES INCERTIDUMBRE'!C24" display="DESVIACION ESTÁNDAR"/>
    <hyperlink ref="U53" location="'INSTRUCCIONES INCERTIDUMBRE'!C25" display="FACTOR T"/>
    <hyperlink ref="W53" location="'INSTRUCCIONES INCERTIDUMBRE'!C26" display="INCERTIDUMBRE"/>
    <hyperlink ref="D53" location="'INSTRUCCIONES INCERTIDUMBRE'!C19" display="UNIDAD"/>
    <hyperlink ref="E53" location="'HC CORPORATIVA-INCERTIDUMBRE'!C20" display="DATO 1"/>
    <hyperlink ref="AE52:AE53" location="'INSTRUCCIONES INCERTIDUMBRE'!C32" display="'INSTRUCCIONES INCERTIDUMBRE'!C32"/>
    <hyperlink ref="AF52:AF53" location="'INSTRUCCIONES INCERTIDUMBRE'!C34" display="INCERTIDUMBRE DE LA FUENTE"/>
  </hyperlinks>
  <pageMargins left="0.7" right="0.7" top="0.75" bottom="0.75" header="0.3" footer="0.3"/>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2:EG494"/>
  <sheetViews>
    <sheetView zoomScale="80" zoomScaleNormal="80" workbookViewId="0">
      <selection activeCell="C18" sqref="C18"/>
    </sheetView>
  </sheetViews>
  <sheetFormatPr baseColWidth="10" defaultColWidth="11.42578125" defaultRowHeight="15" x14ac:dyDescent="0.25"/>
  <cols>
    <col min="1" max="1" width="5.5703125" style="97" customWidth="1"/>
    <col min="2" max="2" width="37.85546875" style="98" customWidth="1"/>
    <col min="3" max="3" width="59.42578125" style="98" customWidth="1"/>
    <col min="4" max="4" width="16.42578125" style="98" customWidth="1"/>
    <col min="5" max="5" width="20.7109375" style="98" customWidth="1"/>
    <col min="6" max="16" width="14.42578125" style="98" hidden="1" customWidth="1"/>
    <col min="17" max="17" width="16.7109375" style="98" hidden="1" customWidth="1"/>
    <col min="18" max="18" width="10" style="98" hidden="1" customWidth="1"/>
    <col min="19" max="19" width="13.42578125" style="98" hidden="1" customWidth="1"/>
    <col min="20" max="20" width="13" style="98" hidden="1" customWidth="1"/>
    <col min="21" max="21" width="11.42578125" style="98" hidden="1" customWidth="1"/>
    <col min="22" max="22" width="16.140625" style="93" hidden="1" customWidth="1"/>
    <col min="23" max="23" width="17" style="98" hidden="1" customWidth="1"/>
    <col min="24" max="24" width="13.85546875" style="98" customWidth="1"/>
    <col min="25" max="25" width="15.7109375" style="98" customWidth="1"/>
    <col min="26" max="26" width="16.140625" style="98" hidden="1" customWidth="1"/>
    <col min="27" max="27" width="13.85546875" style="94" customWidth="1"/>
    <col min="28" max="28" width="14" style="94" customWidth="1"/>
    <col min="29" max="29" width="15.85546875" style="98" hidden="1" customWidth="1"/>
    <col min="30" max="30" width="12.85546875" style="94" hidden="1" customWidth="1"/>
    <col min="31" max="31" width="11.42578125" style="95" customWidth="1"/>
    <col min="32" max="32" width="20.5703125" style="98" customWidth="1"/>
    <col min="33" max="33" width="17.140625" style="98" hidden="1" customWidth="1"/>
    <col min="34" max="35" width="12.85546875" style="96" customWidth="1"/>
    <col min="36" max="36" width="16.7109375" style="98" hidden="1" customWidth="1"/>
    <col min="37" max="37" width="12.85546875" style="94" hidden="1" customWidth="1"/>
    <col min="38" max="38" width="11.42578125" style="98" customWidth="1"/>
    <col min="39" max="39" width="20.5703125" style="98" customWidth="1"/>
    <col min="40" max="40" width="17" style="98" hidden="1" customWidth="1"/>
    <col min="41" max="42" width="12.85546875" style="98" customWidth="1"/>
    <col min="43" max="43" width="16.140625" style="98" hidden="1" customWidth="1"/>
    <col min="44" max="44" width="15.140625" style="94" hidden="1" customWidth="1"/>
    <col min="45" max="45" width="11.42578125" style="98" customWidth="1"/>
    <col min="46" max="46" width="20.5703125" style="98" customWidth="1"/>
    <col min="47" max="47" width="16.140625" style="98" hidden="1" customWidth="1"/>
    <col min="48" max="48" width="12.85546875" style="94" customWidth="1"/>
    <col min="49" max="49" width="17.28515625" style="98" hidden="1" customWidth="1"/>
    <col min="50" max="50" width="12.85546875" style="94" hidden="1" customWidth="1"/>
    <col min="51" max="51" width="11.42578125" style="98" customWidth="1"/>
    <col min="52" max="52" width="20.5703125" style="98" customWidth="1"/>
    <col min="53" max="53" width="16.5703125" style="98" hidden="1" customWidth="1"/>
    <col min="54" max="54" width="12.85546875" style="94" customWidth="1"/>
    <col min="55" max="55" width="16" style="94" customWidth="1"/>
    <col min="56" max="56" width="17" style="98" hidden="1" customWidth="1"/>
    <col min="57" max="57" width="12.85546875" style="94" hidden="1" customWidth="1"/>
    <col min="58" max="58" width="21.5703125" style="98" customWidth="1"/>
    <col min="59" max="59" width="20" style="98" customWidth="1"/>
    <col min="60" max="60" width="16.5703125" style="99" customWidth="1"/>
    <col min="61" max="61" width="52.85546875" style="102" customWidth="1"/>
    <col min="62" max="62" width="18.5703125" style="178" customWidth="1"/>
    <col min="63" max="64" width="16.7109375" style="178" customWidth="1"/>
    <col min="65" max="66" width="11.7109375" style="169" customWidth="1"/>
    <col min="67" max="67" width="18.42578125" style="169" customWidth="1"/>
    <col min="68" max="68" width="16.28515625" style="178" customWidth="1"/>
    <col min="69" max="69" width="16" style="178" customWidth="1"/>
    <col min="70" max="70" width="13.42578125" style="178" customWidth="1"/>
    <col min="71" max="72" width="11.7109375" style="178" customWidth="1"/>
    <col min="73" max="73" width="14.85546875" style="178" bestFit="1" customWidth="1"/>
    <col min="74" max="78" width="11.7109375" style="178" customWidth="1"/>
    <col min="79" max="79" width="14.85546875" style="178" bestFit="1" customWidth="1"/>
    <col min="80" max="80" width="11.7109375" style="180" customWidth="1"/>
    <col min="81" max="82" width="11.7109375" style="178" customWidth="1"/>
    <col min="83" max="84" width="11.7109375" style="180" customWidth="1"/>
    <col min="85" max="85" width="14.85546875" style="180" bestFit="1" customWidth="1"/>
    <col min="86" max="86" width="11.7109375" style="180" customWidth="1"/>
    <col min="87" max="88" width="11.7109375" style="178" customWidth="1"/>
    <col min="89" max="90" width="11.7109375" style="180" customWidth="1"/>
    <col min="91" max="91" width="14.85546875" style="180" bestFit="1" customWidth="1"/>
    <col min="92" max="92" width="11.7109375" style="116" customWidth="1"/>
    <col min="93" max="95" width="11.7109375" style="100" customWidth="1"/>
    <col min="96" max="102" width="11.7109375" style="101" customWidth="1"/>
    <col min="103" max="103" width="11.42578125" style="101" customWidth="1"/>
    <col min="104" max="104" width="13.42578125" style="101" customWidth="1"/>
    <col min="105" max="105" width="14.85546875" style="101" customWidth="1"/>
    <col min="106" max="106" width="11.5703125" style="101" customWidth="1"/>
    <col min="107" max="114" width="11.42578125" style="101" customWidth="1"/>
    <col min="115" max="129" width="11.42578125" style="101"/>
    <col min="130" max="137" width="11.42578125" style="100"/>
    <col min="138" max="16384" width="11.42578125" style="98"/>
  </cols>
  <sheetData>
    <row r="2" spans="1:137" s="27" customFormat="1" ht="18.75" customHeight="1" x14ac:dyDescent="0.25">
      <c r="A2" s="26"/>
      <c r="B2" s="1689" t="s">
        <v>1337</v>
      </c>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c r="AB2" s="1689"/>
      <c r="AC2" s="1689"/>
      <c r="AD2" s="1689"/>
      <c r="AE2" s="1689"/>
      <c r="AF2" s="1689"/>
      <c r="AG2" s="1689"/>
      <c r="AH2" s="1689"/>
      <c r="AI2" s="1689"/>
      <c r="AJ2" s="1689"/>
      <c r="AK2" s="1689"/>
      <c r="AL2" s="1689"/>
      <c r="AM2" s="31"/>
      <c r="AN2" s="32"/>
      <c r="AO2" s="32"/>
      <c r="AP2" s="32"/>
      <c r="AQ2" s="32"/>
      <c r="AR2" s="33"/>
      <c r="AS2" s="30"/>
      <c r="AT2" s="31"/>
      <c r="AU2" s="32"/>
      <c r="AV2" s="33"/>
      <c r="AW2" s="32"/>
      <c r="AX2" s="33"/>
      <c r="AY2" s="30"/>
      <c r="AZ2" s="31"/>
      <c r="BA2" s="32"/>
      <c r="BB2" s="33"/>
      <c r="BC2" s="33"/>
      <c r="BD2" s="32"/>
      <c r="BE2" s="33"/>
      <c r="BF2" s="34"/>
      <c r="BG2" s="35"/>
      <c r="BH2" s="28"/>
      <c r="BI2" s="64"/>
      <c r="BJ2" s="168"/>
      <c r="BK2" s="168"/>
      <c r="BL2" s="168"/>
      <c r="BM2" s="169"/>
      <c r="BN2" s="169"/>
      <c r="BO2" s="169"/>
      <c r="BP2" s="168"/>
      <c r="BQ2" s="168"/>
      <c r="BR2" s="168"/>
      <c r="BS2" s="168"/>
      <c r="BT2" s="168"/>
      <c r="BU2" s="168"/>
      <c r="BV2" s="168"/>
      <c r="BW2" s="168"/>
      <c r="BX2" s="168"/>
      <c r="BY2" s="168"/>
      <c r="BZ2" s="168"/>
      <c r="CA2" s="168"/>
      <c r="CB2" s="170"/>
      <c r="CC2" s="168"/>
      <c r="CD2" s="168"/>
      <c r="CE2" s="170"/>
      <c r="CF2" s="170"/>
      <c r="CG2" s="170"/>
      <c r="CH2" s="170"/>
      <c r="CI2" s="168"/>
      <c r="CJ2" s="168"/>
      <c r="CK2" s="170"/>
      <c r="CL2" s="170"/>
      <c r="CM2" s="170"/>
      <c r="CN2" s="113"/>
      <c r="CO2" s="36"/>
      <c r="CP2" s="36"/>
      <c r="CQ2" s="36"/>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6"/>
      <c r="EA2" s="36"/>
      <c r="EB2" s="36"/>
      <c r="EC2" s="36"/>
      <c r="ED2" s="36"/>
      <c r="EE2" s="36"/>
      <c r="EF2" s="36"/>
      <c r="EG2" s="36"/>
    </row>
    <row r="3" spans="1:137" s="27" customFormat="1" ht="38.25" customHeight="1" x14ac:dyDescent="0.25">
      <c r="A3" s="26"/>
      <c r="B3" s="1689"/>
      <c r="C3" s="1689"/>
      <c r="D3" s="1689"/>
      <c r="E3" s="1689"/>
      <c r="F3" s="1689"/>
      <c r="G3" s="1689"/>
      <c r="H3" s="1689"/>
      <c r="I3" s="1689"/>
      <c r="J3" s="1689"/>
      <c r="K3" s="1689"/>
      <c r="L3" s="1689"/>
      <c r="M3" s="1689"/>
      <c r="N3" s="1689"/>
      <c r="O3" s="1689"/>
      <c r="P3" s="1689"/>
      <c r="Q3" s="1689"/>
      <c r="R3" s="1689"/>
      <c r="S3" s="1689"/>
      <c r="T3" s="1689"/>
      <c r="U3" s="1689"/>
      <c r="V3" s="1689"/>
      <c r="W3" s="1689"/>
      <c r="X3" s="1689"/>
      <c r="Y3" s="1689"/>
      <c r="Z3" s="1689"/>
      <c r="AA3" s="1689"/>
      <c r="AB3" s="1689"/>
      <c r="AC3" s="1689"/>
      <c r="AD3" s="1689"/>
      <c r="AE3" s="1689"/>
      <c r="AF3" s="1689"/>
      <c r="AG3" s="1689"/>
      <c r="AH3" s="1689"/>
      <c r="AI3" s="1689"/>
      <c r="AJ3" s="1689"/>
      <c r="AK3" s="1689"/>
      <c r="AL3" s="1689"/>
      <c r="AM3" s="39"/>
      <c r="AN3" s="40"/>
      <c r="AO3" s="40"/>
      <c r="AP3" s="40"/>
      <c r="AQ3" s="40"/>
      <c r="AR3" s="41"/>
      <c r="AS3" s="38"/>
      <c r="AT3" s="39"/>
      <c r="AU3" s="40"/>
      <c r="AV3" s="41"/>
      <c r="AW3" s="40"/>
      <c r="AX3" s="41"/>
      <c r="AY3" s="38"/>
      <c r="AZ3" s="39"/>
      <c r="BA3" s="40"/>
      <c r="BB3" s="41"/>
      <c r="BC3" s="41"/>
      <c r="BD3" s="40"/>
      <c r="BE3" s="41"/>
      <c r="BF3" s="42"/>
      <c r="BG3" s="32"/>
      <c r="BH3" s="28"/>
      <c r="BI3" s="64"/>
      <c r="BJ3" s="168"/>
      <c r="BK3" s="168"/>
      <c r="BL3" s="168"/>
      <c r="BM3" s="169"/>
      <c r="BN3" s="169"/>
      <c r="BO3" s="169"/>
      <c r="BP3" s="168"/>
      <c r="BQ3" s="168"/>
      <c r="BR3" s="168"/>
      <c r="BS3" s="168"/>
      <c r="BT3" s="168"/>
      <c r="BU3" s="168"/>
      <c r="BV3" s="168"/>
      <c r="BW3" s="168"/>
      <c r="BX3" s="168"/>
      <c r="BY3" s="168"/>
      <c r="BZ3" s="168"/>
      <c r="CA3" s="168"/>
      <c r="CB3" s="170"/>
      <c r="CC3" s="168"/>
      <c r="CD3" s="168"/>
      <c r="CE3" s="170"/>
      <c r="CF3" s="170"/>
      <c r="CG3" s="170"/>
      <c r="CH3" s="170"/>
      <c r="CI3" s="168"/>
      <c r="CJ3" s="168"/>
      <c r="CK3" s="170"/>
      <c r="CL3" s="170"/>
      <c r="CM3" s="170"/>
      <c r="CN3" s="113"/>
      <c r="CO3" s="36"/>
      <c r="CP3" s="36"/>
      <c r="CQ3" s="36"/>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6"/>
      <c r="EA3" s="36"/>
      <c r="EB3" s="36"/>
      <c r="EC3" s="36"/>
      <c r="ED3" s="36"/>
      <c r="EE3" s="36"/>
      <c r="EF3" s="36"/>
      <c r="EG3" s="36"/>
    </row>
    <row r="4" spans="1:137" s="26" customFormat="1" ht="18.75" customHeight="1" x14ac:dyDescent="0.25">
      <c r="A4" s="43"/>
      <c r="B4" s="31"/>
      <c r="C4" s="267"/>
      <c r="D4" s="43"/>
      <c r="E4" s="44"/>
      <c r="F4" s="44"/>
      <c r="G4" s="44"/>
      <c r="H4" s="44"/>
      <c r="I4" s="44"/>
      <c r="J4" s="44"/>
      <c r="K4" s="44"/>
      <c r="L4" s="44"/>
      <c r="M4" s="44"/>
      <c r="N4" s="44"/>
      <c r="O4" s="44"/>
      <c r="P4" s="44"/>
      <c r="Q4" s="44"/>
      <c r="R4" s="45"/>
      <c r="S4" s="44"/>
      <c r="T4" s="44"/>
      <c r="U4" s="44"/>
      <c r="V4" s="46"/>
      <c r="W4" s="46"/>
      <c r="X4" s="43"/>
      <c r="Y4" s="43"/>
      <c r="Z4" s="46"/>
      <c r="AA4" s="47"/>
      <c r="AB4" s="47"/>
      <c r="AC4" s="46"/>
      <c r="AD4" s="47"/>
      <c r="AE4" s="48"/>
      <c r="AF4" s="43"/>
      <c r="AG4" s="46"/>
      <c r="AH4" s="49"/>
      <c r="AI4" s="49"/>
      <c r="AJ4" s="46"/>
      <c r="AK4" s="47"/>
      <c r="AL4" s="43"/>
      <c r="AM4" s="43"/>
      <c r="AN4" s="46"/>
      <c r="AO4" s="46"/>
      <c r="AP4" s="46"/>
      <c r="AQ4" s="46"/>
      <c r="AR4" s="47"/>
      <c r="AS4" s="43"/>
      <c r="AT4" s="43"/>
      <c r="AU4" s="46"/>
      <c r="AV4" s="47"/>
      <c r="AW4" s="46"/>
      <c r="AX4" s="47"/>
      <c r="AY4" s="43"/>
      <c r="AZ4" s="43"/>
      <c r="BA4" s="46"/>
      <c r="BB4" s="47"/>
      <c r="BC4" s="47"/>
      <c r="BD4" s="46"/>
      <c r="BE4" s="47"/>
      <c r="BF4" s="50"/>
      <c r="BG4" s="51"/>
      <c r="BH4" s="28"/>
      <c r="BI4" s="164"/>
      <c r="BJ4" s="165"/>
      <c r="BK4" s="165"/>
      <c r="BL4" s="165"/>
      <c r="BM4" s="166"/>
      <c r="BN4" s="166"/>
      <c r="BO4" s="166"/>
      <c r="BP4" s="165"/>
      <c r="BQ4" s="165"/>
      <c r="BR4" s="165"/>
      <c r="BS4" s="165"/>
      <c r="BT4" s="165"/>
      <c r="BU4" s="165"/>
      <c r="BV4" s="165"/>
      <c r="BW4" s="165"/>
      <c r="BX4" s="165"/>
      <c r="BY4" s="165"/>
      <c r="BZ4" s="165"/>
      <c r="CA4" s="165"/>
      <c r="CB4" s="167"/>
      <c r="CC4" s="165"/>
      <c r="CD4" s="165"/>
      <c r="CE4" s="167"/>
      <c r="CF4" s="167"/>
      <c r="CG4" s="167"/>
      <c r="CH4" s="167"/>
      <c r="CI4" s="165"/>
      <c r="CJ4" s="165"/>
      <c r="CK4" s="167"/>
      <c r="CL4" s="167"/>
      <c r="CM4" s="167"/>
      <c r="CN4" s="112"/>
      <c r="CO4" s="29"/>
      <c r="CP4" s="29"/>
      <c r="CQ4" s="29"/>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9"/>
      <c r="EA4" s="29"/>
      <c r="EB4" s="29"/>
      <c r="EC4" s="29"/>
      <c r="ED4" s="29"/>
      <c r="EE4" s="29"/>
      <c r="EF4" s="29"/>
      <c r="EG4" s="29"/>
    </row>
    <row r="5" spans="1:137" s="27" customFormat="1" ht="18.75" customHeight="1" x14ac:dyDescent="0.25">
      <c r="A5" s="26"/>
      <c r="B5" s="1690" t="s">
        <v>647</v>
      </c>
      <c r="C5" s="1690"/>
      <c r="D5" s="1690"/>
      <c r="E5" s="1690"/>
      <c r="F5" s="1690"/>
      <c r="G5" s="1690"/>
      <c r="H5" s="1690"/>
      <c r="I5" s="1690"/>
      <c r="J5" s="1690"/>
      <c r="K5" s="1690"/>
      <c r="L5" s="1690"/>
      <c r="M5" s="1690"/>
      <c r="N5" s="1690"/>
      <c r="O5" s="1690"/>
      <c r="P5" s="1690"/>
      <c r="Q5" s="1690"/>
      <c r="R5" s="1690"/>
      <c r="S5" s="1690"/>
      <c r="T5" s="1690"/>
      <c r="U5" s="1690"/>
      <c r="V5" s="1690"/>
      <c r="W5" s="1690"/>
      <c r="X5" s="1690"/>
      <c r="Y5" s="1690"/>
      <c r="Z5" s="1690"/>
      <c r="AA5" s="1690"/>
      <c r="AB5" s="1690"/>
      <c r="AC5" s="1690"/>
      <c r="AD5" s="1690"/>
      <c r="AE5" s="1690"/>
      <c r="AF5" s="1690"/>
      <c r="AG5" s="1690"/>
      <c r="AH5" s="1690"/>
      <c r="AI5" s="1690"/>
      <c r="AJ5" s="1690"/>
      <c r="AK5" s="1690"/>
      <c r="AL5" s="1690"/>
      <c r="BH5" s="28"/>
      <c r="BI5" s="64"/>
      <c r="BJ5" s="168"/>
      <c r="BK5" s="168"/>
      <c r="BL5" s="168"/>
      <c r="BM5" s="169"/>
      <c r="BN5" s="169"/>
      <c r="BO5" s="169"/>
      <c r="BP5" s="168"/>
      <c r="BQ5" s="168"/>
      <c r="BR5" s="168"/>
      <c r="BS5" s="168"/>
      <c r="BT5" s="168"/>
      <c r="BU5" s="168"/>
      <c r="BV5" s="168"/>
      <c r="BW5" s="168"/>
      <c r="BX5" s="168"/>
      <c r="BY5" s="168"/>
      <c r="BZ5" s="168"/>
      <c r="CA5" s="168"/>
      <c r="CB5" s="170"/>
      <c r="CC5" s="168"/>
      <c r="CD5" s="168"/>
      <c r="CE5" s="170"/>
      <c r="CF5" s="170"/>
      <c r="CG5" s="170"/>
      <c r="CH5" s="170"/>
      <c r="CI5" s="168"/>
      <c r="CJ5" s="168"/>
      <c r="CK5" s="170"/>
      <c r="CL5" s="170"/>
      <c r="CM5" s="170"/>
      <c r="CN5" s="113"/>
      <c r="CO5" s="36"/>
      <c r="CP5" s="36"/>
      <c r="CQ5" s="36"/>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6"/>
      <c r="EA5" s="36"/>
      <c r="EB5" s="36"/>
      <c r="EC5" s="36"/>
      <c r="ED5" s="36"/>
      <c r="EE5" s="36"/>
      <c r="EF5" s="36"/>
      <c r="EG5" s="36"/>
    </row>
    <row r="6" spans="1:137" s="27" customFormat="1" x14ac:dyDescent="0.25">
      <c r="A6" s="26"/>
      <c r="B6" s="638" t="s">
        <v>17</v>
      </c>
      <c r="C6" s="1677" t="str">
        <f>INSTITUCIONAL!C6</f>
        <v>Chía</v>
      </c>
      <c r="D6" s="1677"/>
      <c r="E6" s="1677"/>
      <c r="F6" s="1677"/>
      <c r="G6" s="1677"/>
      <c r="H6" s="1677"/>
      <c r="I6" s="1677"/>
      <c r="J6" s="1677"/>
      <c r="K6" s="1677"/>
      <c r="L6" s="264" t="s">
        <v>16</v>
      </c>
      <c r="M6" s="265"/>
      <c r="N6" s="265"/>
      <c r="O6" s="265"/>
      <c r="P6" s="265"/>
      <c r="Q6" s="265"/>
      <c r="R6" s="265"/>
      <c r="S6" s="265"/>
      <c r="T6" s="265"/>
      <c r="U6" s="265"/>
      <c r="V6" s="265"/>
      <c r="W6" s="265"/>
      <c r="X6" s="638" t="s">
        <v>649</v>
      </c>
      <c r="Y6" s="1653" t="str">
        <f>INSTITUCIONAL!Y6</f>
        <v>Cra 11 # 17 - 50</v>
      </c>
      <c r="Z6" s="1653"/>
      <c r="AA6" s="1653"/>
      <c r="AB6" s="1653"/>
      <c r="AC6" s="1653"/>
      <c r="AD6" s="1653"/>
      <c r="AE6" s="1653"/>
      <c r="AF6" s="1653"/>
      <c r="AG6" s="1653"/>
      <c r="AH6" s="1653"/>
      <c r="AI6" s="1653"/>
      <c r="AJ6" s="1653"/>
      <c r="AK6" s="1653"/>
      <c r="AL6" s="1653"/>
      <c r="BH6" s="28"/>
      <c r="BI6" s="64"/>
      <c r="BJ6" s="168"/>
      <c r="BK6" s="168"/>
      <c r="BL6" s="168"/>
      <c r="BM6" s="169"/>
      <c r="BN6" s="169"/>
      <c r="BO6" s="169"/>
      <c r="BP6" s="168"/>
      <c r="BQ6" s="168"/>
      <c r="BR6" s="168"/>
      <c r="BS6" s="168"/>
      <c r="BT6" s="168"/>
      <c r="BU6" s="168"/>
      <c r="BV6" s="168"/>
      <c r="BW6" s="168"/>
      <c r="BX6" s="168"/>
      <c r="BY6" s="168"/>
      <c r="BZ6" s="168"/>
      <c r="CA6" s="168"/>
      <c r="CB6" s="170"/>
      <c r="CC6" s="168"/>
      <c r="CD6" s="168"/>
      <c r="CE6" s="170"/>
      <c r="CF6" s="170"/>
      <c r="CG6" s="170"/>
      <c r="CH6" s="170"/>
      <c r="CI6" s="168"/>
      <c r="CJ6" s="168"/>
      <c r="CK6" s="170"/>
      <c r="CL6" s="170"/>
      <c r="CM6" s="170"/>
      <c r="CN6" s="113"/>
      <c r="CO6" s="36"/>
      <c r="CP6" s="36"/>
      <c r="CQ6" s="36"/>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6"/>
      <c r="EA6" s="36"/>
      <c r="EB6" s="36"/>
      <c r="EC6" s="36"/>
      <c r="ED6" s="36"/>
      <c r="EE6" s="36"/>
      <c r="EF6" s="36"/>
      <c r="EG6" s="36"/>
    </row>
    <row r="7" spans="1:137" s="27" customFormat="1" x14ac:dyDescent="0.25">
      <c r="A7" s="26"/>
      <c r="B7" s="638" t="s">
        <v>648</v>
      </c>
      <c r="C7" s="1677" t="str">
        <f>INSTITUCIONAL!C7</f>
        <v>Secretaría de Medio Ambiente</v>
      </c>
      <c r="D7" s="1677"/>
      <c r="E7" s="1677"/>
      <c r="F7" s="1677"/>
      <c r="G7" s="1677"/>
      <c r="H7" s="1677"/>
      <c r="I7" s="1677"/>
      <c r="J7" s="1677"/>
      <c r="K7" s="1677"/>
      <c r="L7" s="264" t="s">
        <v>17</v>
      </c>
      <c r="M7" s="265"/>
      <c r="N7" s="265"/>
      <c r="O7" s="265"/>
      <c r="P7" s="265"/>
      <c r="Q7" s="265"/>
      <c r="R7" s="265"/>
      <c r="S7" s="265"/>
      <c r="T7" s="265"/>
      <c r="U7" s="265"/>
      <c r="V7" s="265"/>
      <c r="W7" s="265"/>
      <c r="X7" s="638" t="s">
        <v>16</v>
      </c>
      <c r="Y7" s="1653" t="str">
        <f>INSTITUCIONAL!Y7</f>
        <v>8844444 - 3200</v>
      </c>
      <c r="Z7" s="1653"/>
      <c r="AA7" s="1653"/>
      <c r="AB7" s="1653"/>
      <c r="AC7" s="1653"/>
      <c r="AD7" s="1653"/>
      <c r="AE7" s="1653"/>
      <c r="AF7" s="1653"/>
      <c r="AG7" s="1653"/>
      <c r="AH7" s="1653"/>
      <c r="AI7" s="1653"/>
      <c r="AJ7" s="1653"/>
      <c r="AK7" s="1653"/>
      <c r="AL7" s="1653"/>
      <c r="BH7" s="28"/>
      <c r="BI7" s="64"/>
      <c r="BJ7" s="168"/>
      <c r="BK7" s="168"/>
      <c r="BL7" s="168"/>
      <c r="BM7" s="169"/>
      <c r="BN7" s="169"/>
      <c r="BO7" s="169"/>
      <c r="BP7" s="168"/>
      <c r="BQ7" s="168"/>
      <c r="BR7" s="168"/>
      <c r="BS7" s="168"/>
      <c r="BT7" s="168"/>
      <c r="BU7" s="168"/>
      <c r="BV7" s="168"/>
      <c r="BW7" s="168"/>
      <c r="BX7" s="168"/>
      <c r="BY7" s="168"/>
      <c r="BZ7" s="168"/>
      <c r="CA7" s="168"/>
      <c r="CB7" s="170"/>
      <c r="CC7" s="168"/>
      <c r="CD7" s="168"/>
      <c r="CE7" s="170"/>
      <c r="CF7" s="170"/>
      <c r="CG7" s="170"/>
      <c r="CH7" s="170"/>
      <c r="CI7" s="168"/>
      <c r="CJ7" s="168"/>
      <c r="CK7" s="170"/>
      <c r="CL7" s="170"/>
      <c r="CM7" s="170"/>
      <c r="CN7" s="113"/>
      <c r="CO7" s="36"/>
      <c r="CP7" s="36"/>
      <c r="CQ7" s="36"/>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6"/>
      <c r="EA7" s="36"/>
      <c r="EB7" s="36"/>
      <c r="EC7" s="36"/>
      <c r="ED7" s="36"/>
      <c r="EE7" s="36"/>
      <c r="EF7" s="36"/>
      <c r="EG7" s="36"/>
    </row>
    <row r="8" spans="1:137" s="27" customFormat="1" x14ac:dyDescent="0.25">
      <c r="A8" s="26"/>
      <c r="B8" s="638" t="s">
        <v>18</v>
      </c>
      <c r="C8" s="1677" t="str">
        <f>INSTITUCIONAL!C8</f>
        <v>David Ricardo Murcia Cortés - Viviana Elisa Garzón</v>
      </c>
      <c r="D8" s="1677"/>
      <c r="E8" s="1677"/>
      <c r="F8" s="1677"/>
      <c r="G8" s="1677"/>
      <c r="H8" s="1677"/>
      <c r="I8" s="1677"/>
      <c r="J8" s="1677"/>
      <c r="K8" s="1677"/>
      <c r="L8" s="264" t="s">
        <v>19</v>
      </c>
      <c r="M8" s="265"/>
      <c r="N8" s="265"/>
      <c r="O8" s="265"/>
      <c r="P8" s="265"/>
      <c r="Q8" s="265"/>
      <c r="R8" s="265"/>
      <c r="S8" s="265"/>
      <c r="T8" s="265"/>
      <c r="U8" s="265"/>
      <c r="V8" s="265"/>
      <c r="W8" s="265"/>
      <c r="X8" s="638" t="s">
        <v>19</v>
      </c>
      <c r="Y8" s="1653">
        <f>INSTITUCIONAL!Y8</f>
        <v>3174291112</v>
      </c>
      <c r="Z8" s="1653"/>
      <c r="AA8" s="1653"/>
      <c r="AB8" s="1653"/>
      <c r="AC8" s="1653"/>
      <c r="AD8" s="1653"/>
      <c r="AE8" s="1653"/>
      <c r="AF8" s="1653"/>
      <c r="AG8" s="1653"/>
      <c r="AH8" s="1653"/>
      <c r="AI8" s="1653"/>
      <c r="AJ8" s="1653"/>
      <c r="AK8" s="1653"/>
      <c r="AL8" s="1653"/>
      <c r="BH8" s="28"/>
      <c r="BI8" s="64"/>
      <c r="BJ8" s="168"/>
      <c r="BK8" s="168"/>
      <c r="BL8" s="168"/>
      <c r="BM8" s="169"/>
      <c r="BN8" s="169"/>
      <c r="BO8" s="169"/>
      <c r="BP8" s="168"/>
      <c r="BQ8" s="168"/>
      <c r="BR8" s="168"/>
      <c r="BS8" s="168"/>
      <c r="BT8" s="168"/>
      <c r="BU8" s="168"/>
      <c r="BV8" s="168"/>
      <c r="BW8" s="168"/>
      <c r="BX8" s="168"/>
      <c r="BY8" s="168"/>
      <c r="BZ8" s="168"/>
      <c r="CA8" s="168"/>
      <c r="CB8" s="170"/>
      <c r="CC8" s="168"/>
      <c r="CD8" s="168"/>
      <c r="CE8" s="170"/>
      <c r="CF8" s="170"/>
      <c r="CG8" s="170"/>
      <c r="CH8" s="170"/>
      <c r="CI8" s="168"/>
      <c r="CJ8" s="168"/>
      <c r="CK8" s="170"/>
      <c r="CL8" s="170"/>
      <c r="CM8" s="170"/>
      <c r="CN8" s="113"/>
      <c r="CO8" s="36"/>
      <c r="CP8" s="36"/>
      <c r="CQ8" s="36"/>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6"/>
      <c r="EA8" s="36"/>
      <c r="EB8" s="36"/>
      <c r="EC8" s="36"/>
      <c r="ED8" s="36"/>
      <c r="EE8" s="36"/>
      <c r="EF8" s="36"/>
      <c r="EG8" s="36"/>
    </row>
    <row r="9" spans="1:137" s="27" customFormat="1" x14ac:dyDescent="0.25">
      <c r="A9" s="26"/>
      <c r="B9" s="638" t="s">
        <v>20</v>
      </c>
      <c r="C9" s="1677" t="str">
        <f>INSTITUCIONAL!C9</f>
        <v>Profesional Universitario - Profesional Universitario</v>
      </c>
      <c r="D9" s="1677"/>
      <c r="E9" s="1677"/>
      <c r="F9" s="1677"/>
      <c r="G9" s="1677"/>
      <c r="H9" s="1677"/>
      <c r="I9" s="1677"/>
      <c r="J9" s="1677"/>
      <c r="K9" s="1677"/>
      <c r="L9" s="264" t="s">
        <v>21</v>
      </c>
      <c r="M9" s="265"/>
      <c r="N9" s="265"/>
      <c r="O9" s="265"/>
      <c r="P9" s="265"/>
      <c r="Q9" s="265"/>
      <c r="R9" s="265"/>
      <c r="S9" s="265"/>
      <c r="T9" s="265"/>
      <c r="U9" s="265"/>
      <c r="V9" s="265"/>
      <c r="W9" s="265"/>
      <c r="X9" s="638" t="s">
        <v>21</v>
      </c>
      <c r="Y9" s="1653">
        <f>INSTITUCIONAL!Y9</f>
        <v>2019</v>
      </c>
      <c r="Z9" s="1653"/>
      <c r="AA9" s="1653"/>
      <c r="AB9" s="1653"/>
      <c r="AC9" s="1653"/>
      <c r="AD9" s="1653"/>
      <c r="AE9" s="1653"/>
      <c r="AF9" s="1653"/>
      <c r="AG9" s="1653"/>
      <c r="AH9" s="1653"/>
      <c r="AI9" s="1653"/>
      <c r="AJ9" s="1653"/>
      <c r="AK9" s="1653"/>
      <c r="AL9" s="1653"/>
      <c r="BH9" s="28"/>
      <c r="BI9" s="64"/>
      <c r="BJ9" s="168"/>
      <c r="BK9" s="168"/>
      <c r="BL9" s="168"/>
      <c r="BM9" s="169"/>
      <c r="BN9" s="169"/>
      <c r="BO9" s="169"/>
      <c r="BP9" s="168"/>
      <c r="BQ9" s="168"/>
      <c r="BR9" s="168"/>
      <c r="BS9" s="168"/>
      <c r="BT9" s="168"/>
      <c r="BU9" s="168"/>
      <c r="BV9" s="168"/>
      <c r="BW9" s="168"/>
      <c r="BX9" s="168"/>
      <c r="BY9" s="168"/>
      <c r="BZ9" s="168"/>
      <c r="CA9" s="168"/>
      <c r="CB9" s="170"/>
      <c r="CC9" s="168"/>
      <c r="CD9" s="168"/>
      <c r="CE9" s="170"/>
      <c r="CF9" s="170"/>
      <c r="CG9" s="170"/>
      <c r="CH9" s="170"/>
      <c r="CI9" s="168"/>
      <c r="CJ9" s="168"/>
      <c r="CK9" s="170"/>
      <c r="CL9" s="170"/>
      <c r="CM9" s="170"/>
      <c r="CN9" s="113"/>
      <c r="CO9" s="36"/>
      <c r="CP9" s="36"/>
      <c r="CQ9" s="36"/>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6"/>
      <c r="EA9" s="36"/>
      <c r="EB9" s="36"/>
      <c r="EC9" s="36"/>
      <c r="ED9" s="36"/>
      <c r="EE9" s="36"/>
      <c r="EF9" s="36"/>
      <c r="EG9" s="36"/>
    </row>
    <row r="10" spans="1:137" s="27" customFormat="1" x14ac:dyDescent="0.25">
      <c r="A10" s="26"/>
      <c r="B10" s="638" t="s">
        <v>121</v>
      </c>
      <c r="C10" s="1677" t="str">
        <f>INSTITUCIONAL!C10</f>
        <v>david.murcia@chia.gov.co, viviana.garzon@chia.gov.co</v>
      </c>
      <c r="D10" s="1677"/>
      <c r="E10" s="1677"/>
      <c r="F10" s="1677"/>
      <c r="G10" s="1677"/>
      <c r="H10" s="1677"/>
      <c r="I10" s="1677"/>
      <c r="J10" s="1677"/>
      <c r="K10" s="1677"/>
      <c r="L10" s="264" t="s">
        <v>22</v>
      </c>
      <c r="M10" s="266"/>
      <c r="N10" s="265"/>
      <c r="O10" s="265"/>
      <c r="P10" s="265"/>
      <c r="Q10" s="265"/>
      <c r="R10" s="265"/>
      <c r="S10" s="265"/>
      <c r="T10" s="265"/>
      <c r="U10" s="265"/>
      <c r="V10" s="265"/>
      <c r="W10" s="265"/>
      <c r="X10" s="638" t="s">
        <v>22</v>
      </c>
      <c r="Y10" s="1654">
        <f>INSTITUCIONAL!Y10</f>
        <v>44386</v>
      </c>
      <c r="Z10" s="1654"/>
      <c r="AA10" s="1654"/>
      <c r="AB10" s="1654"/>
      <c r="AC10" s="1654"/>
      <c r="AD10" s="1654"/>
      <c r="AE10" s="1654"/>
      <c r="AF10" s="1654"/>
      <c r="AG10" s="1654"/>
      <c r="AH10" s="1654"/>
      <c r="AI10" s="1654"/>
      <c r="AJ10" s="1654"/>
      <c r="AK10" s="1654"/>
      <c r="AL10" s="1654"/>
      <c r="BH10" s="28"/>
      <c r="BI10" s="64"/>
      <c r="BJ10" s="168"/>
      <c r="BK10" s="168"/>
      <c r="BL10" s="168"/>
      <c r="BM10" s="169"/>
      <c r="BN10" s="169"/>
      <c r="BO10" s="169"/>
      <c r="BP10" s="171"/>
      <c r="BQ10" s="171"/>
      <c r="BR10" s="171"/>
      <c r="BS10" s="171"/>
      <c r="BT10" s="171"/>
      <c r="BU10" s="171"/>
      <c r="BV10" s="168"/>
      <c r="BW10" s="171"/>
      <c r="BX10" s="171"/>
      <c r="BY10" s="168"/>
      <c r="BZ10" s="168"/>
      <c r="CA10" s="168"/>
      <c r="CB10" s="170"/>
      <c r="CC10" s="171"/>
      <c r="CD10" s="171"/>
      <c r="CE10" s="170"/>
      <c r="CF10" s="170"/>
      <c r="CG10" s="170"/>
      <c r="CH10" s="170"/>
      <c r="CI10" s="171"/>
      <c r="CJ10" s="171"/>
      <c r="CK10" s="170"/>
      <c r="CL10" s="170"/>
      <c r="CM10" s="170"/>
      <c r="CN10" s="113"/>
      <c r="CO10" s="36"/>
      <c r="CP10" s="36"/>
      <c r="CQ10" s="36"/>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6"/>
      <c r="EA10" s="36"/>
      <c r="EB10" s="36"/>
      <c r="EC10" s="36"/>
      <c r="ED10" s="36"/>
      <c r="EE10" s="36"/>
      <c r="EF10" s="36"/>
      <c r="EG10" s="36"/>
    </row>
    <row r="11" spans="1:137" s="26" customFormat="1" ht="15.75" thickBot="1" x14ac:dyDescent="0.3">
      <c r="B11" s="52"/>
      <c r="C11" s="53"/>
      <c r="D11" s="53"/>
      <c r="E11" s="54"/>
      <c r="F11" s="54"/>
      <c r="G11" s="54"/>
      <c r="H11" s="54"/>
      <c r="I11" s="54"/>
      <c r="J11" s="54"/>
      <c r="K11" s="54"/>
      <c r="L11" s="54"/>
      <c r="M11" s="54"/>
      <c r="N11" s="54"/>
      <c r="O11" s="54"/>
      <c r="P11" s="54"/>
      <c r="Q11" s="54"/>
      <c r="R11" s="55"/>
      <c r="S11" s="54"/>
      <c r="T11" s="54"/>
      <c r="U11" s="54"/>
      <c r="V11" s="56"/>
      <c r="W11" s="56"/>
      <c r="X11" s="53"/>
      <c r="Y11" s="57"/>
      <c r="Z11" s="58"/>
      <c r="AA11" s="59"/>
      <c r="AB11" s="59"/>
      <c r="AC11" s="58"/>
      <c r="AD11" s="59"/>
      <c r="AE11" s="60"/>
      <c r="AF11" s="57"/>
      <c r="AG11" s="58"/>
      <c r="AH11" s="61"/>
      <c r="AI11" s="61"/>
      <c r="AJ11" s="58"/>
      <c r="AK11" s="59"/>
      <c r="AL11" s="53"/>
      <c r="AM11" s="57"/>
      <c r="AN11" s="58"/>
      <c r="AO11" s="58"/>
      <c r="AP11" s="58"/>
      <c r="AQ11" s="58"/>
      <c r="AR11" s="59"/>
      <c r="AS11" s="53"/>
      <c r="AT11" s="57"/>
      <c r="AU11" s="58"/>
      <c r="AV11" s="59"/>
      <c r="AW11" s="58"/>
      <c r="AX11" s="59"/>
      <c r="AY11" s="53"/>
      <c r="AZ11" s="57"/>
      <c r="BA11" s="58"/>
      <c r="BB11" s="59"/>
      <c r="BC11" s="59"/>
      <c r="BD11" s="58"/>
      <c r="BE11" s="59"/>
      <c r="BF11" s="62"/>
      <c r="BG11" s="63"/>
      <c r="BH11" s="28"/>
      <c r="BI11" s="164"/>
      <c r="BJ11" s="165"/>
      <c r="BK11" s="165"/>
      <c r="BL11" s="165"/>
      <c r="BM11" s="166"/>
      <c r="BN11" s="166"/>
      <c r="BO11" s="166"/>
      <c r="BP11" s="172"/>
      <c r="BQ11" s="172"/>
      <c r="BR11" s="172"/>
      <c r="BS11" s="172"/>
      <c r="BT11" s="172"/>
      <c r="BU11" s="172"/>
      <c r="BV11" s="165"/>
      <c r="BW11" s="172"/>
      <c r="BX11" s="172"/>
      <c r="BY11" s="165"/>
      <c r="BZ11" s="165"/>
      <c r="CA11" s="165"/>
      <c r="CB11" s="167"/>
      <c r="CC11" s="172"/>
      <c r="CD11" s="172"/>
      <c r="CE11" s="167"/>
      <c r="CF11" s="167"/>
      <c r="CG11" s="167"/>
      <c r="CH11" s="167"/>
      <c r="CI11" s="172"/>
      <c r="CJ11" s="172"/>
      <c r="CK11" s="167"/>
      <c r="CL11" s="167"/>
      <c r="CM11" s="167"/>
      <c r="CN11" s="112"/>
      <c r="CO11" s="29"/>
      <c r="CP11" s="29"/>
      <c r="CQ11" s="29"/>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9"/>
      <c r="EA11" s="29"/>
      <c r="EB11" s="29"/>
      <c r="EC11" s="29"/>
      <c r="ED11" s="29"/>
      <c r="EE11" s="29"/>
      <c r="EF11" s="29"/>
      <c r="EG11" s="29"/>
    </row>
    <row r="12" spans="1:137" s="64" customFormat="1" ht="30.75" customHeight="1" x14ac:dyDescent="0.25">
      <c r="A12" s="26"/>
      <c r="B12" s="1678" t="s">
        <v>23</v>
      </c>
      <c r="C12" s="1679"/>
      <c r="D12" s="1679"/>
      <c r="E12" s="1679"/>
      <c r="F12" s="1679"/>
      <c r="G12" s="1679"/>
      <c r="H12" s="1679"/>
      <c r="I12" s="1679"/>
      <c r="J12" s="1679"/>
      <c r="K12" s="1679"/>
      <c r="L12" s="1679"/>
      <c r="M12" s="1679"/>
      <c r="N12" s="1679"/>
      <c r="O12" s="1679"/>
      <c r="P12" s="1679"/>
      <c r="Q12" s="1679"/>
      <c r="R12" s="1679"/>
      <c r="S12" s="1679"/>
      <c r="T12" s="1679"/>
      <c r="U12" s="1679"/>
      <c r="V12" s="1679"/>
      <c r="W12" s="1679"/>
      <c r="X12" s="1679"/>
      <c r="Y12" s="1679"/>
      <c r="Z12" s="1679"/>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80"/>
      <c r="BH12" s="28"/>
      <c r="BJ12" s="168"/>
      <c r="BK12" s="168"/>
      <c r="BL12" s="168"/>
      <c r="BM12" s="169"/>
      <c r="BN12" s="169"/>
      <c r="BO12" s="169"/>
      <c r="BP12" s="168"/>
      <c r="BQ12" s="168"/>
      <c r="BR12" s="168"/>
      <c r="BS12" s="168"/>
      <c r="BT12" s="168"/>
      <c r="BU12" s="168"/>
      <c r="BV12" s="168"/>
      <c r="BW12" s="168"/>
      <c r="BX12" s="168"/>
      <c r="BY12" s="168"/>
      <c r="BZ12" s="168"/>
      <c r="CA12" s="168"/>
      <c r="CB12" s="170"/>
      <c r="CC12" s="168"/>
      <c r="CD12" s="168"/>
      <c r="CE12" s="170"/>
      <c r="CF12" s="170"/>
      <c r="CG12" s="170"/>
      <c r="CH12" s="170"/>
      <c r="CI12" s="168"/>
      <c r="CJ12" s="168"/>
      <c r="CK12" s="170"/>
      <c r="CL12" s="170"/>
      <c r="CM12" s="170"/>
      <c r="CN12" s="113"/>
      <c r="CO12" s="36"/>
      <c r="CP12" s="36"/>
      <c r="CQ12" s="36"/>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6"/>
      <c r="EA12" s="36"/>
      <c r="EB12" s="36"/>
      <c r="EC12" s="36"/>
      <c r="ED12" s="36"/>
      <c r="EE12" s="36"/>
      <c r="EF12" s="36"/>
      <c r="EG12" s="36"/>
    </row>
    <row r="13" spans="1:137" s="64" customFormat="1" ht="25.5" customHeight="1" x14ac:dyDescent="0.25">
      <c r="A13" s="26"/>
      <c r="B13" s="1681" t="s">
        <v>24</v>
      </c>
      <c r="C13" s="1682"/>
      <c r="D13" s="1682"/>
      <c r="E13" s="1682"/>
      <c r="F13" s="1682"/>
      <c r="G13" s="1682"/>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3"/>
      <c r="BH13" s="28"/>
      <c r="BJ13" s="168"/>
      <c r="BK13" s="168"/>
      <c r="BL13" s="168"/>
      <c r="BM13" s="169"/>
      <c r="BN13" s="169"/>
      <c r="BO13" s="169"/>
      <c r="BP13" s="168"/>
      <c r="BQ13" s="168"/>
      <c r="BR13" s="168"/>
      <c r="BS13" s="168"/>
      <c r="BT13" s="168"/>
      <c r="BU13" s="168"/>
      <c r="BV13" s="168"/>
      <c r="BW13" s="168"/>
      <c r="BX13" s="168"/>
      <c r="BY13" s="168"/>
      <c r="BZ13" s="168"/>
      <c r="CA13" s="168"/>
      <c r="CB13" s="170"/>
      <c r="CC13" s="168"/>
      <c r="CD13" s="168"/>
      <c r="CE13" s="170"/>
      <c r="CF13" s="170"/>
      <c r="CG13" s="170"/>
      <c r="CH13" s="170"/>
      <c r="CI13" s="168"/>
      <c r="CJ13" s="168"/>
      <c r="CK13" s="170"/>
      <c r="CL13" s="170"/>
      <c r="CM13" s="170"/>
      <c r="CN13" s="113"/>
      <c r="CO13" s="36"/>
      <c r="CP13" s="36"/>
      <c r="CQ13" s="36"/>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6"/>
      <c r="EA13" s="36"/>
      <c r="EB13" s="36"/>
      <c r="EC13" s="36"/>
      <c r="ED13" s="36"/>
      <c r="EE13" s="36"/>
      <c r="EF13" s="36"/>
      <c r="EG13" s="36"/>
    </row>
    <row r="14" spans="1:137" s="64" customFormat="1" ht="15" customHeight="1" x14ac:dyDescent="0.25">
      <c r="A14" s="26"/>
      <c r="B14" s="1684" t="s">
        <v>283</v>
      </c>
      <c r="C14" s="1686" t="s">
        <v>287</v>
      </c>
      <c r="D14" s="1686" t="s">
        <v>25</v>
      </c>
      <c r="E14" s="1686"/>
      <c r="F14" s="1686"/>
      <c r="G14" s="1686"/>
      <c r="H14" s="1686"/>
      <c r="I14" s="1686"/>
      <c r="J14" s="1686"/>
      <c r="K14" s="1686"/>
      <c r="L14" s="1686"/>
      <c r="M14" s="1686"/>
      <c r="N14" s="1686"/>
      <c r="O14" s="1686"/>
      <c r="P14" s="1686"/>
      <c r="Q14" s="1686"/>
      <c r="R14" s="1686"/>
      <c r="S14" s="1686" t="s">
        <v>193</v>
      </c>
      <c r="T14" s="1686"/>
      <c r="U14" s="1686"/>
      <c r="V14" s="1686"/>
      <c r="W14" s="1686"/>
      <c r="X14" s="1676" t="s">
        <v>201</v>
      </c>
      <c r="Y14" s="1676"/>
      <c r="Z14" s="1676"/>
      <c r="AA14" s="1676"/>
      <c r="AB14" s="1676"/>
      <c r="AC14" s="1676"/>
      <c r="AD14" s="1676"/>
      <c r="AE14" s="1676" t="s">
        <v>200</v>
      </c>
      <c r="AF14" s="1676"/>
      <c r="AG14" s="1676"/>
      <c r="AH14" s="1676"/>
      <c r="AI14" s="1676"/>
      <c r="AJ14" s="1676"/>
      <c r="AK14" s="1676"/>
      <c r="AL14" s="1676" t="s">
        <v>199</v>
      </c>
      <c r="AM14" s="1676"/>
      <c r="AN14" s="1676"/>
      <c r="AO14" s="1676"/>
      <c r="AP14" s="1676"/>
      <c r="AQ14" s="1676"/>
      <c r="AR14" s="1676"/>
      <c r="AS14" s="1676" t="s">
        <v>363</v>
      </c>
      <c r="AT14" s="1676"/>
      <c r="AU14" s="1676"/>
      <c r="AV14" s="1676"/>
      <c r="AW14" s="1676"/>
      <c r="AX14" s="1676"/>
      <c r="AY14" s="1676" t="s">
        <v>198</v>
      </c>
      <c r="AZ14" s="1676"/>
      <c r="BA14" s="1676"/>
      <c r="BB14" s="1676"/>
      <c r="BC14" s="1676"/>
      <c r="BD14" s="1676"/>
      <c r="BE14" s="1676"/>
      <c r="BF14" s="1687" t="s">
        <v>606</v>
      </c>
      <c r="BG14" s="1688" t="s">
        <v>26</v>
      </c>
      <c r="BH14" s="28"/>
      <c r="BJ14" s="168"/>
      <c r="BK14" s="168"/>
      <c r="BL14" s="168"/>
      <c r="BM14" s="169"/>
      <c r="BN14" s="169"/>
      <c r="BO14" s="169"/>
      <c r="BP14" s="168"/>
      <c r="BQ14" s="168"/>
      <c r="BR14" s="168"/>
      <c r="BS14" s="168"/>
      <c r="BT14" s="168"/>
      <c r="BU14" s="168"/>
      <c r="BV14" s="168"/>
      <c r="BW14" s="168"/>
      <c r="BX14" s="168"/>
      <c r="BY14" s="168"/>
      <c r="BZ14" s="168"/>
      <c r="CA14" s="168"/>
      <c r="CB14" s="170"/>
      <c r="CC14" s="168"/>
      <c r="CD14" s="168"/>
      <c r="CE14" s="170"/>
      <c r="CF14" s="170"/>
      <c r="CG14" s="170"/>
      <c r="CH14" s="170"/>
      <c r="CI14" s="168"/>
      <c r="CJ14" s="168"/>
      <c r="CK14" s="170"/>
      <c r="CL14" s="170"/>
      <c r="CM14" s="170"/>
      <c r="CN14" s="113"/>
      <c r="CO14" s="36"/>
      <c r="CP14" s="36"/>
      <c r="CQ14" s="36"/>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6"/>
      <c r="EA14" s="36"/>
      <c r="EB14" s="36"/>
      <c r="EC14" s="36"/>
      <c r="ED14" s="36"/>
      <c r="EE14" s="36"/>
      <c r="EF14" s="36"/>
      <c r="EG14" s="36"/>
    </row>
    <row r="15" spans="1:137" s="64" customFormat="1" ht="75" customHeight="1" x14ac:dyDescent="0.25">
      <c r="A15" s="26"/>
      <c r="B15" s="1685"/>
      <c r="C15" s="1686"/>
      <c r="D15" s="676" t="s">
        <v>27</v>
      </c>
      <c r="E15" s="676" t="s">
        <v>646</v>
      </c>
      <c r="F15" s="676" t="s">
        <v>29</v>
      </c>
      <c r="G15" s="676" t="s">
        <v>30</v>
      </c>
      <c r="H15" s="676" t="s">
        <v>31</v>
      </c>
      <c r="I15" s="676" t="s">
        <v>32</v>
      </c>
      <c r="J15" s="676" t="s">
        <v>33</v>
      </c>
      <c r="K15" s="676" t="s">
        <v>34</v>
      </c>
      <c r="L15" s="676" t="s">
        <v>35</v>
      </c>
      <c r="M15" s="676" t="s">
        <v>36</v>
      </c>
      <c r="N15" s="676" t="s">
        <v>37</v>
      </c>
      <c r="O15" s="676" t="s">
        <v>38</v>
      </c>
      <c r="P15" s="676" t="s">
        <v>39</v>
      </c>
      <c r="Q15" s="676" t="s">
        <v>40</v>
      </c>
      <c r="R15" s="676" t="s">
        <v>41</v>
      </c>
      <c r="S15" s="676" t="s">
        <v>42</v>
      </c>
      <c r="T15" s="676" t="s">
        <v>43</v>
      </c>
      <c r="U15" s="676" t="s">
        <v>44</v>
      </c>
      <c r="V15" s="677" t="s">
        <v>210</v>
      </c>
      <c r="W15" s="678" t="s">
        <v>193</v>
      </c>
      <c r="X15" s="1687" t="s">
        <v>194</v>
      </c>
      <c r="Y15" s="1687"/>
      <c r="Z15" s="676" t="s">
        <v>202</v>
      </c>
      <c r="AA15" s="679" t="s">
        <v>605</v>
      </c>
      <c r="AB15" s="679" t="s">
        <v>617</v>
      </c>
      <c r="AC15" s="678" t="s">
        <v>203</v>
      </c>
      <c r="AD15" s="679" t="s">
        <v>294</v>
      </c>
      <c r="AE15" s="1687" t="s">
        <v>195</v>
      </c>
      <c r="AF15" s="1687"/>
      <c r="AG15" s="678" t="s">
        <v>204</v>
      </c>
      <c r="AH15" s="680" t="s">
        <v>618</v>
      </c>
      <c r="AI15" s="680" t="s">
        <v>619</v>
      </c>
      <c r="AJ15" s="678" t="s">
        <v>205</v>
      </c>
      <c r="AK15" s="679" t="s">
        <v>294</v>
      </c>
      <c r="AL15" s="1687" t="s">
        <v>196</v>
      </c>
      <c r="AM15" s="1687"/>
      <c r="AN15" s="678" t="s">
        <v>206</v>
      </c>
      <c r="AO15" s="676" t="s">
        <v>620</v>
      </c>
      <c r="AP15" s="676" t="s">
        <v>621</v>
      </c>
      <c r="AQ15" s="678" t="s">
        <v>207</v>
      </c>
      <c r="AR15" s="679" t="s">
        <v>294</v>
      </c>
      <c r="AS15" s="1687" t="s">
        <v>622</v>
      </c>
      <c r="AT15" s="1687"/>
      <c r="AU15" s="678" t="s">
        <v>365</v>
      </c>
      <c r="AV15" s="679" t="s">
        <v>623</v>
      </c>
      <c r="AW15" s="678" t="s">
        <v>364</v>
      </c>
      <c r="AX15" s="679" t="s">
        <v>294</v>
      </c>
      <c r="AY15" s="1687" t="s">
        <v>197</v>
      </c>
      <c r="AZ15" s="1687"/>
      <c r="BA15" s="678" t="s">
        <v>208</v>
      </c>
      <c r="BB15" s="679" t="s">
        <v>624</v>
      </c>
      <c r="BC15" s="679" t="s">
        <v>625</v>
      </c>
      <c r="BD15" s="678" t="s">
        <v>209</v>
      </c>
      <c r="BE15" s="679" t="s">
        <v>294</v>
      </c>
      <c r="BF15" s="1687"/>
      <c r="BG15" s="1688"/>
      <c r="BH15" s="28" t="s">
        <v>45</v>
      </c>
      <c r="BJ15" s="168"/>
      <c r="BK15" s="168"/>
      <c r="BL15" s="168"/>
      <c r="BM15" s="169"/>
      <c r="BN15" s="169"/>
      <c r="BO15" s="169"/>
      <c r="BP15" s="168"/>
      <c r="BQ15" s="168"/>
      <c r="BR15" s="168"/>
      <c r="BS15" s="168"/>
      <c r="BT15" s="168"/>
      <c r="BU15" s="168"/>
      <c r="BV15" s="168"/>
      <c r="BW15" s="168"/>
      <c r="BX15" s="168"/>
      <c r="BY15" s="168"/>
      <c r="BZ15" s="168"/>
      <c r="CA15" s="168"/>
      <c r="CB15" s="170"/>
      <c r="CC15" s="168"/>
      <c r="CD15" s="168"/>
      <c r="CE15" s="170"/>
      <c r="CF15" s="170"/>
      <c r="CG15" s="170"/>
      <c r="CH15" s="170"/>
      <c r="CI15" s="168"/>
      <c r="CJ15" s="168"/>
      <c r="CK15" s="170"/>
      <c r="CL15" s="170"/>
      <c r="CM15" s="170"/>
      <c r="CN15" s="113"/>
      <c r="CO15" s="36"/>
      <c r="CP15" s="36"/>
      <c r="CQ15" s="36"/>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6"/>
      <c r="EA15" s="36"/>
      <c r="EB15" s="36"/>
      <c r="EC15" s="36"/>
      <c r="ED15" s="36"/>
      <c r="EE15" s="36"/>
      <c r="EF15" s="36"/>
      <c r="EG15" s="36"/>
    </row>
    <row r="16" spans="1:137" s="27" customFormat="1" ht="15" customHeight="1" x14ac:dyDescent="0.25">
      <c r="A16" s="26"/>
      <c r="B16" s="650" t="s">
        <v>402</v>
      </c>
      <c r="C16" s="553" t="s">
        <v>563</v>
      </c>
      <c r="D16" s="681" t="str">
        <f t="shared" ref="D16:D23" si="0">VLOOKUP($C16,$BI$90:$CM$472,2,FALSE)</f>
        <v>Gal</v>
      </c>
      <c r="E16" s="1393"/>
      <c r="F16" s="421"/>
      <c r="G16" s="421"/>
      <c r="H16" s="421"/>
      <c r="I16" s="421"/>
      <c r="J16" s="421"/>
      <c r="K16" s="421"/>
      <c r="L16" s="421"/>
      <c r="M16" s="421"/>
      <c r="N16" s="421"/>
      <c r="O16" s="421"/>
      <c r="P16" s="421"/>
      <c r="Q16" s="422">
        <f>SUM(E16:P16)</f>
        <v>0</v>
      </c>
      <c r="R16" s="423">
        <f>COUNT(E16:P16)</f>
        <v>0</v>
      </c>
      <c r="S16" s="422">
        <f>IF(R16&gt;1,AVERAGE(E16:P16),0)</f>
        <v>0</v>
      </c>
      <c r="T16" s="422">
        <f>IF(R16&gt;1,STDEV(E16:P16),0)</f>
        <v>0</v>
      </c>
      <c r="U16" s="422">
        <f t="shared" ref="U16:U23" si="1">IF(R16&gt;1,VLOOKUP($R16,$BI$424:$BJ$436,2,FALSE),0)</f>
        <v>0</v>
      </c>
      <c r="V16" s="424"/>
      <c r="W16" s="425">
        <f t="shared" ref="W16:W23" si="2">IF(R16&gt;1,1-((S16-((T16*U16)/(SQRT(R16))))/S16),VLOOKUP($C16,$BI$90:$CS$472,34,FALSE))</f>
        <v>0.8</v>
      </c>
      <c r="X16" s="682">
        <f t="shared" ref="X16:X23" si="3">VLOOKUP($C16,$BI$90:$CM$472,3,FALSE)</f>
        <v>10.148999999999999</v>
      </c>
      <c r="Y16" s="668" t="str">
        <f t="shared" ref="Y16:Y23" si="4">VLOOKUP($C16,$BI$90:$CM$472,4,FALSE)</f>
        <v>kg CO2/gal</v>
      </c>
      <c r="Z16" s="669">
        <f t="shared" ref="Z16:Z23" si="5">IF($Q16&gt;0,VLOOKUP($C16,$BI$90:$CM$472,6,FALSE),0)</f>
        <v>0</v>
      </c>
      <c r="AA16" s="670">
        <f>($Q16*X16)/1000</f>
        <v>0</v>
      </c>
      <c r="AB16" s="670">
        <f t="shared" ref="AB16:AB23" si="6">AA16*$BJ$442</f>
        <v>0</v>
      </c>
      <c r="AC16" s="669">
        <f>IF(AA16&gt;0,SQRT(($W16*$W16)+(Z16*Z16)+($V16*$V16)),0)</f>
        <v>0</v>
      </c>
      <c r="AD16" s="670">
        <f>(AB16*AC16)^2</f>
        <v>0</v>
      </c>
      <c r="AE16" s="683">
        <f t="shared" ref="AE16:AE23" si="7">VLOOKUP($C16,$BI$90:$CM$472,21,FALSE)</f>
        <v>3.6999999999999998E-5</v>
      </c>
      <c r="AF16" s="668" t="str">
        <f t="shared" ref="AF16:AF23" si="8">VLOOKUP($C16,$BI$90:$CM$472,22,FALSE)</f>
        <v>kg CH4/gal</v>
      </c>
      <c r="AG16" s="669">
        <f t="shared" ref="AG16:AG23" si="9">IF($Q16&gt;0,VLOOKUP($C16,$BI$90:$CM$472,24,FALSE),0)</f>
        <v>0</v>
      </c>
      <c r="AH16" s="684">
        <f>($Q16*AE16)/1000</f>
        <v>0</v>
      </c>
      <c r="AI16" s="684">
        <f t="shared" ref="AI16:AI23" si="10">AH16*$BJ$443</f>
        <v>0</v>
      </c>
      <c r="AJ16" s="669">
        <f>IF(AH16&gt;0,SQRT(($W16*$W16)+(AG16*AG16)+($V16*$V16)),0)</f>
        <v>0</v>
      </c>
      <c r="AK16" s="670">
        <f>(AI16*AJ16)^2</f>
        <v>0</v>
      </c>
      <c r="AL16" s="683">
        <f t="shared" ref="AL16:AL23" si="11">VLOOKUP($C16,$BI$90:$CM$472,27,FALSE)</f>
        <v>3.6999999999999998E-5</v>
      </c>
      <c r="AM16" s="668" t="str">
        <f t="shared" ref="AM16:AM23" si="12">VLOOKUP($C16,$BI$90:$CM$472,28,FALSE)</f>
        <v>kg N2O/gal</v>
      </c>
      <c r="AN16" s="669">
        <f t="shared" ref="AN16:AN23" si="13">IF($Q16&gt;0,VLOOKUP($C16,$BI$90:$CM$472,30,FALSE),0)</f>
        <v>0</v>
      </c>
      <c r="AO16" s="684">
        <f>($Q16*AL16)/1000</f>
        <v>0</v>
      </c>
      <c r="AP16" s="684">
        <f t="shared" ref="AP16:AP23" si="14">AO16*$BJ$444</f>
        <v>0</v>
      </c>
      <c r="AQ16" s="669">
        <f>IF(AO16&gt;0,SQRT(($W16*$W16)+(AN16*AN16)+($V16*$V16)),0)</f>
        <v>0</v>
      </c>
      <c r="AR16" s="670">
        <f>(AP16*AQ16)^2</f>
        <v>0</v>
      </c>
      <c r="AS16" s="667">
        <v>0</v>
      </c>
      <c r="AT16" s="668">
        <v>0</v>
      </c>
      <c r="AU16" s="669">
        <v>0</v>
      </c>
      <c r="AV16" s="684">
        <f t="shared" ref="AV16:AV23" si="15">($Q16*AS16)/1000</f>
        <v>0</v>
      </c>
      <c r="AW16" s="669">
        <f t="shared" ref="AW16:AW22" si="16">IF(AV16&gt;0,SQRT(($W16*$W16)+(AU16*AU16)+($V16*$V16)),0)</f>
        <v>0</v>
      </c>
      <c r="AX16" s="670">
        <f>(AV16*AW16)^2</f>
        <v>0</v>
      </c>
      <c r="AY16" s="667">
        <v>0</v>
      </c>
      <c r="AZ16" s="668">
        <v>0</v>
      </c>
      <c r="BA16" s="669">
        <v>0</v>
      </c>
      <c r="BB16" s="684">
        <f>($Q16*AY16)/1000</f>
        <v>0</v>
      </c>
      <c r="BC16" s="684">
        <f t="shared" ref="BC16:BC23" si="17">BB16*$BJ$445</f>
        <v>0</v>
      </c>
      <c r="BD16" s="669">
        <f>IF(BB16&gt;0,SQRT(($W16*$W16)+(BA16*BA16)+($V16*$V16)),0)</f>
        <v>0</v>
      </c>
      <c r="BE16" s="670">
        <f>(BC16*BD16)^2</f>
        <v>0</v>
      </c>
      <c r="BF16" s="671">
        <f t="shared" ref="BF16:BF23" si="18">AB16+AI16+AP16+AV16+BC16</f>
        <v>0</v>
      </c>
      <c r="BG16" s="655">
        <f t="shared" ref="BG16:BG23" si="19">IF(BF16&gt;0,SQRT(AD16+AK16+AR16+AX16+BE16)/BF16,0)</f>
        <v>0</v>
      </c>
      <c r="BH16" s="28">
        <f>(BF16*BG16)^2</f>
        <v>0</v>
      </c>
      <c r="BI16" s="64"/>
      <c r="BJ16" s="168"/>
      <c r="BK16" s="168"/>
      <c r="BL16" s="168"/>
      <c r="BM16" s="169"/>
      <c r="BN16" s="169"/>
      <c r="BO16" s="169"/>
      <c r="BP16" s="168"/>
      <c r="BQ16" s="168"/>
      <c r="BR16" s="168"/>
      <c r="BS16" s="168"/>
      <c r="BT16" s="168"/>
      <c r="BU16" s="168"/>
      <c r="BV16" s="168"/>
      <c r="BW16" s="168"/>
      <c r="BX16" s="168"/>
      <c r="BY16" s="168"/>
      <c r="BZ16" s="168"/>
      <c r="CA16" s="168"/>
      <c r="CB16" s="170"/>
      <c r="CC16" s="168"/>
      <c r="CD16" s="168"/>
      <c r="CE16" s="170"/>
      <c r="CF16" s="170"/>
      <c r="CG16" s="170"/>
      <c r="CH16" s="170"/>
      <c r="CI16" s="168"/>
      <c r="CJ16" s="168"/>
      <c r="CK16" s="170"/>
      <c r="CL16" s="170"/>
      <c r="CM16" s="170"/>
      <c r="CN16" s="113"/>
      <c r="CO16" s="36"/>
      <c r="CP16" s="36"/>
      <c r="CQ16" s="36"/>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6"/>
      <c r="EA16" s="36"/>
      <c r="EB16" s="36"/>
      <c r="EC16" s="36"/>
      <c r="ED16" s="36"/>
      <c r="EE16" s="36"/>
      <c r="EF16" s="36"/>
      <c r="EG16" s="36"/>
    </row>
    <row r="17" spans="1:137" s="27" customFormat="1" x14ac:dyDescent="0.25">
      <c r="A17" s="26"/>
      <c r="B17" s="651" t="s">
        <v>401</v>
      </c>
      <c r="C17" s="553" t="s">
        <v>367</v>
      </c>
      <c r="D17" s="681" t="str">
        <f t="shared" si="0"/>
        <v>Gal</v>
      </c>
      <c r="E17" s="1393"/>
      <c r="F17" s="421"/>
      <c r="G17" s="421"/>
      <c r="H17" s="421"/>
      <c r="I17" s="421"/>
      <c r="J17" s="421"/>
      <c r="K17" s="421"/>
      <c r="L17" s="421"/>
      <c r="M17" s="421"/>
      <c r="N17" s="421"/>
      <c r="O17" s="421"/>
      <c r="P17" s="421"/>
      <c r="Q17" s="422">
        <f t="shared" ref="Q17:Q23" si="20">SUM(E17:P17)</f>
        <v>0</v>
      </c>
      <c r="R17" s="423">
        <f t="shared" ref="R17:R23" si="21">COUNT(E17:P17)</f>
        <v>0</v>
      </c>
      <c r="S17" s="422">
        <f t="shared" ref="S17:S23" si="22">IF(R17&gt;1,AVERAGE(E17:P17),0)</f>
        <v>0</v>
      </c>
      <c r="T17" s="422">
        <f t="shared" ref="T17:T23" si="23">IF(R17&gt;1,STDEV(E17:P17),0)</f>
        <v>0</v>
      </c>
      <c r="U17" s="422">
        <f t="shared" si="1"/>
        <v>0</v>
      </c>
      <c r="V17" s="424"/>
      <c r="W17" s="425">
        <f t="shared" si="2"/>
        <v>0.8</v>
      </c>
      <c r="X17" s="682">
        <f t="shared" si="3"/>
        <v>8.8085000000000004</v>
      </c>
      <c r="Y17" s="668" t="str">
        <f t="shared" si="4"/>
        <v>kg CO2/gal</v>
      </c>
      <c r="Z17" s="669">
        <f t="shared" si="5"/>
        <v>0</v>
      </c>
      <c r="AA17" s="670">
        <f t="shared" ref="AA17:AA23" si="24">($Q17*X17)/1000</f>
        <v>0</v>
      </c>
      <c r="AB17" s="670">
        <f t="shared" si="6"/>
        <v>0</v>
      </c>
      <c r="AC17" s="669">
        <f t="shared" ref="AC17:AC23" si="25">IF(AA17&gt;0,SQRT(($W17*$W17)+(Z17*Z17)+($V17*$V17)),0)</f>
        <v>0</v>
      </c>
      <c r="AD17" s="670">
        <f t="shared" ref="AD17:AD32" si="26">(AB17*AC17)^2</f>
        <v>0</v>
      </c>
      <c r="AE17" s="683">
        <f t="shared" si="7"/>
        <v>2.9260000000000001E-4</v>
      </c>
      <c r="AF17" s="668" t="str">
        <f t="shared" si="8"/>
        <v>kg CH4/gal</v>
      </c>
      <c r="AG17" s="669">
        <f t="shared" si="9"/>
        <v>0</v>
      </c>
      <c r="AH17" s="684">
        <f t="shared" ref="AH17:AH23" si="27">($Q17*AE17)/1000</f>
        <v>0</v>
      </c>
      <c r="AI17" s="684">
        <f t="shared" si="10"/>
        <v>0</v>
      </c>
      <c r="AJ17" s="669">
        <f t="shared" ref="AJ17:AJ23" si="28">IF(AH17&gt;0,SQRT(($W17*$W17)+(AG17*AG17)+($V17*$V17)),0)</f>
        <v>0</v>
      </c>
      <c r="AK17" s="670">
        <f t="shared" ref="AK17:AK32" si="29">(AI17*AJ17)^2</f>
        <v>0</v>
      </c>
      <c r="AL17" s="683">
        <f t="shared" si="11"/>
        <v>2.8400000000000003E-5</v>
      </c>
      <c r="AM17" s="668" t="str">
        <f t="shared" si="12"/>
        <v>kg N2O/gal</v>
      </c>
      <c r="AN17" s="669">
        <f t="shared" si="13"/>
        <v>0</v>
      </c>
      <c r="AO17" s="684">
        <f t="shared" ref="AO17:AO23" si="30">($Q17*AL17)/1000</f>
        <v>0</v>
      </c>
      <c r="AP17" s="684">
        <f t="shared" si="14"/>
        <v>0</v>
      </c>
      <c r="AQ17" s="669">
        <f t="shared" ref="AQ17:AQ23" si="31">IF(AO17&gt;0,SQRT(($W17*$W17)+(AN17*AN17)+($V17*$V17)),0)</f>
        <v>0</v>
      </c>
      <c r="AR17" s="670">
        <f t="shared" ref="AR17:AR32" si="32">(AP17*AQ17)^2</f>
        <v>0</v>
      </c>
      <c r="AS17" s="667">
        <v>0</v>
      </c>
      <c r="AT17" s="668">
        <v>0</v>
      </c>
      <c r="AU17" s="669">
        <v>0</v>
      </c>
      <c r="AV17" s="684">
        <f t="shared" si="15"/>
        <v>0</v>
      </c>
      <c r="AW17" s="669">
        <f t="shared" si="16"/>
        <v>0</v>
      </c>
      <c r="AX17" s="670">
        <f t="shared" ref="AX17:AX32" si="33">(AV17*AW17)^2</f>
        <v>0</v>
      </c>
      <c r="AY17" s="667">
        <v>0</v>
      </c>
      <c r="AZ17" s="668">
        <v>0</v>
      </c>
      <c r="BA17" s="669">
        <v>0</v>
      </c>
      <c r="BB17" s="684">
        <f t="shared" ref="BB17:BB23" si="34">($Q17*AY17)/1000</f>
        <v>0</v>
      </c>
      <c r="BC17" s="684">
        <f t="shared" si="17"/>
        <v>0</v>
      </c>
      <c r="BD17" s="669">
        <f t="shared" ref="BD17:BD23" si="35">IF(BB17&gt;0,SQRT(($W17*$W17)+(BA17*BA17)+($V17*$V17)),0)</f>
        <v>0</v>
      </c>
      <c r="BE17" s="670">
        <f t="shared" ref="BE17:BE32" si="36">(BC17*BD17)^2</f>
        <v>0</v>
      </c>
      <c r="BF17" s="671">
        <f t="shared" si="18"/>
        <v>0</v>
      </c>
      <c r="BG17" s="655">
        <f t="shared" si="19"/>
        <v>0</v>
      </c>
      <c r="BH17" s="28">
        <f t="shared" ref="BH17:BH32" si="37">(BF17*BG17)^2</f>
        <v>0</v>
      </c>
      <c r="BI17" s="64"/>
      <c r="BJ17" s="168"/>
      <c r="BK17" s="168"/>
      <c r="BL17" s="168"/>
      <c r="BM17" s="169"/>
      <c r="BN17" s="169"/>
      <c r="BO17" s="169"/>
      <c r="BP17" s="168"/>
      <c r="BQ17" s="168"/>
      <c r="BR17" s="168"/>
      <c r="BS17" s="168"/>
      <c r="BT17" s="168"/>
      <c r="BU17" s="168"/>
      <c r="BV17" s="168"/>
      <c r="BW17" s="168"/>
      <c r="BX17" s="168"/>
      <c r="BY17" s="168"/>
      <c r="BZ17" s="168"/>
      <c r="CA17" s="168"/>
      <c r="CB17" s="170"/>
      <c r="CC17" s="168"/>
      <c r="CD17" s="168"/>
      <c r="CE17" s="170"/>
      <c r="CF17" s="170"/>
      <c r="CG17" s="170"/>
      <c r="CH17" s="170"/>
      <c r="CI17" s="168"/>
      <c r="CJ17" s="168"/>
      <c r="CK17" s="170"/>
      <c r="CL17" s="170"/>
      <c r="CM17" s="170"/>
      <c r="CN17" s="113"/>
      <c r="CO17" s="36"/>
      <c r="CP17" s="36"/>
      <c r="CQ17" s="36"/>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6"/>
      <c r="EA17" s="36"/>
      <c r="EB17" s="36"/>
      <c r="EC17" s="36"/>
      <c r="ED17" s="36"/>
      <c r="EE17" s="36"/>
      <c r="EF17" s="36"/>
      <c r="EG17" s="36"/>
    </row>
    <row r="18" spans="1:137" s="27" customFormat="1" x14ac:dyDescent="0.25">
      <c r="A18" s="26"/>
      <c r="B18" s="651"/>
      <c r="C18" s="553" t="s">
        <v>236</v>
      </c>
      <c r="D18" s="681" t="str">
        <f t="shared" si="0"/>
        <v>Gal</v>
      </c>
      <c r="E18" s="1393"/>
      <c r="F18" s="421"/>
      <c r="G18" s="421"/>
      <c r="H18" s="421"/>
      <c r="I18" s="421"/>
      <c r="J18" s="421"/>
      <c r="K18" s="421"/>
      <c r="L18" s="421"/>
      <c r="M18" s="421"/>
      <c r="N18" s="421"/>
      <c r="O18" s="421"/>
      <c r="P18" s="421"/>
      <c r="Q18" s="422">
        <f t="shared" si="20"/>
        <v>0</v>
      </c>
      <c r="R18" s="423">
        <f t="shared" si="21"/>
        <v>0</v>
      </c>
      <c r="S18" s="422">
        <f t="shared" si="22"/>
        <v>0</v>
      </c>
      <c r="T18" s="422">
        <f t="shared" si="23"/>
        <v>0</v>
      </c>
      <c r="U18" s="422">
        <f t="shared" si="1"/>
        <v>0</v>
      </c>
      <c r="V18" s="424"/>
      <c r="W18" s="425">
        <f t="shared" si="2"/>
        <v>0</v>
      </c>
      <c r="X18" s="682">
        <f t="shared" si="3"/>
        <v>9.8404000000000007</v>
      </c>
      <c r="Y18" s="668" t="str">
        <f t="shared" si="4"/>
        <v>kg CO2/gal</v>
      </c>
      <c r="Z18" s="669">
        <f t="shared" si="5"/>
        <v>0</v>
      </c>
      <c r="AA18" s="670">
        <f t="shared" si="24"/>
        <v>0</v>
      </c>
      <c r="AB18" s="670">
        <f t="shared" si="6"/>
        <v>0</v>
      </c>
      <c r="AC18" s="669">
        <f t="shared" si="25"/>
        <v>0</v>
      </c>
      <c r="AD18" s="670">
        <f t="shared" si="26"/>
        <v>0</v>
      </c>
      <c r="AE18" s="683">
        <f t="shared" si="7"/>
        <v>0</v>
      </c>
      <c r="AF18" s="668" t="str">
        <f t="shared" si="8"/>
        <v>kg CH4/gal</v>
      </c>
      <c r="AG18" s="669">
        <f t="shared" si="9"/>
        <v>0</v>
      </c>
      <c r="AH18" s="684">
        <f t="shared" si="27"/>
        <v>0</v>
      </c>
      <c r="AI18" s="684">
        <f t="shared" si="10"/>
        <v>0</v>
      </c>
      <c r="AJ18" s="669">
        <f t="shared" si="28"/>
        <v>0</v>
      </c>
      <c r="AK18" s="670">
        <f t="shared" si="29"/>
        <v>0</v>
      </c>
      <c r="AL18" s="683">
        <f t="shared" si="11"/>
        <v>0</v>
      </c>
      <c r="AM18" s="668" t="str">
        <f t="shared" si="12"/>
        <v>kg N2O/gal</v>
      </c>
      <c r="AN18" s="669">
        <f t="shared" si="13"/>
        <v>0</v>
      </c>
      <c r="AO18" s="684">
        <f t="shared" si="30"/>
        <v>0</v>
      </c>
      <c r="AP18" s="684">
        <f t="shared" si="14"/>
        <v>0</v>
      </c>
      <c r="AQ18" s="669">
        <f t="shared" si="31"/>
        <v>0</v>
      </c>
      <c r="AR18" s="670">
        <f t="shared" si="32"/>
        <v>0</v>
      </c>
      <c r="AS18" s="667">
        <v>0</v>
      </c>
      <c r="AT18" s="668">
        <v>0</v>
      </c>
      <c r="AU18" s="669">
        <v>0</v>
      </c>
      <c r="AV18" s="684">
        <f t="shared" si="15"/>
        <v>0</v>
      </c>
      <c r="AW18" s="669">
        <f t="shared" si="16"/>
        <v>0</v>
      </c>
      <c r="AX18" s="670">
        <f t="shared" si="33"/>
        <v>0</v>
      </c>
      <c r="AY18" s="667">
        <v>0</v>
      </c>
      <c r="AZ18" s="668">
        <v>0</v>
      </c>
      <c r="BA18" s="669">
        <v>0</v>
      </c>
      <c r="BB18" s="684">
        <f t="shared" si="34"/>
        <v>0</v>
      </c>
      <c r="BC18" s="684">
        <f t="shared" si="17"/>
        <v>0</v>
      </c>
      <c r="BD18" s="669">
        <f t="shared" si="35"/>
        <v>0</v>
      </c>
      <c r="BE18" s="670">
        <f t="shared" si="36"/>
        <v>0</v>
      </c>
      <c r="BF18" s="671">
        <f t="shared" si="18"/>
        <v>0</v>
      </c>
      <c r="BG18" s="655">
        <f t="shared" si="19"/>
        <v>0</v>
      </c>
      <c r="BH18" s="28">
        <f t="shared" si="37"/>
        <v>0</v>
      </c>
      <c r="BI18" s="64"/>
      <c r="BJ18" s="168"/>
      <c r="BK18" s="168"/>
      <c r="BL18" s="168"/>
      <c r="BM18" s="169"/>
      <c r="BN18" s="169"/>
      <c r="BO18" s="169"/>
      <c r="BP18" s="168"/>
      <c r="BQ18" s="168"/>
      <c r="BR18" s="168"/>
      <c r="BS18" s="168"/>
      <c r="BT18" s="168"/>
      <c r="BU18" s="168"/>
      <c r="BV18" s="168"/>
      <c r="BW18" s="168"/>
      <c r="BX18" s="168"/>
      <c r="BY18" s="168"/>
      <c r="BZ18" s="168"/>
      <c r="CA18" s="168"/>
      <c r="CB18" s="170"/>
      <c r="CC18" s="168"/>
      <c r="CD18" s="168"/>
      <c r="CE18" s="170"/>
      <c r="CF18" s="170"/>
      <c r="CG18" s="170"/>
      <c r="CH18" s="170"/>
      <c r="CI18" s="168"/>
      <c r="CJ18" s="168"/>
      <c r="CK18" s="170"/>
      <c r="CL18" s="170"/>
      <c r="CM18" s="170"/>
      <c r="CN18" s="113"/>
      <c r="CO18" s="36"/>
      <c r="CP18" s="36"/>
      <c r="CQ18" s="36"/>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6"/>
      <c r="EA18" s="36"/>
      <c r="EB18" s="36"/>
      <c r="EC18" s="36"/>
      <c r="ED18" s="36"/>
      <c r="EE18" s="36"/>
      <c r="EF18" s="36"/>
      <c r="EG18" s="36"/>
    </row>
    <row r="19" spans="1:137" s="27" customFormat="1" x14ac:dyDescent="0.25">
      <c r="A19" s="26"/>
      <c r="B19" s="652"/>
      <c r="C19" s="553"/>
      <c r="D19" s="681">
        <f t="shared" si="0"/>
        <v>0</v>
      </c>
      <c r="E19" s="1393"/>
      <c r="F19" s="421"/>
      <c r="G19" s="421"/>
      <c r="H19" s="421"/>
      <c r="I19" s="421"/>
      <c r="J19" s="421"/>
      <c r="K19" s="421"/>
      <c r="L19" s="421"/>
      <c r="M19" s="421"/>
      <c r="N19" s="421"/>
      <c r="O19" s="421"/>
      <c r="P19" s="421"/>
      <c r="Q19" s="422">
        <f t="shared" si="20"/>
        <v>0</v>
      </c>
      <c r="R19" s="423">
        <f t="shared" si="21"/>
        <v>0</v>
      </c>
      <c r="S19" s="422">
        <f t="shared" si="22"/>
        <v>0</v>
      </c>
      <c r="T19" s="422">
        <f t="shared" si="23"/>
        <v>0</v>
      </c>
      <c r="U19" s="422">
        <f t="shared" si="1"/>
        <v>0</v>
      </c>
      <c r="V19" s="424"/>
      <c r="W19" s="425">
        <f t="shared" si="2"/>
        <v>0</v>
      </c>
      <c r="X19" s="682">
        <f t="shared" si="3"/>
        <v>0</v>
      </c>
      <c r="Y19" s="668">
        <f t="shared" si="4"/>
        <v>0</v>
      </c>
      <c r="Z19" s="669">
        <f t="shared" si="5"/>
        <v>0</v>
      </c>
      <c r="AA19" s="670">
        <f t="shared" si="24"/>
        <v>0</v>
      </c>
      <c r="AB19" s="670">
        <f t="shared" si="6"/>
        <v>0</v>
      </c>
      <c r="AC19" s="669">
        <f t="shared" si="25"/>
        <v>0</v>
      </c>
      <c r="AD19" s="670">
        <f t="shared" si="26"/>
        <v>0</v>
      </c>
      <c r="AE19" s="683">
        <f t="shared" si="7"/>
        <v>0</v>
      </c>
      <c r="AF19" s="668">
        <f t="shared" si="8"/>
        <v>0</v>
      </c>
      <c r="AG19" s="669">
        <f t="shared" si="9"/>
        <v>0</v>
      </c>
      <c r="AH19" s="684">
        <f t="shared" si="27"/>
        <v>0</v>
      </c>
      <c r="AI19" s="684">
        <f t="shared" si="10"/>
        <v>0</v>
      </c>
      <c r="AJ19" s="669">
        <f t="shared" si="28"/>
        <v>0</v>
      </c>
      <c r="AK19" s="670">
        <f t="shared" si="29"/>
        <v>0</v>
      </c>
      <c r="AL19" s="683">
        <f t="shared" si="11"/>
        <v>0</v>
      </c>
      <c r="AM19" s="668">
        <f t="shared" si="12"/>
        <v>0</v>
      </c>
      <c r="AN19" s="669">
        <f t="shared" si="13"/>
        <v>0</v>
      </c>
      <c r="AO19" s="684">
        <f t="shared" si="30"/>
        <v>0</v>
      </c>
      <c r="AP19" s="684">
        <f t="shared" si="14"/>
        <v>0</v>
      </c>
      <c r="AQ19" s="669">
        <f t="shared" si="31"/>
        <v>0</v>
      </c>
      <c r="AR19" s="670">
        <f t="shared" si="32"/>
        <v>0</v>
      </c>
      <c r="AS19" s="667">
        <v>0</v>
      </c>
      <c r="AT19" s="668">
        <v>0</v>
      </c>
      <c r="AU19" s="669">
        <v>0</v>
      </c>
      <c r="AV19" s="684">
        <f t="shared" si="15"/>
        <v>0</v>
      </c>
      <c r="AW19" s="669">
        <f t="shared" si="16"/>
        <v>0</v>
      </c>
      <c r="AX19" s="670">
        <f t="shared" si="33"/>
        <v>0</v>
      </c>
      <c r="AY19" s="667">
        <v>0</v>
      </c>
      <c r="AZ19" s="668">
        <v>0</v>
      </c>
      <c r="BA19" s="669">
        <v>0</v>
      </c>
      <c r="BB19" s="684">
        <f t="shared" si="34"/>
        <v>0</v>
      </c>
      <c r="BC19" s="684">
        <f t="shared" si="17"/>
        <v>0</v>
      </c>
      <c r="BD19" s="669">
        <f t="shared" si="35"/>
        <v>0</v>
      </c>
      <c r="BE19" s="670">
        <f t="shared" si="36"/>
        <v>0</v>
      </c>
      <c r="BF19" s="671">
        <f t="shared" si="18"/>
        <v>0</v>
      </c>
      <c r="BG19" s="655">
        <f t="shared" si="19"/>
        <v>0</v>
      </c>
      <c r="BH19" s="28">
        <f t="shared" si="37"/>
        <v>0</v>
      </c>
      <c r="BI19" s="64"/>
      <c r="BJ19" s="168"/>
      <c r="BK19" s="168"/>
      <c r="BL19" s="168"/>
      <c r="BM19" s="169"/>
      <c r="BN19" s="169"/>
      <c r="BO19" s="169"/>
      <c r="BP19" s="168"/>
      <c r="BQ19" s="168"/>
      <c r="BR19" s="168"/>
      <c r="BS19" s="168"/>
      <c r="BT19" s="168"/>
      <c r="BU19" s="168"/>
      <c r="BV19" s="168"/>
      <c r="BW19" s="168"/>
      <c r="BX19" s="168"/>
      <c r="BY19" s="168"/>
      <c r="BZ19" s="168"/>
      <c r="CA19" s="168"/>
      <c r="CB19" s="170"/>
      <c r="CC19" s="168"/>
      <c r="CD19" s="168"/>
      <c r="CE19" s="170"/>
      <c r="CF19" s="170"/>
      <c r="CG19" s="170"/>
      <c r="CH19" s="170"/>
      <c r="CI19" s="168"/>
      <c r="CJ19" s="168"/>
      <c r="CK19" s="170"/>
      <c r="CL19" s="170"/>
      <c r="CM19" s="170"/>
      <c r="CN19" s="113"/>
      <c r="CO19" s="36"/>
      <c r="CP19" s="36"/>
      <c r="CQ19" s="36"/>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6"/>
      <c r="EA19" s="36"/>
      <c r="EB19" s="36"/>
      <c r="EC19" s="36"/>
      <c r="ED19" s="36"/>
      <c r="EE19" s="36"/>
      <c r="EF19" s="36"/>
      <c r="EG19" s="36"/>
    </row>
    <row r="20" spans="1:137" s="27" customFormat="1" ht="15" customHeight="1" x14ac:dyDescent="0.25">
      <c r="A20" s="26"/>
      <c r="B20" s="650" t="s">
        <v>398</v>
      </c>
      <c r="C20" s="553"/>
      <c r="D20" s="681">
        <f t="shared" si="0"/>
        <v>0</v>
      </c>
      <c r="E20" s="1393"/>
      <c r="F20" s="421"/>
      <c r="G20" s="421"/>
      <c r="H20" s="421"/>
      <c r="I20" s="421"/>
      <c r="J20" s="421"/>
      <c r="K20" s="421"/>
      <c r="L20" s="421"/>
      <c r="M20" s="421"/>
      <c r="N20" s="421"/>
      <c r="O20" s="421"/>
      <c r="P20" s="421"/>
      <c r="Q20" s="422">
        <f t="shared" si="20"/>
        <v>0</v>
      </c>
      <c r="R20" s="423">
        <f t="shared" si="21"/>
        <v>0</v>
      </c>
      <c r="S20" s="422">
        <f t="shared" si="22"/>
        <v>0</v>
      </c>
      <c r="T20" s="422">
        <f t="shared" si="23"/>
        <v>0</v>
      </c>
      <c r="U20" s="422">
        <f t="shared" si="1"/>
        <v>0</v>
      </c>
      <c r="V20" s="424"/>
      <c r="W20" s="425">
        <f t="shared" si="2"/>
        <v>0</v>
      </c>
      <c r="X20" s="682">
        <f t="shared" si="3"/>
        <v>0</v>
      </c>
      <c r="Y20" s="668">
        <f t="shared" si="4"/>
        <v>0</v>
      </c>
      <c r="Z20" s="669">
        <f t="shared" si="5"/>
        <v>0</v>
      </c>
      <c r="AA20" s="670">
        <f t="shared" si="24"/>
        <v>0</v>
      </c>
      <c r="AB20" s="670">
        <f t="shared" si="6"/>
        <v>0</v>
      </c>
      <c r="AC20" s="669">
        <f t="shared" si="25"/>
        <v>0</v>
      </c>
      <c r="AD20" s="670">
        <f t="shared" si="26"/>
        <v>0</v>
      </c>
      <c r="AE20" s="683">
        <f t="shared" si="7"/>
        <v>0</v>
      </c>
      <c r="AF20" s="668">
        <f t="shared" si="8"/>
        <v>0</v>
      </c>
      <c r="AG20" s="669">
        <f t="shared" si="9"/>
        <v>0</v>
      </c>
      <c r="AH20" s="684">
        <f t="shared" si="27"/>
        <v>0</v>
      </c>
      <c r="AI20" s="684">
        <f t="shared" si="10"/>
        <v>0</v>
      </c>
      <c r="AJ20" s="669">
        <f t="shared" si="28"/>
        <v>0</v>
      </c>
      <c r="AK20" s="670">
        <f t="shared" si="29"/>
        <v>0</v>
      </c>
      <c r="AL20" s="683">
        <f t="shared" si="11"/>
        <v>0</v>
      </c>
      <c r="AM20" s="668">
        <f t="shared" si="12"/>
        <v>0</v>
      </c>
      <c r="AN20" s="669">
        <f t="shared" si="13"/>
        <v>0</v>
      </c>
      <c r="AO20" s="684">
        <f t="shared" si="30"/>
        <v>0</v>
      </c>
      <c r="AP20" s="684">
        <f t="shared" si="14"/>
        <v>0</v>
      </c>
      <c r="AQ20" s="669">
        <f t="shared" si="31"/>
        <v>0</v>
      </c>
      <c r="AR20" s="670">
        <f t="shared" si="32"/>
        <v>0</v>
      </c>
      <c r="AS20" s="667">
        <v>0</v>
      </c>
      <c r="AT20" s="668">
        <v>0</v>
      </c>
      <c r="AU20" s="669">
        <v>0</v>
      </c>
      <c r="AV20" s="684">
        <f t="shared" si="15"/>
        <v>0</v>
      </c>
      <c r="AW20" s="669">
        <f t="shared" si="16"/>
        <v>0</v>
      </c>
      <c r="AX20" s="670">
        <f t="shared" si="33"/>
        <v>0</v>
      </c>
      <c r="AY20" s="667">
        <v>0</v>
      </c>
      <c r="AZ20" s="668">
        <v>0</v>
      </c>
      <c r="BA20" s="669">
        <v>0</v>
      </c>
      <c r="BB20" s="684">
        <f t="shared" si="34"/>
        <v>0</v>
      </c>
      <c r="BC20" s="684">
        <f t="shared" si="17"/>
        <v>0</v>
      </c>
      <c r="BD20" s="669">
        <f t="shared" si="35"/>
        <v>0</v>
      </c>
      <c r="BE20" s="670">
        <f t="shared" si="36"/>
        <v>0</v>
      </c>
      <c r="BF20" s="671">
        <f t="shared" si="18"/>
        <v>0</v>
      </c>
      <c r="BG20" s="655">
        <f t="shared" si="19"/>
        <v>0</v>
      </c>
      <c r="BH20" s="28">
        <f t="shared" si="37"/>
        <v>0</v>
      </c>
      <c r="BI20" s="64"/>
      <c r="BJ20" s="168"/>
      <c r="BK20" s="168"/>
      <c r="BL20" s="168"/>
      <c r="BM20" s="169"/>
      <c r="BN20" s="169"/>
      <c r="BO20" s="169"/>
      <c r="BP20" s="168"/>
      <c r="BQ20" s="168"/>
      <c r="BR20" s="168"/>
      <c r="BS20" s="168"/>
      <c r="BT20" s="168"/>
      <c r="BU20" s="168"/>
      <c r="BV20" s="168"/>
      <c r="BW20" s="168"/>
      <c r="BX20" s="168"/>
      <c r="BY20" s="168"/>
      <c r="BZ20" s="168"/>
      <c r="CA20" s="168"/>
      <c r="CB20" s="170"/>
      <c r="CC20" s="168"/>
      <c r="CD20" s="168"/>
      <c r="CE20" s="170"/>
      <c r="CF20" s="170"/>
      <c r="CG20" s="170"/>
      <c r="CH20" s="170"/>
      <c r="CI20" s="168"/>
      <c r="CJ20" s="168"/>
      <c r="CK20" s="170"/>
      <c r="CL20" s="170"/>
      <c r="CM20" s="170"/>
      <c r="CN20" s="113"/>
      <c r="CO20" s="36"/>
      <c r="CP20" s="36"/>
      <c r="CQ20" s="36"/>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6"/>
      <c r="EA20" s="36"/>
      <c r="EB20" s="36"/>
      <c r="EC20" s="36"/>
      <c r="ED20" s="36"/>
      <c r="EE20" s="36"/>
      <c r="EF20" s="36"/>
      <c r="EG20" s="36"/>
    </row>
    <row r="21" spans="1:137" s="27" customFormat="1" x14ac:dyDescent="0.25">
      <c r="A21" s="26"/>
      <c r="B21" s="651" t="s">
        <v>401</v>
      </c>
      <c r="C21" s="553"/>
      <c r="D21" s="681">
        <f t="shared" si="0"/>
        <v>0</v>
      </c>
      <c r="E21" s="1393"/>
      <c r="F21" s="421"/>
      <c r="G21" s="421"/>
      <c r="H21" s="421"/>
      <c r="I21" s="421"/>
      <c r="J21" s="421"/>
      <c r="K21" s="421"/>
      <c r="L21" s="421"/>
      <c r="M21" s="421"/>
      <c r="N21" s="421"/>
      <c r="O21" s="421"/>
      <c r="P21" s="421"/>
      <c r="Q21" s="422">
        <f t="shared" si="20"/>
        <v>0</v>
      </c>
      <c r="R21" s="423">
        <f t="shared" si="21"/>
        <v>0</v>
      </c>
      <c r="S21" s="422">
        <f t="shared" si="22"/>
        <v>0</v>
      </c>
      <c r="T21" s="422">
        <f t="shared" si="23"/>
        <v>0</v>
      </c>
      <c r="U21" s="422">
        <f t="shared" si="1"/>
        <v>0</v>
      </c>
      <c r="V21" s="424"/>
      <c r="W21" s="425">
        <f t="shared" si="2"/>
        <v>0</v>
      </c>
      <c r="X21" s="682">
        <f t="shared" si="3"/>
        <v>0</v>
      </c>
      <c r="Y21" s="668">
        <f t="shared" si="4"/>
        <v>0</v>
      </c>
      <c r="Z21" s="669">
        <f t="shared" si="5"/>
        <v>0</v>
      </c>
      <c r="AA21" s="670">
        <f t="shared" si="24"/>
        <v>0</v>
      </c>
      <c r="AB21" s="670">
        <f t="shared" si="6"/>
        <v>0</v>
      </c>
      <c r="AC21" s="669">
        <f t="shared" si="25"/>
        <v>0</v>
      </c>
      <c r="AD21" s="670">
        <f t="shared" si="26"/>
        <v>0</v>
      </c>
      <c r="AE21" s="683">
        <f t="shared" si="7"/>
        <v>0</v>
      </c>
      <c r="AF21" s="668">
        <f t="shared" si="8"/>
        <v>0</v>
      </c>
      <c r="AG21" s="669">
        <f t="shared" si="9"/>
        <v>0</v>
      </c>
      <c r="AH21" s="684">
        <f t="shared" si="27"/>
        <v>0</v>
      </c>
      <c r="AI21" s="684">
        <f t="shared" si="10"/>
        <v>0</v>
      </c>
      <c r="AJ21" s="669">
        <f t="shared" si="28"/>
        <v>0</v>
      </c>
      <c r="AK21" s="670">
        <f t="shared" si="29"/>
        <v>0</v>
      </c>
      <c r="AL21" s="683">
        <f t="shared" si="11"/>
        <v>0</v>
      </c>
      <c r="AM21" s="668">
        <f t="shared" si="12"/>
        <v>0</v>
      </c>
      <c r="AN21" s="669">
        <f t="shared" si="13"/>
        <v>0</v>
      </c>
      <c r="AO21" s="684">
        <f t="shared" si="30"/>
        <v>0</v>
      </c>
      <c r="AP21" s="684">
        <f t="shared" si="14"/>
        <v>0</v>
      </c>
      <c r="AQ21" s="669">
        <f t="shared" si="31"/>
        <v>0</v>
      </c>
      <c r="AR21" s="670">
        <f t="shared" si="32"/>
        <v>0</v>
      </c>
      <c r="AS21" s="667">
        <v>0</v>
      </c>
      <c r="AT21" s="668">
        <v>0</v>
      </c>
      <c r="AU21" s="669">
        <v>0</v>
      </c>
      <c r="AV21" s="684">
        <f t="shared" si="15"/>
        <v>0</v>
      </c>
      <c r="AW21" s="669">
        <f t="shared" si="16"/>
        <v>0</v>
      </c>
      <c r="AX21" s="670">
        <f t="shared" si="33"/>
        <v>0</v>
      </c>
      <c r="AY21" s="667">
        <v>0</v>
      </c>
      <c r="AZ21" s="668">
        <v>0</v>
      </c>
      <c r="BA21" s="669">
        <v>0</v>
      </c>
      <c r="BB21" s="684">
        <f t="shared" si="34"/>
        <v>0</v>
      </c>
      <c r="BC21" s="684">
        <f t="shared" si="17"/>
        <v>0</v>
      </c>
      <c r="BD21" s="669">
        <f t="shared" si="35"/>
        <v>0</v>
      </c>
      <c r="BE21" s="670">
        <f t="shared" si="36"/>
        <v>0</v>
      </c>
      <c r="BF21" s="671">
        <f t="shared" si="18"/>
        <v>0</v>
      </c>
      <c r="BG21" s="655">
        <f t="shared" si="19"/>
        <v>0</v>
      </c>
      <c r="BH21" s="28">
        <f t="shared" si="37"/>
        <v>0</v>
      </c>
      <c r="BI21" s="64"/>
      <c r="BJ21" s="168"/>
      <c r="BK21" s="168"/>
      <c r="BL21" s="168"/>
      <c r="BM21" s="169"/>
      <c r="BN21" s="169"/>
      <c r="BO21" s="169"/>
      <c r="BP21" s="168"/>
      <c r="BQ21" s="168"/>
      <c r="BR21" s="168"/>
      <c r="BS21" s="168"/>
      <c r="BT21" s="168"/>
      <c r="BU21" s="168"/>
      <c r="BV21" s="168"/>
      <c r="BW21" s="168"/>
      <c r="BX21" s="168"/>
      <c r="BY21" s="168"/>
      <c r="BZ21" s="168"/>
      <c r="CA21" s="168"/>
      <c r="CB21" s="170"/>
      <c r="CC21" s="168"/>
      <c r="CD21" s="168"/>
      <c r="CE21" s="170"/>
      <c r="CF21" s="170"/>
      <c r="CG21" s="170"/>
      <c r="CH21" s="170"/>
      <c r="CI21" s="168"/>
      <c r="CJ21" s="168"/>
      <c r="CK21" s="170"/>
      <c r="CL21" s="170"/>
      <c r="CM21" s="170"/>
      <c r="CN21" s="113"/>
      <c r="CO21" s="36"/>
      <c r="CP21" s="36"/>
      <c r="CQ21" s="36"/>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6"/>
      <c r="EA21" s="36"/>
      <c r="EB21" s="36"/>
      <c r="EC21" s="36"/>
      <c r="ED21" s="36"/>
      <c r="EE21" s="36"/>
      <c r="EF21" s="36"/>
      <c r="EG21" s="36"/>
    </row>
    <row r="22" spans="1:137" s="27" customFormat="1" x14ac:dyDescent="0.25">
      <c r="A22" s="26"/>
      <c r="B22" s="651"/>
      <c r="C22" s="553"/>
      <c r="D22" s="681">
        <f t="shared" si="0"/>
        <v>0</v>
      </c>
      <c r="E22" s="1393"/>
      <c r="F22" s="421"/>
      <c r="G22" s="421"/>
      <c r="H22" s="421"/>
      <c r="I22" s="421"/>
      <c r="J22" s="421"/>
      <c r="K22" s="421"/>
      <c r="L22" s="421"/>
      <c r="M22" s="421"/>
      <c r="N22" s="421"/>
      <c r="O22" s="421"/>
      <c r="P22" s="421"/>
      <c r="Q22" s="422">
        <f t="shared" si="20"/>
        <v>0</v>
      </c>
      <c r="R22" s="423">
        <f t="shared" si="21"/>
        <v>0</v>
      </c>
      <c r="S22" s="422">
        <f t="shared" si="22"/>
        <v>0</v>
      </c>
      <c r="T22" s="422">
        <f t="shared" si="23"/>
        <v>0</v>
      </c>
      <c r="U22" s="422">
        <f t="shared" si="1"/>
        <v>0</v>
      </c>
      <c r="V22" s="424"/>
      <c r="W22" s="425">
        <f t="shared" si="2"/>
        <v>0</v>
      </c>
      <c r="X22" s="682">
        <f t="shared" si="3"/>
        <v>0</v>
      </c>
      <c r="Y22" s="668">
        <f t="shared" si="4"/>
        <v>0</v>
      </c>
      <c r="Z22" s="669">
        <f t="shared" si="5"/>
        <v>0</v>
      </c>
      <c r="AA22" s="670">
        <f t="shared" si="24"/>
        <v>0</v>
      </c>
      <c r="AB22" s="670">
        <f t="shared" si="6"/>
        <v>0</v>
      </c>
      <c r="AC22" s="669">
        <f t="shared" si="25"/>
        <v>0</v>
      </c>
      <c r="AD22" s="670">
        <f t="shared" si="26"/>
        <v>0</v>
      </c>
      <c r="AE22" s="683">
        <f t="shared" si="7"/>
        <v>0</v>
      </c>
      <c r="AF22" s="668">
        <f t="shared" si="8"/>
        <v>0</v>
      </c>
      <c r="AG22" s="669">
        <f t="shared" si="9"/>
        <v>0</v>
      </c>
      <c r="AH22" s="684">
        <f t="shared" si="27"/>
        <v>0</v>
      </c>
      <c r="AI22" s="684">
        <f t="shared" si="10"/>
        <v>0</v>
      </c>
      <c r="AJ22" s="669">
        <f t="shared" si="28"/>
        <v>0</v>
      </c>
      <c r="AK22" s="670">
        <f t="shared" si="29"/>
        <v>0</v>
      </c>
      <c r="AL22" s="683">
        <f t="shared" si="11"/>
        <v>0</v>
      </c>
      <c r="AM22" s="668">
        <f t="shared" si="12"/>
        <v>0</v>
      </c>
      <c r="AN22" s="669">
        <f t="shared" si="13"/>
        <v>0</v>
      </c>
      <c r="AO22" s="684">
        <f t="shared" si="30"/>
        <v>0</v>
      </c>
      <c r="AP22" s="684">
        <f t="shared" si="14"/>
        <v>0</v>
      </c>
      <c r="AQ22" s="669">
        <f t="shared" si="31"/>
        <v>0</v>
      </c>
      <c r="AR22" s="670">
        <f t="shared" si="32"/>
        <v>0</v>
      </c>
      <c r="AS22" s="667">
        <v>0</v>
      </c>
      <c r="AT22" s="668">
        <v>0</v>
      </c>
      <c r="AU22" s="669">
        <v>0</v>
      </c>
      <c r="AV22" s="684">
        <f t="shared" si="15"/>
        <v>0</v>
      </c>
      <c r="AW22" s="669">
        <f t="shared" si="16"/>
        <v>0</v>
      </c>
      <c r="AX22" s="670">
        <f t="shared" si="33"/>
        <v>0</v>
      </c>
      <c r="AY22" s="667">
        <v>0</v>
      </c>
      <c r="AZ22" s="668">
        <v>0</v>
      </c>
      <c r="BA22" s="669">
        <v>0</v>
      </c>
      <c r="BB22" s="684">
        <f t="shared" si="34"/>
        <v>0</v>
      </c>
      <c r="BC22" s="684">
        <f t="shared" si="17"/>
        <v>0</v>
      </c>
      <c r="BD22" s="669">
        <f t="shared" si="35"/>
        <v>0</v>
      </c>
      <c r="BE22" s="670">
        <f t="shared" si="36"/>
        <v>0</v>
      </c>
      <c r="BF22" s="671">
        <f t="shared" si="18"/>
        <v>0</v>
      </c>
      <c r="BG22" s="655">
        <f t="shared" si="19"/>
        <v>0</v>
      </c>
      <c r="BH22" s="28">
        <f t="shared" si="37"/>
        <v>0</v>
      </c>
      <c r="BI22" s="64"/>
      <c r="BJ22" s="168"/>
      <c r="BK22" s="168"/>
      <c r="BL22" s="168"/>
      <c r="BM22" s="169"/>
      <c r="BN22" s="169"/>
      <c r="BO22" s="169"/>
      <c r="BP22" s="168"/>
      <c r="BQ22" s="168"/>
      <c r="BR22" s="168"/>
      <c r="BS22" s="168"/>
      <c r="BT22" s="168"/>
      <c r="BU22" s="168"/>
      <c r="BV22" s="168"/>
      <c r="BW22" s="168"/>
      <c r="BX22" s="168"/>
      <c r="BY22" s="168"/>
      <c r="BZ22" s="168"/>
      <c r="CA22" s="168"/>
      <c r="CB22" s="170"/>
      <c r="CC22" s="168"/>
      <c r="CD22" s="168"/>
      <c r="CE22" s="170"/>
      <c r="CF22" s="170"/>
      <c r="CG22" s="170"/>
      <c r="CH22" s="170"/>
      <c r="CI22" s="168"/>
      <c r="CJ22" s="168"/>
      <c r="CK22" s="170"/>
      <c r="CL22" s="170"/>
      <c r="CM22" s="170"/>
      <c r="CN22" s="113"/>
      <c r="CO22" s="36"/>
      <c r="CP22" s="36"/>
      <c r="CQ22" s="36"/>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6"/>
      <c r="EA22" s="36"/>
      <c r="EB22" s="36"/>
      <c r="EC22" s="36"/>
      <c r="ED22" s="36"/>
      <c r="EE22" s="36"/>
      <c r="EF22" s="36"/>
      <c r="EG22" s="36"/>
    </row>
    <row r="23" spans="1:137" s="27" customFormat="1" x14ac:dyDescent="0.25">
      <c r="A23" s="26"/>
      <c r="B23" s="652"/>
      <c r="C23" s="553"/>
      <c r="D23" s="681">
        <f t="shared" si="0"/>
        <v>0</v>
      </c>
      <c r="E23" s="1393"/>
      <c r="F23" s="421"/>
      <c r="G23" s="421"/>
      <c r="H23" s="421"/>
      <c r="I23" s="421"/>
      <c r="J23" s="421"/>
      <c r="K23" s="421"/>
      <c r="L23" s="421"/>
      <c r="M23" s="421"/>
      <c r="N23" s="421"/>
      <c r="O23" s="421"/>
      <c r="P23" s="421"/>
      <c r="Q23" s="422">
        <f t="shared" si="20"/>
        <v>0</v>
      </c>
      <c r="R23" s="423">
        <f t="shared" si="21"/>
        <v>0</v>
      </c>
      <c r="S23" s="422">
        <f t="shared" si="22"/>
        <v>0</v>
      </c>
      <c r="T23" s="422">
        <f t="shared" si="23"/>
        <v>0</v>
      </c>
      <c r="U23" s="422">
        <f t="shared" si="1"/>
        <v>0</v>
      </c>
      <c r="V23" s="424"/>
      <c r="W23" s="425">
        <f t="shared" si="2"/>
        <v>0</v>
      </c>
      <c r="X23" s="682">
        <f t="shared" si="3"/>
        <v>0</v>
      </c>
      <c r="Y23" s="668">
        <f t="shared" si="4"/>
        <v>0</v>
      </c>
      <c r="Z23" s="669">
        <f t="shared" si="5"/>
        <v>0</v>
      </c>
      <c r="AA23" s="670">
        <f t="shared" si="24"/>
        <v>0</v>
      </c>
      <c r="AB23" s="670">
        <f t="shared" si="6"/>
        <v>0</v>
      </c>
      <c r="AC23" s="669">
        <f t="shared" si="25"/>
        <v>0</v>
      </c>
      <c r="AD23" s="670">
        <f t="shared" si="26"/>
        <v>0</v>
      </c>
      <c r="AE23" s="683">
        <f t="shared" si="7"/>
        <v>0</v>
      </c>
      <c r="AF23" s="668">
        <f t="shared" si="8"/>
        <v>0</v>
      </c>
      <c r="AG23" s="669">
        <f t="shared" si="9"/>
        <v>0</v>
      </c>
      <c r="AH23" s="684">
        <f t="shared" si="27"/>
        <v>0</v>
      </c>
      <c r="AI23" s="684">
        <f t="shared" si="10"/>
        <v>0</v>
      </c>
      <c r="AJ23" s="669">
        <f t="shared" si="28"/>
        <v>0</v>
      </c>
      <c r="AK23" s="670">
        <f t="shared" si="29"/>
        <v>0</v>
      </c>
      <c r="AL23" s="683">
        <f t="shared" si="11"/>
        <v>0</v>
      </c>
      <c r="AM23" s="668">
        <f t="shared" si="12"/>
        <v>0</v>
      </c>
      <c r="AN23" s="669">
        <f t="shared" si="13"/>
        <v>0</v>
      </c>
      <c r="AO23" s="684">
        <f t="shared" si="30"/>
        <v>0</v>
      </c>
      <c r="AP23" s="684">
        <f t="shared" si="14"/>
        <v>0</v>
      </c>
      <c r="AQ23" s="669">
        <f t="shared" si="31"/>
        <v>0</v>
      </c>
      <c r="AR23" s="670">
        <f t="shared" si="32"/>
        <v>0</v>
      </c>
      <c r="AS23" s="667">
        <v>0</v>
      </c>
      <c r="AT23" s="668">
        <v>0</v>
      </c>
      <c r="AU23" s="669">
        <v>0</v>
      </c>
      <c r="AV23" s="684">
        <f t="shared" si="15"/>
        <v>0</v>
      </c>
      <c r="AW23" s="669">
        <f>IF(AV23&gt;0,SQRT(($W23*$W23)+(AU23*AU23)+($V23*$V23)),0)</f>
        <v>0</v>
      </c>
      <c r="AX23" s="670">
        <f t="shared" si="33"/>
        <v>0</v>
      </c>
      <c r="AY23" s="667">
        <v>0</v>
      </c>
      <c r="AZ23" s="668">
        <v>0</v>
      </c>
      <c r="BA23" s="669">
        <v>0</v>
      </c>
      <c r="BB23" s="684">
        <f t="shared" si="34"/>
        <v>0</v>
      </c>
      <c r="BC23" s="684">
        <f t="shared" si="17"/>
        <v>0</v>
      </c>
      <c r="BD23" s="669">
        <f t="shared" si="35"/>
        <v>0</v>
      </c>
      <c r="BE23" s="670">
        <f t="shared" si="36"/>
        <v>0</v>
      </c>
      <c r="BF23" s="671">
        <f t="shared" si="18"/>
        <v>0</v>
      </c>
      <c r="BG23" s="655">
        <f t="shared" si="19"/>
        <v>0</v>
      </c>
      <c r="BH23" s="28">
        <f t="shared" si="37"/>
        <v>0</v>
      </c>
      <c r="BI23" s="64"/>
      <c r="BJ23" s="168"/>
      <c r="BK23" s="168"/>
      <c r="BL23" s="168"/>
      <c r="BM23" s="169"/>
      <c r="BN23" s="169"/>
      <c r="BO23" s="169"/>
      <c r="BP23" s="168"/>
      <c r="BQ23" s="168"/>
      <c r="BR23" s="168"/>
      <c r="BS23" s="168"/>
      <c r="BT23" s="168"/>
      <c r="BU23" s="168"/>
      <c r="BV23" s="168"/>
      <c r="BW23" s="168"/>
      <c r="BX23" s="168"/>
      <c r="BY23" s="168"/>
      <c r="BZ23" s="168"/>
      <c r="CA23" s="168"/>
      <c r="CB23" s="170"/>
      <c r="CC23" s="168"/>
      <c r="CD23" s="168"/>
      <c r="CE23" s="170"/>
      <c r="CF23" s="170"/>
      <c r="CG23" s="170"/>
      <c r="CH23" s="170"/>
      <c r="CI23" s="168"/>
      <c r="CJ23" s="168"/>
      <c r="CK23" s="170"/>
      <c r="CL23" s="170"/>
      <c r="CM23" s="170"/>
      <c r="CN23" s="113"/>
      <c r="CO23" s="36"/>
      <c r="CP23" s="36"/>
      <c r="CQ23" s="36"/>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6"/>
      <c r="EA23" s="36"/>
      <c r="EB23" s="36"/>
      <c r="EC23" s="36"/>
      <c r="ED23" s="36"/>
      <c r="EE23" s="36"/>
      <c r="EF23" s="36"/>
      <c r="EG23" s="36"/>
    </row>
    <row r="24" spans="1:137" s="27" customFormat="1" x14ac:dyDescent="0.25">
      <c r="A24" s="26"/>
      <c r="B24" s="648" t="s">
        <v>46</v>
      </c>
      <c r="C24" s="685"/>
      <c r="D24" s="685"/>
      <c r="E24" s="685"/>
      <c r="F24" s="685"/>
      <c r="G24" s="685"/>
      <c r="H24" s="685"/>
      <c r="I24" s="685"/>
      <c r="J24" s="685"/>
      <c r="K24" s="685"/>
      <c r="L24" s="685"/>
      <c r="M24" s="685"/>
      <c r="N24" s="685"/>
      <c r="O24" s="685"/>
      <c r="P24" s="685"/>
      <c r="Q24" s="685"/>
      <c r="R24" s="685"/>
      <c r="S24" s="685"/>
      <c r="T24" s="685"/>
      <c r="U24" s="685"/>
      <c r="V24" s="685"/>
      <c r="W24" s="685"/>
      <c r="X24" s="686"/>
      <c r="Y24" s="685"/>
      <c r="Z24" s="685"/>
      <c r="AA24" s="687"/>
      <c r="AB24" s="688">
        <f>SUM(AB16:AB23)</f>
        <v>0</v>
      </c>
      <c r="AC24" s="689">
        <f>IF(AB24&gt;0,SQRT(SUM(AD16:AD23))/AB24,0)</f>
        <v>0</v>
      </c>
      <c r="AD24" s="688">
        <f t="shared" si="26"/>
        <v>0</v>
      </c>
      <c r="AE24" s="690"/>
      <c r="AF24" s="685"/>
      <c r="AG24" s="685"/>
      <c r="AH24" s="691"/>
      <c r="AI24" s="688">
        <f>SUM(AI16:AI23)</f>
        <v>0</v>
      </c>
      <c r="AJ24" s="689">
        <f>IF(AI24&gt;0,SQRT(SUM(AK16:AK23))/AI24,0)</f>
        <v>0</v>
      </c>
      <c r="AK24" s="688">
        <f t="shared" si="29"/>
        <v>0</v>
      </c>
      <c r="AL24" s="685"/>
      <c r="AM24" s="685"/>
      <c r="AN24" s="685"/>
      <c r="AO24" s="685"/>
      <c r="AP24" s="688">
        <f>SUM(AP16:AP23)</f>
        <v>0</v>
      </c>
      <c r="AQ24" s="689">
        <f>IF(AP24&gt;0,SQRT(SUM(AR16:AR23))/AP24,0)</f>
        <v>0</v>
      </c>
      <c r="AR24" s="688">
        <f t="shared" si="32"/>
        <v>0</v>
      </c>
      <c r="AS24" s="685"/>
      <c r="AT24" s="685"/>
      <c r="AU24" s="685"/>
      <c r="AV24" s="688">
        <f>SUM(AV16:AV23)</f>
        <v>0</v>
      </c>
      <c r="AW24" s="689">
        <f>IF(AV24&gt;0,SQRT(SUM(AX16:AX23))/AV24,0)</f>
        <v>0</v>
      </c>
      <c r="AX24" s="688">
        <f t="shared" si="33"/>
        <v>0</v>
      </c>
      <c r="AY24" s="685"/>
      <c r="AZ24" s="685"/>
      <c r="BA24" s="692"/>
      <c r="BB24" s="693"/>
      <c r="BC24" s="688">
        <f>SUM(BC16:BC23)</f>
        <v>0</v>
      </c>
      <c r="BD24" s="689">
        <f>IF(BC24&gt;0,SQRT(SUM(BE16:BE23))/BC24,0)</f>
        <v>0</v>
      </c>
      <c r="BE24" s="688">
        <f t="shared" si="36"/>
        <v>0</v>
      </c>
      <c r="BF24" s="688">
        <f>SUM(BF16:BF23)</f>
        <v>0</v>
      </c>
      <c r="BG24" s="649">
        <f>IF(BF24&gt;0,SQRT(SUM(BH16:BH23))/BF24,0)</f>
        <v>0</v>
      </c>
      <c r="BH24" s="28">
        <f t="shared" si="37"/>
        <v>0</v>
      </c>
      <c r="BI24" s="64"/>
      <c r="BJ24" s="168"/>
      <c r="BK24" s="168"/>
      <c r="BL24" s="168"/>
      <c r="BM24" s="169"/>
      <c r="BN24" s="169"/>
      <c r="BO24" s="169"/>
      <c r="BP24" s="168"/>
      <c r="BQ24" s="168"/>
      <c r="BR24" s="168"/>
      <c r="BS24" s="168"/>
      <c r="BT24" s="168"/>
      <c r="BU24" s="168"/>
      <c r="BV24" s="168"/>
      <c r="BW24" s="168"/>
      <c r="BX24" s="168"/>
      <c r="BY24" s="168"/>
      <c r="BZ24" s="168"/>
      <c r="CA24" s="168"/>
      <c r="CB24" s="170"/>
      <c r="CC24" s="168"/>
      <c r="CD24" s="168"/>
      <c r="CE24" s="170"/>
      <c r="CF24" s="170"/>
      <c r="CG24" s="170"/>
      <c r="CH24" s="170"/>
      <c r="CI24" s="168"/>
      <c r="CJ24" s="168"/>
      <c r="CK24" s="170"/>
      <c r="CL24" s="170"/>
      <c r="CM24" s="170"/>
      <c r="CN24" s="113"/>
      <c r="CO24" s="36"/>
      <c r="CP24" s="36"/>
      <c r="CQ24" s="36"/>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6"/>
      <c r="EA24" s="36"/>
      <c r="EB24" s="36"/>
      <c r="EC24" s="36"/>
      <c r="ED24" s="36"/>
      <c r="EE24" s="36"/>
      <c r="EF24" s="36"/>
      <c r="EG24" s="36"/>
    </row>
    <row r="25" spans="1:137" s="27" customFormat="1" ht="15" customHeight="1" x14ac:dyDescent="0.25">
      <c r="A25" s="26"/>
      <c r="B25" s="650" t="s">
        <v>399</v>
      </c>
      <c r="C25" s="553"/>
      <c r="D25" s="681">
        <f t="shared" ref="D25:D30" si="38">VLOOKUP($C25,$BI$90:$CM$472,2,FALSE)</f>
        <v>0</v>
      </c>
      <c r="E25" s="421"/>
      <c r="F25" s="421"/>
      <c r="G25" s="421"/>
      <c r="H25" s="421"/>
      <c r="I25" s="421"/>
      <c r="J25" s="421"/>
      <c r="K25" s="421"/>
      <c r="L25" s="421"/>
      <c r="M25" s="421"/>
      <c r="N25" s="421"/>
      <c r="O25" s="421"/>
      <c r="P25" s="421"/>
      <c r="Q25" s="422">
        <f t="shared" ref="Q25:Q30" si="39">SUM(E25:P25)</f>
        <v>0</v>
      </c>
      <c r="R25" s="423">
        <f t="shared" ref="R25:R30" si="40">COUNT(E25:P25)</f>
        <v>0</v>
      </c>
      <c r="S25" s="422">
        <f t="shared" ref="S25:S30" si="41">IF(R25&gt;1,AVERAGE(E25:P25),0)</f>
        <v>0</v>
      </c>
      <c r="T25" s="422">
        <f t="shared" ref="T25:T30" si="42">IF(R25&gt;1,STDEV(E25:P25),0)</f>
        <v>0</v>
      </c>
      <c r="U25" s="422">
        <f t="shared" ref="U25:U30" si="43">IF(R25&gt;1,VLOOKUP($R25,$BI$424:$BJ$436,2,FALSE),0)</f>
        <v>0</v>
      </c>
      <c r="V25" s="424"/>
      <c r="W25" s="425">
        <f t="shared" ref="W25:W30" si="44">IF(R25&gt;1,1-((S25-((T25*U25)/(SQRT(R25))))/S25),VLOOKUP($C25,$BI$90:$CS$472,34,FALSE))</f>
        <v>0</v>
      </c>
      <c r="X25" s="682">
        <v>0</v>
      </c>
      <c r="Y25" s="668">
        <v>0</v>
      </c>
      <c r="Z25" s="669">
        <v>0</v>
      </c>
      <c r="AA25" s="670">
        <f t="shared" ref="AA25:AA30" si="45">($Q25*X25)/1000</f>
        <v>0</v>
      </c>
      <c r="AB25" s="670">
        <f t="shared" ref="AB25:AB30" si="46">AA25*$BJ$442</f>
        <v>0</v>
      </c>
      <c r="AC25" s="669">
        <f t="shared" ref="AC25:AC30" si="47">IF(AA25&gt;0,SQRT(($W25*$W25)+(Z25*Z25)+($V25*$V25)),0)</f>
        <v>0</v>
      </c>
      <c r="AD25" s="670">
        <f t="shared" si="26"/>
        <v>0</v>
      </c>
      <c r="AE25" s="683">
        <v>0</v>
      </c>
      <c r="AF25" s="668">
        <v>0</v>
      </c>
      <c r="AG25" s="669">
        <v>0</v>
      </c>
      <c r="AH25" s="684">
        <f t="shared" ref="AH25:AH30" si="48">($Q25*AE25)/1000</f>
        <v>0</v>
      </c>
      <c r="AI25" s="684">
        <f t="shared" ref="AI25:AI30" si="49">AH25*$BJ$443</f>
        <v>0</v>
      </c>
      <c r="AJ25" s="669">
        <f t="shared" ref="AJ25:AJ30" si="50">IF(AH25&gt;0,SQRT(($W25*$W25)+(AG25*AG25)+($V25*$V25)),0)</f>
        <v>0</v>
      </c>
      <c r="AK25" s="670">
        <f t="shared" si="29"/>
        <v>0</v>
      </c>
      <c r="AL25" s="683">
        <v>0</v>
      </c>
      <c r="AM25" s="668">
        <f>VLOOKUP($C25,$BI$90:$CM$472,28,FALSE)</f>
        <v>0</v>
      </c>
      <c r="AN25" s="669">
        <v>0</v>
      </c>
      <c r="AO25" s="684">
        <f>(W25*AL25)/1000</f>
        <v>0</v>
      </c>
      <c r="AP25" s="684">
        <f t="shared" ref="AP25:AP30" si="51">AO25*$BJ$444</f>
        <v>0</v>
      </c>
      <c r="AQ25" s="669">
        <f t="shared" ref="AQ25:AQ30" si="52">IF(AO25&gt;0,SQRT(($W25*$W25)+(AN25*AN25)+($V25*$V25)),0)</f>
        <v>0</v>
      </c>
      <c r="AR25" s="670">
        <f t="shared" si="32"/>
        <v>0</v>
      </c>
      <c r="AS25" s="667">
        <f>VLOOKUP($C25,$BI$90:$CM$472,3,FALSE)</f>
        <v>0</v>
      </c>
      <c r="AT25" s="668">
        <f>VLOOKUP($C25,$BI$90:$CM$472,4,FALSE)</f>
        <v>0</v>
      </c>
      <c r="AU25" s="669">
        <f>IF($Q25&gt;0,VLOOKUP($C25,$BI$90:$CM$472,6,FALSE),0)</f>
        <v>0</v>
      </c>
      <c r="AV25" s="684">
        <f t="shared" ref="AV25:AV30" si="53">($Q25*AS25)/1000</f>
        <v>0</v>
      </c>
      <c r="AW25" s="669">
        <f t="shared" ref="AW25:AW30" si="54">IF(AV25&gt;0,SQRT(($W25*$W25)+(AU25*AU25)+($V25*$V25)),0)</f>
        <v>0</v>
      </c>
      <c r="AX25" s="670">
        <f t="shared" si="33"/>
        <v>0</v>
      </c>
      <c r="AY25" s="667">
        <v>0</v>
      </c>
      <c r="AZ25" s="668">
        <v>0</v>
      </c>
      <c r="BA25" s="669">
        <v>0</v>
      </c>
      <c r="BB25" s="684">
        <f t="shared" ref="BB25:BB30" si="55">($Q25*AY25)/1000</f>
        <v>0</v>
      </c>
      <c r="BC25" s="684">
        <f t="shared" ref="BC25:BC30" si="56">BB25*$BJ$445</f>
        <v>0</v>
      </c>
      <c r="BD25" s="669">
        <v>0</v>
      </c>
      <c r="BE25" s="670">
        <f t="shared" si="36"/>
        <v>0</v>
      </c>
      <c r="BF25" s="671">
        <f t="shared" ref="BF25:BF30" si="57">AB25+AI25+AP25+AV25+BC25</f>
        <v>0</v>
      </c>
      <c r="BG25" s="655">
        <f t="shared" ref="BG25:BG30" si="58">IF(BF25&gt;0,SQRT(AD25+AK25+AR25+AX25+BE25)/BF25,0)</f>
        <v>0</v>
      </c>
      <c r="BH25" s="28">
        <f t="shared" si="37"/>
        <v>0</v>
      </c>
      <c r="BI25" s="64"/>
      <c r="BJ25" s="168"/>
      <c r="BK25" s="168"/>
      <c r="BL25" s="168"/>
      <c r="BM25" s="169"/>
      <c r="BN25" s="169"/>
      <c r="BO25" s="169"/>
      <c r="BP25" s="168"/>
      <c r="BQ25" s="168"/>
      <c r="BR25" s="168"/>
      <c r="BS25" s="168"/>
      <c r="BT25" s="168"/>
      <c r="BU25" s="168"/>
      <c r="BV25" s="168"/>
      <c r="BW25" s="168"/>
      <c r="BX25" s="168"/>
      <c r="BY25" s="168"/>
      <c r="BZ25" s="168"/>
      <c r="CA25" s="168"/>
      <c r="CB25" s="170"/>
      <c r="CC25" s="168"/>
      <c r="CD25" s="168"/>
      <c r="CE25" s="170"/>
      <c r="CF25" s="170"/>
      <c r="CG25" s="170"/>
      <c r="CH25" s="170"/>
      <c r="CI25" s="168"/>
      <c r="CJ25" s="168"/>
      <c r="CK25" s="170"/>
      <c r="CL25" s="170"/>
      <c r="CM25" s="170"/>
      <c r="CN25" s="113"/>
      <c r="CO25" s="36"/>
      <c r="CP25" s="36"/>
      <c r="CQ25" s="36"/>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6"/>
      <c r="EA25" s="36"/>
      <c r="EB25" s="36"/>
      <c r="EC25" s="36"/>
      <c r="ED25" s="36"/>
      <c r="EE25" s="36"/>
      <c r="EF25" s="36"/>
      <c r="EG25" s="36"/>
    </row>
    <row r="26" spans="1:137" s="27" customFormat="1" x14ac:dyDescent="0.25">
      <c r="A26" s="26"/>
      <c r="B26" s="653" t="s">
        <v>401</v>
      </c>
      <c r="C26" s="553"/>
      <c r="D26" s="681">
        <f t="shared" si="38"/>
        <v>0</v>
      </c>
      <c r="E26" s="421"/>
      <c r="F26" s="421"/>
      <c r="G26" s="421"/>
      <c r="H26" s="421"/>
      <c r="I26" s="421"/>
      <c r="J26" s="421"/>
      <c r="K26" s="421"/>
      <c r="L26" s="421"/>
      <c r="M26" s="421"/>
      <c r="N26" s="421"/>
      <c r="O26" s="421"/>
      <c r="P26" s="421"/>
      <c r="Q26" s="422">
        <f t="shared" si="39"/>
        <v>0</v>
      </c>
      <c r="R26" s="423">
        <f t="shared" si="40"/>
        <v>0</v>
      </c>
      <c r="S26" s="422">
        <f t="shared" si="41"/>
        <v>0</v>
      </c>
      <c r="T26" s="422">
        <f t="shared" si="42"/>
        <v>0</v>
      </c>
      <c r="U26" s="422">
        <f t="shared" si="43"/>
        <v>0</v>
      </c>
      <c r="V26" s="424"/>
      <c r="W26" s="425">
        <f t="shared" si="44"/>
        <v>0</v>
      </c>
      <c r="X26" s="682">
        <v>0</v>
      </c>
      <c r="Y26" s="668">
        <v>0</v>
      </c>
      <c r="Z26" s="669">
        <v>0</v>
      </c>
      <c r="AA26" s="670">
        <f t="shared" si="45"/>
        <v>0</v>
      </c>
      <c r="AB26" s="670">
        <f t="shared" si="46"/>
        <v>0</v>
      </c>
      <c r="AC26" s="669">
        <f t="shared" si="47"/>
        <v>0</v>
      </c>
      <c r="AD26" s="670">
        <f t="shared" si="26"/>
        <v>0</v>
      </c>
      <c r="AE26" s="683">
        <v>0</v>
      </c>
      <c r="AF26" s="668">
        <v>0</v>
      </c>
      <c r="AG26" s="669">
        <v>0</v>
      </c>
      <c r="AH26" s="684">
        <f t="shared" si="48"/>
        <v>0</v>
      </c>
      <c r="AI26" s="684">
        <f t="shared" si="49"/>
        <v>0</v>
      </c>
      <c r="AJ26" s="669">
        <f t="shared" si="50"/>
        <v>0</v>
      </c>
      <c r="AK26" s="670">
        <f t="shared" si="29"/>
        <v>0</v>
      </c>
      <c r="AL26" s="683">
        <v>0</v>
      </c>
      <c r="AM26" s="668">
        <v>0</v>
      </c>
      <c r="AN26" s="669">
        <v>0</v>
      </c>
      <c r="AO26" s="684">
        <f>(W26*AL26)/1000</f>
        <v>0</v>
      </c>
      <c r="AP26" s="684">
        <f t="shared" si="51"/>
        <v>0</v>
      </c>
      <c r="AQ26" s="669">
        <f t="shared" si="52"/>
        <v>0</v>
      </c>
      <c r="AR26" s="670">
        <f t="shared" si="32"/>
        <v>0</v>
      </c>
      <c r="AS26" s="667">
        <f>VLOOKUP($C26,$BI$90:$CM$472,3,FALSE)</f>
        <v>0</v>
      </c>
      <c r="AT26" s="668">
        <f>VLOOKUP($C26,$BI$90:$CM$472,4,FALSE)</f>
        <v>0</v>
      </c>
      <c r="AU26" s="669">
        <f>IF($Q26&gt;0,VLOOKUP($C26,$BI$90:$CM$472,6,FALSE),0)</f>
        <v>0</v>
      </c>
      <c r="AV26" s="684">
        <f t="shared" si="53"/>
        <v>0</v>
      </c>
      <c r="AW26" s="669">
        <f t="shared" si="54"/>
        <v>0</v>
      </c>
      <c r="AX26" s="670">
        <f t="shared" si="33"/>
        <v>0</v>
      </c>
      <c r="AY26" s="667">
        <v>0</v>
      </c>
      <c r="AZ26" s="668">
        <v>0</v>
      </c>
      <c r="BA26" s="669">
        <v>0</v>
      </c>
      <c r="BB26" s="684">
        <f t="shared" si="55"/>
        <v>0</v>
      </c>
      <c r="BC26" s="684">
        <f t="shared" si="56"/>
        <v>0</v>
      </c>
      <c r="BD26" s="669">
        <v>0</v>
      </c>
      <c r="BE26" s="670">
        <f t="shared" si="36"/>
        <v>0</v>
      </c>
      <c r="BF26" s="671">
        <f t="shared" si="57"/>
        <v>0</v>
      </c>
      <c r="BG26" s="655">
        <f t="shared" si="58"/>
        <v>0</v>
      </c>
      <c r="BH26" s="28">
        <f t="shared" si="37"/>
        <v>0</v>
      </c>
      <c r="BI26" s="64"/>
      <c r="BJ26" s="168"/>
      <c r="BK26" s="168"/>
      <c r="BL26" s="168"/>
      <c r="BM26" s="169"/>
      <c r="BN26" s="169"/>
      <c r="BO26" s="169"/>
      <c r="BP26" s="168"/>
      <c r="BQ26" s="168"/>
      <c r="BR26" s="168"/>
      <c r="BS26" s="168"/>
      <c r="BT26" s="168"/>
      <c r="BU26" s="168"/>
      <c r="BV26" s="168"/>
      <c r="BW26" s="168"/>
      <c r="BX26" s="168"/>
      <c r="BY26" s="168"/>
      <c r="BZ26" s="168"/>
      <c r="CA26" s="168"/>
      <c r="CB26" s="170"/>
      <c r="CC26" s="168"/>
      <c r="CD26" s="168"/>
      <c r="CE26" s="170"/>
      <c r="CF26" s="170"/>
      <c r="CG26" s="170"/>
      <c r="CH26" s="170"/>
      <c r="CI26" s="168"/>
      <c r="CJ26" s="168"/>
      <c r="CK26" s="170"/>
      <c r="CL26" s="170"/>
      <c r="CM26" s="170"/>
      <c r="CN26" s="113"/>
      <c r="CO26" s="36"/>
      <c r="CP26" s="36"/>
      <c r="CQ26" s="36"/>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6"/>
      <c r="EA26" s="36"/>
      <c r="EB26" s="36"/>
      <c r="EC26" s="36"/>
      <c r="ED26" s="36"/>
      <c r="EE26" s="36"/>
      <c r="EF26" s="36"/>
      <c r="EG26" s="36"/>
    </row>
    <row r="27" spans="1:137" s="27" customFormat="1" x14ac:dyDescent="0.25">
      <c r="A27" s="26"/>
      <c r="B27" s="653"/>
      <c r="C27" s="553"/>
      <c r="D27" s="681">
        <f t="shared" si="38"/>
        <v>0</v>
      </c>
      <c r="E27" s="421"/>
      <c r="F27" s="421"/>
      <c r="G27" s="421"/>
      <c r="H27" s="421"/>
      <c r="I27" s="421"/>
      <c r="J27" s="421"/>
      <c r="K27" s="421"/>
      <c r="L27" s="421"/>
      <c r="M27" s="421"/>
      <c r="N27" s="421"/>
      <c r="O27" s="421"/>
      <c r="P27" s="421"/>
      <c r="Q27" s="422">
        <f t="shared" si="39"/>
        <v>0</v>
      </c>
      <c r="R27" s="423">
        <f t="shared" si="40"/>
        <v>0</v>
      </c>
      <c r="S27" s="422">
        <f t="shared" si="41"/>
        <v>0</v>
      </c>
      <c r="T27" s="422">
        <f t="shared" si="42"/>
        <v>0</v>
      </c>
      <c r="U27" s="422">
        <f t="shared" si="43"/>
        <v>0</v>
      </c>
      <c r="V27" s="424"/>
      <c r="W27" s="425">
        <f t="shared" si="44"/>
        <v>0</v>
      </c>
      <c r="X27" s="682">
        <v>0</v>
      </c>
      <c r="Y27" s="668">
        <v>0</v>
      </c>
      <c r="Z27" s="669">
        <v>0</v>
      </c>
      <c r="AA27" s="670">
        <f t="shared" si="45"/>
        <v>0</v>
      </c>
      <c r="AB27" s="670">
        <f t="shared" si="46"/>
        <v>0</v>
      </c>
      <c r="AC27" s="669">
        <f t="shared" si="47"/>
        <v>0</v>
      </c>
      <c r="AD27" s="670">
        <f t="shared" si="26"/>
        <v>0</v>
      </c>
      <c r="AE27" s="683">
        <v>0</v>
      </c>
      <c r="AF27" s="668">
        <v>0</v>
      </c>
      <c r="AG27" s="669">
        <v>0</v>
      </c>
      <c r="AH27" s="684">
        <f t="shared" si="48"/>
        <v>0</v>
      </c>
      <c r="AI27" s="684">
        <f t="shared" si="49"/>
        <v>0</v>
      </c>
      <c r="AJ27" s="669">
        <f t="shared" si="50"/>
        <v>0</v>
      </c>
      <c r="AK27" s="670">
        <f t="shared" si="29"/>
        <v>0</v>
      </c>
      <c r="AL27" s="683">
        <v>0</v>
      </c>
      <c r="AM27" s="668">
        <v>0</v>
      </c>
      <c r="AN27" s="669">
        <v>0</v>
      </c>
      <c r="AO27" s="684">
        <f>(W27*AL27)/1000</f>
        <v>0</v>
      </c>
      <c r="AP27" s="684">
        <f t="shared" si="51"/>
        <v>0</v>
      </c>
      <c r="AQ27" s="669">
        <f t="shared" si="52"/>
        <v>0</v>
      </c>
      <c r="AR27" s="670">
        <f t="shared" si="32"/>
        <v>0</v>
      </c>
      <c r="AS27" s="667">
        <f>VLOOKUP($C27,$BI$90:$CM$472,3,FALSE)</f>
        <v>0</v>
      </c>
      <c r="AT27" s="668">
        <f>VLOOKUP($C27,$BI$90:$CM$472,4,FALSE)</f>
        <v>0</v>
      </c>
      <c r="AU27" s="669">
        <f>IF($Q27&gt;0,VLOOKUP($C27,$BI$90:$CM$472,6,FALSE),0)</f>
        <v>0</v>
      </c>
      <c r="AV27" s="684">
        <f t="shared" si="53"/>
        <v>0</v>
      </c>
      <c r="AW27" s="669">
        <f t="shared" si="54"/>
        <v>0</v>
      </c>
      <c r="AX27" s="670">
        <f t="shared" si="33"/>
        <v>0</v>
      </c>
      <c r="AY27" s="667">
        <v>0</v>
      </c>
      <c r="AZ27" s="668">
        <v>0</v>
      </c>
      <c r="BA27" s="669">
        <v>0</v>
      </c>
      <c r="BB27" s="684">
        <f t="shared" si="55"/>
        <v>0</v>
      </c>
      <c r="BC27" s="684">
        <f t="shared" si="56"/>
        <v>0</v>
      </c>
      <c r="BD27" s="669">
        <v>0</v>
      </c>
      <c r="BE27" s="670">
        <f t="shared" si="36"/>
        <v>0</v>
      </c>
      <c r="BF27" s="671">
        <f t="shared" si="57"/>
        <v>0</v>
      </c>
      <c r="BG27" s="655">
        <f t="shared" si="58"/>
        <v>0</v>
      </c>
      <c r="BH27" s="28">
        <f t="shared" si="37"/>
        <v>0</v>
      </c>
      <c r="BI27" s="64"/>
      <c r="BJ27" s="168"/>
      <c r="BK27" s="168"/>
      <c r="BL27" s="168"/>
      <c r="BM27" s="169"/>
      <c r="BN27" s="169"/>
      <c r="BO27" s="169"/>
      <c r="BP27" s="168"/>
      <c r="BQ27" s="168"/>
      <c r="BR27" s="168"/>
      <c r="BS27" s="168"/>
      <c r="BT27" s="168"/>
      <c r="BU27" s="168"/>
      <c r="BV27" s="168"/>
      <c r="BW27" s="168"/>
      <c r="BX27" s="168"/>
      <c r="BY27" s="168"/>
      <c r="BZ27" s="168"/>
      <c r="CA27" s="168"/>
      <c r="CB27" s="170"/>
      <c r="CC27" s="168"/>
      <c r="CD27" s="168"/>
      <c r="CE27" s="170"/>
      <c r="CF27" s="170"/>
      <c r="CG27" s="170"/>
      <c r="CH27" s="170"/>
      <c r="CI27" s="168"/>
      <c r="CJ27" s="168"/>
      <c r="CK27" s="170"/>
      <c r="CL27" s="170"/>
      <c r="CM27" s="170"/>
      <c r="CN27" s="113"/>
      <c r="CO27" s="36"/>
      <c r="CP27" s="36"/>
      <c r="CQ27" s="36"/>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6"/>
      <c r="EA27" s="36"/>
      <c r="EB27" s="36"/>
      <c r="EC27" s="36"/>
      <c r="ED27" s="36"/>
      <c r="EE27" s="36"/>
      <c r="EF27" s="36"/>
      <c r="EG27" s="36"/>
    </row>
    <row r="28" spans="1:137" s="27" customFormat="1" x14ac:dyDescent="0.25">
      <c r="A28" s="26"/>
      <c r="B28" s="654"/>
      <c r="C28" s="553"/>
      <c r="D28" s="681">
        <f t="shared" si="38"/>
        <v>0</v>
      </c>
      <c r="E28" s="421"/>
      <c r="F28" s="421"/>
      <c r="G28" s="421"/>
      <c r="H28" s="421"/>
      <c r="I28" s="421"/>
      <c r="J28" s="421"/>
      <c r="K28" s="421"/>
      <c r="L28" s="421"/>
      <c r="M28" s="421"/>
      <c r="N28" s="421"/>
      <c r="O28" s="421"/>
      <c r="P28" s="421"/>
      <c r="Q28" s="422">
        <f t="shared" si="39"/>
        <v>0</v>
      </c>
      <c r="R28" s="423">
        <f t="shared" si="40"/>
        <v>0</v>
      </c>
      <c r="S28" s="422">
        <f t="shared" si="41"/>
        <v>0</v>
      </c>
      <c r="T28" s="422">
        <f t="shared" si="42"/>
        <v>0</v>
      </c>
      <c r="U28" s="422">
        <f t="shared" si="43"/>
        <v>0</v>
      </c>
      <c r="V28" s="424"/>
      <c r="W28" s="425">
        <f t="shared" si="44"/>
        <v>0</v>
      </c>
      <c r="X28" s="682">
        <v>0</v>
      </c>
      <c r="Y28" s="668">
        <v>0</v>
      </c>
      <c r="Z28" s="669">
        <v>0</v>
      </c>
      <c r="AA28" s="670">
        <f t="shared" si="45"/>
        <v>0</v>
      </c>
      <c r="AB28" s="670">
        <f t="shared" si="46"/>
        <v>0</v>
      </c>
      <c r="AC28" s="669">
        <f t="shared" si="47"/>
        <v>0</v>
      </c>
      <c r="AD28" s="670">
        <f t="shared" si="26"/>
        <v>0</v>
      </c>
      <c r="AE28" s="683">
        <v>0</v>
      </c>
      <c r="AF28" s="668">
        <v>0</v>
      </c>
      <c r="AG28" s="669">
        <v>0</v>
      </c>
      <c r="AH28" s="684">
        <f t="shared" si="48"/>
        <v>0</v>
      </c>
      <c r="AI28" s="684">
        <f t="shared" si="49"/>
        <v>0</v>
      </c>
      <c r="AJ28" s="669">
        <f t="shared" si="50"/>
        <v>0</v>
      </c>
      <c r="AK28" s="670">
        <f t="shared" si="29"/>
        <v>0</v>
      </c>
      <c r="AL28" s="683">
        <v>0</v>
      </c>
      <c r="AM28" s="668">
        <v>0</v>
      </c>
      <c r="AN28" s="669">
        <v>0</v>
      </c>
      <c r="AO28" s="684">
        <f>(W28*AL28)/1000</f>
        <v>0</v>
      </c>
      <c r="AP28" s="684">
        <f t="shared" si="51"/>
        <v>0</v>
      </c>
      <c r="AQ28" s="669">
        <f t="shared" si="52"/>
        <v>0</v>
      </c>
      <c r="AR28" s="670">
        <f t="shared" si="32"/>
        <v>0</v>
      </c>
      <c r="AS28" s="667">
        <f>VLOOKUP($C28,$BI$90:$CM$472,3,FALSE)</f>
        <v>0</v>
      </c>
      <c r="AT28" s="668">
        <f>VLOOKUP($C28,$BI$90:$CM$472,4,FALSE)</f>
        <v>0</v>
      </c>
      <c r="AU28" s="669">
        <f>IF($Q28&gt;0,VLOOKUP($C28,$BI$90:$CM$472,6,FALSE),0)</f>
        <v>0</v>
      </c>
      <c r="AV28" s="684">
        <f t="shared" si="53"/>
        <v>0</v>
      </c>
      <c r="AW28" s="669">
        <f t="shared" si="54"/>
        <v>0</v>
      </c>
      <c r="AX28" s="670">
        <f t="shared" si="33"/>
        <v>0</v>
      </c>
      <c r="AY28" s="667">
        <v>0</v>
      </c>
      <c r="AZ28" s="668">
        <v>0</v>
      </c>
      <c r="BA28" s="669">
        <v>0</v>
      </c>
      <c r="BB28" s="684">
        <f t="shared" si="55"/>
        <v>0</v>
      </c>
      <c r="BC28" s="684">
        <f t="shared" si="56"/>
        <v>0</v>
      </c>
      <c r="BD28" s="669">
        <v>0</v>
      </c>
      <c r="BE28" s="670">
        <f t="shared" si="36"/>
        <v>0</v>
      </c>
      <c r="BF28" s="671">
        <f t="shared" si="57"/>
        <v>0</v>
      </c>
      <c r="BG28" s="655">
        <f t="shared" si="58"/>
        <v>0</v>
      </c>
      <c r="BH28" s="28">
        <f t="shared" si="37"/>
        <v>0</v>
      </c>
      <c r="BI28" s="64"/>
      <c r="BJ28" s="168"/>
      <c r="BK28" s="168"/>
      <c r="BL28" s="168"/>
      <c r="BM28" s="169"/>
      <c r="BN28" s="169"/>
      <c r="BO28" s="169"/>
      <c r="BP28" s="168"/>
      <c r="BQ28" s="168"/>
      <c r="BR28" s="168"/>
      <c r="BS28" s="168"/>
      <c r="BT28" s="168"/>
      <c r="BU28" s="168"/>
      <c r="BV28" s="168"/>
      <c r="BW28" s="168"/>
      <c r="BX28" s="168"/>
      <c r="BY28" s="168"/>
      <c r="BZ28" s="168"/>
      <c r="CA28" s="168"/>
      <c r="CB28" s="170"/>
      <c r="CC28" s="168"/>
      <c r="CD28" s="168"/>
      <c r="CE28" s="170"/>
      <c r="CF28" s="170"/>
      <c r="CG28" s="170"/>
      <c r="CH28" s="170"/>
      <c r="CI28" s="168"/>
      <c r="CJ28" s="168"/>
      <c r="CK28" s="170"/>
      <c r="CL28" s="170"/>
      <c r="CM28" s="170"/>
      <c r="CN28" s="113"/>
      <c r="CO28" s="36"/>
      <c r="CP28" s="36"/>
      <c r="CQ28" s="36"/>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6"/>
      <c r="EA28" s="36"/>
      <c r="EB28" s="36"/>
      <c r="EC28" s="36"/>
      <c r="ED28" s="36"/>
      <c r="EE28" s="36"/>
      <c r="EF28" s="36"/>
      <c r="EG28" s="36"/>
    </row>
    <row r="29" spans="1:137" s="27" customFormat="1" x14ac:dyDescent="0.25">
      <c r="A29" s="26"/>
      <c r="B29" s="1691" t="s">
        <v>330</v>
      </c>
      <c r="C29" s="553"/>
      <c r="D29" s="681">
        <f t="shared" si="38"/>
        <v>0</v>
      </c>
      <c r="E29" s="1393"/>
      <c r="F29" s="421"/>
      <c r="G29" s="421"/>
      <c r="H29" s="421"/>
      <c r="I29" s="421"/>
      <c r="J29" s="421"/>
      <c r="K29" s="421"/>
      <c r="L29" s="421"/>
      <c r="M29" s="421"/>
      <c r="N29" s="421"/>
      <c r="O29" s="421"/>
      <c r="P29" s="421"/>
      <c r="Q29" s="422">
        <f t="shared" si="39"/>
        <v>0</v>
      </c>
      <c r="R29" s="423">
        <f t="shared" si="40"/>
        <v>0</v>
      </c>
      <c r="S29" s="422">
        <f t="shared" si="41"/>
        <v>0</v>
      </c>
      <c r="T29" s="422">
        <f t="shared" si="42"/>
        <v>0</v>
      </c>
      <c r="U29" s="422">
        <f t="shared" si="43"/>
        <v>0</v>
      </c>
      <c r="V29" s="424"/>
      <c r="W29" s="425">
        <f t="shared" si="44"/>
        <v>0</v>
      </c>
      <c r="X29" s="682">
        <f>VLOOKUP($C29,$BI$90:$CM$472,3,FALSE)</f>
        <v>0</v>
      </c>
      <c r="Y29" s="668">
        <f>VLOOKUP($C29,$BI$90:$CM$472,4,FALSE)</f>
        <v>0</v>
      </c>
      <c r="Z29" s="669">
        <f>IF($Q29&gt;0,VLOOKUP($C29,$BI$90:$CM$472,6,FALSE),0)</f>
        <v>0</v>
      </c>
      <c r="AA29" s="670">
        <f t="shared" si="45"/>
        <v>0</v>
      </c>
      <c r="AB29" s="670">
        <f t="shared" si="46"/>
        <v>0</v>
      </c>
      <c r="AC29" s="669">
        <f t="shared" si="47"/>
        <v>0</v>
      </c>
      <c r="AD29" s="670">
        <f t="shared" si="26"/>
        <v>0</v>
      </c>
      <c r="AE29" s="683">
        <v>0</v>
      </c>
      <c r="AF29" s="668">
        <v>0</v>
      </c>
      <c r="AG29" s="669">
        <v>0</v>
      </c>
      <c r="AH29" s="684">
        <f t="shared" si="48"/>
        <v>0</v>
      </c>
      <c r="AI29" s="684">
        <f t="shared" si="49"/>
        <v>0</v>
      </c>
      <c r="AJ29" s="669">
        <f t="shared" si="50"/>
        <v>0</v>
      </c>
      <c r="AK29" s="670">
        <f t="shared" si="29"/>
        <v>0</v>
      </c>
      <c r="AL29" s="683">
        <v>0</v>
      </c>
      <c r="AM29" s="668">
        <v>0</v>
      </c>
      <c r="AN29" s="669">
        <v>0</v>
      </c>
      <c r="AO29" s="684">
        <f>($Q29*AL29)/1000</f>
        <v>0</v>
      </c>
      <c r="AP29" s="684">
        <f t="shared" si="51"/>
        <v>0</v>
      </c>
      <c r="AQ29" s="669">
        <f t="shared" si="52"/>
        <v>0</v>
      </c>
      <c r="AR29" s="670">
        <f t="shared" si="32"/>
        <v>0</v>
      </c>
      <c r="AS29" s="667">
        <v>0</v>
      </c>
      <c r="AT29" s="668">
        <v>0</v>
      </c>
      <c r="AU29" s="669">
        <v>0</v>
      </c>
      <c r="AV29" s="684">
        <f t="shared" si="53"/>
        <v>0</v>
      </c>
      <c r="AW29" s="669">
        <f t="shared" si="54"/>
        <v>0</v>
      </c>
      <c r="AX29" s="670">
        <f t="shared" si="33"/>
        <v>0</v>
      </c>
      <c r="AY29" s="667">
        <v>0</v>
      </c>
      <c r="AZ29" s="668">
        <v>0</v>
      </c>
      <c r="BA29" s="669">
        <v>0</v>
      </c>
      <c r="BB29" s="684">
        <f t="shared" si="55"/>
        <v>0</v>
      </c>
      <c r="BC29" s="684">
        <f t="shared" si="56"/>
        <v>0</v>
      </c>
      <c r="BD29" s="669">
        <f>IF(BB29&gt;0,SQRT(($W29*$W29)+(BA29*BA29)+($V29*$V29)),0)</f>
        <v>0</v>
      </c>
      <c r="BE29" s="670">
        <f t="shared" si="36"/>
        <v>0</v>
      </c>
      <c r="BF29" s="671">
        <f t="shared" si="57"/>
        <v>0</v>
      </c>
      <c r="BG29" s="655">
        <f t="shared" si="58"/>
        <v>0</v>
      </c>
      <c r="BH29" s="28">
        <f t="shared" si="37"/>
        <v>0</v>
      </c>
      <c r="BI29" s="64"/>
      <c r="BJ29" s="168"/>
      <c r="BK29" s="168"/>
      <c r="BL29" s="168"/>
      <c r="BM29" s="169"/>
      <c r="BN29" s="169"/>
      <c r="BO29" s="169"/>
      <c r="BP29" s="168"/>
      <c r="BQ29" s="168"/>
      <c r="BR29" s="168"/>
      <c r="BS29" s="168"/>
      <c r="BT29" s="168"/>
      <c r="BU29" s="168"/>
      <c r="BV29" s="168"/>
      <c r="BW29" s="168"/>
      <c r="BX29" s="168"/>
      <c r="BY29" s="168"/>
      <c r="BZ29" s="168"/>
      <c r="CA29" s="168"/>
      <c r="CB29" s="170"/>
      <c r="CC29" s="168"/>
      <c r="CD29" s="168"/>
      <c r="CE29" s="170"/>
      <c r="CF29" s="170"/>
      <c r="CG29" s="170"/>
      <c r="CH29" s="170"/>
      <c r="CI29" s="168"/>
      <c r="CJ29" s="168"/>
      <c r="CK29" s="170"/>
      <c r="CL29" s="170"/>
      <c r="CM29" s="170"/>
      <c r="CN29" s="113"/>
      <c r="CO29" s="36"/>
      <c r="CP29" s="36"/>
      <c r="CQ29" s="36"/>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6"/>
      <c r="EA29" s="36"/>
      <c r="EB29" s="36"/>
      <c r="EC29" s="36"/>
      <c r="ED29" s="36"/>
      <c r="EE29" s="36"/>
      <c r="EF29" s="36"/>
      <c r="EG29" s="36"/>
    </row>
    <row r="30" spans="1:137" s="27" customFormat="1" x14ac:dyDescent="0.25">
      <c r="A30" s="26"/>
      <c r="B30" s="1692"/>
      <c r="C30" s="553"/>
      <c r="D30" s="681">
        <f t="shared" si="38"/>
        <v>0</v>
      </c>
      <c r="E30" s="421"/>
      <c r="F30" s="421"/>
      <c r="G30" s="421"/>
      <c r="H30" s="421"/>
      <c r="I30" s="421"/>
      <c r="J30" s="421"/>
      <c r="K30" s="421"/>
      <c r="L30" s="421"/>
      <c r="M30" s="421"/>
      <c r="N30" s="421"/>
      <c r="O30" s="421"/>
      <c r="P30" s="421"/>
      <c r="Q30" s="422">
        <f t="shared" si="39"/>
        <v>0</v>
      </c>
      <c r="R30" s="423">
        <f t="shared" si="40"/>
        <v>0</v>
      </c>
      <c r="S30" s="422">
        <f t="shared" si="41"/>
        <v>0</v>
      </c>
      <c r="T30" s="422">
        <f t="shared" si="42"/>
        <v>0</v>
      </c>
      <c r="U30" s="422">
        <f t="shared" si="43"/>
        <v>0</v>
      </c>
      <c r="V30" s="424"/>
      <c r="W30" s="425">
        <f t="shared" si="44"/>
        <v>0</v>
      </c>
      <c r="X30" s="682">
        <f>VLOOKUP($C30,$BI$90:$CM$472,3,FALSE)</f>
        <v>0</v>
      </c>
      <c r="Y30" s="668">
        <f>VLOOKUP($C30,$BI$90:$CM$472,4,FALSE)</f>
        <v>0</v>
      </c>
      <c r="Z30" s="669">
        <f>IF($Q30&gt;0,VLOOKUP($C30,$BI$90:$CM$472,6,FALSE),0)</f>
        <v>0</v>
      </c>
      <c r="AA30" s="670">
        <f t="shared" si="45"/>
        <v>0</v>
      </c>
      <c r="AB30" s="670">
        <f t="shared" si="46"/>
        <v>0</v>
      </c>
      <c r="AC30" s="669">
        <f t="shared" si="47"/>
        <v>0</v>
      </c>
      <c r="AD30" s="670">
        <f t="shared" si="26"/>
        <v>0</v>
      </c>
      <c r="AE30" s="683">
        <v>0</v>
      </c>
      <c r="AF30" s="668">
        <v>0</v>
      </c>
      <c r="AG30" s="669">
        <v>0</v>
      </c>
      <c r="AH30" s="684">
        <f t="shared" si="48"/>
        <v>0</v>
      </c>
      <c r="AI30" s="684">
        <f t="shared" si="49"/>
        <v>0</v>
      </c>
      <c r="AJ30" s="669">
        <f t="shared" si="50"/>
        <v>0</v>
      </c>
      <c r="AK30" s="670">
        <f t="shared" si="29"/>
        <v>0</v>
      </c>
      <c r="AL30" s="683">
        <v>0</v>
      </c>
      <c r="AM30" s="668">
        <v>0</v>
      </c>
      <c r="AN30" s="669">
        <v>0</v>
      </c>
      <c r="AO30" s="684">
        <f>($Q30*AL30)/1000</f>
        <v>0</v>
      </c>
      <c r="AP30" s="684">
        <f t="shared" si="51"/>
        <v>0</v>
      </c>
      <c r="AQ30" s="669">
        <f t="shared" si="52"/>
        <v>0</v>
      </c>
      <c r="AR30" s="670">
        <f t="shared" si="32"/>
        <v>0</v>
      </c>
      <c r="AS30" s="667">
        <v>0</v>
      </c>
      <c r="AT30" s="668">
        <v>0</v>
      </c>
      <c r="AU30" s="669">
        <v>0</v>
      </c>
      <c r="AV30" s="684">
        <f t="shared" si="53"/>
        <v>0</v>
      </c>
      <c r="AW30" s="669">
        <f t="shared" si="54"/>
        <v>0</v>
      </c>
      <c r="AX30" s="670">
        <f t="shared" si="33"/>
        <v>0</v>
      </c>
      <c r="AY30" s="667">
        <v>0</v>
      </c>
      <c r="AZ30" s="668">
        <v>0</v>
      </c>
      <c r="BA30" s="669">
        <v>0</v>
      </c>
      <c r="BB30" s="684">
        <f t="shared" si="55"/>
        <v>0</v>
      </c>
      <c r="BC30" s="684">
        <f t="shared" si="56"/>
        <v>0</v>
      </c>
      <c r="BD30" s="669">
        <f>IF(BB30&gt;0,SQRT(($W30*$W30)+(BA30*BA30)+($V30*$V30)),0)</f>
        <v>0</v>
      </c>
      <c r="BE30" s="670">
        <f t="shared" si="36"/>
        <v>0</v>
      </c>
      <c r="BF30" s="671">
        <f t="shared" si="57"/>
        <v>0</v>
      </c>
      <c r="BG30" s="655">
        <f t="shared" si="58"/>
        <v>0</v>
      </c>
      <c r="BH30" s="28">
        <f t="shared" si="37"/>
        <v>0</v>
      </c>
      <c r="BI30" s="64"/>
      <c r="BJ30" s="168"/>
      <c r="BK30" s="168"/>
      <c r="BL30" s="168"/>
      <c r="BM30" s="169"/>
      <c r="BN30" s="169"/>
      <c r="BO30" s="169"/>
      <c r="BP30" s="168"/>
      <c r="BQ30" s="168"/>
      <c r="BR30" s="168"/>
      <c r="BS30" s="168"/>
      <c r="BT30" s="168"/>
      <c r="BU30" s="168"/>
      <c r="BV30" s="168"/>
      <c r="BW30" s="168"/>
      <c r="BX30" s="168"/>
      <c r="BY30" s="168"/>
      <c r="BZ30" s="168"/>
      <c r="CA30" s="168"/>
      <c r="CB30" s="170"/>
      <c r="CC30" s="168"/>
      <c r="CD30" s="168"/>
      <c r="CE30" s="170"/>
      <c r="CF30" s="170"/>
      <c r="CG30" s="170"/>
      <c r="CH30" s="170"/>
      <c r="CI30" s="168"/>
      <c r="CJ30" s="168"/>
      <c r="CK30" s="170"/>
      <c r="CL30" s="170"/>
      <c r="CM30" s="170"/>
      <c r="CN30" s="113"/>
      <c r="CO30" s="36"/>
      <c r="CP30" s="36"/>
      <c r="CQ30" s="36"/>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6"/>
      <c r="EA30" s="36"/>
      <c r="EB30" s="36"/>
      <c r="EC30" s="36"/>
      <c r="ED30" s="36"/>
      <c r="EE30" s="36"/>
      <c r="EF30" s="36"/>
      <c r="EG30" s="36"/>
    </row>
    <row r="31" spans="1:137" s="27" customFormat="1" x14ac:dyDescent="0.25">
      <c r="A31" s="26"/>
      <c r="B31" s="648" t="s">
        <v>286</v>
      </c>
      <c r="C31" s="685"/>
      <c r="D31" s="685"/>
      <c r="E31" s="685"/>
      <c r="F31" s="685"/>
      <c r="G31" s="685"/>
      <c r="H31" s="685"/>
      <c r="I31" s="685"/>
      <c r="J31" s="685"/>
      <c r="K31" s="685"/>
      <c r="L31" s="685"/>
      <c r="M31" s="685"/>
      <c r="N31" s="685"/>
      <c r="O31" s="685"/>
      <c r="P31" s="685"/>
      <c r="Q31" s="685"/>
      <c r="R31" s="685"/>
      <c r="S31" s="685"/>
      <c r="T31" s="685"/>
      <c r="U31" s="685"/>
      <c r="V31" s="685"/>
      <c r="W31" s="685"/>
      <c r="X31" s="685"/>
      <c r="Y31" s="685"/>
      <c r="Z31" s="685"/>
      <c r="AA31" s="687"/>
      <c r="AB31" s="688">
        <f>SUM(AB25:AB30)</f>
        <v>0</v>
      </c>
      <c r="AC31" s="689">
        <f>IF(AB31&gt;0,SQRT(SUM(AD25:AD30))/AB31,0)</f>
        <v>0</v>
      </c>
      <c r="AD31" s="688">
        <f t="shared" si="26"/>
        <v>0</v>
      </c>
      <c r="AE31" s="690"/>
      <c r="AF31" s="685"/>
      <c r="AG31" s="685"/>
      <c r="AH31" s="691"/>
      <c r="AI31" s="688">
        <f>SUM(AI25:AI30)</f>
        <v>0</v>
      </c>
      <c r="AJ31" s="689">
        <f>IF(AI31&gt;0,SQRT(SUM(AK25:AK30))/AI31,0)</f>
        <v>0</v>
      </c>
      <c r="AK31" s="688">
        <f t="shared" si="29"/>
        <v>0</v>
      </c>
      <c r="AL31" s="685"/>
      <c r="AM31" s="685"/>
      <c r="AN31" s="685"/>
      <c r="AO31" s="685"/>
      <c r="AP31" s="688">
        <f>SUM(AP25:AP30)</f>
        <v>0</v>
      </c>
      <c r="AQ31" s="689">
        <f>IF(AP31&gt;0,SQRT(SUM(AR25:AR30))/AP31,0)</f>
        <v>0</v>
      </c>
      <c r="AR31" s="688">
        <f t="shared" si="32"/>
        <v>0</v>
      </c>
      <c r="AS31" s="685"/>
      <c r="AT31" s="685"/>
      <c r="AU31" s="685"/>
      <c r="AV31" s="688">
        <f>SUM(AV25:AV30)</f>
        <v>0</v>
      </c>
      <c r="AW31" s="689">
        <f>IF(AV31&gt;0,SQRT(SUM(AX25:AX30))/AV31,0)</f>
        <v>0</v>
      </c>
      <c r="AX31" s="688">
        <f t="shared" si="33"/>
        <v>0</v>
      </c>
      <c r="AY31" s="685"/>
      <c r="AZ31" s="685"/>
      <c r="BA31" s="692"/>
      <c r="BB31" s="693"/>
      <c r="BC31" s="688">
        <f>SUM(BC25:BC30)</f>
        <v>0</v>
      </c>
      <c r="BD31" s="689">
        <f>IF(BC31&gt;0,SQRT(SUM(BE25:BE30))/BC31,0)</f>
        <v>0</v>
      </c>
      <c r="BE31" s="688">
        <f t="shared" si="36"/>
        <v>0</v>
      </c>
      <c r="BF31" s="688">
        <f>SUM(BF25:BF30)</f>
        <v>0</v>
      </c>
      <c r="BG31" s="649">
        <f>IF(BF31&gt;0,SQRT(SUM(BH25:BH30))/BF31,0)</f>
        <v>0</v>
      </c>
      <c r="BH31" s="28">
        <f t="shared" si="37"/>
        <v>0</v>
      </c>
      <c r="BI31" s="64"/>
      <c r="BJ31" s="168"/>
      <c r="BK31" s="168"/>
      <c r="BL31" s="168"/>
      <c r="BM31" s="169"/>
      <c r="BN31" s="169"/>
      <c r="BO31" s="169"/>
      <c r="BP31" s="168"/>
      <c r="BQ31" s="168"/>
      <c r="BR31" s="168"/>
      <c r="BS31" s="168"/>
      <c r="BT31" s="168"/>
      <c r="BU31" s="168"/>
      <c r="BV31" s="168"/>
      <c r="BW31" s="168"/>
      <c r="BX31" s="168"/>
      <c r="BY31" s="168"/>
      <c r="BZ31" s="168"/>
      <c r="CA31" s="168"/>
      <c r="CB31" s="170"/>
      <c r="CC31" s="168"/>
      <c r="CD31" s="168"/>
      <c r="CE31" s="170"/>
      <c r="CF31" s="170"/>
      <c r="CG31" s="170"/>
      <c r="CH31" s="170"/>
      <c r="CI31" s="168"/>
      <c r="CJ31" s="168"/>
      <c r="CK31" s="170"/>
      <c r="CL31" s="170"/>
      <c r="CM31" s="170"/>
      <c r="CN31" s="113"/>
      <c r="CO31" s="36"/>
      <c r="CP31" s="36"/>
      <c r="CQ31" s="36"/>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6"/>
      <c r="EA31" s="36"/>
      <c r="EB31" s="36"/>
      <c r="EC31" s="36"/>
      <c r="ED31" s="36"/>
      <c r="EE31" s="36"/>
      <c r="EF31" s="36"/>
      <c r="EG31" s="36"/>
    </row>
    <row r="32" spans="1:137" s="27" customFormat="1" ht="15.75" x14ac:dyDescent="0.25">
      <c r="A32" s="26"/>
      <c r="B32" s="639" t="s">
        <v>47</v>
      </c>
      <c r="C32" s="694"/>
      <c r="D32" s="694"/>
      <c r="E32" s="694"/>
      <c r="F32" s="694"/>
      <c r="G32" s="694"/>
      <c r="H32" s="694"/>
      <c r="I32" s="694"/>
      <c r="J32" s="694"/>
      <c r="K32" s="694"/>
      <c r="L32" s="694"/>
      <c r="M32" s="694"/>
      <c r="N32" s="694"/>
      <c r="O32" s="694"/>
      <c r="P32" s="694"/>
      <c r="Q32" s="694"/>
      <c r="R32" s="694"/>
      <c r="S32" s="694"/>
      <c r="T32" s="694"/>
      <c r="U32" s="694"/>
      <c r="V32" s="694"/>
      <c r="W32" s="694"/>
      <c r="X32" s="694"/>
      <c r="Y32" s="694"/>
      <c r="Z32" s="694"/>
      <c r="AA32" s="695"/>
      <c r="AB32" s="696">
        <f>+AB24+AB31</f>
        <v>0</v>
      </c>
      <c r="AC32" s="697">
        <f>IF(AB32&gt;0,(SQRT(AD24+AD31))/AB32,0)</f>
        <v>0</v>
      </c>
      <c r="AD32" s="696">
        <f t="shared" si="26"/>
        <v>0</v>
      </c>
      <c r="AE32" s="698"/>
      <c r="AF32" s="694"/>
      <c r="AG32" s="694"/>
      <c r="AH32" s="699"/>
      <c r="AI32" s="696">
        <f>+AI24+AI31</f>
        <v>0</v>
      </c>
      <c r="AJ32" s="697">
        <f>IF(AI32&gt;0,(SQRT(AK24+AK31))/AI32,0)</f>
        <v>0</v>
      </c>
      <c r="AK32" s="696">
        <f t="shared" si="29"/>
        <v>0</v>
      </c>
      <c r="AL32" s="694"/>
      <c r="AM32" s="694"/>
      <c r="AN32" s="694"/>
      <c r="AO32" s="694"/>
      <c r="AP32" s="696">
        <f>+AP24+AP31</f>
        <v>0</v>
      </c>
      <c r="AQ32" s="697">
        <f>IF(AP32&gt;0,(SQRT(AR24+AR31))/AP32,0)</f>
        <v>0</v>
      </c>
      <c r="AR32" s="696">
        <f t="shared" si="32"/>
        <v>0</v>
      </c>
      <c r="AS32" s="694"/>
      <c r="AT32" s="694"/>
      <c r="AU32" s="694"/>
      <c r="AV32" s="696">
        <f>+AV24+AV31</f>
        <v>0</v>
      </c>
      <c r="AW32" s="697">
        <f>IF(AV32&gt;0,(SQRT(AX24+AX31))/AV32,0)</f>
        <v>0</v>
      </c>
      <c r="AX32" s="696">
        <f t="shared" si="33"/>
        <v>0</v>
      </c>
      <c r="AY32" s="694"/>
      <c r="AZ32" s="694"/>
      <c r="BA32" s="700"/>
      <c r="BB32" s="701"/>
      <c r="BC32" s="696">
        <f>+BC24+BC31</f>
        <v>0</v>
      </c>
      <c r="BD32" s="697">
        <f>IF(BC32&gt;0,(SQRT(BE24+BE31))/BC32,0)</f>
        <v>0</v>
      </c>
      <c r="BE32" s="696">
        <f t="shared" si="36"/>
        <v>0</v>
      </c>
      <c r="BF32" s="696">
        <f>+BF24+BF31</f>
        <v>0</v>
      </c>
      <c r="BG32" s="640">
        <f>IF(BF32&gt;0,(SQRT(BH24+BH31))/BF32,0)</f>
        <v>0</v>
      </c>
      <c r="BH32" s="28">
        <f t="shared" si="37"/>
        <v>0</v>
      </c>
      <c r="BI32" s="64"/>
      <c r="BJ32" s="168"/>
      <c r="BK32" s="168"/>
      <c r="BL32" s="168"/>
      <c r="BM32" s="169"/>
      <c r="BN32" s="169"/>
      <c r="BO32" s="169"/>
      <c r="BP32" s="168"/>
      <c r="BQ32" s="168"/>
      <c r="BR32" s="168"/>
      <c r="BS32" s="168"/>
      <c r="BT32" s="168"/>
      <c r="BU32" s="168"/>
      <c r="BV32" s="168"/>
      <c r="BW32" s="168"/>
      <c r="BX32" s="168"/>
      <c r="BY32" s="168"/>
      <c r="BZ32" s="168"/>
      <c r="CA32" s="168"/>
      <c r="CB32" s="170"/>
      <c r="CC32" s="168"/>
      <c r="CD32" s="168"/>
      <c r="CE32" s="170"/>
      <c r="CF32" s="170"/>
      <c r="CG32" s="170"/>
      <c r="CH32" s="170"/>
      <c r="CI32" s="168"/>
      <c r="CJ32" s="168"/>
      <c r="CK32" s="170"/>
      <c r="CL32" s="170"/>
      <c r="CM32" s="170"/>
      <c r="CN32" s="113"/>
      <c r="CO32" s="36"/>
      <c r="CP32" s="36"/>
      <c r="CQ32" s="36"/>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6"/>
      <c r="EA32" s="36"/>
      <c r="EB32" s="36"/>
      <c r="EC32" s="36"/>
      <c r="ED32" s="36"/>
      <c r="EE32" s="36"/>
      <c r="EF32" s="36"/>
      <c r="EG32" s="36"/>
    </row>
    <row r="33" spans="1:137" s="27" customFormat="1" ht="15.75" x14ac:dyDescent="0.25">
      <c r="A33" s="26"/>
      <c r="B33" s="656"/>
      <c r="C33" s="702"/>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3"/>
      <c r="AB33" s="704"/>
      <c r="AC33" s="705"/>
      <c r="AD33" s="704"/>
      <c r="AE33" s="706"/>
      <c r="AF33" s="702"/>
      <c r="AG33" s="702"/>
      <c r="AH33" s="707"/>
      <c r="AI33" s="704"/>
      <c r="AJ33" s="705"/>
      <c r="AK33" s="704"/>
      <c r="AL33" s="702"/>
      <c r="AM33" s="702"/>
      <c r="AN33" s="702"/>
      <c r="AO33" s="702"/>
      <c r="AP33" s="704"/>
      <c r="AQ33" s="705"/>
      <c r="AR33" s="704"/>
      <c r="AS33" s="702"/>
      <c r="AT33" s="702"/>
      <c r="AU33" s="702"/>
      <c r="AV33" s="704"/>
      <c r="AW33" s="705"/>
      <c r="AX33" s="704"/>
      <c r="AY33" s="702"/>
      <c r="AZ33" s="702"/>
      <c r="BA33" s="708"/>
      <c r="BB33" s="709"/>
      <c r="BC33" s="704"/>
      <c r="BD33" s="705"/>
      <c r="BE33" s="704"/>
      <c r="BF33" s="704"/>
      <c r="BG33" s="657"/>
      <c r="BH33" s="28"/>
      <c r="BI33" s="64"/>
      <c r="BJ33" s="168"/>
      <c r="BK33" s="168"/>
      <c r="BL33" s="168"/>
      <c r="BM33" s="169"/>
      <c r="BN33" s="169"/>
      <c r="BO33" s="169"/>
      <c r="BP33" s="168"/>
      <c r="BQ33" s="168"/>
      <c r="BR33" s="168"/>
      <c r="BS33" s="168"/>
      <c r="BT33" s="168"/>
      <c r="BU33" s="168"/>
      <c r="BV33" s="168"/>
      <c r="BW33" s="168"/>
      <c r="BX33" s="168"/>
      <c r="BY33" s="168"/>
      <c r="BZ33" s="168"/>
      <c r="CA33" s="168"/>
      <c r="CB33" s="170"/>
      <c r="CC33" s="168"/>
      <c r="CD33" s="168"/>
      <c r="CE33" s="170"/>
      <c r="CF33" s="170"/>
      <c r="CG33" s="170"/>
      <c r="CH33" s="170"/>
      <c r="CI33" s="168"/>
      <c r="CJ33" s="168"/>
      <c r="CK33" s="170"/>
      <c r="CL33" s="170"/>
      <c r="CM33" s="170"/>
      <c r="CN33" s="113"/>
      <c r="CO33" s="36"/>
      <c r="CP33" s="36"/>
      <c r="CQ33" s="36"/>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6"/>
      <c r="EA33" s="36"/>
      <c r="EB33" s="36"/>
      <c r="EC33" s="36"/>
      <c r="ED33" s="36"/>
      <c r="EE33" s="36"/>
      <c r="EF33" s="36"/>
      <c r="EG33" s="36"/>
    </row>
    <row r="34" spans="1:137" s="82" customFormat="1" ht="30.75" customHeight="1" thickBot="1" x14ac:dyDescent="0.3">
      <c r="A34" s="26"/>
      <c r="B34" s="622" t="s">
        <v>64</v>
      </c>
      <c r="C34" s="623"/>
      <c r="D34" s="623"/>
      <c r="E34" s="623"/>
      <c r="F34" s="623"/>
      <c r="G34" s="623"/>
      <c r="H34" s="623"/>
      <c r="I34" s="623"/>
      <c r="J34" s="623"/>
      <c r="K34" s="623"/>
      <c r="L34" s="623"/>
      <c r="M34" s="623"/>
      <c r="N34" s="623"/>
      <c r="O34" s="623"/>
      <c r="P34" s="623"/>
      <c r="Q34" s="623"/>
      <c r="R34" s="623"/>
      <c r="S34" s="623"/>
      <c r="T34" s="623"/>
      <c r="U34" s="623"/>
      <c r="V34" s="623"/>
      <c r="W34" s="623"/>
      <c r="X34" s="623"/>
      <c r="Y34" s="623"/>
      <c r="Z34" s="623"/>
      <c r="AA34" s="624"/>
      <c r="AB34" s="625">
        <f>+AB32</f>
        <v>0</v>
      </c>
      <c r="AC34" s="626">
        <f>IF(AB34&gt;0,(SQRT(AD32+#REF!+#REF!))/AB34,0)</f>
        <v>0</v>
      </c>
      <c r="AD34" s="625">
        <f>(AB34*AC34)^2</f>
        <v>0</v>
      </c>
      <c r="AE34" s="627"/>
      <c r="AF34" s="623"/>
      <c r="AG34" s="623"/>
      <c r="AH34" s="628"/>
      <c r="AI34" s="625">
        <f>+AI32</f>
        <v>0</v>
      </c>
      <c r="AJ34" s="626">
        <f>IF(AI34&gt;0,(SQRT(AK32+#REF!+#REF!))/AI34,0)</f>
        <v>0</v>
      </c>
      <c r="AK34" s="625">
        <f>(AI34*AJ34)^2</f>
        <v>0</v>
      </c>
      <c r="AL34" s="623"/>
      <c r="AM34" s="623"/>
      <c r="AN34" s="623"/>
      <c r="AO34" s="623"/>
      <c r="AP34" s="625">
        <f>+AP32</f>
        <v>0</v>
      </c>
      <c r="AQ34" s="626">
        <f>IF(AP34&gt;0,(SQRT(AR32+#REF!+#REF!))/AP34,0)</f>
        <v>0</v>
      </c>
      <c r="AR34" s="625">
        <f>(AP34*AQ34)^2</f>
        <v>0</v>
      </c>
      <c r="AS34" s="623"/>
      <c r="AT34" s="623"/>
      <c r="AU34" s="623"/>
      <c r="AV34" s="625">
        <f>+AV32</f>
        <v>0</v>
      </c>
      <c r="AW34" s="626">
        <f>IF(AV34&gt;0,(SQRT(AX32+#REF!+#REF!))/AV34,0)</f>
        <v>0</v>
      </c>
      <c r="AX34" s="625">
        <f>(AV34*AW34)^2</f>
        <v>0</v>
      </c>
      <c r="AY34" s="623"/>
      <c r="AZ34" s="623"/>
      <c r="BA34" s="629"/>
      <c r="BB34" s="630"/>
      <c r="BC34" s="625">
        <f>+BC32</f>
        <v>0</v>
      </c>
      <c r="BD34" s="626">
        <f>IF(BC34&gt;0,(SQRT(BE32+#REF!+#REF!))/BC34,0)</f>
        <v>0</v>
      </c>
      <c r="BE34" s="625">
        <f>(BC34*BD34)^2</f>
        <v>0</v>
      </c>
      <c r="BF34" s="625">
        <f>+BF32</f>
        <v>0</v>
      </c>
      <c r="BG34" s="631">
        <f>BG32</f>
        <v>0</v>
      </c>
      <c r="BH34" s="28">
        <f>(BF34*BG34)^2</f>
        <v>0</v>
      </c>
      <c r="BI34" s="174"/>
      <c r="BJ34" s="175"/>
      <c r="BK34" s="175"/>
      <c r="BL34" s="175"/>
      <c r="BM34" s="176"/>
      <c r="BN34" s="176"/>
      <c r="BO34" s="176"/>
      <c r="BP34" s="175"/>
      <c r="BQ34" s="175"/>
      <c r="BR34" s="175"/>
      <c r="BS34" s="175"/>
      <c r="BT34" s="175"/>
      <c r="BU34" s="175"/>
      <c r="BV34" s="175"/>
      <c r="BW34" s="175"/>
      <c r="BX34" s="175"/>
      <c r="BY34" s="175"/>
      <c r="BZ34" s="175"/>
      <c r="CA34" s="175"/>
      <c r="CB34" s="177"/>
      <c r="CC34" s="175"/>
      <c r="CD34" s="175"/>
      <c r="CE34" s="177"/>
      <c r="CF34" s="177"/>
      <c r="CG34" s="177"/>
      <c r="CH34" s="177"/>
      <c r="CI34" s="175"/>
      <c r="CJ34" s="175"/>
      <c r="CK34" s="177"/>
      <c r="CL34" s="177"/>
      <c r="CM34" s="177"/>
      <c r="CN34" s="114"/>
      <c r="CO34" s="36"/>
      <c r="CP34" s="36"/>
      <c r="CQ34" s="36"/>
      <c r="CR34" s="81"/>
      <c r="CS34" s="81"/>
      <c r="CT34" s="81"/>
      <c r="CU34" s="81"/>
      <c r="CV34" s="81"/>
      <c r="CW34" s="81"/>
      <c r="CX34" s="81"/>
      <c r="CY34" s="81"/>
      <c r="CZ34" s="81"/>
      <c r="DA34" s="81"/>
      <c r="DB34" s="81"/>
      <c r="DC34" s="81"/>
      <c r="DD34" s="81"/>
      <c r="DE34" s="81"/>
      <c r="DF34" s="81"/>
      <c r="DG34" s="81"/>
      <c r="DH34" s="81"/>
      <c r="DI34" s="81"/>
      <c r="DJ34" s="81"/>
      <c r="DK34" s="81"/>
      <c r="DL34" s="81"/>
      <c r="DM34" s="81"/>
      <c r="DN34" s="81"/>
      <c r="DO34" s="81"/>
      <c r="DP34" s="81"/>
      <c r="DQ34" s="81"/>
      <c r="DR34" s="81"/>
      <c r="DS34" s="81"/>
      <c r="DT34" s="81"/>
      <c r="DU34" s="81"/>
      <c r="DV34" s="81"/>
      <c r="DW34" s="81"/>
      <c r="DX34" s="81"/>
      <c r="DY34" s="81"/>
      <c r="DZ34" s="80"/>
      <c r="EA34" s="80"/>
      <c r="EB34" s="80"/>
      <c r="EC34" s="80"/>
      <c r="ED34" s="80"/>
      <c r="EE34" s="80"/>
      <c r="EF34" s="80"/>
      <c r="EG34" s="80"/>
    </row>
    <row r="35" spans="1:137" s="26" customFormat="1" ht="21.75" thickBot="1" x14ac:dyDescent="0.3">
      <c r="B35" s="710"/>
      <c r="C35" s="711"/>
      <c r="D35" s="711"/>
      <c r="E35" s="712"/>
      <c r="F35" s="712"/>
      <c r="G35" s="712"/>
      <c r="H35" s="712"/>
      <c r="I35" s="712"/>
      <c r="J35" s="712"/>
      <c r="K35" s="712"/>
      <c r="L35" s="712"/>
      <c r="M35" s="712"/>
      <c r="N35" s="712"/>
      <c r="O35" s="712"/>
      <c r="P35" s="712"/>
      <c r="Q35" s="712"/>
      <c r="R35" s="713"/>
      <c r="S35" s="712"/>
      <c r="T35" s="712"/>
      <c r="U35" s="712"/>
      <c r="V35" s="714"/>
      <c r="W35" s="714"/>
      <c r="X35" s="711"/>
      <c r="Y35" s="711"/>
      <c r="Z35" s="714"/>
      <c r="AA35" s="715"/>
      <c r="AB35" s="715"/>
      <c r="AC35" s="714"/>
      <c r="AD35" s="715"/>
      <c r="AE35" s="716"/>
      <c r="AF35" s="711"/>
      <c r="AG35" s="714"/>
      <c r="AH35" s="717"/>
      <c r="AI35" s="717"/>
      <c r="AJ35" s="714"/>
      <c r="AK35" s="715"/>
      <c r="AL35" s="711"/>
      <c r="AM35" s="711"/>
      <c r="AN35" s="714"/>
      <c r="AO35" s="714"/>
      <c r="AP35" s="714"/>
      <c r="AQ35" s="714"/>
      <c r="AR35" s="715"/>
      <c r="AS35" s="711"/>
      <c r="AT35" s="711"/>
      <c r="AU35" s="714"/>
      <c r="AV35" s="715"/>
      <c r="AW35" s="714"/>
      <c r="AX35" s="715"/>
      <c r="AY35" s="711"/>
      <c r="AZ35" s="711"/>
      <c r="BA35" s="714"/>
      <c r="BB35" s="715"/>
      <c r="BC35" s="715"/>
      <c r="BD35" s="714"/>
      <c r="BE35" s="715"/>
      <c r="BF35" s="712"/>
      <c r="BG35" s="718"/>
      <c r="BH35" s="28">
        <f>(BF35*BG35)^2</f>
        <v>0</v>
      </c>
      <c r="BI35" s="164"/>
      <c r="BJ35" s="165"/>
      <c r="BK35" s="165"/>
      <c r="BL35" s="165"/>
      <c r="BM35" s="166"/>
      <c r="BN35" s="166"/>
      <c r="BO35" s="166"/>
      <c r="BP35" s="165"/>
      <c r="BQ35" s="165"/>
      <c r="BR35" s="165"/>
      <c r="BS35" s="165"/>
      <c r="BT35" s="165"/>
      <c r="BU35" s="165"/>
      <c r="BV35" s="165"/>
      <c r="BW35" s="165"/>
      <c r="BX35" s="165"/>
      <c r="BY35" s="165"/>
      <c r="BZ35" s="165"/>
      <c r="CA35" s="165"/>
      <c r="CB35" s="167"/>
      <c r="CC35" s="165"/>
      <c r="CD35" s="165"/>
      <c r="CE35" s="167"/>
      <c r="CF35" s="167"/>
      <c r="CG35" s="167"/>
      <c r="CH35" s="167"/>
      <c r="CI35" s="165"/>
      <c r="CJ35" s="165"/>
      <c r="CK35" s="167"/>
      <c r="CL35" s="167"/>
      <c r="CM35" s="167"/>
      <c r="CN35" s="112"/>
      <c r="CO35" s="36"/>
      <c r="CP35" s="36"/>
      <c r="CQ35" s="36"/>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9"/>
      <c r="EA35" s="29"/>
      <c r="EB35" s="29"/>
      <c r="EC35" s="29"/>
      <c r="ED35" s="29"/>
      <c r="EE35" s="29"/>
      <c r="EF35" s="29"/>
      <c r="EG35" s="29"/>
    </row>
    <row r="36" spans="1:137" s="64" customFormat="1" ht="30.75" customHeight="1" x14ac:dyDescent="0.25">
      <c r="A36" s="26"/>
      <c r="B36" s="1678" t="s">
        <v>1343</v>
      </c>
      <c r="C36" s="1679"/>
      <c r="D36" s="1679"/>
      <c r="E36" s="1679"/>
      <c r="F36" s="1679"/>
      <c r="G36" s="1679"/>
      <c r="H36" s="1679"/>
      <c r="I36" s="1679"/>
      <c r="J36" s="1679"/>
      <c r="K36" s="1679"/>
      <c r="L36" s="1679"/>
      <c r="M36" s="1679"/>
      <c r="N36" s="1679"/>
      <c r="O36" s="1679"/>
      <c r="P36" s="1679"/>
      <c r="Q36" s="1679"/>
      <c r="R36" s="1679"/>
      <c r="S36" s="1679"/>
      <c r="T36" s="1679"/>
      <c r="U36" s="1679"/>
      <c r="V36" s="1679"/>
      <c r="W36" s="1679"/>
      <c r="X36" s="1679"/>
      <c r="Y36" s="1679"/>
      <c r="Z36" s="1679"/>
      <c r="AA36" s="1679"/>
      <c r="AB36" s="1679"/>
      <c r="AC36" s="1679"/>
      <c r="AD36" s="1679"/>
      <c r="AE36" s="1679"/>
      <c r="AF36" s="1679"/>
      <c r="AG36" s="1679"/>
      <c r="AH36" s="1679"/>
      <c r="AI36" s="1679"/>
      <c r="AJ36" s="1679"/>
      <c r="AK36" s="1679"/>
      <c r="AL36" s="1679"/>
      <c r="AM36" s="1679"/>
      <c r="AN36" s="1679"/>
      <c r="AO36" s="1679"/>
      <c r="AP36" s="1679"/>
      <c r="AQ36" s="1679"/>
      <c r="AR36" s="1679"/>
      <c r="AS36" s="1679"/>
      <c r="AT36" s="1679"/>
      <c r="AU36" s="1679"/>
      <c r="AV36" s="1679"/>
      <c r="AW36" s="1679"/>
      <c r="AX36" s="1679"/>
      <c r="AY36" s="1679"/>
      <c r="AZ36" s="1679"/>
      <c r="BA36" s="1679"/>
      <c r="BB36" s="1679"/>
      <c r="BC36" s="1679"/>
      <c r="BD36" s="1679"/>
      <c r="BE36" s="1679"/>
      <c r="BF36" s="1679"/>
      <c r="BG36" s="1680"/>
      <c r="BH36" s="28"/>
      <c r="BJ36" s="168"/>
      <c r="BK36" s="168"/>
      <c r="BL36" s="168"/>
      <c r="BM36" s="169"/>
      <c r="BN36" s="169"/>
      <c r="BO36" s="169"/>
      <c r="BP36" s="168"/>
      <c r="BQ36" s="168"/>
      <c r="BR36" s="168"/>
      <c r="BS36" s="168"/>
      <c r="BT36" s="168"/>
      <c r="BU36" s="168"/>
      <c r="BV36" s="168"/>
      <c r="BW36" s="168"/>
      <c r="BX36" s="168"/>
      <c r="BY36" s="168"/>
      <c r="BZ36" s="168"/>
      <c r="CA36" s="168"/>
      <c r="CB36" s="170"/>
      <c r="CC36" s="168"/>
      <c r="CD36" s="168"/>
      <c r="CE36" s="170"/>
      <c r="CF36" s="170"/>
      <c r="CG36" s="170"/>
      <c r="CH36" s="170"/>
      <c r="CI36" s="168"/>
      <c r="CJ36" s="168"/>
      <c r="CK36" s="170"/>
      <c r="CL36" s="170"/>
      <c r="CM36" s="170"/>
      <c r="CN36" s="113"/>
      <c r="CO36" s="36"/>
      <c r="CP36" s="36"/>
      <c r="CQ36" s="36"/>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6"/>
      <c r="EA36" s="36"/>
      <c r="EB36" s="36"/>
      <c r="EC36" s="36"/>
      <c r="ED36" s="36"/>
      <c r="EE36" s="36"/>
      <c r="EF36" s="36"/>
      <c r="EG36" s="36"/>
    </row>
    <row r="37" spans="1:137" s="64" customFormat="1" ht="25.5" customHeight="1" x14ac:dyDescent="0.25">
      <c r="A37" s="26"/>
      <c r="B37" s="1681" t="s">
        <v>24</v>
      </c>
      <c r="C37" s="1682"/>
      <c r="D37" s="1682"/>
      <c r="E37" s="1682"/>
      <c r="F37" s="1682"/>
      <c r="G37" s="1682"/>
      <c r="H37" s="1682"/>
      <c r="I37" s="1682"/>
      <c r="J37" s="1682"/>
      <c r="K37" s="1682"/>
      <c r="L37" s="1682"/>
      <c r="M37" s="1682"/>
      <c r="N37" s="1682"/>
      <c r="O37" s="1682"/>
      <c r="P37" s="1682"/>
      <c r="Q37" s="1682"/>
      <c r="R37" s="1682"/>
      <c r="S37" s="1682"/>
      <c r="T37" s="1682"/>
      <c r="U37" s="1682"/>
      <c r="V37" s="1682"/>
      <c r="W37" s="1682"/>
      <c r="X37" s="1682"/>
      <c r="Y37" s="1682"/>
      <c r="Z37" s="1682"/>
      <c r="AA37" s="1682"/>
      <c r="AB37" s="1682"/>
      <c r="AC37" s="1682"/>
      <c r="AD37" s="1682"/>
      <c r="AE37" s="1682"/>
      <c r="AF37" s="1682"/>
      <c r="AG37" s="1682"/>
      <c r="AH37" s="1682"/>
      <c r="AI37" s="1682"/>
      <c r="AJ37" s="1682"/>
      <c r="AK37" s="1682"/>
      <c r="AL37" s="1682"/>
      <c r="AM37" s="1682"/>
      <c r="AN37" s="1682"/>
      <c r="AO37" s="1682"/>
      <c r="AP37" s="1682"/>
      <c r="AQ37" s="1682"/>
      <c r="AR37" s="1682"/>
      <c r="AS37" s="1682"/>
      <c r="AT37" s="1682"/>
      <c r="AU37" s="1682"/>
      <c r="AV37" s="1682"/>
      <c r="AW37" s="1682"/>
      <c r="AX37" s="1682"/>
      <c r="AY37" s="1682"/>
      <c r="AZ37" s="1682"/>
      <c r="BA37" s="1682"/>
      <c r="BB37" s="1682"/>
      <c r="BC37" s="1682"/>
      <c r="BD37" s="1682"/>
      <c r="BE37" s="1682"/>
      <c r="BF37" s="1682"/>
      <c r="BG37" s="1683"/>
      <c r="BH37" s="28"/>
      <c r="BJ37" s="168"/>
      <c r="BK37" s="168"/>
      <c r="BL37" s="168"/>
      <c r="BM37" s="169"/>
      <c r="BN37" s="169"/>
      <c r="BO37" s="169"/>
      <c r="BP37" s="168"/>
      <c r="BQ37" s="168"/>
      <c r="BR37" s="168"/>
      <c r="BS37" s="168"/>
      <c r="BT37" s="168"/>
      <c r="BU37" s="168"/>
      <c r="BV37" s="168"/>
      <c r="BW37" s="168"/>
      <c r="BX37" s="168"/>
      <c r="BY37" s="168"/>
      <c r="BZ37" s="168"/>
      <c r="CA37" s="168"/>
      <c r="CB37" s="170"/>
      <c r="CC37" s="168"/>
      <c r="CD37" s="168"/>
      <c r="CE37" s="170"/>
      <c r="CF37" s="170"/>
      <c r="CG37" s="170"/>
      <c r="CH37" s="170"/>
      <c r="CI37" s="168"/>
      <c r="CJ37" s="168"/>
      <c r="CK37" s="170"/>
      <c r="CL37" s="170"/>
      <c r="CM37" s="170"/>
      <c r="CN37" s="113"/>
      <c r="CO37" s="36"/>
      <c r="CP37" s="36"/>
      <c r="CQ37" s="36"/>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6"/>
      <c r="EA37" s="36"/>
      <c r="EB37" s="36"/>
      <c r="EC37" s="36"/>
      <c r="ED37" s="36"/>
      <c r="EE37" s="36"/>
      <c r="EF37" s="36"/>
      <c r="EG37" s="36"/>
    </row>
    <row r="38" spans="1:137" s="64" customFormat="1" ht="15" customHeight="1" x14ac:dyDescent="0.25">
      <c r="A38" s="26"/>
      <c r="B38" s="1684" t="s">
        <v>283</v>
      </c>
      <c r="C38" s="1686" t="s">
        <v>287</v>
      </c>
      <c r="D38" s="1686" t="s">
        <v>25</v>
      </c>
      <c r="E38" s="1686"/>
      <c r="F38" s="1686"/>
      <c r="G38" s="1686"/>
      <c r="H38" s="1686"/>
      <c r="I38" s="1686"/>
      <c r="J38" s="1686"/>
      <c r="K38" s="1686"/>
      <c r="L38" s="1686"/>
      <c r="M38" s="1686"/>
      <c r="N38" s="1686"/>
      <c r="O38" s="1686"/>
      <c r="P38" s="1686"/>
      <c r="Q38" s="1686"/>
      <c r="R38" s="1686"/>
      <c r="S38" s="1686" t="s">
        <v>193</v>
      </c>
      <c r="T38" s="1686"/>
      <c r="U38" s="1686"/>
      <c r="V38" s="1686"/>
      <c r="W38" s="1686"/>
      <c r="X38" s="1676" t="s">
        <v>201</v>
      </c>
      <c r="Y38" s="1676"/>
      <c r="Z38" s="1676"/>
      <c r="AA38" s="1676"/>
      <c r="AB38" s="1676"/>
      <c r="AC38" s="1676"/>
      <c r="AD38" s="1676"/>
      <c r="AE38" s="1676" t="s">
        <v>200</v>
      </c>
      <c r="AF38" s="1676"/>
      <c r="AG38" s="1676"/>
      <c r="AH38" s="1676"/>
      <c r="AI38" s="1676"/>
      <c r="AJ38" s="1676"/>
      <c r="AK38" s="1676"/>
      <c r="AL38" s="1676" t="s">
        <v>199</v>
      </c>
      <c r="AM38" s="1676"/>
      <c r="AN38" s="1676"/>
      <c r="AO38" s="1676"/>
      <c r="AP38" s="1676"/>
      <c r="AQ38" s="1676"/>
      <c r="AR38" s="1676"/>
      <c r="AS38" s="1676" t="s">
        <v>363</v>
      </c>
      <c r="AT38" s="1676"/>
      <c r="AU38" s="1676"/>
      <c r="AV38" s="1676"/>
      <c r="AW38" s="1676"/>
      <c r="AX38" s="1676"/>
      <c r="AY38" s="1676" t="s">
        <v>198</v>
      </c>
      <c r="AZ38" s="1676"/>
      <c r="BA38" s="1676"/>
      <c r="BB38" s="1676"/>
      <c r="BC38" s="1676"/>
      <c r="BD38" s="1676"/>
      <c r="BE38" s="1676"/>
      <c r="BF38" s="1687" t="s">
        <v>606</v>
      </c>
      <c r="BG38" s="1688" t="s">
        <v>26</v>
      </c>
      <c r="BH38" s="28"/>
      <c r="BJ38" s="168"/>
      <c r="BK38" s="168"/>
      <c r="BL38" s="168"/>
      <c r="BM38" s="169"/>
      <c r="BN38" s="169"/>
      <c r="BO38" s="169"/>
      <c r="BP38" s="168"/>
      <c r="BQ38" s="168"/>
      <c r="BR38" s="168"/>
      <c r="BS38" s="168"/>
      <c r="BT38" s="168"/>
      <c r="BU38" s="168"/>
      <c r="BV38" s="168"/>
      <c r="BW38" s="168"/>
      <c r="BX38" s="168"/>
      <c r="BY38" s="168"/>
      <c r="BZ38" s="168"/>
      <c r="CA38" s="168"/>
      <c r="CB38" s="170"/>
      <c r="CC38" s="168"/>
      <c r="CD38" s="168"/>
      <c r="CE38" s="170"/>
      <c r="CF38" s="170"/>
      <c r="CG38" s="170"/>
      <c r="CH38" s="170"/>
      <c r="CI38" s="168"/>
      <c r="CJ38" s="168"/>
      <c r="CK38" s="170"/>
      <c r="CL38" s="170"/>
      <c r="CM38" s="170"/>
      <c r="CN38" s="113"/>
      <c r="CO38" s="36"/>
      <c r="CP38" s="36"/>
      <c r="CQ38" s="36"/>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6"/>
      <c r="EA38" s="36"/>
      <c r="EB38" s="36"/>
      <c r="EC38" s="36"/>
      <c r="ED38" s="36"/>
      <c r="EE38" s="36"/>
      <c r="EF38" s="36"/>
      <c r="EG38" s="36"/>
    </row>
    <row r="39" spans="1:137" s="64" customFormat="1" ht="75" customHeight="1" x14ac:dyDescent="0.25">
      <c r="A39" s="26"/>
      <c r="B39" s="1685"/>
      <c r="C39" s="1686"/>
      <c r="D39" s="676" t="s">
        <v>27</v>
      </c>
      <c r="E39" s="676" t="s">
        <v>646</v>
      </c>
      <c r="F39" s="676" t="s">
        <v>29</v>
      </c>
      <c r="G39" s="676" t="s">
        <v>30</v>
      </c>
      <c r="H39" s="676" t="s">
        <v>31</v>
      </c>
      <c r="I39" s="676" t="s">
        <v>32</v>
      </c>
      <c r="J39" s="676" t="s">
        <v>33</v>
      </c>
      <c r="K39" s="676" t="s">
        <v>34</v>
      </c>
      <c r="L39" s="676" t="s">
        <v>35</v>
      </c>
      <c r="M39" s="676" t="s">
        <v>36</v>
      </c>
      <c r="N39" s="676" t="s">
        <v>37</v>
      </c>
      <c r="O39" s="676" t="s">
        <v>38</v>
      </c>
      <c r="P39" s="676" t="s">
        <v>39</v>
      </c>
      <c r="Q39" s="676" t="s">
        <v>40</v>
      </c>
      <c r="R39" s="676" t="s">
        <v>41</v>
      </c>
      <c r="S39" s="676" t="s">
        <v>42</v>
      </c>
      <c r="T39" s="676" t="s">
        <v>43</v>
      </c>
      <c r="U39" s="676" t="s">
        <v>44</v>
      </c>
      <c r="V39" s="677" t="s">
        <v>210</v>
      </c>
      <c r="W39" s="678" t="s">
        <v>193</v>
      </c>
      <c r="X39" s="1687" t="s">
        <v>194</v>
      </c>
      <c r="Y39" s="1687"/>
      <c r="Z39" s="676" t="s">
        <v>202</v>
      </c>
      <c r="AA39" s="679" t="s">
        <v>605</v>
      </c>
      <c r="AB39" s="679" t="s">
        <v>617</v>
      </c>
      <c r="AC39" s="678" t="s">
        <v>203</v>
      </c>
      <c r="AD39" s="679" t="s">
        <v>294</v>
      </c>
      <c r="AE39" s="1687" t="s">
        <v>195</v>
      </c>
      <c r="AF39" s="1687"/>
      <c r="AG39" s="678" t="s">
        <v>204</v>
      </c>
      <c r="AH39" s="680" t="s">
        <v>618</v>
      </c>
      <c r="AI39" s="680" t="s">
        <v>619</v>
      </c>
      <c r="AJ39" s="678" t="s">
        <v>205</v>
      </c>
      <c r="AK39" s="679" t="s">
        <v>294</v>
      </c>
      <c r="AL39" s="1687" t="s">
        <v>196</v>
      </c>
      <c r="AM39" s="1687"/>
      <c r="AN39" s="678" t="s">
        <v>206</v>
      </c>
      <c r="AO39" s="676" t="s">
        <v>620</v>
      </c>
      <c r="AP39" s="676" t="s">
        <v>621</v>
      </c>
      <c r="AQ39" s="678" t="s">
        <v>207</v>
      </c>
      <c r="AR39" s="679" t="s">
        <v>294</v>
      </c>
      <c r="AS39" s="1687" t="s">
        <v>622</v>
      </c>
      <c r="AT39" s="1687"/>
      <c r="AU39" s="678" t="s">
        <v>365</v>
      </c>
      <c r="AV39" s="679" t="s">
        <v>623</v>
      </c>
      <c r="AW39" s="678" t="s">
        <v>364</v>
      </c>
      <c r="AX39" s="679" t="s">
        <v>294</v>
      </c>
      <c r="AY39" s="1687" t="s">
        <v>197</v>
      </c>
      <c r="AZ39" s="1687"/>
      <c r="BA39" s="678" t="s">
        <v>208</v>
      </c>
      <c r="BB39" s="679" t="s">
        <v>624</v>
      </c>
      <c r="BC39" s="679" t="s">
        <v>625</v>
      </c>
      <c r="BD39" s="678" t="s">
        <v>209</v>
      </c>
      <c r="BE39" s="679" t="s">
        <v>294</v>
      </c>
      <c r="BF39" s="1687"/>
      <c r="BG39" s="1688"/>
      <c r="BH39" s="28" t="s">
        <v>45</v>
      </c>
      <c r="BJ39" s="168"/>
      <c r="BK39" s="168"/>
      <c r="BL39" s="168"/>
      <c r="BM39" s="169"/>
      <c r="BN39" s="169"/>
      <c r="BO39" s="169"/>
      <c r="BP39" s="168"/>
      <c r="BQ39" s="168"/>
      <c r="BR39" s="168"/>
      <c r="BS39" s="168"/>
      <c r="BT39" s="168"/>
      <c r="BU39" s="168"/>
      <c r="BV39" s="168"/>
      <c r="BW39" s="168"/>
      <c r="BX39" s="168"/>
      <c r="BY39" s="168"/>
      <c r="BZ39" s="168"/>
      <c r="CA39" s="168"/>
      <c r="CB39" s="170"/>
      <c r="CC39" s="168"/>
      <c r="CD39" s="168"/>
      <c r="CE39" s="170"/>
      <c r="CF39" s="170"/>
      <c r="CG39" s="170"/>
      <c r="CH39" s="170"/>
      <c r="CI39" s="168"/>
      <c r="CJ39" s="168"/>
      <c r="CK39" s="170"/>
      <c r="CL39" s="170"/>
      <c r="CM39" s="170"/>
      <c r="CN39" s="113"/>
      <c r="CO39" s="36"/>
      <c r="CP39" s="36"/>
      <c r="CQ39" s="36"/>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6"/>
      <c r="EA39" s="36"/>
      <c r="EB39" s="36"/>
      <c r="EC39" s="36"/>
      <c r="ED39" s="36"/>
      <c r="EE39" s="36"/>
      <c r="EF39" s="36"/>
      <c r="EG39" s="36"/>
    </row>
    <row r="40" spans="1:137" s="27" customFormat="1" ht="15" customHeight="1" x14ac:dyDescent="0.25">
      <c r="A40" s="26"/>
      <c r="B40" s="650" t="s">
        <v>402</v>
      </c>
      <c r="C40" s="560"/>
      <c r="D40" s="681">
        <f t="shared" ref="D40:D47" si="59">VLOOKUP($C40,$BI$90:$CM$472,2,FALSE)</f>
        <v>0</v>
      </c>
      <c r="E40" s="421"/>
      <c r="F40" s="421"/>
      <c r="G40" s="421"/>
      <c r="H40" s="421"/>
      <c r="I40" s="421"/>
      <c r="J40" s="421"/>
      <c r="K40" s="421"/>
      <c r="L40" s="421"/>
      <c r="M40" s="421"/>
      <c r="N40" s="421"/>
      <c r="O40" s="421"/>
      <c r="P40" s="421"/>
      <c r="Q40" s="422">
        <f>SUM(E40:P40)</f>
        <v>0</v>
      </c>
      <c r="R40" s="423">
        <f>COUNT(E40:P40)</f>
        <v>0</v>
      </c>
      <c r="S40" s="422">
        <f>IF(R40&gt;1,AVERAGE(E40:P40),0)</f>
        <v>0</v>
      </c>
      <c r="T40" s="422">
        <f>IF(R40&gt;1,STDEV(E40:P40),0)</f>
        <v>0</v>
      </c>
      <c r="U40" s="422">
        <f t="shared" ref="U40:U47" si="60">IF(R40&gt;1,VLOOKUP($R40,$BI$424:$BJ$436,2,FALSE),0)</f>
        <v>0</v>
      </c>
      <c r="V40" s="424"/>
      <c r="W40" s="425">
        <f t="shared" ref="W40:W47" si="61">IF(R40&gt;1,1-((S40-((T40*U40)/(SQRT(R40))))/S40),VLOOKUP($C40,$BI$90:$CS$472,34,FALSE))</f>
        <v>0</v>
      </c>
      <c r="X40" s="682">
        <f t="shared" ref="X40:X47" si="62">VLOOKUP($C40,$BI$90:$CM$472,3,FALSE)</f>
        <v>0</v>
      </c>
      <c r="Y40" s="668">
        <f t="shared" ref="Y40:Y47" si="63">VLOOKUP($C40,$BI$90:$CM$472,4,FALSE)</f>
        <v>0</v>
      </c>
      <c r="Z40" s="669">
        <f t="shared" ref="Z40:Z47" si="64">IF($Q40&gt;0,VLOOKUP($C40,$BI$90:$CM$472,6,FALSE),0)</f>
        <v>0</v>
      </c>
      <c r="AA40" s="670">
        <f>($Q40*X40)/1000</f>
        <v>0</v>
      </c>
      <c r="AB40" s="670">
        <f t="shared" ref="AB40:AB47" si="65">AA40*$BJ$442</f>
        <v>0</v>
      </c>
      <c r="AC40" s="669">
        <f>IF(AA40&gt;0,SQRT(($W40*$W40)+(Z40*Z40)+($V40*$V40)),0)</f>
        <v>0</v>
      </c>
      <c r="AD40" s="670">
        <f>(AB40*AC40)^2</f>
        <v>0</v>
      </c>
      <c r="AE40" s="683">
        <f t="shared" ref="AE40:AE47" si="66">VLOOKUP($C40,$BI$90:$CM$472,21,FALSE)</f>
        <v>0</v>
      </c>
      <c r="AF40" s="668">
        <f t="shared" ref="AF40:AF47" si="67">VLOOKUP($C40,$BI$90:$CM$472,22,FALSE)</f>
        <v>0</v>
      </c>
      <c r="AG40" s="669">
        <f t="shared" ref="AG40:AG47" si="68">IF($Q40&gt;0,VLOOKUP($C40,$BI$90:$CM$472,24,FALSE),0)</f>
        <v>0</v>
      </c>
      <c r="AH40" s="684">
        <f>($Q40*AE40)/1000</f>
        <v>0</v>
      </c>
      <c r="AI40" s="684">
        <f t="shared" ref="AI40:AI47" si="69">AH40*$BJ$443</f>
        <v>0</v>
      </c>
      <c r="AJ40" s="669">
        <f>IF(AH40&gt;0,SQRT(($W40*$W40)+(AG40*AG40)+($V40*$V40)),0)</f>
        <v>0</v>
      </c>
      <c r="AK40" s="670">
        <f>(AI40*AJ40)^2</f>
        <v>0</v>
      </c>
      <c r="AL40" s="683">
        <f t="shared" ref="AL40:AL47" si="70">VLOOKUP($C40,$BI$90:$CM$472,27,FALSE)</f>
        <v>0</v>
      </c>
      <c r="AM40" s="668">
        <f t="shared" ref="AM40:AM47" si="71">VLOOKUP($C40,$BI$90:$CM$472,28,FALSE)</f>
        <v>0</v>
      </c>
      <c r="AN40" s="669">
        <f t="shared" ref="AN40:AN47" si="72">IF($Q40&gt;0,VLOOKUP($C40,$BI$90:$CM$472,30,FALSE),0)</f>
        <v>0</v>
      </c>
      <c r="AO40" s="684">
        <f>($Q40*AL40)/1000</f>
        <v>0</v>
      </c>
      <c r="AP40" s="684">
        <f t="shared" ref="AP40:AP47" si="73">AO40*$BJ$444</f>
        <v>0</v>
      </c>
      <c r="AQ40" s="669">
        <f>IF(AO40&gt;0,SQRT(($W40*$W40)+(AN40*AN40)+($V40*$V40)),0)</f>
        <v>0</v>
      </c>
      <c r="AR40" s="670">
        <f>(AP40*AQ40)^2</f>
        <v>0</v>
      </c>
      <c r="AS40" s="667">
        <v>0</v>
      </c>
      <c r="AT40" s="668">
        <v>0</v>
      </c>
      <c r="AU40" s="669">
        <v>0</v>
      </c>
      <c r="AV40" s="684">
        <f t="shared" ref="AV40:AV47" si="74">($Q40*AS40)/1000</f>
        <v>0</v>
      </c>
      <c r="AW40" s="669">
        <f t="shared" ref="AW40:AW46" si="75">IF(AV40&gt;0,SQRT(($W40*$W40)+(AU40*AU40)+($V40*$V40)),0)</f>
        <v>0</v>
      </c>
      <c r="AX40" s="670">
        <f>(AV40*AW40)^2</f>
        <v>0</v>
      </c>
      <c r="AY40" s="667">
        <v>0</v>
      </c>
      <c r="AZ40" s="668">
        <v>0</v>
      </c>
      <c r="BA40" s="669">
        <v>0</v>
      </c>
      <c r="BB40" s="684">
        <f>($Q40*AY40)/1000</f>
        <v>0</v>
      </c>
      <c r="BC40" s="684">
        <f t="shared" ref="BC40:BC47" si="76">BB40*$BJ$445</f>
        <v>0</v>
      </c>
      <c r="BD40" s="669">
        <f>IF(BB40&gt;0,SQRT(($W40*$W40)+(BA40*BA40)+($V40*$V40)),0)</f>
        <v>0</v>
      </c>
      <c r="BE40" s="670">
        <f>(BC40*BD40)^2</f>
        <v>0</v>
      </c>
      <c r="BF40" s="671">
        <f t="shared" ref="BF40:BF47" si="77">AB40+AI40+AP40+AV40+BC40</f>
        <v>0</v>
      </c>
      <c r="BG40" s="655">
        <f t="shared" ref="BG40:BG47" si="78">IF(BF40&gt;0,SQRT(AD40+AK40+AR40+AX40+BE40)/BF40,0)</f>
        <v>0</v>
      </c>
      <c r="BH40" s="28">
        <f>(BF40*BG40)^2</f>
        <v>0</v>
      </c>
      <c r="BI40" s="64"/>
      <c r="BJ40" s="168"/>
      <c r="BK40" s="168"/>
      <c r="BL40" s="168"/>
      <c r="BM40" s="169"/>
      <c r="BN40" s="169"/>
      <c r="BO40" s="169"/>
      <c r="BP40" s="168"/>
      <c r="BQ40" s="168"/>
      <c r="BR40" s="168"/>
      <c r="BS40" s="168"/>
      <c r="BT40" s="168"/>
      <c r="BU40" s="168"/>
      <c r="BV40" s="168"/>
      <c r="BW40" s="168"/>
      <c r="BX40" s="168"/>
      <c r="BY40" s="168"/>
      <c r="BZ40" s="168"/>
      <c r="CA40" s="168"/>
      <c r="CB40" s="170"/>
      <c r="CC40" s="168"/>
      <c r="CD40" s="168"/>
      <c r="CE40" s="170"/>
      <c r="CF40" s="170"/>
      <c r="CG40" s="170"/>
      <c r="CH40" s="170"/>
      <c r="CI40" s="168"/>
      <c r="CJ40" s="168"/>
      <c r="CK40" s="170"/>
      <c r="CL40" s="170"/>
      <c r="CM40" s="170"/>
      <c r="CN40" s="113"/>
      <c r="CO40" s="36"/>
      <c r="CP40" s="36"/>
      <c r="CQ40" s="36"/>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6"/>
      <c r="EA40" s="36"/>
      <c r="EB40" s="36"/>
      <c r="EC40" s="36"/>
      <c r="ED40" s="36"/>
      <c r="EE40" s="36"/>
      <c r="EF40" s="36"/>
      <c r="EG40" s="36"/>
    </row>
    <row r="41" spans="1:137" s="27" customFormat="1" x14ac:dyDescent="0.25">
      <c r="A41" s="26"/>
      <c r="B41" s="651" t="s">
        <v>401</v>
      </c>
      <c r="C41" s="560"/>
      <c r="D41" s="681">
        <f t="shared" si="59"/>
        <v>0</v>
      </c>
      <c r="E41" s="421"/>
      <c r="F41" s="421"/>
      <c r="G41" s="421"/>
      <c r="H41" s="421"/>
      <c r="I41" s="421"/>
      <c r="J41" s="421"/>
      <c r="K41" s="421"/>
      <c r="L41" s="421"/>
      <c r="M41" s="421"/>
      <c r="N41" s="421"/>
      <c r="O41" s="421"/>
      <c r="P41" s="421"/>
      <c r="Q41" s="422">
        <f t="shared" ref="Q41:Q47" si="79">SUM(E41:P41)</f>
        <v>0</v>
      </c>
      <c r="R41" s="423">
        <f t="shared" ref="R41:R47" si="80">COUNT(E41:P41)</f>
        <v>0</v>
      </c>
      <c r="S41" s="422">
        <f t="shared" ref="S41:S47" si="81">IF(R41&gt;1,AVERAGE(E41:P41),0)</f>
        <v>0</v>
      </c>
      <c r="T41" s="422">
        <f t="shared" ref="T41:T47" si="82">IF(R41&gt;1,STDEV(E41:P41),0)</f>
        <v>0</v>
      </c>
      <c r="U41" s="422">
        <f t="shared" si="60"/>
        <v>0</v>
      </c>
      <c r="V41" s="424"/>
      <c r="W41" s="425">
        <f t="shared" si="61"/>
        <v>0</v>
      </c>
      <c r="X41" s="682">
        <f t="shared" si="62"/>
        <v>0</v>
      </c>
      <c r="Y41" s="668">
        <f t="shared" si="63"/>
        <v>0</v>
      </c>
      <c r="Z41" s="669">
        <f t="shared" si="64"/>
        <v>0</v>
      </c>
      <c r="AA41" s="670">
        <f t="shared" ref="AA41:AA47" si="83">($Q41*X41)/1000</f>
        <v>0</v>
      </c>
      <c r="AB41" s="670">
        <f t="shared" si="65"/>
        <v>0</v>
      </c>
      <c r="AC41" s="669">
        <f t="shared" ref="AC41:AC47" si="84">IF(AA41&gt;0,SQRT(($W41*$W41)+(Z41*Z41)+($V41*$V41)),0)</f>
        <v>0</v>
      </c>
      <c r="AD41" s="670">
        <f t="shared" ref="AD41:AD56" si="85">(AB41*AC41)^2</f>
        <v>0</v>
      </c>
      <c r="AE41" s="683">
        <f t="shared" si="66"/>
        <v>0</v>
      </c>
      <c r="AF41" s="668">
        <f t="shared" si="67"/>
        <v>0</v>
      </c>
      <c r="AG41" s="669">
        <f t="shared" si="68"/>
        <v>0</v>
      </c>
      <c r="AH41" s="684">
        <f t="shared" ref="AH41:AH47" si="86">($Q41*AE41)/1000</f>
        <v>0</v>
      </c>
      <c r="AI41" s="684">
        <f t="shared" si="69"/>
        <v>0</v>
      </c>
      <c r="AJ41" s="669">
        <f t="shared" ref="AJ41:AJ47" si="87">IF(AH41&gt;0,SQRT(($W41*$W41)+(AG41*AG41)+($V41*$V41)),0)</f>
        <v>0</v>
      </c>
      <c r="AK41" s="670">
        <f t="shared" ref="AK41:AK56" si="88">(AI41*AJ41)^2</f>
        <v>0</v>
      </c>
      <c r="AL41" s="683">
        <f t="shared" si="70"/>
        <v>0</v>
      </c>
      <c r="AM41" s="668">
        <f t="shared" si="71"/>
        <v>0</v>
      </c>
      <c r="AN41" s="669">
        <f t="shared" si="72"/>
        <v>0</v>
      </c>
      <c r="AO41" s="684">
        <f t="shared" ref="AO41:AO47" si="89">($Q41*AL41)/1000</f>
        <v>0</v>
      </c>
      <c r="AP41" s="684">
        <f t="shared" si="73"/>
        <v>0</v>
      </c>
      <c r="AQ41" s="669">
        <f t="shared" ref="AQ41:AQ47" si="90">IF(AO41&gt;0,SQRT(($W41*$W41)+(AN41*AN41)+($V41*$V41)),0)</f>
        <v>0</v>
      </c>
      <c r="AR41" s="670">
        <f t="shared" ref="AR41:AR56" si="91">(AP41*AQ41)^2</f>
        <v>0</v>
      </c>
      <c r="AS41" s="667">
        <v>0</v>
      </c>
      <c r="AT41" s="668">
        <v>0</v>
      </c>
      <c r="AU41" s="669">
        <v>0</v>
      </c>
      <c r="AV41" s="684">
        <f t="shared" si="74"/>
        <v>0</v>
      </c>
      <c r="AW41" s="669">
        <f t="shared" si="75"/>
        <v>0</v>
      </c>
      <c r="AX41" s="670">
        <f t="shared" ref="AX41:AX56" si="92">(AV41*AW41)^2</f>
        <v>0</v>
      </c>
      <c r="AY41" s="667">
        <v>0</v>
      </c>
      <c r="AZ41" s="668">
        <v>0</v>
      </c>
      <c r="BA41" s="669">
        <v>0</v>
      </c>
      <c r="BB41" s="684">
        <f t="shared" ref="BB41:BB47" si="93">($Q41*AY41)/1000</f>
        <v>0</v>
      </c>
      <c r="BC41" s="684">
        <f t="shared" si="76"/>
        <v>0</v>
      </c>
      <c r="BD41" s="669">
        <f t="shared" ref="BD41:BD47" si="94">IF(BB41&gt;0,SQRT(($W41*$W41)+(BA41*BA41)+($V41*$V41)),0)</f>
        <v>0</v>
      </c>
      <c r="BE41" s="670">
        <f t="shared" ref="BE41:BE56" si="95">(BC41*BD41)^2</f>
        <v>0</v>
      </c>
      <c r="BF41" s="671">
        <f t="shared" si="77"/>
        <v>0</v>
      </c>
      <c r="BG41" s="655">
        <f t="shared" si="78"/>
        <v>0</v>
      </c>
      <c r="BH41" s="28">
        <f t="shared" ref="BH41:BH56" si="96">(BF41*BG41)^2</f>
        <v>0</v>
      </c>
      <c r="BI41" s="64"/>
      <c r="BJ41" s="168"/>
      <c r="BK41" s="168"/>
      <c r="BL41" s="168"/>
      <c r="BM41" s="169"/>
      <c r="BN41" s="169"/>
      <c r="BO41" s="169"/>
      <c r="BP41" s="168"/>
      <c r="BQ41" s="168"/>
      <c r="BR41" s="168"/>
      <c r="BS41" s="168"/>
      <c r="BT41" s="168"/>
      <c r="BU41" s="168"/>
      <c r="BV41" s="168"/>
      <c r="BW41" s="168"/>
      <c r="BX41" s="168"/>
      <c r="BY41" s="168"/>
      <c r="BZ41" s="168"/>
      <c r="CA41" s="168"/>
      <c r="CB41" s="170"/>
      <c r="CC41" s="168"/>
      <c r="CD41" s="168"/>
      <c r="CE41" s="170"/>
      <c r="CF41" s="170"/>
      <c r="CG41" s="170"/>
      <c r="CH41" s="170"/>
      <c r="CI41" s="168"/>
      <c r="CJ41" s="168"/>
      <c r="CK41" s="170"/>
      <c r="CL41" s="170"/>
      <c r="CM41" s="170"/>
      <c r="CN41" s="113"/>
      <c r="CO41" s="36"/>
      <c r="CP41" s="36"/>
      <c r="CQ41" s="36"/>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6"/>
      <c r="EA41" s="36"/>
      <c r="EB41" s="36"/>
      <c r="EC41" s="36"/>
      <c r="ED41" s="36"/>
      <c r="EE41" s="36"/>
      <c r="EF41" s="36"/>
      <c r="EG41" s="36"/>
    </row>
    <row r="42" spans="1:137" s="27" customFormat="1" x14ac:dyDescent="0.25">
      <c r="A42" s="26"/>
      <c r="B42" s="651"/>
      <c r="C42" s="560"/>
      <c r="D42" s="681">
        <f t="shared" si="59"/>
        <v>0</v>
      </c>
      <c r="E42" s="421"/>
      <c r="F42" s="421"/>
      <c r="G42" s="421"/>
      <c r="H42" s="421"/>
      <c r="I42" s="421"/>
      <c r="J42" s="421"/>
      <c r="K42" s="421"/>
      <c r="L42" s="421"/>
      <c r="M42" s="421"/>
      <c r="N42" s="421"/>
      <c r="O42" s="421"/>
      <c r="P42" s="421"/>
      <c r="Q42" s="422">
        <f t="shared" si="79"/>
        <v>0</v>
      </c>
      <c r="R42" s="423">
        <f t="shared" si="80"/>
        <v>0</v>
      </c>
      <c r="S42" s="422">
        <f t="shared" si="81"/>
        <v>0</v>
      </c>
      <c r="T42" s="422">
        <f t="shared" si="82"/>
        <v>0</v>
      </c>
      <c r="U42" s="422">
        <f t="shared" si="60"/>
        <v>0</v>
      </c>
      <c r="V42" s="424"/>
      <c r="W42" s="425">
        <f t="shared" si="61"/>
        <v>0</v>
      </c>
      <c r="X42" s="682">
        <f t="shared" si="62"/>
        <v>0</v>
      </c>
      <c r="Y42" s="668">
        <f t="shared" si="63"/>
        <v>0</v>
      </c>
      <c r="Z42" s="669">
        <f t="shared" si="64"/>
        <v>0</v>
      </c>
      <c r="AA42" s="670">
        <f t="shared" si="83"/>
        <v>0</v>
      </c>
      <c r="AB42" s="670">
        <f t="shared" si="65"/>
        <v>0</v>
      </c>
      <c r="AC42" s="669">
        <f t="shared" si="84"/>
        <v>0</v>
      </c>
      <c r="AD42" s="670">
        <f t="shared" si="85"/>
        <v>0</v>
      </c>
      <c r="AE42" s="683">
        <f t="shared" si="66"/>
        <v>0</v>
      </c>
      <c r="AF42" s="668">
        <f t="shared" si="67"/>
        <v>0</v>
      </c>
      <c r="AG42" s="669">
        <f t="shared" si="68"/>
        <v>0</v>
      </c>
      <c r="AH42" s="684">
        <f t="shared" si="86"/>
        <v>0</v>
      </c>
      <c r="AI42" s="684">
        <f t="shared" si="69"/>
        <v>0</v>
      </c>
      <c r="AJ42" s="669">
        <f t="shared" si="87"/>
        <v>0</v>
      </c>
      <c r="AK42" s="670">
        <f t="shared" si="88"/>
        <v>0</v>
      </c>
      <c r="AL42" s="683">
        <f t="shared" si="70"/>
        <v>0</v>
      </c>
      <c r="AM42" s="668">
        <f t="shared" si="71"/>
        <v>0</v>
      </c>
      <c r="AN42" s="669">
        <f t="shared" si="72"/>
        <v>0</v>
      </c>
      <c r="AO42" s="684">
        <f t="shared" si="89"/>
        <v>0</v>
      </c>
      <c r="AP42" s="684">
        <f t="shared" si="73"/>
        <v>0</v>
      </c>
      <c r="AQ42" s="669">
        <f t="shared" si="90"/>
        <v>0</v>
      </c>
      <c r="AR42" s="670">
        <f t="shared" si="91"/>
        <v>0</v>
      </c>
      <c r="AS42" s="667">
        <v>0</v>
      </c>
      <c r="AT42" s="668">
        <v>0</v>
      </c>
      <c r="AU42" s="669">
        <v>0</v>
      </c>
      <c r="AV42" s="684">
        <f t="shared" si="74"/>
        <v>0</v>
      </c>
      <c r="AW42" s="669">
        <f t="shared" si="75"/>
        <v>0</v>
      </c>
      <c r="AX42" s="670">
        <f t="shared" si="92"/>
        <v>0</v>
      </c>
      <c r="AY42" s="667">
        <v>0</v>
      </c>
      <c r="AZ42" s="668">
        <v>0</v>
      </c>
      <c r="BA42" s="669">
        <v>0</v>
      </c>
      <c r="BB42" s="684">
        <f t="shared" si="93"/>
        <v>0</v>
      </c>
      <c r="BC42" s="684">
        <f t="shared" si="76"/>
        <v>0</v>
      </c>
      <c r="BD42" s="669">
        <f t="shared" si="94"/>
        <v>0</v>
      </c>
      <c r="BE42" s="670">
        <f t="shared" si="95"/>
        <v>0</v>
      </c>
      <c r="BF42" s="671">
        <f t="shared" si="77"/>
        <v>0</v>
      </c>
      <c r="BG42" s="655">
        <f t="shared" si="78"/>
        <v>0</v>
      </c>
      <c r="BH42" s="28">
        <f t="shared" si="96"/>
        <v>0</v>
      </c>
      <c r="BI42" s="64"/>
      <c r="BJ42" s="168"/>
      <c r="BK42" s="168"/>
      <c r="BL42" s="168"/>
      <c r="BM42" s="169"/>
      <c r="BN42" s="169"/>
      <c r="BO42" s="169"/>
      <c r="BP42" s="168"/>
      <c r="BQ42" s="168"/>
      <c r="BR42" s="168"/>
      <c r="BS42" s="168"/>
      <c r="BT42" s="168"/>
      <c r="BU42" s="168"/>
      <c r="BV42" s="168"/>
      <c r="BW42" s="168"/>
      <c r="BX42" s="168"/>
      <c r="BY42" s="168"/>
      <c r="BZ42" s="168"/>
      <c r="CA42" s="168"/>
      <c r="CB42" s="170"/>
      <c r="CC42" s="168"/>
      <c r="CD42" s="168"/>
      <c r="CE42" s="170"/>
      <c r="CF42" s="170"/>
      <c r="CG42" s="170"/>
      <c r="CH42" s="170"/>
      <c r="CI42" s="168"/>
      <c r="CJ42" s="168"/>
      <c r="CK42" s="170"/>
      <c r="CL42" s="170"/>
      <c r="CM42" s="170"/>
      <c r="CN42" s="113"/>
      <c r="CO42" s="36"/>
      <c r="CP42" s="36"/>
      <c r="CQ42" s="36"/>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6"/>
      <c r="EA42" s="36"/>
      <c r="EB42" s="36"/>
      <c r="EC42" s="36"/>
      <c r="ED42" s="36"/>
      <c r="EE42" s="36"/>
      <c r="EF42" s="36"/>
      <c r="EG42" s="36"/>
    </row>
    <row r="43" spans="1:137" s="27" customFormat="1" x14ac:dyDescent="0.25">
      <c r="A43" s="26"/>
      <c r="B43" s="652"/>
      <c r="C43" s="560"/>
      <c r="D43" s="681">
        <f t="shared" si="59"/>
        <v>0</v>
      </c>
      <c r="E43" s="421"/>
      <c r="F43" s="421"/>
      <c r="G43" s="421"/>
      <c r="H43" s="421"/>
      <c r="I43" s="421"/>
      <c r="J43" s="421"/>
      <c r="K43" s="421"/>
      <c r="L43" s="421"/>
      <c r="M43" s="421"/>
      <c r="N43" s="421"/>
      <c r="O43" s="421"/>
      <c r="P43" s="421"/>
      <c r="Q43" s="422">
        <f t="shared" si="79"/>
        <v>0</v>
      </c>
      <c r="R43" s="423">
        <f t="shared" si="80"/>
        <v>0</v>
      </c>
      <c r="S43" s="422">
        <f t="shared" si="81"/>
        <v>0</v>
      </c>
      <c r="T43" s="422">
        <f t="shared" si="82"/>
        <v>0</v>
      </c>
      <c r="U43" s="422">
        <f t="shared" si="60"/>
        <v>0</v>
      </c>
      <c r="V43" s="424"/>
      <c r="W43" s="425">
        <f t="shared" si="61"/>
        <v>0</v>
      </c>
      <c r="X43" s="682">
        <f t="shared" si="62"/>
        <v>0</v>
      </c>
      <c r="Y43" s="668">
        <f t="shared" si="63"/>
        <v>0</v>
      </c>
      <c r="Z43" s="669">
        <f t="shared" si="64"/>
        <v>0</v>
      </c>
      <c r="AA43" s="670">
        <f t="shared" si="83"/>
        <v>0</v>
      </c>
      <c r="AB43" s="670">
        <f t="shared" si="65"/>
        <v>0</v>
      </c>
      <c r="AC43" s="669">
        <f t="shared" si="84"/>
        <v>0</v>
      </c>
      <c r="AD43" s="670">
        <f t="shared" si="85"/>
        <v>0</v>
      </c>
      <c r="AE43" s="683">
        <f t="shared" si="66"/>
        <v>0</v>
      </c>
      <c r="AF43" s="668">
        <f t="shared" si="67"/>
        <v>0</v>
      </c>
      <c r="AG43" s="669">
        <f t="shared" si="68"/>
        <v>0</v>
      </c>
      <c r="AH43" s="684">
        <f t="shared" si="86"/>
        <v>0</v>
      </c>
      <c r="AI43" s="684">
        <f t="shared" si="69"/>
        <v>0</v>
      </c>
      <c r="AJ43" s="669">
        <f t="shared" si="87"/>
        <v>0</v>
      </c>
      <c r="AK43" s="670">
        <f t="shared" si="88"/>
        <v>0</v>
      </c>
      <c r="AL43" s="683">
        <f t="shared" si="70"/>
        <v>0</v>
      </c>
      <c r="AM43" s="668">
        <f t="shared" si="71"/>
        <v>0</v>
      </c>
      <c r="AN43" s="669">
        <f t="shared" si="72"/>
        <v>0</v>
      </c>
      <c r="AO43" s="684">
        <f t="shared" si="89"/>
        <v>0</v>
      </c>
      <c r="AP43" s="684">
        <f t="shared" si="73"/>
        <v>0</v>
      </c>
      <c r="AQ43" s="669">
        <f t="shared" si="90"/>
        <v>0</v>
      </c>
      <c r="AR43" s="670">
        <f t="shared" si="91"/>
        <v>0</v>
      </c>
      <c r="AS43" s="667">
        <v>0</v>
      </c>
      <c r="AT43" s="668">
        <v>0</v>
      </c>
      <c r="AU43" s="669">
        <v>0</v>
      </c>
      <c r="AV43" s="684">
        <f t="shared" si="74"/>
        <v>0</v>
      </c>
      <c r="AW43" s="669">
        <f t="shared" si="75"/>
        <v>0</v>
      </c>
      <c r="AX43" s="670">
        <f t="shared" si="92"/>
        <v>0</v>
      </c>
      <c r="AY43" s="667">
        <v>0</v>
      </c>
      <c r="AZ43" s="668">
        <v>0</v>
      </c>
      <c r="BA43" s="669">
        <v>0</v>
      </c>
      <c r="BB43" s="684">
        <f t="shared" si="93"/>
        <v>0</v>
      </c>
      <c r="BC43" s="684">
        <f t="shared" si="76"/>
        <v>0</v>
      </c>
      <c r="BD43" s="669">
        <f t="shared" si="94"/>
        <v>0</v>
      </c>
      <c r="BE43" s="670">
        <f t="shared" si="95"/>
        <v>0</v>
      </c>
      <c r="BF43" s="671">
        <f t="shared" si="77"/>
        <v>0</v>
      </c>
      <c r="BG43" s="655">
        <f t="shared" si="78"/>
        <v>0</v>
      </c>
      <c r="BH43" s="28">
        <f t="shared" si="96"/>
        <v>0</v>
      </c>
      <c r="BI43" s="64"/>
      <c r="BJ43" s="168"/>
      <c r="BK43" s="168"/>
      <c r="BL43" s="168"/>
      <c r="BM43" s="169"/>
      <c r="BN43" s="169"/>
      <c r="BO43" s="169"/>
      <c r="BP43" s="168"/>
      <c r="BQ43" s="168"/>
      <c r="BR43" s="168"/>
      <c r="BS43" s="168"/>
      <c r="BT43" s="168"/>
      <c r="BU43" s="168"/>
      <c r="BV43" s="168"/>
      <c r="BW43" s="168"/>
      <c r="BX43" s="168"/>
      <c r="BY43" s="168"/>
      <c r="BZ43" s="168"/>
      <c r="CA43" s="168"/>
      <c r="CB43" s="170"/>
      <c r="CC43" s="168"/>
      <c r="CD43" s="168"/>
      <c r="CE43" s="170"/>
      <c r="CF43" s="170"/>
      <c r="CG43" s="170"/>
      <c r="CH43" s="170"/>
      <c r="CI43" s="168"/>
      <c r="CJ43" s="168"/>
      <c r="CK43" s="170"/>
      <c r="CL43" s="170"/>
      <c r="CM43" s="170"/>
      <c r="CN43" s="113"/>
      <c r="CO43" s="36"/>
      <c r="CP43" s="36"/>
      <c r="CQ43" s="36"/>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6"/>
      <c r="EA43" s="36"/>
      <c r="EB43" s="36"/>
      <c r="EC43" s="36"/>
      <c r="ED43" s="36"/>
      <c r="EE43" s="36"/>
      <c r="EF43" s="36"/>
      <c r="EG43" s="36"/>
    </row>
    <row r="44" spans="1:137" s="27" customFormat="1" ht="15" customHeight="1" x14ac:dyDescent="0.25">
      <c r="A44" s="26"/>
      <c r="B44" s="650" t="s">
        <v>398</v>
      </c>
      <c r="C44" s="553"/>
      <c r="D44" s="681">
        <f t="shared" si="59"/>
        <v>0</v>
      </c>
      <c r="E44" s="421"/>
      <c r="F44" s="421"/>
      <c r="G44" s="421"/>
      <c r="H44" s="421"/>
      <c r="I44" s="421"/>
      <c r="J44" s="421"/>
      <c r="K44" s="421"/>
      <c r="L44" s="421"/>
      <c r="M44" s="421"/>
      <c r="N44" s="421"/>
      <c r="O44" s="421"/>
      <c r="P44" s="421"/>
      <c r="Q44" s="422">
        <f t="shared" si="79"/>
        <v>0</v>
      </c>
      <c r="R44" s="423">
        <f t="shared" si="80"/>
        <v>0</v>
      </c>
      <c r="S44" s="422">
        <f t="shared" si="81"/>
        <v>0</v>
      </c>
      <c r="T44" s="422">
        <f t="shared" si="82"/>
        <v>0</v>
      </c>
      <c r="U44" s="422">
        <f t="shared" si="60"/>
        <v>0</v>
      </c>
      <c r="V44" s="424"/>
      <c r="W44" s="425">
        <f t="shared" si="61"/>
        <v>0</v>
      </c>
      <c r="X44" s="682">
        <f t="shared" si="62"/>
        <v>0</v>
      </c>
      <c r="Y44" s="668">
        <f t="shared" si="63"/>
        <v>0</v>
      </c>
      <c r="Z44" s="669">
        <f t="shared" si="64"/>
        <v>0</v>
      </c>
      <c r="AA44" s="670">
        <f t="shared" si="83"/>
        <v>0</v>
      </c>
      <c r="AB44" s="670">
        <f t="shared" si="65"/>
        <v>0</v>
      </c>
      <c r="AC44" s="669">
        <f t="shared" si="84"/>
        <v>0</v>
      </c>
      <c r="AD44" s="670">
        <f t="shared" si="85"/>
        <v>0</v>
      </c>
      <c r="AE44" s="683">
        <f t="shared" si="66"/>
        <v>0</v>
      </c>
      <c r="AF44" s="668">
        <f t="shared" si="67"/>
        <v>0</v>
      </c>
      <c r="AG44" s="669">
        <f t="shared" si="68"/>
        <v>0</v>
      </c>
      <c r="AH44" s="684">
        <f t="shared" si="86"/>
        <v>0</v>
      </c>
      <c r="AI44" s="684">
        <f t="shared" si="69"/>
        <v>0</v>
      </c>
      <c r="AJ44" s="669">
        <f t="shared" si="87"/>
        <v>0</v>
      </c>
      <c r="AK44" s="670">
        <f t="shared" si="88"/>
        <v>0</v>
      </c>
      <c r="AL44" s="683">
        <f t="shared" si="70"/>
        <v>0</v>
      </c>
      <c r="AM44" s="668">
        <f t="shared" si="71"/>
        <v>0</v>
      </c>
      <c r="AN44" s="669">
        <f t="shared" si="72"/>
        <v>0</v>
      </c>
      <c r="AO44" s="684">
        <f t="shared" si="89"/>
        <v>0</v>
      </c>
      <c r="AP44" s="684">
        <f t="shared" si="73"/>
        <v>0</v>
      </c>
      <c r="AQ44" s="669">
        <f t="shared" si="90"/>
        <v>0</v>
      </c>
      <c r="AR44" s="670">
        <f t="shared" si="91"/>
        <v>0</v>
      </c>
      <c r="AS44" s="667">
        <v>0</v>
      </c>
      <c r="AT44" s="668">
        <v>0</v>
      </c>
      <c r="AU44" s="669">
        <v>0</v>
      </c>
      <c r="AV44" s="684">
        <f t="shared" si="74"/>
        <v>0</v>
      </c>
      <c r="AW44" s="669">
        <f t="shared" si="75"/>
        <v>0</v>
      </c>
      <c r="AX44" s="670">
        <f t="shared" si="92"/>
        <v>0</v>
      </c>
      <c r="AY44" s="667">
        <v>0</v>
      </c>
      <c r="AZ44" s="668">
        <v>0</v>
      </c>
      <c r="BA44" s="669">
        <v>0</v>
      </c>
      <c r="BB44" s="684">
        <f t="shared" si="93"/>
        <v>0</v>
      </c>
      <c r="BC44" s="684">
        <f t="shared" si="76"/>
        <v>0</v>
      </c>
      <c r="BD44" s="669">
        <f t="shared" si="94"/>
        <v>0</v>
      </c>
      <c r="BE44" s="670">
        <f t="shared" si="95"/>
        <v>0</v>
      </c>
      <c r="BF44" s="671">
        <f t="shared" si="77"/>
        <v>0</v>
      </c>
      <c r="BG44" s="655">
        <f t="shared" si="78"/>
        <v>0</v>
      </c>
      <c r="BH44" s="28">
        <f t="shared" si="96"/>
        <v>0</v>
      </c>
      <c r="BI44" s="64"/>
      <c r="BJ44" s="168"/>
      <c r="BK44" s="168"/>
      <c r="BL44" s="168"/>
      <c r="BM44" s="169"/>
      <c r="BN44" s="169"/>
      <c r="BO44" s="169"/>
      <c r="BP44" s="168"/>
      <c r="BQ44" s="168"/>
      <c r="BR44" s="168"/>
      <c r="BS44" s="168"/>
      <c r="BT44" s="168"/>
      <c r="BU44" s="168"/>
      <c r="BV44" s="168"/>
      <c r="BW44" s="168"/>
      <c r="BX44" s="168"/>
      <c r="BY44" s="168"/>
      <c r="BZ44" s="168"/>
      <c r="CA44" s="168"/>
      <c r="CB44" s="170"/>
      <c r="CC44" s="168"/>
      <c r="CD44" s="168"/>
      <c r="CE44" s="170"/>
      <c r="CF44" s="170"/>
      <c r="CG44" s="170"/>
      <c r="CH44" s="170"/>
      <c r="CI44" s="168"/>
      <c r="CJ44" s="168"/>
      <c r="CK44" s="170"/>
      <c r="CL44" s="170"/>
      <c r="CM44" s="170"/>
      <c r="CN44" s="113"/>
      <c r="CO44" s="36"/>
      <c r="CP44" s="36"/>
      <c r="CQ44" s="36"/>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6"/>
      <c r="EA44" s="36"/>
      <c r="EB44" s="36"/>
      <c r="EC44" s="36"/>
      <c r="ED44" s="36"/>
      <c r="EE44" s="36"/>
      <c r="EF44" s="36"/>
      <c r="EG44" s="36"/>
    </row>
    <row r="45" spans="1:137" s="27" customFormat="1" x14ac:dyDescent="0.25">
      <c r="A45" s="26"/>
      <c r="B45" s="651" t="s">
        <v>401</v>
      </c>
      <c r="C45" s="553"/>
      <c r="D45" s="681">
        <f t="shared" si="59"/>
        <v>0</v>
      </c>
      <c r="E45" s="421"/>
      <c r="F45" s="421"/>
      <c r="G45" s="421"/>
      <c r="H45" s="421"/>
      <c r="I45" s="421"/>
      <c r="J45" s="421"/>
      <c r="K45" s="421"/>
      <c r="L45" s="421"/>
      <c r="M45" s="421"/>
      <c r="N45" s="421"/>
      <c r="O45" s="421"/>
      <c r="P45" s="421"/>
      <c r="Q45" s="422">
        <f t="shared" si="79"/>
        <v>0</v>
      </c>
      <c r="R45" s="423">
        <f t="shared" si="80"/>
        <v>0</v>
      </c>
      <c r="S45" s="422">
        <f t="shared" si="81"/>
        <v>0</v>
      </c>
      <c r="T45" s="422">
        <f t="shared" si="82"/>
        <v>0</v>
      </c>
      <c r="U45" s="422">
        <f t="shared" si="60"/>
        <v>0</v>
      </c>
      <c r="V45" s="424"/>
      <c r="W45" s="425">
        <f t="shared" si="61"/>
        <v>0</v>
      </c>
      <c r="X45" s="682">
        <f t="shared" si="62"/>
        <v>0</v>
      </c>
      <c r="Y45" s="668">
        <f t="shared" si="63"/>
        <v>0</v>
      </c>
      <c r="Z45" s="669">
        <f t="shared" si="64"/>
        <v>0</v>
      </c>
      <c r="AA45" s="670">
        <f t="shared" si="83"/>
        <v>0</v>
      </c>
      <c r="AB45" s="670">
        <f t="shared" si="65"/>
        <v>0</v>
      </c>
      <c r="AC45" s="669">
        <f t="shared" si="84"/>
        <v>0</v>
      </c>
      <c r="AD45" s="670">
        <f t="shared" si="85"/>
        <v>0</v>
      </c>
      <c r="AE45" s="683">
        <f t="shared" si="66"/>
        <v>0</v>
      </c>
      <c r="AF45" s="668">
        <f t="shared" si="67"/>
        <v>0</v>
      </c>
      <c r="AG45" s="669">
        <f t="shared" si="68"/>
        <v>0</v>
      </c>
      <c r="AH45" s="684">
        <f t="shared" si="86"/>
        <v>0</v>
      </c>
      <c r="AI45" s="684">
        <f t="shared" si="69"/>
        <v>0</v>
      </c>
      <c r="AJ45" s="669">
        <f t="shared" si="87"/>
        <v>0</v>
      </c>
      <c r="AK45" s="670">
        <f t="shared" si="88"/>
        <v>0</v>
      </c>
      <c r="AL45" s="683">
        <f t="shared" si="70"/>
        <v>0</v>
      </c>
      <c r="AM45" s="668">
        <f t="shared" si="71"/>
        <v>0</v>
      </c>
      <c r="AN45" s="669">
        <f t="shared" si="72"/>
        <v>0</v>
      </c>
      <c r="AO45" s="684">
        <f t="shared" si="89"/>
        <v>0</v>
      </c>
      <c r="AP45" s="684">
        <f t="shared" si="73"/>
        <v>0</v>
      </c>
      <c r="AQ45" s="669">
        <f t="shared" si="90"/>
        <v>0</v>
      </c>
      <c r="AR45" s="670">
        <f t="shared" si="91"/>
        <v>0</v>
      </c>
      <c r="AS45" s="667">
        <v>0</v>
      </c>
      <c r="AT45" s="668">
        <v>0</v>
      </c>
      <c r="AU45" s="669">
        <v>0</v>
      </c>
      <c r="AV45" s="684">
        <f t="shared" si="74"/>
        <v>0</v>
      </c>
      <c r="AW45" s="669">
        <f t="shared" si="75"/>
        <v>0</v>
      </c>
      <c r="AX45" s="670">
        <f t="shared" si="92"/>
        <v>0</v>
      </c>
      <c r="AY45" s="667">
        <v>0</v>
      </c>
      <c r="AZ45" s="668">
        <v>0</v>
      </c>
      <c r="BA45" s="669">
        <v>0</v>
      </c>
      <c r="BB45" s="684">
        <f t="shared" si="93"/>
        <v>0</v>
      </c>
      <c r="BC45" s="684">
        <f t="shared" si="76"/>
        <v>0</v>
      </c>
      <c r="BD45" s="669">
        <f t="shared" si="94"/>
        <v>0</v>
      </c>
      <c r="BE45" s="670">
        <f t="shared" si="95"/>
        <v>0</v>
      </c>
      <c r="BF45" s="671">
        <f t="shared" si="77"/>
        <v>0</v>
      </c>
      <c r="BG45" s="655">
        <f t="shared" si="78"/>
        <v>0</v>
      </c>
      <c r="BH45" s="28">
        <f t="shared" si="96"/>
        <v>0</v>
      </c>
      <c r="BI45" s="64"/>
      <c r="BJ45" s="168"/>
      <c r="BK45" s="168"/>
      <c r="BL45" s="168"/>
      <c r="BM45" s="169"/>
      <c r="BN45" s="169"/>
      <c r="BO45" s="169"/>
      <c r="BP45" s="168"/>
      <c r="BQ45" s="168"/>
      <c r="BR45" s="168"/>
      <c r="BS45" s="168"/>
      <c r="BT45" s="168"/>
      <c r="BU45" s="168"/>
      <c r="BV45" s="168"/>
      <c r="BW45" s="168"/>
      <c r="BX45" s="168"/>
      <c r="BY45" s="168"/>
      <c r="BZ45" s="168"/>
      <c r="CA45" s="168"/>
      <c r="CB45" s="170"/>
      <c r="CC45" s="168"/>
      <c r="CD45" s="168"/>
      <c r="CE45" s="170"/>
      <c r="CF45" s="170"/>
      <c r="CG45" s="170"/>
      <c r="CH45" s="170"/>
      <c r="CI45" s="168"/>
      <c r="CJ45" s="168"/>
      <c r="CK45" s="170"/>
      <c r="CL45" s="170"/>
      <c r="CM45" s="170"/>
      <c r="CN45" s="113"/>
      <c r="CO45" s="36"/>
      <c r="CP45" s="36"/>
      <c r="CQ45" s="36"/>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6"/>
      <c r="EA45" s="36"/>
      <c r="EB45" s="36"/>
      <c r="EC45" s="36"/>
      <c r="ED45" s="36"/>
      <c r="EE45" s="36"/>
      <c r="EF45" s="36"/>
      <c r="EG45" s="36"/>
    </row>
    <row r="46" spans="1:137" s="27" customFormat="1" x14ac:dyDescent="0.25">
      <c r="A46" s="26"/>
      <c r="B46" s="651"/>
      <c r="C46" s="553"/>
      <c r="D46" s="681">
        <f t="shared" si="59"/>
        <v>0</v>
      </c>
      <c r="E46" s="421"/>
      <c r="F46" s="421"/>
      <c r="G46" s="421"/>
      <c r="H46" s="421"/>
      <c r="I46" s="421"/>
      <c r="J46" s="421"/>
      <c r="K46" s="421"/>
      <c r="L46" s="421"/>
      <c r="M46" s="421"/>
      <c r="N46" s="421"/>
      <c r="O46" s="421"/>
      <c r="P46" s="421"/>
      <c r="Q46" s="422">
        <f t="shared" si="79"/>
        <v>0</v>
      </c>
      <c r="R46" s="423">
        <f t="shared" si="80"/>
        <v>0</v>
      </c>
      <c r="S46" s="422">
        <f t="shared" si="81"/>
        <v>0</v>
      </c>
      <c r="T46" s="422">
        <f t="shared" si="82"/>
        <v>0</v>
      </c>
      <c r="U46" s="422">
        <f t="shared" si="60"/>
        <v>0</v>
      </c>
      <c r="V46" s="424"/>
      <c r="W46" s="425">
        <f t="shared" si="61"/>
        <v>0</v>
      </c>
      <c r="X46" s="682">
        <f t="shared" si="62"/>
        <v>0</v>
      </c>
      <c r="Y46" s="668">
        <f t="shared" si="63"/>
        <v>0</v>
      </c>
      <c r="Z46" s="669">
        <f t="shared" si="64"/>
        <v>0</v>
      </c>
      <c r="AA46" s="670">
        <f t="shared" si="83"/>
        <v>0</v>
      </c>
      <c r="AB46" s="670">
        <f t="shared" si="65"/>
        <v>0</v>
      </c>
      <c r="AC46" s="669">
        <f t="shared" si="84"/>
        <v>0</v>
      </c>
      <c r="AD46" s="670">
        <f t="shared" si="85"/>
        <v>0</v>
      </c>
      <c r="AE46" s="683">
        <f t="shared" si="66"/>
        <v>0</v>
      </c>
      <c r="AF46" s="668">
        <f t="shared" si="67"/>
        <v>0</v>
      </c>
      <c r="AG46" s="669">
        <f t="shared" si="68"/>
        <v>0</v>
      </c>
      <c r="AH46" s="684">
        <f t="shared" si="86"/>
        <v>0</v>
      </c>
      <c r="AI46" s="684">
        <f t="shared" si="69"/>
        <v>0</v>
      </c>
      <c r="AJ46" s="669">
        <f t="shared" si="87"/>
        <v>0</v>
      </c>
      <c r="AK46" s="670">
        <f t="shared" si="88"/>
        <v>0</v>
      </c>
      <c r="AL46" s="683">
        <f t="shared" si="70"/>
        <v>0</v>
      </c>
      <c r="AM46" s="668">
        <f t="shared" si="71"/>
        <v>0</v>
      </c>
      <c r="AN46" s="669">
        <f t="shared" si="72"/>
        <v>0</v>
      </c>
      <c r="AO46" s="684">
        <f t="shared" si="89"/>
        <v>0</v>
      </c>
      <c r="AP46" s="684">
        <f t="shared" si="73"/>
        <v>0</v>
      </c>
      <c r="AQ46" s="669">
        <f t="shared" si="90"/>
        <v>0</v>
      </c>
      <c r="AR46" s="670">
        <f t="shared" si="91"/>
        <v>0</v>
      </c>
      <c r="AS46" s="667">
        <v>0</v>
      </c>
      <c r="AT46" s="668">
        <v>0</v>
      </c>
      <c r="AU46" s="669">
        <v>0</v>
      </c>
      <c r="AV46" s="684">
        <f t="shared" si="74"/>
        <v>0</v>
      </c>
      <c r="AW46" s="669">
        <f t="shared" si="75"/>
        <v>0</v>
      </c>
      <c r="AX46" s="670">
        <f t="shared" si="92"/>
        <v>0</v>
      </c>
      <c r="AY46" s="667">
        <v>0</v>
      </c>
      <c r="AZ46" s="668">
        <v>0</v>
      </c>
      <c r="BA46" s="669">
        <v>0</v>
      </c>
      <c r="BB46" s="684">
        <f t="shared" si="93"/>
        <v>0</v>
      </c>
      <c r="BC46" s="684">
        <f t="shared" si="76"/>
        <v>0</v>
      </c>
      <c r="BD46" s="669">
        <f t="shared" si="94"/>
        <v>0</v>
      </c>
      <c r="BE46" s="670">
        <f t="shared" si="95"/>
        <v>0</v>
      </c>
      <c r="BF46" s="671">
        <f t="shared" si="77"/>
        <v>0</v>
      </c>
      <c r="BG46" s="655">
        <f t="shared" si="78"/>
        <v>0</v>
      </c>
      <c r="BH46" s="28">
        <f t="shared" si="96"/>
        <v>0</v>
      </c>
      <c r="BI46" s="64"/>
      <c r="BJ46" s="168"/>
      <c r="BK46" s="168"/>
      <c r="BL46" s="168"/>
      <c r="BM46" s="169"/>
      <c r="BN46" s="169"/>
      <c r="BO46" s="169"/>
      <c r="BP46" s="168"/>
      <c r="BQ46" s="168"/>
      <c r="BR46" s="168"/>
      <c r="BS46" s="168"/>
      <c r="BT46" s="168"/>
      <c r="BU46" s="168"/>
      <c r="BV46" s="168"/>
      <c r="BW46" s="168"/>
      <c r="BX46" s="168"/>
      <c r="BY46" s="168"/>
      <c r="BZ46" s="168"/>
      <c r="CA46" s="168"/>
      <c r="CB46" s="170"/>
      <c r="CC46" s="168"/>
      <c r="CD46" s="168"/>
      <c r="CE46" s="170"/>
      <c r="CF46" s="170"/>
      <c r="CG46" s="170"/>
      <c r="CH46" s="170"/>
      <c r="CI46" s="168"/>
      <c r="CJ46" s="168"/>
      <c r="CK46" s="170"/>
      <c r="CL46" s="170"/>
      <c r="CM46" s="170"/>
      <c r="CN46" s="113"/>
      <c r="CO46" s="36"/>
      <c r="CP46" s="36"/>
      <c r="CQ46" s="36"/>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6"/>
      <c r="EA46" s="36"/>
      <c r="EB46" s="36"/>
      <c r="EC46" s="36"/>
      <c r="ED46" s="36"/>
      <c r="EE46" s="36"/>
      <c r="EF46" s="36"/>
      <c r="EG46" s="36"/>
    </row>
    <row r="47" spans="1:137" s="27" customFormat="1" x14ac:dyDescent="0.25">
      <c r="A47" s="26"/>
      <c r="B47" s="652"/>
      <c r="C47" s="553"/>
      <c r="D47" s="681">
        <f t="shared" si="59"/>
        <v>0</v>
      </c>
      <c r="E47" s="421"/>
      <c r="F47" s="421"/>
      <c r="G47" s="421"/>
      <c r="H47" s="421"/>
      <c r="I47" s="421"/>
      <c r="J47" s="421"/>
      <c r="K47" s="421"/>
      <c r="L47" s="421"/>
      <c r="M47" s="421"/>
      <c r="N47" s="421"/>
      <c r="O47" s="421"/>
      <c r="P47" s="421"/>
      <c r="Q47" s="422">
        <f t="shared" si="79"/>
        <v>0</v>
      </c>
      <c r="R47" s="423">
        <f t="shared" si="80"/>
        <v>0</v>
      </c>
      <c r="S47" s="422">
        <f t="shared" si="81"/>
        <v>0</v>
      </c>
      <c r="T47" s="422">
        <f t="shared" si="82"/>
        <v>0</v>
      </c>
      <c r="U47" s="422">
        <f t="shared" si="60"/>
        <v>0</v>
      </c>
      <c r="V47" s="424"/>
      <c r="W47" s="425">
        <f t="shared" si="61"/>
        <v>0</v>
      </c>
      <c r="X47" s="682">
        <f t="shared" si="62"/>
        <v>0</v>
      </c>
      <c r="Y47" s="668">
        <f t="shared" si="63"/>
        <v>0</v>
      </c>
      <c r="Z47" s="669">
        <f t="shared" si="64"/>
        <v>0</v>
      </c>
      <c r="AA47" s="670">
        <f t="shared" si="83"/>
        <v>0</v>
      </c>
      <c r="AB47" s="670">
        <f t="shared" si="65"/>
        <v>0</v>
      </c>
      <c r="AC47" s="669">
        <f t="shared" si="84"/>
        <v>0</v>
      </c>
      <c r="AD47" s="670">
        <f t="shared" si="85"/>
        <v>0</v>
      </c>
      <c r="AE47" s="683">
        <f t="shared" si="66"/>
        <v>0</v>
      </c>
      <c r="AF47" s="668">
        <f t="shared" si="67"/>
        <v>0</v>
      </c>
      <c r="AG47" s="669">
        <f t="shared" si="68"/>
        <v>0</v>
      </c>
      <c r="AH47" s="684">
        <f t="shared" si="86"/>
        <v>0</v>
      </c>
      <c r="AI47" s="684">
        <f t="shared" si="69"/>
        <v>0</v>
      </c>
      <c r="AJ47" s="669">
        <f t="shared" si="87"/>
        <v>0</v>
      </c>
      <c r="AK47" s="670">
        <f t="shared" si="88"/>
        <v>0</v>
      </c>
      <c r="AL47" s="683">
        <f t="shared" si="70"/>
        <v>0</v>
      </c>
      <c r="AM47" s="668">
        <f t="shared" si="71"/>
        <v>0</v>
      </c>
      <c r="AN47" s="669">
        <f t="shared" si="72"/>
        <v>0</v>
      </c>
      <c r="AO47" s="684">
        <f t="shared" si="89"/>
        <v>0</v>
      </c>
      <c r="AP47" s="684">
        <f t="shared" si="73"/>
        <v>0</v>
      </c>
      <c r="AQ47" s="669">
        <f t="shared" si="90"/>
        <v>0</v>
      </c>
      <c r="AR47" s="670">
        <f t="shared" si="91"/>
        <v>0</v>
      </c>
      <c r="AS47" s="667">
        <v>0</v>
      </c>
      <c r="AT47" s="668">
        <v>0</v>
      </c>
      <c r="AU47" s="669">
        <v>0</v>
      </c>
      <c r="AV47" s="684">
        <f t="shared" si="74"/>
        <v>0</v>
      </c>
      <c r="AW47" s="669">
        <f>IF(AV47&gt;0,SQRT(($W47*$W47)+(AU47*AU47)+($V47*$V47)),0)</f>
        <v>0</v>
      </c>
      <c r="AX47" s="670">
        <f t="shared" si="92"/>
        <v>0</v>
      </c>
      <c r="AY47" s="667">
        <v>0</v>
      </c>
      <c r="AZ47" s="668">
        <v>0</v>
      </c>
      <c r="BA47" s="669">
        <v>0</v>
      </c>
      <c r="BB47" s="684">
        <f t="shared" si="93"/>
        <v>0</v>
      </c>
      <c r="BC47" s="684">
        <f t="shared" si="76"/>
        <v>0</v>
      </c>
      <c r="BD47" s="669">
        <f t="shared" si="94"/>
        <v>0</v>
      </c>
      <c r="BE47" s="670">
        <f t="shared" si="95"/>
        <v>0</v>
      </c>
      <c r="BF47" s="671">
        <f t="shared" si="77"/>
        <v>0</v>
      </c>
      <c r="BG47" s="655">
        <f t="shared" si="78"/>
        <v>0</v>
      </c>
      <c r="BH47" s="28">
        <f t="shared" si="96"/>
        <v>0</v>
      </c>
      <c r="BI47" s="64"/>
      <c r="BJ47" s="168"/>
      <c r="BK47" s="168"/>
      <c r="BL47" s="168"/>
      <c r="BM47" s="169"/>
      <c r="BN47" s="169"/>
      <c r="BO47" s="169"/>
      <c r="BP47" s="168"/>
      <c r="BQ47" s="168"/>
      <c r="BR47" s="168"/>
      <c r="BS47" s="168"/>
      <c r="BT47" s="168"/>
      <c r="BU47" s="168"/>
      <c r="BV47" s="168"/>
      <c r="BW47" s="168"/>
      <c r="BX47" s="168"/>
      <c r="BY47" s="168"/>
      <c r="BZ47" s="168"/>
      <c r="CA47" s="168"/>
      <c r="CB47" s="170"/>
      <c r="CC47" s="168"/>
      <c r="CD47" s="168"/>
      <c r="CE47" s="170"/>
      <c r="CF47" s="170"/>
      <c r="CG47" s="170"/>
      <c r="CH47" s="170"/>
      <c r="CI47" s="168"/>
      <c r="CJ47" s="168"/>
      <c r="CK47" s="170"/>
      <c r="CL47" s="170"/>
      <c r="CM47" s="170"/>
      <c r="CN47" s="113"/>
      <c r="CO47" s="36"/>
      <c r="CP47" s="36"/>
      <c r="CQ47" s="36"/>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6"/>
      <c r="EA47" s="36"/>
      <c r="EB47" s="36"/>
      <c r="EC47" s="36"/>
      <c r="ED47" s="36"/>
      <c r="EE47" s="36"/>
      <c r="EF47" s="36"/>
      <c r="EG47" s="36"/>
    </row>
    <row r="48" spans="1:137" s="27" customFormat="1" x14ac:dyDescent="0.25">
      <c r="A48" s="26"/>
      <c r="B48" s="648" t="s">
        <v>46</v>
      </c>
      <c r="C48" s="685"/>
      <c r="D48" s="685"/>
      <c r="E48" s="685"/>
      <c r="F48" s="685"/>
      <c r="G48" s="685"/>
      <c r="H48" s="685"/>
      <c r="I48" s="685"/>
      <c r="J48" s="685"/>
      <c r="K48" s="685"/>
      <c r="L48" s="685"/>
      <c r="M48" s="685"/>
      <c r="N48" s="685"/>
      <c r="O48" s="685"/>
      <c r="P48" s="685"/>
      <c r="Q48" s="685"/>
      <c r="R48" s="685"/>
      <c r="S48" s="685"/>
      <c r="T48" s="685"/>
      <c r="U48" s="685"/>
      <c r="V48" s="685"/>
      <c r="W48" s="685"/>
      <c r="X48" s="686"/>
      <c r="Y48" s="685"/>
      <c r="Z48" s="685"/>
      <c r="AA48" s="687"/>
      <c r="AB48" s="688">
        <f>SUM(AB40:AB47)</f>
        <v>0</v>
      </c>
      <c r="AC48" s="689">
        <f>IF(AB48&gt;0,SQRT(SUM(AD40:AD47))/AB48,0)</f>
        <v>0</v>
      </c>
      <c r="AD48" s="688">
        <f t="shared" si="85"/>
        <v>0</v>
      </c>
      <c r="AE48" s="690"/>
      <c r="AF48" s="685"/>
      <c r="AG48" s="685"/>
      <c r="AH48" s="691"/>
      <c r="AI48" s="688">
        <f>SUM(AI40:AI47)</f>
        <v>0</v>
      </c>
      <c r="AJ48" s="689">
        <f>IF(AI48&gt;0,SQRT(SUM(AK40:AK47))/AI48,0)</f>
        <v>0</v>
      </c>
      <c r="AK48" s="688">
        <f t="shared" si="88"/>
        <v>0</v>
      </c>
      <c r="AL48" s="685"/>
      <c r="AM48" s="685"/>
      <c r="AN48" s="685"/>
      <c r="AO48" s="685"/>
      <c r="AP48" s="688">
        <f>SUM(AP40:AP47)</f>
        <v>0</v>
      </c>
      <c r="AQ48" s="689">
        <f>IF(AP48&gt;0,SQRT(SUM(AR40:AR47))/AP48,0)</f>
        <v>0</v>
      </c>
      <c r="AR48" s="688">
        <f t="shared" si="91"/>
        <v>0</v>
      </c>
      <c r="AS48" s="685"/>
      <c r="AT48" s="685"/>
      <c r="AU48" s="685"/>
      <c r="AV48" s="688">
        <f>SUM(AV40:AV47)</f>
        <v>0</v>
      </c>
      <c r="AW48" s="689">
        <f>IF(AV48&gt;0,SQRT(SUM(AX40:AX47))/AV48,0)</f>
        <v>0</v>
      </c>
      <c r="AX48" s="688">
        <f t="shared" si="92"/>
        <v>0</v>
      </c>
      <c r="AY48" s="685"/>
      <c r="AZ48" s="685"/>
      <c r="BA48" s="692"/>
      <c r="BB48" s="693"/>
      <c r="BC48" s="688">
        <f>SUM(BC40:BC47)</f>
        <v>0</v>
      </c>
      <c r="BD48" s="689">
        <f>IF(BC48&gt;0,SQRT(SUM(BE40:BE47))/BC48,0)</f>
        <v>0</v>
      </c>
      <c r="BE48" s="688">
        <f t="shared" si="95"/>
        <v>0</v>
      </c>
      <c r="BF48" s="688">
        <f>SUM(BF40:BF47)</f>
        <v>0</v>
      </c>
      <c r="BG48" s="649">
        <f>IF(BF48&gt;0,SQRT(SUM(BH40:BH47))/BF48,0)</f>
        <v>0</v>
      </c>
      <c r="BH48" s="28">
        <f t="shared" si="96"/>
        <v>0</v>
      </c>
      <c r="BI48" s="64"/>
      <c r="BJ48" s="168"/>
      <c r="BK48" s="168"/>
      <c r="BL48" s="168"/>
      <c r="BM48" s="169"/>
      <c r="BN48" s="169"/>
      <c r="BO48" s="169"/>
      <c r="BP48" s="168"/>
      <c r="BQ48" s="168"/>
      <c r="BR48" s="168"/>
      <c r="BS48" s="168"/>
      <c r="BT48" s="168"/>
      <c r="BU48" s="168"/>
      <c r="BV48" s="168"/>
      <c r="BW48" s="168"/>
      <c r="BX48" s="168"/>
      <c r="BY48" s="168"/>
      <c r="BZ48" s="168"/>
      <c r="CA48" s="168"/>
      <c r="CB48" s="170"/>
      <c r="CC48" s="168"/>
      <c r="CD48" s="168"/>
      <c r="CE48" s="170"/>
      <c r="CF48" s="170"/>
      <c r="CG48" s="170"/>
      <c r="CH48" s="170"/>
      <c r="CI48" s="168"/>
      <c r="CJ48" s="168"/>
      <c r="CK48" s="170"/>
      <c r="CL48" s="170"/>
      <c r="CM48" s="170"/>
      <c r="CN48" s="113"/>
      <c r="CO48" s="36"/>
      <c r="CP48" s="36"/>
      <c r="CQ48" s="36"/>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6"/>
      <c r="EA48" s="36"/>
      <c r="EB48" s="36"/>
      <c r="EC48" s="36"/>
      <c r="ED48" s="36"/>
      <c r="EE48" s="36"/>
      <c r="EF48" s="36"/>
      <c r="EG48" s="36"/>
    </row>
    <row r="49" spans="1:137" s="27" customFormat="1" ht="15" customHeight="1" x14ac:dyDescent="0.25">
      <c r="A49" s="26"/>
      <c r="B49" s="650" t="s">
        <v>399</v>
      </c>
      <c r="C49" s="553"/>
      <c r="D49" s="681">
        <f t="shared" ref="D49:D54" si="97">VLOOKUP($C49,$BI$90:$CM$472,2,FALSE)</f>
        <v>0</v>
      </c>
      <c r="E49" s="421"/>
      <c r="F49" s="421"/>
      <c r="G49" s="421"/>
      <c r="H49" s="421"/>
      <c r="I49" s="421"/>
      <c r="J49" s="421"/>
      <c r="K49" s="421"/>
      <c r="L49" s="421"/>
      <c r="M49" s="421"/>
      <c r="N49" s="421"/>
      <c r="O49" s="421"/>
      <c r="P49" s="421"/>
      <c r="Q49" s="422">
        <f t="shared" ref="Q49:Q54" si="98">SUM(E49:P49)</f>
        <v>0</v>
      </c>
      <c r="R49" s="423">
        <f t="shared" ref="R49:R54" si="99">COUNT(E49:P49)</f>
        <v>0</v>
      </c>
      <c r="S49" s="422">
        <f t="shared" ref="S49:S54" si="100">IF(R49&gt;1,AVERAGE(E49:P49),0)</f>
        <v>0</v>
      </c>
      <c r="T49" s="422">
        <f t="shared" ref="T49:T54" si="101">IF(R49&gt;1,STDEV(E49:P49),0)</f>
        <v>0</v>
      </c>
      <c r="U49" s="422">
        <f t="shared" ref="U49:U54" si="102">IF(R49&gt;1,VLOOKUP($R49,$BI$424:$BJ$436,2,FALSE),0)</f>
        <v>0</v>
      </c>
      <c r="V49" s="424"/>
      <c r="W49" s="425">
        <f t="shared" ref="W49:W54" si="103">IF(R49&gt;1,1-((S49-((T49*U49)/(SQRT(R49))))/S49),VLOOKUP($C49,$BI$90:$CS$472,34,FALSE))</f>
        <v>0</v>
      </c>
      <c r="X49" s="682">
        <v>0</v>
      </c>
      <c r="Y49" s="668">
        <v>0</v>
      </c>
      <c r="Z49" s="669">
        <v>0</v>
      </c>
      <c r="AA49" s="670">
        <f t="shared" ref="AA49:AA54" si="104">($Q49*X49)/1000</f>
        <v>0</v>
      </c>
      <c r="AB49" s="670">
        <f t="shared" ref="AB49:AB54" si="105">AA49*$BJ$442</f>
        <v>0</v>
      </c>
      <c r="AC49" s="669">
        <f t="shared" ref="AC49:AC54" si="106">IF(AA49&gt;0,SQRT(($W49*$W49)+(Z49*Z49)+($V49*$V49)),0)</f>
        <v>0</v>
      </c>
      <c r="AD49" s="670">
        <f t="shared" si="85"/>
        <v>0</v>
      </c>
      <c r="AE49" s="683">
        <v>0</v>
      </c>
      <c r="AF49" s="668">
        <v>0</v>
      </c>
      <c r="AG49" s="669">
        <v>0</v>
      </c>
      <c r="AH49" s="684">
        <f t="shared" ref="AH49:AH54" si="107">($Q49*AE49)/1000</f>
        <v>0</v>
      </c>
      <c r="AI49" s="684">
        <f t="shared" ref="AI49:AI54" si="108">AH49*$BJ$443</f>
        <v>0</v>
      </c>
      <c r="AJ49" s="669">
        <f t="shared" ref="AJ49:AJ54" si="109">IF(AH49&gt;0,SQRT(($W49*$W49)+(AG49*AG49)+($V49*$V49)),0)</f>
        <v>0</v>
      </c>
      <c r="AK49" s="670">
        <f t="shared" si="88"/>
        <v>0</v>
      </c>
      <c r="AL49" s="683">
        <v>0</v>
      </c>
      <c r="AM49" s="668">
        <f>VLOOKUP($C49,$BI$90:$CM$472,28,FALSE)</f>
        <v>0</v>
      </c>
      <c r="AN49" s="669">
        <v>0</v>
      </c>
      <c r="AO49" s="684">
        <f>(W49*AL49)/1000</f>
        <v>0</v>
      </c>
      <c r="AP49" s="684">
        <f t="shared" ref="AP49:AP54" si="110">AO49*$BJ$444</f>
        <v>0</v>
      </c>
      <c r="AQ49" s="669">
        <f t="shared" ref="AQ49:AQ54" si="111">IF(AO49&gt;0,SQRT(($W49*$W49)+(AN49*AN49)+($V49*$V49)),0)</f>
        <v>0</v>
      </c>
      <c r="AR49" s="670">
        <f t="shared" si="91"/>
        <v>0</v>
      </c>
      <c r="AS49" s="667">
        <f>VLOOKUP($C49,$BI$90:$CM$472,3,FALSE)</f>
        <v>0</v>
      </c>
      <c r="AT49" s="668">
        <f>VLOOKUP($C49,$BI$90:$CM$472,4,FALSE)</f>
        <v>0</v>
      </c>
      <c r="AU49" s="669">
        <f>IF($Q49&gt;0,VLOOKUP($C49,$BI$90:$CM$472,6,FALSE),0)</f>
        <v>0</v>
      </c>
      <c r="AV49" s="684">
        <f t="shared" ref="AV49:AV54" si="112">($Q49*AS49)/1000</f>
        <v>0</v>
      </c>
      <c r="AW49" s="669">
        <f t="shared" ref="AW49:AW54" si="113">IF(AV49&gt;0,SQRT(($W49*$W49)+(AU49*AU49)+($V49*$V49)),0)</f>
        <v>0</v>
      </c>
      <c r="AX49" s="670">
        <f t="shared" si="92"/>
        <v>0</v>
      </c>
      <c r="AY49" s="667">
        <v>0</v>
      </c>
      <c r="AZ49" s="668">
        <v>0</v>
      </c>
      <c r="BA49" s="669">
        <v>0</v>
      </c>
      <c r="BB49" s="684">
        <f t="shared" ref="BB49:BB54" si="114">($Q49*AY49)/1000</f>
        <v>0</v>
      </c>
      <c r="BC49" s="684">
        <f t="shared" ref="BC49:BC54" si="115">BB49*$BJ$445</f>
        <v>0</v>
      </c>
      <c r="BD49" s="669">
        <v>0</v>
      </c>
      <c r="BE49" s="670">
        <f t="shared" si="95"/>
        <v>0</v>
      </c>
      <c r="BF49" s="671">
        <f t="shared" ref="BF49:BF54" si="116">AB49+AI49+AP49+AV49+BC49</f>
        <v>0</v>
      </c>
      <c r="BG49" s="655">
        <f t="shared" ref="BG49:BG54" si="117">IF(BF49&gt;0,SQRT(AD49+AK49+AR49+AX49+BE49)/BF49,0)</f>
        <v>0</v>
      </c>
      <c r="BH49" s="28">
        <f t="shared" si="96"/>
        <v>0</v>
      </c>
      <c r="BI49" s="64"/>
      <c r="BJ49" s="168"/>
      <c r="BK49" s="168"/>
      <c r="BL49" s="168"/>
      <c r="BM49" s="169"/>
      <c r="BN49" s="169"/>
      <c r="BO49" s="169"/>
      <c r="BP49" s="168"/>
      <c r="BQ49" s="168"/>
      <c r="BR49" s="168"/>
      <c r="BS49" s="168"/>
      <c r="BT49" s="168"/>
      <c r="BU49" s="168"/>
      <c r="BV49" s="168"/>
      <c r="BW49" s="168"/>
      <c r="BX49" s="168"/>
      <c r="BY49" s="168"/>
      <c r="BZ49" s="168"/>
      <c r="CA49" s="168"/>
      <c r="CB49" s="170"/>
      <c r="CC49" s="168"/>
      <c r="CD49" s="168"/>
      <c r="CE49" s="170"/>
      <c r="CF49" s="170"/>
      <c r="CG49" s="170"/>
      <c r="CH49" s="170"/>
      <c r="CI49" s="168"/>
      <c r="CJ49" s="168"/>
      <c r="CK49" s="170"/>
      <c r="CL49" s="170"/>
      <c r="CM49" s="170"/>
      <c r="CN49" s="113"/>
      <c r="CO49" s="36"/>
      <c r="CP49" s="36"/>
      <c r="CQ49" s="36"/>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6"/>
      <c r="EA49" s="36"/>
      <c r="EB49" s="36"/>
      <c r="EC49" s="36"/>
      <c r="ED49" s="36"/>
      <c r="EE49" s="36"/>
      <c r="EF49" s="36"/>
      <c r="EG49" s="36"/>
    </row>
    <row r="50" spans="1:137" s="27" customFormat="1" x14ac:dyDescent="0.25">
      <c r="A50" s="26"/>
      <c r="B50" s="653" t="s">
        <v>401</v>
      </c>
      <c r="C50" s="553"/>
      <c r="D50" s="681">
        <f t="shared" si="97"/>
        <v>0</v>
      </c>
      <c r="E50" s="421"/>
      <c r="F50" s="421"/>
      <c r="G50" s="421"/>
      <c r="H50" s="421"/>
      <c r="I50" s="421"/>
      <c r="J50" s="421"/>
      <c r="K50" s="421"/>
      <c r="L50" s="421"/>
      <c r="M50" s="421"/>
      <c r="N50" s="421"/>
      <c r="O50" s="421"/>
      <c r="P50" s="421"/>
      <c r="Q50" s="422">
        <f t="shared" si="98"/>
        <v>0</v>
      </c>
      <c r="R50" s="423">
        <f t="shared" si="99"/>
        <v>0</v>
      </c>
      <c r="S50" s="422">
        <f t="shared" si="100"/>
        <v>0</v>
      </c>
      <c r="T50" s="422">
        <f t="shared" si="101"/>
        <v>0</v>
      </c>
      <c r="U50" s="422">
        <f t="shared" si="102"/>
        <v>0</v>
      </c>
      <c r="V50" s="424"/>
      <c r="W50" s="425">
        <f t="shared" si="103"/>
        <v>0</v>
      </c>
      <c r="X50" s="682">
        <v>0</v>
      </c>
      <c r="Y50" s="668">
        <v>0</v>
      </c>
      <c r="Z50" s="669">
        <v>0</v>
      </c>
      <c r="AA50" s="670">
        <f t="shared" si="104"/>
        <v>0</v>
      </c>
      <c r="AB50" s="670">
        <f t="shared" si="105"/>
        <v>0</v>
      </c>
      <c r="AC50" s="669">
        <f t="shared" si="106"/>
        <v>0</v>
      </c>
      <c r="AD50" s="670">
        <f t="shared" si="85"/>
        <v>0</v>
      </c>
      <c r="AE50" s="683">
        <v>0</v>
      </c>
      <c r="AF50" s="668">
        <v>0</v>
      </c>
      <c r="AG50" s="669">
        <v>0</v>
      </c>
      <c r="AH50" s="684">
        <f t="shared" si="107"/>
        <v>0</v>
      </c>
      <c r="AI50" s="684">
        <f t="shared" si="108"/>
        <v>0</v>
      </c>
      <c r="AJ50" s="669">
        <f t="shared" si="109"/>
        <v>0</v>
      </c>
      <c r="AK50" s="670">
        <f t="shared" si="88"/>
        <v>0</v>
      </c>
      <c r="AL50" s="683">
        <v>0</v>
      </c>
      <c r="AM50" s="668">
        <v>0</v>
      </c>
      <c r="AN50" s="669">
        <v>0</v>
      </c>
      <c r="AO50" s="684">
        <f>(W50*AL50)/1000</f>
        <v>0</v>
      </c>
      <c r="AP50" s="684">
        <f t="shared" si="110"/>
        <v>0</v>
      </c>
      <c r="AQ50" s="669">
        <f t="shared" si="111"/>
        <v>0</v>
      </c>
      <c r="AR50" s="670">
        <f t="shared" si="91"/>
        <v>0</v>
      </c>
      <c r="AS50" s="667">
        <f>VLOOKUP($C50,$BI$90:$CM$472,3,FALSE)</f>
        <v>0</v>
      </c>
      <c r="AT50" s="668">
        <f>VLOOKUP($C50,$BI$90:$CM$472,4,FALSE)</f>
        <v>0</v>
      </c>
      <c r="AU50" s="669">
        <f>IF($Q50&gt;0,VLOOKUP($C50,$BI$90:$CM$472,6,FALSE),0)</f>
        <v>0</v>
      </c>
      <c r="AV50" s="684">
        <f t="shared" si="112"/>
        <v>0</v>
      </c>
      <c r="AW50" s="669">
        <f t="shared" si="113"/>
        <v>0</v>
      </c>
      <c r="AX50" s="670">
        <f t="shared" si="92"/>
        <v>0</v>
      </c>
      <c r="AY50" s="667">
        <v>0</v>
      </c>
      <c r="AZ50" s="668">
        <v>0</v>
      </c>
      <c r="BA50" s="669">
        <v>0</v>
      </c>
      <c r="BB50" s="684">
        <f t="shared" si="114"/>
        <v>0</v>
      </c>
      <c r="BC50" s="684">
        <f t="shared" si="115"/>
        <v>0</v>
      </c>
      <c r="BD50" s="669">
        <v>0</v>
      </c>
      <c r="BE50" s="670">
        <f t="shared" si="95"/>
        <v>0</v>
      </c>
      <c r="BF50" s="671">
        <f t="shared" si="116"/>
        <v>0</v>
      </c>
      <c r="BG50" s="655">
        <f t="shared" si="117"/>
        <v>0</v>
      </c>
      <c r="BH50" s="28">
        <f t="shared" si="96"/>
        <v>0</v>
      </c>
      <c r="BI50" s="64"/>
      <c r="BJ50" s="168"/>
      <c r="BK50" s="168"/>
      <c r="BL50" s="168"/>
      <c r="BM50" s="169"/>
      <c r="BN50" s="169"/>
      <c r="BO50" s="169"/>
      <c r="BP50" s="168"/>
      <c r="BQ50" s="168"/>
      <c r="BR50" s="168"/>
      <c r="BS50" s="168"/>
      <c r="BT50" s="168"/>
      <c r="BU50" s="168"/>
      <c r="BV50" s="168"/>
      <c r="BW50" s="168"/>
      <c r="BX50" s="168"/>
      <c r="BY50" s="168"/>
      <c r="BZ50" s="168"/>
      <c r="CA50" s="168"/>
      <c r="CB50" s="170"/>
      <c r="CC50" s="168"/>
      <c r="CD50" s="168"/>
      <c r="CE50" s="170"/>
      <c r="CF50" s="170"/>
      <c r="CG50" s="170"/>
      <c r="CH50" s="170"/>
      <c r="CI50" s="168"/>
      <c r="CJ50" s="168"/>
      <c r="CK50" s="170"/>
      <c r="CL50" s="170"/>
      <c r="CM50" s="170"/>
      <c r="CN50" s="113"/>
      <c r="CO50" s="36"/>
      <c r="CP50" s="36"/>
      <c r="CQ50" s="36"/>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6"/>
      <c r="EA50" s="36"/>
      <c r="EB50" s="36"/>
      <c r="EC50" s="36"/>
      <c r="ED50" s="36"/>
      <c r="EE50" s="36"/>
      <c r="EF50" s="36"/>
      <c r="EG50" s="36"/>
    </row>
    <row r="51" spans="1:137" s="27" customFormat="1" x14ac:dyDescent="0.25">
      <c r="A51" s="26"/>
      <c r="B51" s="653"/>
      <c r="C51" s="553"/>
      <c r="D51" s="681">
        <f t="shared" si="97"/>
        <v>0</v>
      </c>
      <c r="E51" s="421"/>
      <c r="F51" s="421"/>
      <c r="G51" s="421"/>
      <c r="H51" s="421"/>
      <c r="I51" s="421"/>
      <c r="J51" s="421"/>
      <c r="K51" s="421"/>
      <c r="L51" s="421"/>
      <c r="M51" s="421"/>
      <c r="N51" s="421"/>
      <c r="O51" s="421"/>
      <c r="P51" s="421"/>
      <c r="Q51" s="422">
        <f t="shared" si="98"/>
        <v>0</v>
      </c>
      <c r="R51" s="423">
        <f t="shared" si="99"/>
        <v>0</v>
      </c>
      <c r="S51" s="422">
        <f t="shared" si="100"/>
        <v>0</v>
      </c>
      <c r="T51" s="422">
        <f t="shared" si="101"/>
        <v>0</v>
      </c>
      <c r="U51" s="422">
        <f t="shared" si="102"/>
        <v>0</v>
      </c>
      <c r="V51" s="424"/>
      <c r="W51" s="425">
        <f t="shared" si="103"/>
        <v>0</v>
      </c>
      <c r="X51" s="682">
        <v>0</v>
      </c>
      <c r="Y51" s="668">
        <v>0</v>
      </c>
      <c r="Z51" s="669">
        <v>0</v>
      </c>
      <c r="AA51" s="670">
        <f t="shared" si="104"/>
        <v>0</v>
      </c>
      <c r="AB51" s="670">
        <f t="shared" si="105"/>
        <v>0</v>
      </c>
      <c r="AC51" s="669">
        <f t="shared" si="106"/>
        <v>0</v>
      </c>
      <c r="AD51" s="670">
        <f t="shared" si="85"/>
        <v>0</v>
      </c>
      <c r="AE51" s="683">
        <v>0</v>
      </c>
      <c r="AF51" s="668">
        <v>0</v>
      </c>
      <c r="AG51" s="669">
        <v>0</v>
      </c>
      <c r="AH51" s="684">
        <f t="shared" si="107"/>
        <v>0</v>
      </c>
      <c r="AI51" s="684">
        <f t="shared" si="108"/>
        <v>0</v>
      </c>
      <c r="AJ51" s="669">
        <f t="shared" si="109"/>
        <v>0</v>
      </c>
      <c r="AK51" s="670">
        <f t="shared" si="88"/>
        <v>0</v>
      </c>
      <c r="AL51" s="683">
        <v>0</v>
      </c>
      <c r="AM51" s="668">
        <v>0</v>
      </c>
      <c r="AN51" s="669">
        <v>0</v>
      </c>
      <c r="AO51" s="684">
        <f>(W51*AL51)/1000</f>
        <v>0</v>
      </c>
      <c r="AP51" s="684">
        <f t="shared" si="110"/>
        <v>0</v>
      </c>
      <c r="AQ51" s="669">
        <f t="shared" si="111"/>
        <v>0</v>
      </c>
      <c r="AR51" s="670">
        <f t="shared" si="91"/>
        <v>0</v>
      </c>
      <c r="AS51" s="667">
        <f>VLOOKUP($C51,$BI$90:$CM$472,3,FALSE)</f>
        <v>0</v>
      </c>
      <c r="AT51" s="668">
        <f>VLOOKUP($C51,$BI$90:$CM$472,4,FALSE)</f>
        <v>0</v>
      </c>
      <c r="AU51" s="669">
        <f>IF($Q51&gt;0,VLOOKUP($C51,$BI$90:$CM$472,6,FALSE),0)</f>
        <v>0</v>
      </c>
      <c r="AV51" s="684">
        <f t="shared" si="112"/>
        <v>0</v>
      </c>
      <c r="AW51" s="669">
        <f t="shared" si="113"/>
        <v>0</v>
      </c>
      <c r="AX51" s="670">
        <f t="shared" si="92"/>
        <v>0</v>
      </c>
      <c r="AY51" s="667">
        <v>0</v>
      </c>
      <c r="AZ51" s="668">
        <v>0</v>
      </c>
      <c r="BA51" s="669">
        <v>0</v>
      </c>
      <c r="BB51" s="684">
        <f t="shared" si="114"/>
        <v>0</v>
      </c>
      <c r="BC51" s="684">
        <f t="shared" si="115"/>
        <v>0</v>
      </c>
      <c r="BD51" s="669">
        <v>0</v>
      </c>
      <c r="BE51" s="670">
        <f t="shared" si="95"/>
        <v>0</v>
      </c>
      <c r="BF51" s="671">
        <f t="shared" si="116"/>
        <v>0</v>
      </c>
      <c r="BG51" s="655">
        <f t="shared" si="117"/>
        <v>0</v>
      </c>
      <c r="BH51" s="28">
        <f t="shared" si="96"/>
        <v>0</v>
      </c>
      <c r="BI51" s="64"/>
      <c r="BJ51" s="168"/>
      <c r="BK51" s="168"/>
      <c r="BL51" s="168"/>
      <c r="BM51" s="169"/>
      <c r="BN51" s="169"/>
      <c r="BO51" s="169"/>
      <c r="BP51" s="168"/>
      <c r="BQ51" s="168"/>
      <c r="BR51" s="168"/>
      <c r="BS51" s="168"/>
      <c r="BT51" s="168"/>
      <c r="BU51" s="168"/>
      <c r="BV51" s="168"/>
      <c r="BW51" s="168"/>
      <c r="BX51" s="168"/>
      <c r="BY51" s="168"/>
      <c r="BZ51" s="168"/>
      <c r="CA51" s="168"/>
      <c r="CB51" s="170"/>
      <c r="CC51" s="168"/>
      <c r="CD51" s="168"/>
      <c r="CE51" s="170"/>
      <c r="CF51" s="170"/>
      <c r="CG51" s="170"/>
      <c r="CH51" s="170"/>
      <c r="CI51" s="168"/>
      <c r="CJ51" s="168"/>
      <c r="CK51" s="170"/>
      <c r="CL51" s="170"/>
      <c r="CM51" s="170"/>
      <c r="CN51" s="113"/>
      <c r="CO51" s="36"/>
      <c r="CP51" s="36"/>
      <c r="CQ51" s="36"/>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6"/>
      <c r="EA51" s="36"/>
      <c r="EB51" s="36"/>
      <c r="EC51" s="36"/>
      <c r="ED51" s="36"/>
      <c r="EE51" s="36"/>
      <c r="EF51" s="36"/>
      <c r="EG51" s="36"/>
    </row>
    <row r="52" spans="1:137" s="27" customFormat="1" x14ac:dyDescent="0.25">
      <c r="A52" s="26"/>
      <c r="B52" s="654"/>
      <c r="C52" s="553"/>
      <c r="D52" s="681">
        <f t="shared" si="97"/>
        <v>0</v>
      </c>
      <c r="E52" s="421"/>
      <c r="F52" s="421"/>
      <c r="G52" s="421"/>
      <c r="H52" s="421"/>
      <c r="I52" s="421"/>
      <c r="J52" s="421"/>
      <c r="K52" s="421"/>
      <c r="L52" s="421"/>
      <c r="M52" s="421"/>
      <c r="N52" s="421"/>
      <c r="O52" s="421"/>
      <c r="P52" s="421"/>
      <c r="Q52" s="422">
        <f t="shared" si="98"/>
        <v>0</v>
      </c>
      <c r="R52" s="423">
        <f t="shared" si="99"/>
        <v>0</v>
      </c>
      <c r="S52" s="422">
        <f t="shared" si="100"/>
        <v>0</v>
      </c>
      <c r="T52" s="422">
        <f t="shared" si="101"/>
        <v>0</v>
      </c>
      <c r="U52" s="422">
        <f t="shared" si="102"/>
        <v>0</v>
      </c>
      <c r="V52" s="424"/>
      <c r="W52" s="425">
        <f t="shared" si="103"/>
        <v>0</v>
      </c>
      <c r="X52" s="682">
        <v>0</v>
      </c>
      <c r="Y52" s="668">
        <v>0</v>
      </c>
      <c r="Z52" s="669">
        <v>0</v>
      </c>
      <c r="AA52" s="670">
        <f t="shared" si="104"/>
        <v>0</v>
      </c>
      <c r="AB52" s="670">
        <f t="shared" si="105"/>
        <v>0</v>
      </c>
      <c r="AC52" s="669">
        <f t="shared" si="106"/>
        <v>0</v>
      </c>
      <c r="AD52" s="670">
        <f t="shared" si="85"/>
        <v>0</v>
      </c>
      <c r="AE52" s="683">
        <v>0</v>
      </c>
      <c r="AF52" s="668">
        <v>0</v>
      </c>
      <c r="AG52" s="669">
        <v>0</v>
      </c>
      <c r="AH52" s="684">
        <f t="shared" si="107"/>
        <v>0</v>
      </c>
      <c r="AI52" s="684">
        <f t="shared" si="108"/>
        <v>0</v>
      </c>
      <c r="AJ52" s="669">
        <f t="shared" si="109"/>
        <v>0</v>
      </c>
      <c r="AK52" s="670">
        <f t="shared" si="88"/>
        <v>0</v>
      </c>
      <c r="AL52" s="683">
        <v>0</v>
      </c>
      <c r="AM52" s="668">
        <v>0</v>
      </c>
      <c r="AN52" s="669">
        <v>0</v>
      </c>
      <c r="AO52" s="684">
        <f>(W52*AL52)/1000</f>
        <v>0</v>
      </c>
      <c r="AP52" s="684">
        <f t="shared" si="110"/>
        <v>0</v>
      </c>
      <c r="AQ52" s="669">
        <f t="shared" si="111"/>
        <v>0</v>
      </c>
      <c r="AR52" s="670">
        <f t="shared" si="91"/>
        <v>0</v>
      </c>
      <c r="AS52" s="667">
        <f>VLOOKUP($C52,$BI$90:$CM$472,3,FALSE)</f>
        <v>0</v>
      </c>
      <c r="AT52" s="668">
        <f>VLOOKUP($C52,$BI$90:$CM$472,4,FALSE)</f>
        <v>0</v>
      </c>
      <c r="AU52" s="669">
        <f>IF($Q52&gt;0,VLOOKUP($C52,$BI$90:$CM$472,6,FALSE),0)</f>
        <v>0</v>
      </c>
      <c r="AV52" s="684">
        <f t="shared" si="112"/>
        <v>0</v>
      </c>
      <c r="AW52" s="669">
        <f t="shared" si="113"/>
        <v>0</v>
      </c>
      <c r="AX52" s="670">
        <f t="shared" si="92"/>
        <v>0</v>
      </c>
      <c r="AY52" s="667">
        <v>0</v>
      </c>
      <c r="AZ52" s="668">
        <v>0</v>
      </c>
      <c r="BA52" s="669">
        <v>0</v>
      </c>
      <c r="BB52" s="684">
        <f t="shared" si="114"/>
        <v>0</v>
      </c>
      <c r="BC52" s="684">
        <f t="shared" si="115"/>
        <v>0</v>
      </c>
      <c r="BD52" s="669">
        <v>0</v>
      </c>
      <c r="BE52" s="670">
        <f t="shared" si="95"/>
        <v>0</v>
      </c>
      <c r="BF52" s="671">
        <f t="shared" si="116"/>
        <v>0</v>
      </c>
      <c r="BG52" s="655">
        <f t="shared" si="117"/>
        <v>0</v>
      </c>
      <c r="BH52" s="28">
        <f t="shared" si="96"/>
        <v>0</v>
      </c>
      <c r="BI52" s="64"/>
      <c r="BJ52" s="168"/>
      <c r="BK52" s="168"/>
      <c r="BL52" s="168"/>
      <c r="BM52" s="169"/>
      <c r="BN52" s="169"/>
      <c r="BO52" s="169"/>
      <c r="BP52" s="168"/>
      <c r="BQ52" s="168"/>
      <c r="BR52" s="168"/>
      <c r="BS52" s="168"/>
      <c r="BT52" s="168"/>
      <c r="BU52" s="168"/>
      <c r="BV52" s="168"/>
      <c r="BW52" s="168"/>
      <c r="BX52" s="168"/>
      <c r="BY52" s="168"/>
      <c r="BZ52" s="168"/>
      <c r="CA52" s="168"/>
      <c r="CB52" s="170"/>
      <c r="CC52" s="168"/>
      <c r="CD52" s="168"/>
      <c r="CE52" s="170"/>
      <c r="CF52" s="170"/>
      <c r="CG52" s="170"/>
      <c r="CH52" s="170"/>
      <c r="CI52" s="168"/>
      <c r="CJ52" s="168"/>
      <c r="CK52" s="170"/>
      <c r="CL52" s="170"/>
      <c r="CM52" s="170"/>
      <c r="CN52" s="113"/>
      <c r="CO52" s="36"/>
      <c r="CP52" s="36"/>
      <c r="CQ52" s="36"/>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6"/>
      <c r="EA52" s="36"/>
      <c r="EB52" s="36"/>
      <c r="EC52" s="36"/>
      <c r="ED52" s="36"/>
      <c r="EE52" s="36"/>
      <c r="EF52" s="36"/>
      <c r="EG52" s="36"/>
    </row>
    <row r="53" spans="1:137" s="27" customFormat="1" x14ac:dyDescent="0.25">
      <c r="A53" s="26"/>
      <c r="B53" s="1691" t="s">
        <v>330</v>
      </c>
      <c r="C53" s="553"/>
      <c r="D53" s="681">
        <f t="shared" si="97"/>
        <v>0</v>
      </c>
      <c r="E53" s="421"/>
      <c r="F53" s="421"/>
      <c r="G53" s="421"/>
      <c r="H53" s="421"/>
      <c r="I53" s="421"/>
      <c r="J53" s="421"/>
      <c r="K53" s="421"/>
      <c r="L53" s="421"/>
      <c r="M53" s="421"/>
      <c r="N53" s="421"/>
      <c r="O53" s="421"/>
      <c r="P53" s="421"/>
      <c r="Q53" s="422">
        <f t="shared" si="98"/>
        <v>0</v>
      </c>
      <c r="R53" s="423">
        <f t="shared" si="99"/>
        <v>0</v>
      </c>
      <c r="S53" s="422">
        <f t="shared" si="100"/>
        <v>0</v>
      </c>
      <c r="T53" s="422">
        <f t="shared" si="101"/>
        <v>0</v>
      </c>
      <c r="U53" s="422">
        <f t="shared" si="102"/>
        <v>0</v>
      </c>
      <c r="V53" s="424"/>
      <c r="W53" s="425">
        <f t="shared" si="103"/>
        <v>0</v>
      </c>
      <c r="X53" s="682">
        <f>VLOOKUP($C53,$BI$90:$CM$472,3,FALSE)</f>
        <v>0</v>
      </c>
      <c r="Y53" s="668">
        <f>VLOOKUP($C53,$BI$90:$CM$472,4,FALSE)</f>
        <v>0</v>
      </c>
      <c r="Z53" s="669">
        <f>IF($Q53&gt;0,VLOOKUP($C53,$BI$90:$CM$472,6,FALSE),0)</f>
        <v>0</v>
      </c>
      <c r="AA53" s="670">
        <f t="shared" si="104"/>
        <v>0</v>
      </c>
      <c r="AB53" s="670">
        <f t="shared" si="105"/>
        <v>0</v>
      </c>
      <c r="AC53" s="669">
        <f t="shared" si="106"/>
        <v>0</v>
      </c>
      <c r="AD53" s="670">
        <f t="shared" si="85"/>
        <v>0</v>
      </c>
      <c r="AE53" s="683">
        <v>0</v>
      </c>
      <c r="AF53" s="668">
        <v>0</v>
      </c>
      <c r="AG53" s="669">
        <v>0</v>
      </c>
      <c r="AH53" s="684">
        <f t="shared" si="107"/>
        <v>0</v>
      </c>
      <c r="AI53" s="684">
        <f t="shared" si="108"/>
        <v>0</v>
      </c>
      <c r="AJ53" s="669">
        <f t="shared" si="109"/>
        <v>0</v>
      </c>
      <c r="AK53" s="670">
        <f t="shared" si="88"/>
        <v>0</v>
      </c>
      <c r="AL53" s="683">
        <v>0</v>
      </c>
      <c r="AM53" s="668">
        <v>0</v>
      </c>
      <c r="AN53" s="669">
        <v>0</v>
      </c>
      <c r="AO53" s="684">
        <f>($Q53*AL53)/1000</f>
        <v>0</v>
      </c>
      <c r="AP53" s="684">
        <f t="shared" si="110"/>
        <v>0</v>
      </c>
      <c r="AQ53" s="669">
        <f t="shared" si="111"/>
        <v>0</v>
      </c>
      <c r="AR53" s="670">
        <f t="shared" si="91"/>
        <v>0</v>
      </c>
      <c r="AS53" s="667">
        <v>0</v>
      </c>
      <c r="AT53" s="668">
        <v>0</v>
      </c>
      <c r="AU53" s="669">
        <v>0</v>
      </c>
      <c r="AV53" s="684">
        <f t="shared" si="112"/>
        <v>0</v>
      </c>
      <c r="AW53" s="669">
        <f t="shared" si="113"/>
        <v>0</v>
      </c>
      <c r="AX53" s="670">
        <f t="shared" si="92"/>
        <v>0</v>
      </c>
      <c r="AY53" s="667">
        <v>0</v>
      </c>
      <c r="AZ53" s="668">
        <v>0</v>
      </c>
      <c r="BA53" s="669">
        <v>0</v>
      </c>
      <c r="BB53" s="684">
        <f t="shared" si="114"/>
        <v>0</v>
      </c>
      <c r="BC53" s="684">
        <f t="shared" si="115"/>
        <v>0</v>
      </c>
      <c r="BD53" s="669">
        <f>IF(BB53&gt;0,SQRT(($W53*$W53)+(BA53*BA53)+($V53*$V53)),0)</f>
        <v>0</v>
      </c>
      <c r="BE53" s="670">
        <f t="shared" si="95"/>
        <v>0</v>
      </c>
      <c r="BF53" s="671">
        <f t="shared" si="116"/>
        <v>0</v>
      </c>
      <c r="BG53" s="655">
        <f t="shared" si="117"/>
        <v>0</v>
      </c>
      <c r="BH53" s="28">
        <f t="shared" si="96"/>
        <v>0</v>
      </c>
      <c r="BI53" s="64"/>
      <c r="BJ53" s="168"/>
      <c r="BK53" s="168"/>
      <c r="BL53" s="168"/>
      <c r="BM53" s="169"/>
      <c r="BN53" s="169"/>
      <c r="BO53" s="169"/>
      <c r="BP53" s="168"/>
      <c r="BQ53" s="168"/>
      <c r="BR53" s="168"/>
      <c r="BS53" s="168"/>
      <c r="BT53" s="168"/>
      <c r="BU53" s="168"/>
      <c r="BV53" s="168"/>
      <c r="BW53" s="168"/>
      <c r="BX53" s="168"/>
      <c r="BY53" s="168"/>
      <c r="BZ53" s="168"/>
      <c r="CA53" s="168"/>
      <c r="CB53" s="170"/>
      <c r="CC53" s="168"/>
      <c r="CD53" s="168"/>
      <c r="CE53" s="170"/>
      <c r="CF53" s="170"/>
      <c r="CG53" s="170"/>
      <c r="CH53" s="170"/>
      <c r="CI53" s="168"/>
      <c r="CJ53" s="168"/>
      <c r="CK53" s="170"/>
      <c r="CL53" s="170"/>
      <c r="CM53" s="170"/>
      <c r="CN53" s="113"/>
      <c r="CO53" s="36"/>
      <c r="CP53" s="36"/>
      <c r="CQ53" s="36"/>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6"/>
      <c r="EA53" s="36"/>
      <c r="EB53" s="36"/>
      <c r="EC53" s="36"/>
      <c r="ED53" s="36"/>
      <c r="EE53" s="36"/>
      <c r="EF53" s="36"/>
      <c r="EG53" s="36"/>
    </row>
    <row r="54" spans="1:137" s="27" customFormat="1" x14ac:dyDescent="0.25">
      <c r="A54" s="26"/>
      <c r="B54" s="1692"/>
      <c r="C54" s="553"/>
      <c r="D54" s="681">
        <f t="shared" si="97"/>
        <v>0</v>
      </c>
      <c r="E54" s="421"/>
      <c r="F54" s="421"/>
      <c r="G54" s="421"/>
      <c r="H54" s="421"/>
      <c r="I54" s="421"/>
      <c r="J54" s="421"/>
      <c r="K54" s="421"/>
      <c r="L54" s="421"/>
      <c r="M54" s="421"/>
      <c r="N54" s="421"/>
      <c r="O54" s="421"/>
      <c r="P54" s="421"/>
      <c r="Q54" s="422">
        <f t="shared" si="98"/>
        <v>0</v>
      </c>
      <c r="R54" s="423">
        <f t="shared" si="99"/>
        <v>0</v>
      </c>
      <c r="S54" s="422">
        <f t="shared" si="100"/>
        <v>0</v>
      </c>
      <c r="T54" s="422">
        <f t="shared" si="101"/>
        <v>0</v>
      </c>
      <c r="U54" s="422">
        <f t="shared" si="102"/>
        <v>0</v>
      </c>
      <c r="V54" s="424"/>
      <c r="W54" s="425">
        <f t="shared" si="103"/>
        <v>0</v>
      </c>
      <c r="X54" s="682">
        <f>VLOOKUP($C54,$BI$90:$CM$472,3,FALSE)</f>
        <v>0</v>
      </c>
      <c r="Y54" s="668">
        <f>VLOOKUP($C54,$BI$90:$CM$472,4,FALSE)</f>
        <v>0</v>
      </c>
      <c r="Z54" s="669">
        <f>IF($Q54&gt;0,VLOOKUP($C54,$BI$90:$CM$472,6,FALSE),0)</f>
        <v>0</v>
      </c>
      <c r="AA54" s="670">
        <f t="shared" si="104"/>
        <v>0</v>
      </c>
      <c r="AB54" s="670">
        <f t="shared" si="105"/>
        <v>0</v>
      </c>
      <c r="AC54" s="669">
        <f t="shared" si="106"/>
        <v>0</v>
      </c>
      <c r="AD54" s="670">
        <f t="shared" si="85"/>
        <v>0</v>
      </c>
      <c r="AE54" s="683">
        <v>0</v>
      </c>
      <c r="AF54" s="668">
        <v>0</v>
      </c>
      <c r="AG54" s="669">
        <v>0</v>
      </c>
      <c r="AH54" s="684">
        <f t="shared" si="107"/>
        <v>0</v>
      </c>
      <c r="AI54" s="684">
        <f t="shared" si="108"/>
        <v>0</v>
      </c>
      <c r="AJ54" s="669">
        <f t="shared" si="109"/>
        <v>0</v>
      </c>
      <c r="AK54" s="670">
        <f t="shared" si="88"/>
        <v>0</v>
      </c>
      <c r="AL54" s="683">
        <v>0</v>
      </c>
      <c r="AM54" s="668">
        <v>0</v>
      </c>
      <c r="AN54" s="669">
        <v>0</v>
      </c>
      <c r="AO54" s="684">
        <f>($Q54*AL54)/1000</f>
        <v>0</v>
      </c>
      <c r="AP54" s="684">
        <f t="shared" si="110"/>
        <v>0</v>
      </c>
      <c r="AQ54" s="669">
        <f t="shared" si="111"/>
        <v>0</v>
      </c>
      <c r="AR54" s="670">
        <f t="shared" si="91"/>
        <v>0</v>
      </c>
      <c r="AS54" s="667">
        <v>0</v>
      </c>
      <c r="AT54" s="668">
        <v>0</v>
      </c>
      <c r="AU54" s="669">
        <v>0</v>
      </c>
      <c r="AV54" s="684">
        <f t="shared" si="112"/>
        <v>0</v>
      </c>
      <c r="AW54" s="669">
        <f t="shared" si="113"/>
        <v>0</v>
      </c>
      <c r="AX54" s="670">
        <f t="shared" si="92"/>
        <v>0</v>
      </c>
      <c r="AY54" s="667">
        <v>0</v>
      </c>
      <c r="AZ54" s="668">
        <v>0</v>
      </c>
      <c r="BA54" s="669">
        <v>0</v>
      </c>
      <c r="BB54" s="684">
        <f t="shared" si="114"/>
        <v>0</v>
      </c>
      <c r="BC54" s="684">
        <f t="shared" si="115"/>
        <v>0</v>
      </c>
      <c r="BD54" s="669">
        <f>IF(BB54&gt;0,SQRT(($W54*$W54)+(BA54*BA54)+($V54*$V54)),0)</f>
        <v>0</v>
      </c>
      <c r="BE54" s="670">
        <f t="shared" si="95"/>
        <v>0</v>
      </c>
      <c r="BF54" s="671">
        <f t="shared" si="116"/>
        <v>0</v>
      </c>
      <c r="BG54" s="655">
        <f t="shared" si="117"/>
        <v>0</v>
      </c>
      <c r="BH54" s="28">
        <f t="shared" si="96"/>
        <v>0</v>
      </c>
      <c r="BI54" s="64"/>
      <c r="BJ54" s="168"/>
      <c r="BK54" s="168"/>
      <c r="BL54" s="168"/>
      <c r="BM54" s="169"/>
      <c r="BN54" s="169"/>
      <c r="BO54" s="169"/>
      <c r="BP54" s="168"/>
      <c r="BQ54" s="168"/>
      <c r="BR54" s="168"/>
      <c r="BS54" s="168"/>
      <c r="BT54" s="168"/>
      <c r="BU54" s="168"/>
      <c r="BV54" s="168"/>
      <c r="BW54" s="168"/>
      <c r="BX54" s="168"/>
      <c r="BY54" s="168"/>
      <c r="BZ54" s="168"/>
      <c r="CA54" s="168"/>
      <c r="CB54" s="170"/>
      <c r="CC54" s="168"/>
      <c r="CD54" s="168"/>
      <c r="CE54" s="170"/>
      <c r="CF54" s="170"/>
      <c r="CG54" s="170"/>
      <c r="CH54" s="170"/>
      <c r="CI54" s="168"/>
      <c r="CJ54" s="168"/>
      <c r="CK54" s="170"/>
      <c r="CL54" s="170"/>
      <c r="CM54" s="170"/>
      <c r="CN54" s="113"/>
      <c r="CO54" s="36"/>
      <c r="CP54" s="36"/>
      <c r="CQ54" s="36"/>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6"/>
      <c r="EA54" s="36"/>
      <c r="EB54" s="36"/>
      <c r="EC54" s="36"/>
      <c r="ED54" s="36"/>
      <c r="EE54" s="36"/>
      <c r="EF54" s="36"/>
      <c r="EG54" s="36"/>
    </row>
    <row r="55" spans="1:137" s="27" customFormat="1" x14ac:dyDescent="0.25">
      <c r="A55" s="26"/>
      <c r="B55" s="648" t="s">
        <v>286</v>
      </c>
      <c r="C55" s="685"/>
      <c r="D55" s="685"/>
      <c r="E55" s="685"/>
      <c r="F55" s="685"/>
      <c r="G55" s="685"/>
      <c r="H55" s="685"/>
      <c r="I55" s="685"/>
      <c r="J55" s="685"/>
      <c r="K55" s="685"/>
      <c r="L55" s="685"/>
      <c r="M55" s="685"/>
      <c r="N55" s="685"/>
      <c r="O55" s="685"/>
      <c r="P55" s="685"/>
      <c r="Q55" s="685"/>
      <c r="R55" s="685"/>
      <c r="S55" s="685"/>
      <c r="T55" s="685"/>
      <c r="U55" s="685"/>
      <c r="V55" s="685"/>
      <c r="W55" s="685"/>
      <c r="X55" s="685"/>
      <c r="Y55" s="685"/>
      <c r="Z55" s="685"/>
      <c r="AA55" s="687"/>
      <c r="AB55" s="688">
        <f>SUM(AB49:AB54)</f>
        <v>0</v>
      </c>
      <c r="AC55" s="689">
        <f>IF(AB55&gt;0,SQRT(SUM(AD49:AD54))/AB55,0)</f>
        <v>0</v>
      </c>
      <c r="AD55" s="688">
        <f t="shared" si="85"/>
        <v>0</v>
      </c>
      <c r="AE55" s="690"/>
      <c r="AF55" s="685"/>
      <c r="AG55" s="685"/>
      <c r="AH55" s="691"/>
      <c r="AI55" s="688">
        <f>SUM(AI49:AI54)</f>
        <v>0</v>
      </c>
      <c r="AJ55" s="689">
        <f>IF(AI55&gt;0,SQRT(SUM(AK49:AK54))/AI55,0)</f>
        <v>0</v>
      </c>
      <c r="AK55" s="688">
        <f t="shared" si="88"/>
        <v>0</v>
      </c>
      <c r="AL55" s="685"/>
      <c r="AM55" s="685"/>
      <c r="AN55" s="685"/>
      <c r="AO55" s="685"/>
      <c r="AP55" s="688">
        <f>SUM(AP49:AP54)</f>
        <v>0</v>
      </c>
      <c r="AQ55" s="689">
        <f>IF(AP55&gt;0,SQRT(SUM(AR49:AR54))/AP55,0)</f>
        <v>0</v>
      </c>
      <c r="AR55" s="688">
        <f t="shared" si="91"/>
        <v>0</v>
      </c>
      <c r="AS55" s="685"/>
      <c r="AT55" s="685"/>
      <c r="AU55" s="685"/>
      <c r="AV55" s="688">
        <f>SUM(AV49:AV54)</f>
        <v>0</v>
      </c>
      <c r="AW55" s="689">
        <f>IF(AV55&gt;0,SQRT(SUM(AX49:AX54))/AV55,0)</f>
        <v>0</v>
      </c>
      <c r="AX55" s="688">
        <f t="shared" si="92"/>
        <v>0</v>
      </c>
      <c r="AY55" s="685"/>
      <c r="AZ55" s="685"/>
      <c r="BA55" s="692"/>
      <c r="BB55" s="693"/>
      <c r="BC55" s="688">
        <f>SUM(BC49:BC54)</f>
        <v>0</v>
      </c>
      <c r="BD55" s="689">
        <f>IF(BC55&gt;0,SQRT(SUM(BE49:BE54))/BC55,0)</f>
        <v>0</v>
      </c>
      <c r="BE55" s="688">
        <f t="shared" si="95"/>
        <v>0</v>
      </c>
      <c r="BF55" s="688">
        <f>SUM(BF49:BF54)</f>
        <v>0</v>
      </c>
      <c r="BG55" s="649">
        <f>IF(BF55&gt;0,SQRT(SUM(BH49:BH54))/BF55,0)</f>
        <v>0</v>
      </c>
      <c r="BH55" s="28">
        <f t="shared" si="96"/>
        <v>0</v>
      </c>
      <c r="BI55" s="64"/>
      <c r="BJ55" s="168"/>
      <c r="BK55" s="168"/>
      <c r="BL55" s="168"/>
      <c r="BM55" s="169"/>
      <c r="BN55" s="169"/>
      <c r="BO55" s="169"/>
      <c r="BP55" s="168"/>
      <c r="BQ55" s="168"/>
      <c r="BR55" s="168"/>
      <c r="BS55" s="168"/>
      <c r="BT55" s="168"/>
      <c r="BU55" s="168"/>
      <c r="BV55" s="168"/>
      <c r="BW55" s="168"/>
      <c r="BX55" s="168"/>
      <c r="BY55" s="168"/>
      <c r="BZ55" s="168"/>
      <c r="CA55" s="168"/>
      <c r="CB55" s="170"/>
      <c r="CC55" s="168"/>
      <c r="CD55" s="168"/>
      <c r="CE55" s="170"/>
      <c r="CF55" s="170"/>
      <c r="CG55" s="170"/>
      <c r="CH55" s="170"/>
      <c r="CI55" s="168"/>
      <c r="CJ55" s="168"/>
      <c r="CK55" s="170"/>
      <c r="CL55" s="170"/>
      <c r="CM55" s="170"/>
      <c r="CN55" s="113"/>
      <c r="CO55" s="36"/>
      <c r="CP55" s="36"/>
      <c r="CQ55" s="36"/>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6"/>
      <c r="EA55" s="36"/>
      <c r="EB55" s="36"/>
      <c r="EC55" s="36"/>
      <c r="ED55" s="36"/>
      <c r="EE55" s="36"/>
      <c r="EF55" s="36"/>
      <c r="EG55" s="36"/>
    </row>
    <row r="56" spans="1:137" s="27" customFormat="1" ht="15.75" x14ac:dyDescent="0.25">
      <c r="A56" s="26"/>
      <c r="B56" s="639" t="s">
        <v>47</v>
      </c>
      <c r="C56" s="694"/>
      <c r="D56" s="694"/>
      <c r="E56" s="694"/>
      <c r="F56" s="694"/>
      <c r="G56" s="694"/>
      <c r="H56" s="694"/>
      <c r="I56" s="694"/>
      <c r="J56" s="694"/>
      <c r="K56" s="694"/>
      <c r="L56" s="694"/>
      <c r="M56" s="694"/>
      <c r="N56" s="694"/>
      <c r="O56" s="694"/>
      <c r="P56" s="694"/>
      <c r="Q56" s="694"/>
      <c r="R56" s="694"/>
      <c r="S56" s="694"/>
      <c r="T56" s="694"/>
      <c r="U56" s="694"/>
      <c r="V56" s="694"/>
      <c r="W56" s="694"/>
      <c r="X56" s="694"/>
      <c r="Y56" s="694"/>
      <c r="Z56" s="694"/>
      <c r="AA56" s="695"/>
      <c r="AB56" s="696">
        <f>+AB48+AB55</f>
        <v>0</v>
      </c>
      <c r="AC56" s="697">
        <f>IF(AB56&gt;0,(SQRT(AD48+AD55))/AB56,0)</f>
        <v>0</v>
      </c>
      <c r="AD56" s="696">
        <f t="shared" si="85"/>
        <v>0</v>
      </c>
      <c r="AE56" s="698"/>
      <c r="AF56" s="694"/>
      <c r="AG56" s="694"/>
      <c r="AH56" s="699"/>
      <c r="AI56" s="696">
        <f>+AI48+AI55</f>
        <v>0</v>
      </c>
      <c r="AJ56" s="697">
        <f>IF(AI56&gt;0,(SQRT(AK48+AK55))/AI56,0)</f>
        <v>0</v>
      </c>
      <c r="AK56" s="696">
        <f t="shared" si="88"/>
        <v>0</v>
      </c>
      <c r="AL56" s="694"/>
      <c r="AM56" s="694"/>
      <c r="AN56" s="694"/>
      <c r="AO56" s="694"/>
      <c r="AP56" s="696">
        <f>+AP48+AP55</f>
        <v>0</v>
      </c>
      <c r="AQ56" s="697">
        <f>IF(AP56&gt;0,(SQRT(AR48+AR55))/AP56,0)</f>
        <v>0</v>
      </c>
      <c r="AR56" s="696">
        <f t="shared" si="91"/>
        <v>0</v>
      </c>
      <c r="AS56" s="694"/>
      <c r="AT56" s="694"/>
      <c r="AU56" s="694"/>
      <c r="AV56" s="696">
        <f>+AV48+AV55</f>
        <v>0</v>
      </c>
      <c r="AW56" s="697">
        <f>IF(AV56&gt;0,(SQRT(AX48+AX55))/AV56,0)</f>
        <v>0</v>
      </c>
      <c r="AX56" s="696">
        <f t="shared" si="92"/>
        <v>0</v>
      </c>
      <c r="AY56" s="694"/>
      <c r="AZ56" s="694"/>
      <c r="BA56" s="700"/>
      <c r="BB56" s="701"/>
      <c r="BC56" s="696">
        <f>+BC48+BC55</f>
        <v>0</v>
      </c>
      <c r="BD56" s="697">
        <f>IF(BC56&gt;0,(SQRT(BE48+BE55))/BC56,0)</f>
        <v>0</v>
      </c>
      <c r="BE56" s="696">
        <f t="shared" si="95"/>
        <v>0</v>
      </c>
      <c r="BF56" s="696">
        <f>+BF48+BF55</f>
        <v>0</v>
      </c>
      <c r="BG56" s="640">
        <f>IF(BF56&gt;0,(SQRT(BH48+BH55))/BF56,0)</f>
        <v>0</v>
      </c>
      <c r="BH56" s="28">
        <f t="shared" si="96"/>
        <v>0</v>
      </c>
      <c r="BI56" s="64"/>
      <c r="BJ56" s="168"/>
      <c r="BK56" s="168"/>
      <c r="BL56" s="168"/>
      <c r="BM56" s="169"/>
      <c r="BN56" s="169"/>
      <c r="BO56" s="169"/>
      <c r="BP56" s="168"/>
      <c r="BQ56" s="168"/>
      <c r="BR56" s="168"/>
      <c r="BS56" s="168"/>
      <c r="BT56" s="168"/>
      <c r="BU56" s="168"/>
      <c r="BV56" s="168"/>
      <c r="BW56" s="168"/>
      <c r="BX56" s="168"/>
      <c r="BY56" s="168"/>
      <c r="BZ56" s="168"/>
      <c r="CA56" s="168"/>
      <c r="CB56" s="170"/>
      <c r="CC56" s="168"/>
      <c r="CD56" s="168"/>
      <c r="CE56" s="170"/>
      <c r="CF56" s="170"/>
      <c r="CG56" s="170"/>
      <c r="CH56" s="170"/>
      <c r="CI56" s="168"/>
      <c r="CJ56" s="168"/>
      <c r="CK56" s="170"/>
      <c r="CL56" s="170"/>
      <c r="CM56" s="170"/>
      <c r="CN56" s="113"/>
      <c r="CO56" s="36"/>
      <c r="CP56" s="36"/>
      <c r="CQ56" s="36"/>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6"/>
      <c r="EA56" s="36"/>
      <c r="EB56" s="36"/>
      <c r="EC56" s="36"/>
      <c r="ED56" s="36"/>
      <c r="EE56" s="36"/>
      <c r="EF56" s="36"/>
      <c r="EG56" s="36"/>
    </row>
    <row r="57" spans="1:137" s="27" customFormat="1" ht="15.75" x14ac:dyDescent="0.25">
      <c r="A57" s="26"/>
      <c r="B57" s="656"/>
      <c r="C57" s="702"/>
      <c r="D57" s="702"/>
      <c r="E57" s="702"/>
      <c r="F57" s="702"/>
      <c r="G57" s="702"/>
      <c r="H57" s="702"/>
      <c r="I57" s="702"/>
      <c r="J57" s="702"/>
      <c r="K57" s="702"/>
      <c r="L57" s="702"/>
      <c r="M57" s="702"/>
      <c r="N57" s="702"/>
      <c r="O57" s="702"/>
      <c r="P57" s="702"/>
      <c r="Q57" s="702"/>
      <c r="R57" s="702"/>
      <c r="S57" s="702"/>
      <c r="T57" s="702"/>
      <c r="U57" s="702"/>
      <c r="V57" s="702"/>
      <c r="W57" s="702"/>
      <c r="X57" s="702"/>
      <c r="Y57" s="702"/>
      <c r="Z57" s="702"/>
      <c r="AA57" s="703"/>
      <c r="AB57" s="704"/>
      <c r="AC57" s="705"/>
      <c r="AD57" s="704"/>
      <c r="AE57" s="706"/>
      <c r="AF57" s="702"/>
      <c r="AG57" s="702"/>
      <c r="AH57" s="707"/>
      <c r="AI57" s="704"/>
      <c r="AJ57" s="705"/>
      <c r="AK57" s="704"/>
      <c r="AL57" s="702"/>
      <c r="AM57" s="702"/>
      <c r="AN57" s="702"/>
      <c r="AO57" s="702"/>
      <c r="AP57" s="704"/>
      <c r="AQ57" s="705"/>
      <c r="AR57" s="704"/>
      <c r="AS57" s="702"/>
      <c r="AT57" s="702"/>
      <c r="AU57" s="702"/>
      <c r="AV57" s="704"/>
      <c r="AW57" s="705"/>
      <c r="AX57" s="704"/>
      <c r="AY57" s="702"/>
      <c r="AZ57" s="702"/>
      <c r="BA57" s="708"/>
      <c r="BB57" s="709"/>
      <c r="BC57" s="704"/>
      <c r="BD57" s="705"/>
      <c r="BE57" s="704"/>
      <c r="BF57" s="704"/>
      <c r="BG57" s="657"/>
      <c r="BH57" s="28"/>
      <c r="BI57" s="64"/>
      <c r="BJ57" s="168"/>
      <c r="BK57" s="168"/>
      <c r="BL57" s="168"/>
      <c r="BM57" s="169"/>
      <c r="BN57" s="169"/>
      <c r="BO57" s="169"/>
      <c r="BP57" s="168"/>
      <c r="BQ57" s="168"/>
      <c r="BR57" s="168"/>
      <c r="BS57" s="168"/>
      <c r="BT57" s="168"/>
      <c r="BU57" s="168"/>
      <c r="BV57" s="168"/>
      <c r="BW57" s="168"/>
      <c r="BX57" s="168"/>
      <c r="BY57" s="168"/>
      <c r="BZ57" s="168"/>
      <c r="CA57" s="168"/>
      <c r="CB57" s="170"/>
      <c r="CC57" s="168"/>
      <c r="CD57" s="168"/>
      <c r="CE57" s="170"/>
      <c r="CF57" s="170"/>
      <c r="CG57" s="170"/>
      <c r="CH57" s="170"/>
      <c r="CI57" s="168"/>
      <c r="CJ57" s="168"/>
      <c r="CK57" s="170"/>
      <c r="CL57" s="170"/>
      <c r="CM57" s="170"/>
      <c r="CN57" s="113"/>
      <c r="CO57" s="36"/>
      <c r="CP57" s="36"/>
      <c r="CQ57" s="36"/>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6"/>
      <c r="EA57" s="36"/>
      <c r="EB57" s="36"/>
      <c r="EC57" s="36"/>
      <c r="ED57" s="36"/>
      <c r="EE57" s="36"/>
      <c r="EF57" s="36"/>
      <c r="EG57" s="36"/>
    </row>
    <row r="58" spans="1:137" s="82" customFormat="1" ht="30.75" customHeight="1" thickBot="1" x14ac:dyDescent="0.3">
      <c r="A58" s="26"/>
      <c r="B58" s="622" t="s">
        <v>1342</v>
      </c>
      <c r="C58" s="623"/>
      <c r="D58" s="623"/>
      <c r="E58" s="623"/>
      <c r="F58" s="623"/>
      <c r="G58" s="623"/>
      <c r="H58" s="623"/>
      <c r="I58" s="623"/>
      <c r="J58" s="623"/>
      <c r="K58" s="623"/>
      <c r="L58" s="623"/>
      <c r="M58" s="623"/>
      <c r="N58" s="623"/>
      <c r="O58" s="623"/>
      <c r="P58" s="623"/>
      <c r="Q58" s="623"/>
      <c r="R58" s="623"/>
      <c r="S58" s="623"/>
      <c r="T58" s="623"/>
      <c r="U58" s="623"/>
      <c r="V58" s="623"/>
      <c r="W58" s="623"/>
      <c r="X58" s="623"/>
      <c r="Y58" s="623"/>
      <c r="Z58" s="623"/>
      <c r="AA58" s="624"/>
      <c r="AB58" s="625">
        <f>+AB56</f>
        <v>0</v>
      </c>
      <c r="AC58" s="626">
        <f>IF(AB58&gt;0,(SQRT(AD56+#REF!+#REF!))/AB58,0)</f>
        <v>0</v>
      </c>
      <c r="AD58" s="625">
        <f>(AB58*AC58)^2</f>
        <v>0</v>
      </c>
      <c r="AE58" s="627"/>
      <c r="AF58" s="623"/>
      <c r="AG58" s="623"/>
      <c r="AH58" s="628"/>
      <c r="AI58" s="625">
        <f>+AI56</f>
        <v>0</v>
      </c>
      <c r="AJ58" s="626">
        <f>IF(AI58&gt;0,(SQRT(AK56+#REF!+#REF!))/AI58,0)</f>
        <v>0</v>
      </c>
      <c r="AK58" s="625">
        <f>(AI58*AJ58)^2</f>
        <v>0</v>
      </c>
      <c r="AL58" s="623"/>
      <c r="AM58" s="623"/>
      <c r="AN58" s="623"/>
      <c r="AO58" s="623"/>
      <c r="AP58" s="625">
        <f>+AP56</f>
        <v>0</v>
      </c>
      <c r="AQ58" s="626">
        <f>IF(AP58&gt;0,(SQRT(AR56+#REF!+#REF!))/AP58,0)</f>
        <v>0</v>
      </c>
      <c r="AR58" s="625">
        <f>(AP58*AQ58)^2</f>
        <v>0</v>
      </c>
      <c r="AS58" s="623"/>
      <c r="AT58" s="623"/>
      <c r="AU58" s="623"/>
      <c r="AV58" s="625">
        <f>+AV56</f>
        <v>0</v>
      </c>
      <c r="AW58" s="626">
        <f>IF(AV58&gt;0,(SQRT(AX56+#REF!+#REF!))/AV58,0)</f>
        <v>0</v>
      </c>
      <c r="AX58" s="625">
        <f>(AV58*AW58)^2</f>
        <v>0</v>
      </c>
      <c r="AY58" s="623"/>
      <c r="AZ58" s="623"/>
      <c r="BA58" s="629"/>
      <c r="BB58" s="630"/>
      <c r="BC58" s="625">
        <f>+BC56</f>
        <v>0</v>
      </c>
      <c r="BD58" s="626">
        <f>IF(BC58&gt;0,(SQRT(BE56+#REF!+#REF!))/BC58,0)</f>
        <v>0</v>
      </c>
      <c r="BE58" s="625">
        <f>(BC58*BD58)^2</f>
        <v>0</v>
      </c>
      <c r="BF58" s="625">
        <f>+BF56</f>
        <v>0</v>
      </c>
      <c r="BG58" s="631">
        <f>BG56</f>
        <v>0</v>
      </c>
      <c r="BH58" s="28">
        <f>(BF58*BG58)^2</f>
        <v>0</v>
      </c>
      <c r="BI58" s="174"/>
      <c r="BJ58" s="175"/>
      <c r="BK58" s="175"/>
      <c r="BL58" s="175"/>
      <c r="BM58" s="176"/>
      <c r="BN58" s="176"/>
      <c r="BO58" s="176"/>
      <c r="BP58" s="175"/>
      <c r="BQ58" s="175"/>
      <c r="BR58" s="175"/>
      <c r="BS58" s="175"/>
      <c r="BT58" s="175"/>
      <c r="BU58" s="175"/>
      <c r="BV58" s="175"/>
      <c r="BW58" s="175"/>
      <c r="BX58" s="175"/>
      <c r="BY58" s="175"/>
      <c r="BZ58" s="175"/>
      <c r="CA58" s="175"/>
      <c r="CB58" s="177"/>
      <c r="CC58" s="175"/>
      <c r="CD58" s="175"/>
      <c r="CE58" s="177"/>
      <c r="CF58" s="177"/>
      <c r="CG58" s="177"/>
      <c r="CH58" s="177"/>
      <c r="CI58" s="175"/>
      <c r="CJ58" s="175"/>
      <c r="CK58" s="177"/>
      <c r="CL58" s="177"/>
      <c r="CM58" s="177"/>
      <c r="CN58" s="114"/>
      <c r="CO58" s="36"/>
      <c r="CP58" s="36"/>
      <c r="CQ58" s="36"/>
      <c r="CR58" s="81"/>
      <c r="CS58" s="81"/>
      <c r="CT58" s="81"/>
      <c r="CU58" s="81"/>
      <c r="CV58" s="81"/>
      <c r="CW58" s="81"/>
      <c r="CX58" s="81"/>
      <c r="CY58" s="81"/>
      <c r="CZ58" s="81"/>
      <c r="DA58" s="81"/>
      <c r="DB58" s="81"/>
      <c r="DC58" s="81"/>
      <c r="DD58" s="81"/>
      <c r="DE58" s="81"/>
      <c r="DF58" s="81"/>
      <c r="DG58" s="81"/>
      <c r="DH58" s="81"/>
      <c r="DI58" s="81"/>
      <c r="DJ58" s="81"/>
      <c r="DK58" s="81"/>
      <c r="DL58" s="81"/>
      <c r="DM58" s="81"/>
      <c r="DN58" s="81"/>
      <c r="DO58" s="81"/>
      <c r="DP58" s="81"/>
      <c r="DQ58" s="81"/>
      <c r="DR58" s="81"/>
      <c r="DS58" s="81"/>
      <c r="DT58" s="81"/>
      <c r="DU58" s="81"/>
      <c r="DV58" s="81"/>
      <c r="DW58" s="81"/>
      <c r="DX58" s="81"/>
      <c r="DY58" s="81"/>
      <c r="DZ58" s="80"/>
      <c r="EA58" s="80"/>
      <c r="EB58" s="80"/>
      <c r="EC58" s="80"/>
      <c r="ED58" s="80"/>
      <c r="EE58" s="80"/>
      <c r="EF58" s="80"/>
      <c r="EG58" s="80"/>
    </row>
    <row r="59" spans="1:137" s="26" customFormat="1" ht="21" x14ac:dyDescent="0.25">
      <c r="B59" s="710"/>
      <c r="C59" s="711"/>
      <c r="D59" s="711"/>
      <c r="E59" s="712"/>
      <c r="F59" s="712"/>
      <c r="G59" s="712"/>
      <c r="H59" s="712"/>
      <c r="I59" s="712"/>
      <c r="J59" s="712"/>
      <c r="K59" s="712"/>
      <c r="L59" s="712"/>
      <c r="M59" s="712"/>
      <c r="N59" s="712"/>
      <c r="O59" s="712"/>
      <c r="P59" s="712"/>
      <c r="Q59" s="712"/>
      <c r="R59" s="713"/>
      <c r="S59" s="712"/>
      <c r="T59" s="712"/>
      <c r="U59" s="712"/>
      <c r="V59" s="714"/>
      <c r="W59" s="714"/>
      <c r="X59" s="711"/>
      <c r="Y59" s="711"/>
      <c r="Z59" s="714"/>
      <c r="AA59" s="715"/>
      <c r="AB59" s="715"/>
      <c r="AC59" s="714"/>
      <c r="AD59" s="715"/>
      <c r="AE59" s="716"/>
      <c r="AF59" s="711"/>
      <c r="AG59" s="714"/>
      <c r="AH59" s="717"/>
      <c r="AI59" s="717"/>
      <c r="AJ59" s="714"/>
      <c r="AK59" s="715"/>
      <c r="AL59" s="711"/>
      <c r="AM59" s="711"/>
      <c r="AN59" s="714"/>
      <c r="AO59" s="714"/>
      <c r="AP59" s="714"/>
      <c r="AQ59" s="714"/>
      <c r="AR59" s="715"/>
      <c r="AS59" s="711"/>
      <c r="AT59" s="711"/>
      <c r="AU59" s="714"/>
      <c r="AV59" s="715"/>
      <c r="AW59" s="714"/>
      <c r="AX59" s="715"/>
      <c r="AY59" s="711"/>
      <c r="AZ59" s="711"/>
      <c r="BA59" s="714"/>
      <c r="BB59" s="715"/>
      <c r="BC59" s="715"/>
      <c r="BD59" s="714"/>
      <c r="BE59" s="715"/>
      <c r="BF59" s="712"/>
      <c r="BG59" s="718"/>
      <c r="BH59" s="28">
        <f>(BF59*BG59)^2</f>
        <v>0</v>
      </c>
      <c r="BI59" s="164"/>
      <c r="BJ59" s="165"/>
      <c r="BK59" s="165"/>
      <c r="BL59" s="165"/>
      <c r="BM59" s="166"/>
      <c r="BN59" s="166"/>
      <c r="BO59" s="166"/>
      <c r="BP59" s="165"/>
      <c r="BQ59" s="165"/>
      <c r="BR59" s="165"/>
      <c r="BS59" s="165"/>
      <c r="BT59" s="165"/>
      <c r="BU59" s="165"/>
      <c r="BV59" s="165"/>
      <c r="BW59" s="165"/>
      <c r="BX59" s="165"/>
      <c r="BY59" s="165"/>
      <c r="BZ59" s="165"/>
      <c r="CA59" s="165"/>
      <c r="CB59" s="167"/>
      <c r="CC59" s="165"/>
      <c r="CD59" s="165"/>
      <c r="CE59" s="167"/>
      <c r="CF59" s="167"/>
      <c r="CG59" s="167"/>
      <c r="CH59" s="167"/>
      <c r="CI59" s="165"/>
      <c r="CJ59" s="165"/>
      <c r="CK59" s="167"/>
      <c r="CL59" s="167"/>
      <c r="CM59" s="167"/>
      <c r="CN59" s="112"/>
      <c r="CO59" s="36"/>
      <c r="CP59" s="36"/>
      <c r="CQ59" s="36"/>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9"/>
      <c r="EA59" s="29"/>
      <c r="EB59" s="29"/>
      <c r="EC59" s="29"/>
      <c r="ED59" s="29"/>
      <c r="EE59" s="29"/>
      <c r="EF59" s="29"/>
      <c r="EG59" s="29"/>
    </row>
    <row r="60" spans="1:137" s="37" customFormat="1" ht="30.75" customHeight="1" thickBot="1" x14ac:dyDescent="0.3">
      <c r="A60" s="28"/>
      <c r="B60" s="622" t="s">
        <v>660</v>
      </c>
      <c r="C60" s="719"/>
      <c r="D60" s="719"/>
      <c r="E60" s="719"/>
      <c r="F60" s="719"/>
      <c r="G60" s="719"/>
      <c r="H60" s="719"/>
      <c r="I60" s="719"/>
      <c r="J60" s="719"/>
      <c r="K60" s="719"/>
      <c r="L60" s="719"/>
      <c r="M60" s="719"/>
      <c r="N60" s="719"/>
      <c r="O60" s="719"/>
      <c r="P60" s="719"/>
      <c r="Q60" s="719"/>
      <c r="R60" s="719"/>
      <c r="S60" s="719"/>
      <c r="T60" s="719"/>
      <c r="U60" s="719"/>
      <c r="V60" s="719"/>
      <c r="W60" s="719"/>
      <c r="X60" s="719"/>
      <c r="Y60" s="719"/>
      <c r="Z60" s="719"/>
      <c r="AA60" s="719"/>
      <c r="AB60" s="625">
        <f>AB34+AB58</f>
        <v>0</v>
      </c>
      <c r="AC60" s="720">
        <f>IF(AB60&gt;0,SQRT(AD34+#REF!+#REF!)/AB60,0)</f>
        <v>0</v>
      </c>
      <c r="AD60" s="625">
        <f>(AB60*AC60)^2</f>
        <v>0</v>
      </c>
      <c r="AE60" s="719"/>
      <c r="AF60" s="719"/>
      <c r="AG60" s="719"/>
      <c r="AH60" s="719"/>
      <c r="AI60" s="625">
        <f>AI34+AI58</f>
        <v>0</v>
      </c>
      <c r="AJ60" s="720">
        <f>IF(AI60&gt;0,SQRT(AK34+#REF!+#REF!)/AI60,0)</f>
        <v>0</v>
      </c>
      <c r="AK60" s="625">
        <f>(AI60*AJ60)^2</f>
        <v>0</v>
      </c>
      <c r="AL60" s="719"/>
      <c r="AM60" s="719"/>
      <c r="AN60" s="719"/>
      <c r="AO60" s="719"/>
      <c r="AP60" s="625">
        <f>AP34+AP58</f>
        <v>0</v>
      </c>
      <c r="AQ60" s="720">
        <f>IF(AP60&gt;0,SQRT(AR34+#REF!+#REF!)/AP60,0)</f>
        <v>0</v>
      </c>
      <c r="AR60" s="625">
        <f>(AP60*AQ60)^2</f>
        <v>0</v>
      </c>
      <c r="AS60" s="719"/>
      <c r="AT60" s="719"/>
      <c r="AU60" s="719"/>
      <c r="AV60" s="625">
        <f>AV34+AV58</f>
        <v>0</v>
      </c>
      <c r="AW60" s="720">
        <f>IF(AV60&gt;0,SQRT(AX34+#REF!+#REF!)/AV60,0)</f>
        <v>0</v>
      </c>
      <c r="AX60" s="625">
        <f>(AV60*AW60)^2</f>
        <v>0</v>
      </c>
      <c r="AY60" s="719"/>
      <c r="AZ60" s="719"/>
      <c r="BA60" s="719"/>
      <c r="BB60" s="721"/>
      <c r="BC60" s="625">
        <f>BC34+BC58</f>
        <v>0</v>
      </c>
      <c r="BD60" s="720">
        <f>IF(BC60&gt;0,SQRT(BE34+#REF!+#REF!)/BC60,0)</f>
        <v>0</v>
      </c>
      <c r="BE60" s="625">
        <f>(BC60*BD60)^2</f>
        <v>0</v>
      </c>
      <c r="BF60" s="1160">
        <f>BF34+BF58</f>
        <v>0</v>
      </c>
      <c r="BG60" s="722">
        <f>IF(BF60&gt;0,SQRT(BH34+BH58)/BF60,0)</f>
        <v>0</v>
      </c>
      <c r="BH60" s="28">
        <f>(BF60*BG60)^2</f>
        <v>0</v>
      </c>
      <c r="BJ60" s="658"/>
      <c r="BK60" s="658"/>
      <c r="BL60" s="658"/>
      <c r="BM60" s="659"/>
      <c r="BN60" s="659"/>
      <c r="BO60" s="659"/>
      <c r="BP60" s="658"/>
      <c r="BQ60" s="658"/>
      <c r="BR60" s="658"/>
      <c r="BS60" s="658"/>
      <c r="BT60" s="658"/>
      <c r="BU60" s="658"/>
      <c r="BV60" s="658"/>
      <c r="BW60" s="658"/>
      <c r="BX60" s="658"/>
      <c r="BY60" s="658"/>
      <c r="BZ60" s="658"/>
      <c r="CA60" s="658"/>
      <c r="CB60" s="113"/>
      <c r="CC60" s="658"/>
      <c r="CD60" s="658"/>
      <c r="CE60" s="113"/>
      <c r="CF60" s="113"/>
      <c r="CG60" s="113"/>
      <c r="CH60" s="113"/>
      <c r="CI60" s="658"/>
      <c r="CJ60" s="658"/>
      <c r="CK60" s="113"/>
      <c r="CL60" s="113"/>
      <c r="CM60" s="113"/>
      <c r="CN60" s="113"/>
    </row>
    <row r="61" spans="1:137" s="27" customFormat="1" x14ac:dyDescent="0.25">
      <c r="A61" s="26"/>
      <c r="E61" s="91"/>
      <c r="F61" s="91"/>
      <c r="G61" s="91"/>
      <c r="H61" s="91"/>
      <c r="I61" s="91"/>
      <c r="J61" s="91"/>
      <c r="K61" s="91"/>
      <c r="L61" s="91"/>
      <c r="M61" s="91"/>
      <c r="N61" s="91"/>
      <c r="O61" s="91"/>
      <c r="P61" s="91"/>
      <c r="Q61" s="91"/>
      <c r="R61" s="92"/>
      <c r="S61" s="91"/>
      <c r="T61" s="91"/>
      <c r="U61" s="91"/>
      <c r="V61" s="93"/>
      <c r="W61" s="93"/>
      <c r="Z61" s="93"/>
      <c r="AA61" s="94"/>
      <c r="AB61" s="94"/>
      <c r="AC61" s="93"/>
      <c r="AD61" s="94"/>
      <c r="AE61" s="95"/>
      <c r="AG61" s="93"/>
      <c r="AH61" s="96"/>
      <c r="AI61" s="96"/>
      <c r="AJ61" s="93"/>
      <c r="AK61" s="94"/>
      <c r="AN61" s="93"/>
      <c r="AO61" s="93"/>
      <c r="AP61" s="93"/>
      <c r="AQ61" s="93"/>
      <c r="AR61" s="94"/>
      <c r="AU61" s="93"/>
      <c r="AV61" s="94"/>
      <c r="AW61" s="93"/>
      <c r="AX61" s="94"/>
      <c r="BA61" s="93"/>
      <c r="BB61" s="94"/>
      <c r="BC61" s="94"/>
      <c r="BD61" s="93"/>
      <c r="BE61" s="94"/>
      <c r="BF61" s="91"/>
      <c r="BG61" s="93"/>
      <c r="BH61" s="28"/>
      <c r="BI61" s="64"/>
      <c r="BJ61" s="168"/>
      <c r="BK61" s="168"/>
      <c r="BL61" s="168"/>
      <c r="BM61" s="169"/>
      <c r="BN61" s="169"/>
      <c r="BO61" s="169"/>
      <c r="BP61" s="168"/>
      <c r="BQ61" s="168"/>
      <c r="BR61" s="168"/>
      <c r="BS61" s="168"/>
      <c r="BT61" s="168"/>
      <c r="BU61" s="168"/>
      <c r="BV61" s="168"/>
      <c r="BW61" s="168"/>
      <c r="BX61" s="168"/>
      <c r="BY61" s="168"/>
      <c r="BZ61" s="168"/>
      <c r="CA61" s="168"/>
      <c r="CB61" s="170"/>
      <c r="CC61" s="168"/>
      <c r="CD61" s="168"/>
      <c r="CE61" s="170"/>
      <c r="CF61" s="170"/>
      <c r="CG61" s="170"/>
      <c r="CH61" s="170"/>
      <c r="CI61" s="168"/>
      <c r="CJ61" s="168"/>
      <c r="CK61" s="170"/>
      <c r="CL61" s="170"/>
      <c r="CM61" s="170"/>
      <c r="CN61" s="113"/>
      <c r="CO61" s="80"/>
      <c r="CP61" s="80"/>
      <c r="CQ61" s="80"/>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6"/>
      <c r="EA61" s="36"/>
      <c r="EB61" s="36"/>
      <c r="EC61" s="36"/>
      <c r="ED61" s="36"/>
      <c r="EE61" s="36"/>
      <c r="EF61" s="36"/>
      <c r="EG61" s="36"/>
    </row>
    <row r="62" spans="1:137" s="27" customFormat="1" x14ac:dyDescent="0.25">
      <c r="A62" s="26"/>
      <c r="E62" s="91"/>
      <c r="F62" s="91"/>
      <c r="G62" s="91"/>
      <c r="H62" s="91"/>
      <c r="I62" s="91"/>
      <c r="J62" s="91"/>
      <c r="K62" s="91"/>
      <c r="L62" s="91"/>
      <c r="M62" s="91"/>
      <c r="N62" s="91"/>
      <c r="O62" s="91"/>
      <c r="P62" s="91"/>
      <c r="Q62" s="91"/>
      <c r="R62" s="92"/>
      <c r="S62" s="91"/>
      <c r="T62" s="91"/>
      <c r="U62" s="91"/>
      <c r="V62" s="93"/>
      <c r="W62" s="93"/>
      <c r="Z62" s="93"/>
      <c r="AA62" s="94"/>
      <c r="AB62" s="94"/>
      <c r="AC62" s="93"/>
      <c r="AD62" s="94"/>
      <c r="AE62" s="95"/>
      <c r="AG62" s="93"/>
      <c r="AH62" s="96"/>
      <c r="AI62" s="96"/>
      <c r="AJ62" s="93"/>
      <c r="AK62" s="94"/>
      <c r="AN62" s="93"/>
      <c r="AO62" s="93"/>
      <c r="AP62" s="93"/>
      <c r="AQ62" s="93"/>
      <c r="AR62" s="94"/>
      <c r="AU62" s="93"/>
      <c r="AV62" s="94"/>
      <c r="AW62" s="93"/>
      <c r="AX62" s="94"/>
      <c r="BA62" s="93"/>
      <c r="BB62" s="94"/>
      <c r="BC62" s="94"/>
      <c r="BD62" s="93"/>
      <c r="BE62" s="94"/>
      <c r="BF62" s="91"/>
      <c r="BG62" s="93"/>
      <c r="BH62" s="28"/>
      <c r="BI62" s="64"/>
      <c r="BJ62" s="168"/>
      <c r="BK62" s="168"/>
      <c r="BL62" s="168"/>
      <c r="BM62" s="169"/>
      <c r="BN62" s="169"/>
      <c r="BO62" s="169"/>
      <c r="BP62" s="168"/>
      <c r="BQ62" s="168"/>
      <c r="BR62" s="168"/>
      <c r="BS62" s="168"/>
      <c r="BT62" s="168"/>
      <c r="BU62" s="168"/>
      <c r="BV62" s="168"/>
      <c r="BW62" s="168"/>
      <c r="BX62" s="168"/>
      <c r="BY62" s="168"/>
      <c r="BZ62" s="168"/>
      <c r="CA62" s="168"/>
      <c r="CB62" s="170"/>
      <c r="CC62" s="168"/>
      <c r="CD62" s="168"/>
      <c r="CE62" s="170"/>
      <c r="CF62" s="170"/>
      <c r="CG62" s="170"/>
      <c r="CH62" s="170"/>
      <c r="CI62" s="168"/>
      <c r="CJ62" s="168"/>
      <c r="CK62" s="170"/>
      <c r="CL62" s="170"/>
      <c r="CM62" s="170"/>
      <c r="CN62" s="113"/>
      <c r="CO62" s="29"/>
      <c r="CP62" s="29"/>
      <c r="CQ62" s="29"/>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6"/>
      <c r="EA62" s="36"/>
      <c r="EB62" s="36"/>
      <c r="EC62" s="36"/>
      <c r="ED62" s="36"/>
      <c r="EE62" s="36"/>
      <c r="EF62" s="36"/>
      <c r="EG62" s="36"/>
    </row>
    <row r="63" spans="1:137" s="27" customFormat="1" x14ac:dyDescent="0.25">
      <c r="A63" s="26"/>
      <c r="E63" s="91"/>
      <c r="F63" s="91"/>
      <c r="G63" s="91"/>
      <c r="H63" s="91"/>
      <c r="I63" s="91"/>
      <c r="J63" s="91"/>
      <c r="K63" s="91"/>
      <c r="L63" s="91"/>
      <c r="M63" s="91"/>
      <c r="N63" s="91"/>
      <c r="O63" s="91"/>
      <c r="P63" s="91"/>
      <c r="Q63" s="91"/>
      <c r="R63" s="92"/>
      <c r="S63" s="91"/>
      <c r="T63" s="91"/>
      <c r="U63" s="91"/>
      <c r="V63" s="93"/>
      <c r="W63" s="93"/>
      <c r="Z63" s="93"/>
      <c r="AA63" s="94"/>
      <c r="AB63" s="94"/>
      <c r="AC63" s="93"/>
      <c r="AD63" s="94"/>
      <c r="AE63" s="95"/>
      <c r="AG63" s="93"/>
      <c r="AH63" s="96"/>
      <c r="AI63" s="96"/>
      <c r="AJ63" s="93"/>
      <c r="AK63" s="94"/>
      <c r="AN63" s="93"/>
      <c r="AO63" s="93"/>
      <c r="AP63" s="93"/>
      <c r="AQ63" s="93"/>
      <c r="AR63" s="94"/>
      <c r="AU63" s="93"/>
      <c r="AV63" s="94"/>
      <c r="AW63" s="93"/>
      <c r="AX63" s="94"/>
      <c r="BA63" s="93"/>
      <c r="BB63" s="94"/>
      <c r="BC63" s="94"/>
      <c r="BD63" s="93"/>
      <c r="BE63" s="94"/>
      <c r="BF63" s="91"/>
      <c r="BG63" s="93"/>
      <c r="BH63" s="28"/>
      <c r="BI63" s="64"/>
      <c r="BJ63" s="168"/>
      <c r="BK63" s="168"/>
      <c r="BL63" s="168"/>
      <c r="BM63" s="169"/>
      <c r="BN63" s="169"/>
      <c r="BO63" s="169"/>
      <c r="BP63" s="168"/>
      <c r="BQ63" s="168"/>
      <c r="BR63" s="168"/>
      <c r="BS63" s="168"/>
      <c r="BT63" s="168"/>
      <c r="BU63" s="168"/>
      <c r="BV63" s="168"/>
      <c r="BW63" s="168"/>
      <c r="BX63" s="168"/>
      <c r="BY63" s="168"/>
      <c r="BZ63" s="168"/>
      <c r="CA63" s="168"/>
      <c r="CB63" s="170"/>
      <c r="CC63" s="168"/>
      <c r="CD63" s="168"/>
      <c r="CE63" s="170"/>
      <c r="CF63" s="170"/>
      <c r="CG63" s="170"/>
      <c r="CH63" s="170"/>
      <c r="CI63" s="168"/>
      <c r="CJ63" s="168"/>
      <c r="CK63" s="170"/>
      <c r="CL63" s="170"/>
      <c r="CM63" s="170"/>
      <c r="CN63" s="113"/>
      <c r="CO63" s="36"/>
      <c r="CP63" s="36"/>
      <c r="CQ63" s="36"/>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6"/>
      <c r="EA63" s="36"/>
      <c r="EB63" s="36"/>
      <c r="EC63" s="36"/>
      <c r="ED63" s="36"/>
      <c r="EE63" s="36"/>
      <c r="EF63" s="36"/>
      <c r="EG63" s="36"/>
    </row>
    <row r="64" spans="1:137" s="27" customFormat="1" x14ac:dyDescent="0.25">
      <c r="A64" s="26"/>
      <c r="E64" s="91"/>
      <c r="F64" s="91"/>
      <c r="G64" s="91"/>
      <c r="H64" s="91"/>
      <c r="I64" s="91"/>
      <c r="J64" s="91"/>
      <c r="K64" s="91"/>
      <c r="L64" s="91"/>
      <c r="M64" s="91"/>
      <c r="N64" s="91"/>
      <c r="O64" s="91"/>
      <c r="P64" s="91"/>
      <c r="Q64" s="91"/>
      <c r="R64" s="92"/>
      <c r="S64" s="91"/>
      <c r="T64" s="91"/>
      <c r="U64" s="91"/>
      <c r="V64" s="93"/>
      <c r="W64" s="93"/>
      <c r="Z64" s="93"/>
      <c r="AA64" s="94"/>
      <c r="AB64" s="94"/>
      <c r="AC64" s="93"/>
      <c r="AD64" s="94"/>
      <c r="AE64" s="95"/>
      <c r="AG64" s="93"/>
      <c r="AH64" s="96"/>
      <c r="AI64" s="96"/>
      <c r="AJ64" s="93"/>
      <c r="AK64" s="94"/>
      <c r="AN64" s="93"/>
      <c r="AO64" s="93"/>
      <c r="AP64" s="93"/>
      <c r="AQ64" s="93"/>
      <c r="AR64" s="94"/>
      <c r="AU64" s="93"/>
      <c r="AV64" s="94"/>
      <c r="AW64" s="93"/>
      <c r="AX64" s="94"/>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c r="CA64" s="93"/>
      <c r="CB64" s="170"/>
      <c r="CC64" s="168"/>
      <c r="CD64" s="168"/>
      <c r="CE64" s="170"/>
      <c r="CF64" s="170"/>
      <c r="CG64" s="170"/>
      <c r="CH64" s="170"/>
      <c r="CI64" s="168"/>
      <c r="CJ64" s="168"/>
      <c r="CK64" s="170"/>
      <c r="CL64" s="170"/>
      <c r="CM64" s="170"/>
      <c r="CN64" s="113"/>
      <c r="CO64" s="36"/>
      <c r="CP64" s="36"/>
      <c r="CQ64" s="36"/>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6"/>
      <c r="EA64" s="36"/>
      <c r="EB64" s="36"/>
      <c r="EC64" s="36"/>
      <c r="ED64" s="36"/>
      <c r="EE64" s="36"/>
      <c r="EF64" s="36"/>
      <c r="EG64" s="36"/>
    </row>
    <row r="65" spans="1:137" s="27" customFormat="1" ht="15.75" thickBot="1" x14ac:dyDescent="0.3">
      <c r="A65" s="26"/>
      <c r="E65" s="91"/>
      <c r="F65" s="91"/>
      <c r="G65" s="91"/>
      <c r="H65" s="91"/>
      <c r="I65" s="91"/>
      <c r="J65" s="91"/>
      <c r="K65" s="91"/>
      <c r="L65" s="91"/>
      <c r="M65" s="91"/>
      <c r="N65" s="91"/>
      <c r="O65" s="91"/>
      <c r="P65" s="91"/>
      <c r="Q65" s="91"/>
      <c r="R65" s="92"/>
      <c r="S65" s="91"/>
      <c r="T65" s="91"/>
      <c r="U65" s="91"/>
      <c r="V65" s="93"/>
      <c r="W65" s="93"/>
      <c r="Z65" s="93"/>
      <c r="AA65" s="94"/>
      <c r="AB65" s="94"/>
      <c r="AC65" s="93"/>
      <c r="AD65" s="94"/>
      <c r="AE65" s="94"/>
      <c r="AF65" s="94"/>
      <c r="AG65" s="93"/>
      <c r="AH65" s="96"/>
      <c r="AI65" s="96"/>
      <c r="AJ65" s="93"/>
      <c r="AK65" s="94"/>
      <c r="AN65" s="93"/>
      <c r="AO65" s="93"/>
      <c r="AP65" s="93"/>
      <c r="AQ65" s="93"/>
      <c r="AR65" s="94"/>
      <c r="AU65" s="93"/>
      <c r="AV65" s="94"/>
      <c r="AW65" s="93"/>
      <c r="AX65" s="94"/>
      <c r="AY65" s="93"/>
      <c r="AZ65" s="93"/>
      <c r="BA65" s="93"/>
      <c r="BB65" s="93"/>
      <c r="BC65" s="93"/>
      <c r="BD65" s="93"/>
      <c r="BE65" s="93"/>
      <c r="BF65" s="93"/>
      <c r="BG65" s="93"/>
      <c r="BH65" s="93"/>
      <c r="BI65" s="93"/>
      <c r="BJ65" s="93"/>
      <c r="BK65" s="93"/>
      <c r="BL65" s="93"/>
      <c r="BM65" s="93"/>
      <c r="BN65" s="93"/>
      <c r="BO65" s="93"/>
      <c r="BP65" s="93"/>
      <c r="BQ65" s="93"/>
      <c r="BR65" s="93"/>
      <c r="BS65" s="93"/>
      <c r="BT65" s="93"/>
      <c r="BU65" s="93"/>
      <c r="BV65" s="93"/>
      <c r="BW65" s="93"/>
      <c r="BX65" s="93"/>
      <c r="BY65" s="93"/>
      <c r="BZ65" s="93"/>
      <c r="CA65" s="93"/>
      <c r="CB65" s="170"/>
      <c r="CC65" s="168"/>
      <c r="CD65" s="168"/>
      <c r="CE65" s="170"/>
      <c r="CF65" s="170"/>
      <c r="CG65" s="170"/>
      <c r="CH65" s="170"/>
      <c r="CI65" s="168"/>
      <c r="CJ65" s="168"/>
      <c r="CK65" s="170"/>
      <c r="CL65" s="170"/>
      <c r="CM65" s="170"/>
      <c r="CN65" s="113"/>
      <c r="CO65" s="36"/>
      <c r="CP65" s="36"/>
      <c r="CQ65" s="36"/>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6"/>
      <c r="EA65" s="36"/>
      <c r="EB65" s="36"/>
      <c r="EC65" s="36"/>
      <c r="ED65" s="36"/>
      <c r="EE65" s="36"/>
      <c r="EF65" s="36"/>
      <c r="EG65" s="36"/>
    </row>
    <row r="66" spans="1:137" s="64" customFormat="1" ht="32.25" thickBot="1" x14ac:dyDescent="0.3">
      <c r="A66" s="26"/>
      <c r="B66" s="632" t="s">
        <v>306</v>
      </c>
      <c r="C66" s="633"/>
      <c r="D66" s="633"/>
      <c r="E66" s="633"/>
      <c r="F66" s="633"/>
      <c r="G66" s="633"/>
      <c r="H66" s="633"/>
      <c r="I66" s="633"/>
      <c r="J66" s="633"/>
      <c r="K66" s="633"/>
      <c r="L66" s="633"/>
      <c r="M66" s="633"/>
      <c r="N66" s="633"/>
      <c r="O66" s="633"/>
      <c r="P66" s="633"/>
      <c r="Q66" s="633"/>
      <c r="R66" s="633"/>
      <c r="S66" s="633"/>
      <c r="T66" s="633"/>
      <c r="U66" s="633"/>
      <c r="V66" s="633"/>
      <c r="W66" s="633"/>
      <c r="X66" s="633"/>
      <c r="Y66" s="633"/>
      <c r="Z66" s="633"/>
      <c r="AA66" s="633"/>
      <c r="AB66" s="633"/>
      <c r="AC66" s="633"/>
      <c r="AD66" s="633"/>
      <c r="AE66" s="634"/>
      <c r="AF66" s="635"/>
      <c r="AG66" s="28"/>
      <c r="AI66" s="168"/>
      <c r="AJ66" s="168"/>
      <c r="AK66" s="168"/>
      <c r="AL66" s="169"/>
      <c r="AM66" s="169"/>
      <c r="AN66" s="169"/>
      <c r="AO66" s="168"/>
      <c r="AP66" s="168"/>
      <c r="AQ66" s="168"/>
      <c r="AR66" s="168"/>
      <c r="AS66" s="168"/>
      <c r="AT66" s="168"/>
      <c r="AU66" s="168"/>
      <c r="AV66" s="168"/>
      <c r="AW66" s="168"/>
      <c r="AX66" s="168"/>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37"/>
      <c r="CC66" s="37"/>
      <c r="CD66" s="37"/>
      <c r="CE66" s="37"/>
      <c r="CF66" s="37"/>
      <c r="CG66" s="37"/>
      <c r="CH66" s="37"/>
      <c r="CI66" s="37"/>
      <c r="CJ66" s="37"/>
      <c r="CK66" s="37"/>
      <c r="CL66" s="37"/>
      <c r="CM66" s="37"/>
      <c r="CN66" s="37"/>
      <c r="CO66" s="29"/>
      <c r="CP66" s="29"/>
      <c r="CQ66" s="29"/>
      <c r="CR66" s="37"/>
      <c r="CS66" s="37"/>
      <c r="CT66" s="37"/>
      <c r="CU66" s="37"/>
      <c r="CV66" s="37"/>
      <c r="CW66" s="37"/>
      <c r="CX66" s="37"/>
      <c r="CY66" s="36"/>
      <c r="CZ66" s="36"/>
      <c r="DA66" s="36"/>
      <c r="DB66" s="36"/>
      <c r="DC66" s="36"/>
      <c r="DD66" s="36"/>
      <c r="DE66" s="36"/>
      <c r="DF66" s="36"/>
    </row>
    <row r="67" spans="1:137" s="129" customFormat="1" x14ac:dyDescent="0.25">
      <c r="A67" s="125"/>
      <c r="B67" s="641" t="s">
        <v>24</v>
      </c>
      <c r="C67" s="642"/>
      <c r="D67" s="642"/>
      <c r="E67" s="642"/>
      <c r="F67" s="642"/>
      <c r="G67" s="642"/>
      <c r="H67" s="642"/>
      <c r="I67" s="642"/>
      <c r="J67" s="642"/>
      <c r="K67" s="642"/>
      <c r="L67" s="642"/>
      <c r="M67" s="642"/>
      <c r="N67" s="642"/>
      <c r="O67" s="642"/>
      <c r="P67" s="642"/>
      <c r="Q67" s="642"/>
      <c r="R67" s="642"/>
      <c r="S67" s="642"/>
      <c r="T67" s="642"/>
      <c r="U67" s="642"/>
      <c r="V67" s="642"/>
      <c r="W67" s="642"/>
      <c r="X67" s="642"/>
      <c r="Y67" s="642"/>
      <c r="Z67" s="642"/>
      <c r="AA67" s="642"/>
      <c r="AB67" s="642"/>
      <c r="AC67" s="642"/>
      <c r="AD67" s="642"/>
      <c r="AE67" s="642"/>
      <c r="AF67" s="643"/>
      <c r="AG67" s="126"/>
      <c r="AI67" s="173"/>
      <c r="AJ67" s="173"/>
      <c r="AK67" s="173"/>
      <c r="AL67" s="173"/>
      <c r="AM67" s="173"/>
      <c r="AN67" s="173"/>
      <c r="AO67" s="173"/>
      <c r="AP67" s="173"/>
      <c r="AQ67" s="173"/>
      <c r="AR67" s="173"/>
      <c r="AS67" s="173"/>
      <c r="AT67" s="173"/>
      <c r="AU67" s="173"/>
      <c r="AV67" s="173"/>
      <c r="AW67" s="173"/>
      <c r="AX67" s="17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128"/>
      <c r="CC67" s="128"/>
      <c r="CD67" s="128"/>
      <c r="CE67" s="128"/>
      <c r="CF67" s="128"/>
      <c r="CG67" s="128"/>
      <c r="CH67" s="128"/>
      <c r="CI67" s="128"/>
      <c r="CJ67" s="128"/>
      <c r="CK67" s="128"/>
      <c r="CL67" s="128"/>
      <c r="CM67" s="128"/>
      <c r="CN67" s="128"/>
      <c r="CO67" s="29"/>
      <c r="CP67" s="29"/>
      <c r="CQ67" s="29"/>
      <c r="CR67" s="128"/>
      <c r="CS67" s="128"/>
      <c r="CT67" s="128"/>
      <c r="CU67" s="128"/>
      <c r="CV67" s="128"/>
      <c r="CW67" s="128"/>
      <c r="CX67" s="128"/>
      <c r="CY67" s="127"/>
      <c r="CZ67" s="127"/>
      <c r="DA67" s="127"/>
      <c r="DB67" s="127"/>
      <c r="DC67" s="127"/>
      <c r="DD67" s="127"/>
      <c r="DE67" s="127"/>
      <c r="DF67" s="127"/>
    </row>
    <row r="68" spans="1:137" s="129" customFormat="1" ht="15" customHeight="1" x14ac:dyDescent="0.25">
      <c r="A68" s="125"/>
      <c r="B68" s="1699" t="s">
        <v>283</v>
      </c>
      <c r="C68" s="1700" t="s">
        <v>287</v>
      </c>
      <c r="D68" s="1693" t="s">
        <v>25</v>
      </c>
      <c r="E68" s="1693"/>
      <c r="F68" s="1693"/>
      <c r="G68" s="1693"/>
      <c r="H68" s="1693"/>
      <c r="I68" s="1693"/>
      <c r="J68" s="1693"/>
      <c r="K68" s="1693"/>
      <c r="L68" s="1693"/>
      <c r="M68" s="1693"/>
      <c r="N68" s="1693"/>
      <c r="O68" s="1693"/>
      <c r="P68" s="1693"/>
      <c r="Q68" s="1693"/>
      <c r="R68" s="1693"/>
      <c r="S68" s="1693" t="s">
        <v>193</v>
      </c>
      <c r="T68" s="1693"/>
      <c r="U68" s="1693"/>
      <c r="V68" s="1693"/>
      <c r="W68" s="1693"/>
      <c r="X68" s="1693" t="s">
        <v>201</v>
      </c>
      <c r="Y68" s="1693"/>
      <c r="Z68" s="1693"/>
      <c r="AA68" s="1693"/>
      <c r="AB68" s="1693"/>
      <c r="AC68" s="1693"/>
      <c r="AD68" s="1693"/>
      <c r="AE68" s="1693" t="s">
        <v>638</v>
      </c>
      <c r="AF68" s="1694" t="s">
        <v>26</v>
      </c>
      <c r="AG68" s="126"/>
      <c r="AI68" s="173"/>
      <c r="AJ68" s="173"/>
      <c r="AK68" s="173"/>
      <c r="AL68" s="173"/>
      <c r="AM68" s="173"/>
      <c r="AN68" s="173"/>
      <c r="AO68" s="173"/>
      <c r="AP68" s="173"/>
      <c r="AQ68" s="173"/>
      <c r="AR68" s="173"/>
      <c r="AS68" s="173"/>
      <c r="AT68" s="173"/>
      <c r="AU68" s="173"/>
      <c r="AV68" s="173"/>
      <c r="AW68" s="173"/>
      <c r="AX68" s="173"/>
      <c r="AY68" s="93"/>
      <c r="AZ68" s="93"/>
      <c r="BA68" s="93"/>
      <c r="BB68" s="93"/>
      <c r="BC68" s="93"/>
      <c r="BD68" s="93"/>
      <c r="BE68" s="93"/>
      <c r="BF68" s="93"/>
      <c r="BG68" s="93"/>
      <c r="BH68" s="93"/>
      <c r="BI68" s="93"/>
      <c r="BJ68" s="93"/>
      <c r="BK68" s="93"/>
      <c r="BL68" s="93"/>
      <c r="BM68" s="93"/>
      <c r="BN68" s="93"/>
      <c r="BO68" s="93"/>
      <c r="BP68" s="93"/>
      <c r="BQ68" s="93"/>
      <c r="BR68" s="93"/>
      <c r="BS68" s="93"/>
      <c r="BT68" s="93"/>
      <c r="BU68" s="93"/>
      <c r="BV68" s="93"/>
      <c r="BW68" s="93"/>
      <c r="BX68" s="93"/>
      <c r="BY68" s="93"/>
      <c r="BZ68" s="93"/>
      <c r="CA68" s="93"/>
      <c r="CB68" s="128"/>
      <c r="CC68" s="128"/>
      <c r="CD68" s="128"/>
      <c r="CE68" s="128"/>
      <c r="CF68" s="128"/>
      <c r="CG68" s="128"/>
      <c r="CH68" s="128"/>
      <c r="CI68" s="128"/>
      <c r="CJ68" s="128"/>
      <c r="CK68" s="128"/>
      <c r="CL68" s="128"/>
      <c r="CM68" s="128"/>
      <c r="CN68" s="128"/>
      <c r="CO68" s="36"/>
      <c r="CP68" s="36"/>
      <c r="CQ68" s="36"/>
      <c r="CR68" s="128"/>
      <c r="CS68" s="128"/>
      <c r="CT68" s="128"/>
      <c r="CU68" s="128"/>
      <c r="CV68" s="128"/>
      <c r="CW68" s="128"/>
      <c r="CX68" s="128"/>
      <c r="CY68" s="127"/>
      <c r="CZ68" s="127"/>
      <c r="DA68" s="127"/>
      <c r="DB68" s="127"/>
      <c r="DC68" s="127"/>
      <c r="DD68" s="127"/>
      <c r="DE68" s="127"/>
      <c r="DF68" s="127"/>
    </row>
    <row r="69" spans="1:137" s="129" customFormat="1" ht="36" customHeight="1" x14ac:dyDescent="0.25">
      <c r="A69" s="125"/>
      <c r="B69" s="1699"/>
      <c r="C69" s="1700"/>
      <c r="D69" s="663" t="s">
        <v>27</v>
      </c>
      <c r="E69" s="663" t="s">
        <v>28</v>
      </c>
      <c r="F69" s="663" t="s">
        <v>29</v>
      </c>
      <c r="G69" s="663" t="s">
        <v>30</v>
      </c>
      <c r="H69" s="663" t="s">
        <v>31</v>
      </c>
      <c r="I69" s="663" t="s">
        <v>32</v>
      </c>
      <c r="J69" s="663" t="s">
        <v>33</v>
      </c>
      <c r="K69" s="663" t="s">
        <v>34</v>
      </c>
      <c r="L69" s="663" t="s">
        <v>35</v>
      </c>
      <c r="M69" s="663" t="s">
        <v>36</v>
      </c>
      <c r="N69" s="663" t="s">
        <v>37</v>
      </c>
      <c r="O69" s="663" t="s">
        <v>38</v>
      </c>
      <c r="P69" s="663" t="s">
        <v>39</v>
      </c>
      <c r="Q69" s="663" t="s">
        <v>40</v>
      </c>
      <c r="R69" s="663" t="s">
        <v>41</v>
      </c>
      <c r="S69" s="663" t="s">
        <v>42</v>
      </c>
      <c r="T69" s="663" t="s">
        <v>43</v>
      </c>
      <c r="U69" s="663" t="s">
        <v>44</v>
      </c>
      <c r="V69" s="663" t="s">
        <v>210</v>
      </c>
      <c r="W69" s="663" t="s">
        <v>193</v>
      </c>
      <c r="X69" s="663" t="s">
        <v>194</v>
      </c>
      <c r="Y69" s="663" t="s">
        <v>27</v>
      </c>
      <c r="Z69" s="663" t="s">
        <v>202</v>
      </c>
      <c r="AA69" s="663" t="s">
        <v>639</v>
      </c>
      <c r="AB69" s="663" t="s">
        <v>640</v>
      </c>
      <c r="AC69" s="663" t="s">
        <v>203</v>
      </c>
      <c r="AD69" s="663" t="s">
        <v>294</v>
      </c>
      <c r="AE69" s="1693"/>
      <c r="AF69" s="1694"/>
      <c r="AG69" s="126" t="s">
        <v>45</v>
      </c>
      <c r="AI69" s="173"/>
      <c r="AJ69" s="173"/>
      <c r="AK69" s="173"/>
      <c r="AL69" s="173"/>
      <c r="AM69" s="173"/>
      <c r="AN69" s="173"/>
      <c r="AO69" s="173"/>
      <c r="AP69" s="173"/>
      <c r="AQ69" s="173"/>
      <c r="AR69" s="173"/>
      <c r="AS69" s="173"/>
      <c r="AT69" s="173"/>
      <c r="AU69" s="173"/>
      <c r="AV69" s="173"/>
      <c r="AW69" s="173"/>
      <c r="AX69" s="173"/>
      <c r="AY69" s="93"/>
      <c r="AZ69" s="93"/>
      <c r="BA69" s="93"/>
      <c r="BB69" s="93"/>
      <c r="BC69" s="93"/>
      <c r="BD69" s="93"/>
      <c r="BE69" s="93"/>
      <c r="BF69" s="93"/>
      <c r="BG69" s="93"/>
      <c r="BH69" s="93"/>
      <c r="BI69" s="93"/>
      <c r="BJ69" s="93"/>
      <c r="BK69" s="93"/>
      <c r="BL69" s="93"/>
      <c r="BM69" s="93"/>
      <c r="BN69" s="93"/>
      <c r="BO69" s="93"/>
      <c r="BP69" s="93"/>
      <c r="BQ69" s="93"/>
      <c r="BR69" s="93"/>
      <c r="BS69" s="93"/>
      <c r="BT69" s="93"/>
      <c r="BU69" s="93"/>
      <c r="BV69" s="93"/>
      <c r="BW69" s="93"/>
      <c r="BX69" s="93"/>
      <c r="BY69" s="93"/>
      <c r="BZ69" s="93"/>
      <c r="CA69" s="93"/>
      <c r="CB69" s="128"/>
      <c r="CC69" s="128"/>
      <c r="CD69" s="128"/>
      <c r="CE69" s="128"/>
      <c r="CF69" s="128"/>
      <c r="CG69" s="128"/>
      <c r="CH69" s="128"/>
      <c r="CI69" s="128"/>
      <c r="CJ69" s="128"/>
      <c r="CK69" s="128"/>
      <c r="CL69" s="128"/>
      <c r="CM69" s="128"/>
      <c r="CN69" s="128"/>
      <c r="CO69" s="36"/>
      <c r="CP69" s="36"/>
      <c r="CQ69" s="36"/>
      <c r="CR69" s="128"/>
      <c r="CS69" s="128"/>
      <c r="CT69" s="128"/>
      <c r="CU69" s="128"/>
      <c r="CV69" s="128"/>
      <c r="CW69" s="128"/>
      <c r="CX69" s="128"/>
      <c r="CY69" s="127"/>
      <c r="CZ69" s="127"/>
      <c r="DA69" s="127"/>
      <c r="DB69" s="127"/>
      <c r="DC69" s="127"/>
      <c r="DD69" s="127"/>
      <c r="DE69" s="127"/>
      <c r="DF69" s="127"/>
    </row>
    <row r="70" spans="1:137" s="27" customFormat="1" ht="15" customHeight="1" x14ac:dyDescent="0.25">
      <c r="A70" s="26"/>
      <c r="B70" s="1698" t="s">
        <v>284</v>
      </c>
      <c r="C70" s="553"/>
      <c r="D70" s="664">
        <f>VLOOKUP($C70,$BI$454:$BO$484,2,FALSE)</f>
        <v>0</v>
      </c>
      <c r="E70" s="1393"/>
      <c r="F70" s="421"/>
      <c r="G70" s="421"/>
      <c r="H70" s="421"/>
      <c r="I70" s="421"/>
      <c r="J70" s="421"/>
      <c r="K70" s="421"/>
      <c r="L70" s="421"/>
      <c r="M70" s="421"/>
      <c r="N70" s="421"/>
      <c r="O70" s="421"/>
      <c r="P70" s="421"/>
      <c r="Q70" s="665">
        <f>SUM(E70:P70)</f>
        <v>0</v>
      </c>
      <c r="R70" s="665">
        <f>COUNT(E70:P70)</f>
        <v>0</v>
      </c>
      <c r="S70" s="665">
        <f>IF(R70&gt;1,AVERAGE(E70:P70),0)</f>
        <v>0</v>
      </c>
      <c r="T70" s="665">
        <f>IF(R70&gt;1,STDEV(E70:P70),0)</f>
        <v>0</v>
      </c>
      <c r="U70" s="665">
        <f>IF(R70&gt;1,VLOOKUP($R70,$AH$34:$AI$34,2,FALSE),0)</f>
        <v>0</v>
      </c>
      <c r="V70" s="424"/>
      <c r="W70" s="666">
        <f>IF(R70&gt;1,1-((S70-((T70*U70)/(SQRT(R70))))/S70),VLOOKUP($C70,$BI$454:$BQ$484,8,FALSE))</f>
        <v>0</v>
      </c>
      <c r="X70" s="667">
        <f>VLOOKUP($C70,$BI$454:$BO$484,3,FALSE)</f>
        <v>0</v>
      </c>
      <c r="Y70" s="668">
        <f>VLOOKUP($C70,$BI$454:$BO$484,4,FALSE)</f>
        <v>0</v>
      </c>
      <c r="Z70" s="669">
        <f>IF($Q70&gt;0,VLOOKUP($C70,$BI$454:$BO$484,6,FALSE),0)</f>
        <v>0</v>
      </c>
      <c r="AA70" s="670">
        <f>($Q70*X70)/1000</f>
        <v>0</v>
      </c>
      <c r="AB70" s="670">
        <f>AA70*1</f>
        <v>0</v>
      </c>
      <c r="AC70" s="669">
        <f>IF(AA70&gt;0,SQRT(($W70*$W70)+(Z70*Z70)+($V70*$V70)),0)</f>
        <v>0</v>
      </c>
      <c r="AD70" s="670">
        <f>(AB70*AC70)^2</f>
        <v>0</v>
      </c>
      <c r="AE70" s="671">
        <f t="shared" ref="AE70:AF73" si="118">AB70</f>
        <v>0</v>
      </c>
      <c r="AF70" s="655">
        <f t="shared" si="118"/>
        <v>0</v>
      </c>
      <c r="AG70" s="28">
        <f>(AE70*AF70)^2</f>
        <v>0</v>
      </c>
      <c r="AH70" s="64"/>
      <c r="AI70" s="168"/>
      <c r="AJ70" s="168"/>
      <c r="AK70" s="168"/>
      <c r="AL70" s="169"/>
      <c r="AM70" s="169"/>
      <c r="AN70" s="169"/>
      <c r="AO70" s="168"/>
      <c r="AP70" s="168"/>
      <c r="AQ70" s="168"/>
      <c r="AR70" s="168"/>
      <c r="AS70" s="168"/>
      <c r="AT70" s="168"/>
      <c r="AU70" s="168"/>
      <c r="AV70" s="168"/>
      <c r="AW70" s="168"/>
      <c r="AX70" s="168"/>
      <c r="AY70" s="93"/>
      <c r="AZ70" s="93"/>
      <c r="BA70" s="93"/>
      <c r="BB70" s="93"/>
      <c r="BC70" s="93"/>
      <c r="BD70" s="93"/>
      <c r="BE70" s="93"/>
      <c r="BF70" s="93"/>
      <c r="BG70" s="93"/>
      <c r="BH70" s="93"/>
      <c r="BI70" s="93"/>
      <c r="BJ70" s="93"/>
      <c r="BK70" s="93"/>
      <c r="BL70" s="93"/>
      <c r="BM70" s="93"/>
      <c r="BN70" s="93"/>
      <c r="BO70" s="93"/>
      <c r="BP70" s="93"/>
      <c r="BQ70" s="93"/>
      <c r="BR70" s="93"/>
      <c r="BS70" s="93"/>
      <c r="BT70" s="93"/>
      <c r="BU70" s="93"/>
      <c r="BV70" s="93"/>
      <c r="BW70" s="93"/>
      <c r="BX70" s="93"/>
      <c r="BY70" s="93"/>
      <c r="BZ70" s="93"/>
      <c r="CA70" s="93"/>
      <c r="CB70" s="37"/>
      <c r="CC70" s="37"/>
      <c r="CD70" s="37"/>
      <c r="CE70" s="37"/>
      <c r="CF70" s="37"/>
      <c r="CG70" s="37"/>
      <c r="CH70" s="37"/>
      <c r="CI70" s="37"/>
      <c r="CJ70" s="37"/>
      <c r="CK70" s="37"/>
      <c r="CL70" s="37"/>
      <c r="CM70" s="37"/>
      <c r="CN70" s="37"/>
      <c r="CO70" s="36"/>
      <c r="CP70" s="36"/>
      <c r="CQ70" s="36"/>
      <c r="CR70" s="37"/>
      <c r="CS70" s="37"/>
      <c r="CT70" s="37"/>
      <c r="CU70" s="37"/>
      <c r="CV70" s="37"/>
      <c r="CW70" s="37"/>
      <c r="CX70" s="37"/>
      <c r="CY70" s="36"/>
      <c r="CZ70" s="36"/>
      <c r="DA70" s="36"/>
      <c r="DB70" s="36"/>
      <c r="DC70" s="36"/>
      <c r="DD70" s="36"/>
      <c r="DE70" s="36"/>
      <c r="DF70" s="36"/>
    </row>
    <row r="71" spans="1:137" s="27" customFormat="1" x14ac:dyDescent="0.25">
      <c r="A71" s="26"/>
      <c r="B71" s="1698"/>
      <c r="C71" s="553"/>
      <c r="D71" s="664">
        <f>VLOOKUP($C71,$BI$454:$BO$484,2,FALSE)</f>
        <v>0</v>
      </c>
      <c r="E71" s="1393"/>
      <c r="F71" s="421"/>
      <c r="G71" s="421"/>
      <c r="H71" s="421"/>
      <c r="I71" s="421"/>
      <c r="J71" s="421"/>
      <c r="K71" s="421"/>
      <c r="L71" s="421"/>
      <c r="M71" s="421"/>
      <c r="N71" s="421"/>
      <c r="O71" s="421"/>
      <c r="P71" s="421"/>
      <c r="Q71" s="665">
        <f>SUM(E71:P71)</f>
        <v>0</v>
      </c>
      <c r="R71" s="665">
        <f>COUNT(E71:P71)</f>
        <v>0</v>
      </c>
      <c r="S71" s="665">
        <f>IF(R71&gt;1,AVERAGE(E71:P71),0)</f>
        <v>0</v>
      </c>
      <c r="T71" s="665">
        <f>IF(R71&gt;1,STDEV(E71:P71),0)</f>
        <v>0</v>
      </c>
      <c r="U71" s="665">
        <f>IF(R71&gt;1,VLOOKUP($R71,$AH$34:$AI$34,2,FALSE),0)</f>
        <v>0</v>
      </c>
      <c r="V71" s="424"/>
      <c r="W71" s="666">
        <f>IF(R71&gt;1,1-((S71-((T71*U71)/(SQRT(R71))))/S71),VLOOKUP($C71,$BI$454:$BQ$484,8,FALSE))</f>
        <v>0</v>
      </c>
      <c r="X71" s="667">
        <f>VLOOKUP($C71,$BI$454:$BO$484,3,FALSE)</f>
        <v>0</v>
      </c>
      <c r="Y71" s="668">
        <f>VLOOKUP($C71,$BI$454:$BO$484,4,FALSE)</f>
        <v>0</v>
      </c>
      <c r="Z71" s="669">
        <f>IF($Q71&gt;0,VLOOKUP($C71,$BI$454:$BO$484,6,FALSE),0)</f>
        <v>0</v>
      </c>
      <c r="AA71" s="670">
        <f>($Q71*X71)/1000</f>
        <v>0</v>
      </c>
      <c r="AB71" s="670">
        <f>AA71*1</f>
        <v>0</v>
      </c>
      <c r="AC71" s="669">
        <f>IF(AA71&gt;0,SQRT(($W71*$W71)+(Z71*Z71)+($V71*$V71)),0)</f>
        <v>0</v>
      </c>
      <c r="AD71" s="670">
        <f>(AB71*AC71)^2</f>
        <v>0</v>
      </c>
      <c r="AE71" s="671">
        <f t="shared" si="118"/>
        <v>0</v>
      </c>
      <c r="AF71" s="655">
        <f t="shared" si="118"/>
        <v>0</v>
      </c>
      <c r="AG71" s="28">
        <f t="shared" ref="AG71:AG76" si="119">(AE71*AF71)^2</f>
        <v>0</v>
      </c>
      <c r="AH71" s="64"/>
      <c r="AI71" s="168"/>
      <c r="AJ71" s="168"/>
      <c r="AK71" s="168"/>
      <c r="AL71" s="169"/>
      <c r="AM71" s="169"/>
      <c r="AN71" s="169"/>
      <c r="AO71" s="168"/>
      <c r="AP71" s="168"/>
      <c r="AQ71" s="168"/>
      <c r="AR71" s="168"/>
      <c r="AS71" s="168"/>
      <c r="AT71" s="168"/>
      <c r="AU71" s="168"/>
      <c r="AV71" s="168"/>
      <c r="AW71" s="168"/>
      <c r="AX71" s="168"/>
      <c r="AY71" s="93"/>
      <c r="AZ71" s="93"/>
      <c r="BA71" s="93"/>
      <c r="BB71" s="93"/>
      <c r="BC71" s="93"/>
      <c r="BD71" s="93"/>
      <c r="BE71" s="93"/>
      <c r="BF71" s="93"/>
      <c r="BG71" s="93"/>
      <c r="BH71" s="93"/>
      <c r="BI71" s="93"/>
      <c r="BJ71" s="93"/>
      <c r="BK71" s="93"/>
      <c r="BL71" s="93"/>
      <c r="BM71" s="93"/>
      <c r="BN71" s="93"/>
      <c r="BO71" s="93"/>
      <c r="BP71" s="93"/>
      <c r="BQ71" s="93"/>
      <c r="BR71" s="93"/>
      <c r="BS71" s="93"/>
      <c r="BT71" s="93"/>
      <c r="BU71" s="93"/>
      <c r="BV71" s="93"/>
      <c r="BW71" s="93"/>
      <c r="BX71" s="93"/>
      <c r="BY71" s="93"/>
      <c r="BZ71" s="93"/>
      <c r="CA71" s="93"/>
      <c r="CB71" s="37"/>
      <c r="CC71" s="37"/>
      <c r="CD71" s="37"/>
      <c r="CE71" s="37"/>
      <c r="CF71" s="37"/>
      <c r="CG71" s="37"/>
      <c r="CH71" s="37"/>
      <c r="CI71" s="37"/>
      <c r="CJ71" s="37"/>
      <c r="CK71" s="37"/>
      <c r="CL71" s="37"/>
      <c r="CM71" s="37"/>
      <c r="CN71" s="37"/>
      <c r="CO71" s="36"/>
      <c r="CP71" s="36"/>
      <c r="CQ71" s="36"/>
      <c r="CR71" s="37"/>
      <c r="CS71" s="37"/>
      <c r="CT71" s="37"/>
      <c r="CU71" s="37"/>
      <c r="CV71" s="37"/>
      <c r="CW71" s="37"/>
      <c r="CX71" s="37"/>
      <c r="CY71" s="36"/>
      <c r="CZ71" s="36"/>
      <c r="DA71" s="36"/>
      <c r="DB71" s="36"/>
      <c r="DC71" s="36"/>
      <c r="DD71" s="36"/>
      <c r="DE71" s="36"/>
      <c r="DF71" s="36"/>
    </row>
    <row r="72" spans="1:137" s="27" customFormat="1" ht="15" customHeight="1" x14ac:dyDescent="0.25">
      <c r="A72" s="26"/>
      <c r="B72" s="1698" t="s">
        <v>285</v>
      </c>
      <c r="C72" s="553"/>
      <c r="D72" s="664">
        <f>VLOOKUP($C72,$BI$454:$BO$484,2,FALSE)</f>
        <v>0</v>
      </c>
      <c r="E72" s="1393"/>
      <c r="F72" s="421"/>
      <c r="G72" s="421"/>
      <c r="H72" s="421"/>
      <c r="I72" s="421"/>
      <c r="J72" s="421"/>
      <c r="K72" s="421"/>
      <c r="L72" s="421"/>
      <c r="M72" s="421"/>
      <c r="N72" s="421"/>
      <c r="O72" s="421"/>
      <c r="P72" s="421"/>
      <c r="Q72" s="665">
        <f>SUM(E72:P72)</f>
        <v>0</v>
      </c>
      <c r="R72" s="665">
        <f>COUNT(E72:P72)</f>
        <v>0</v>
      </c>
      <c r="S72" s="665">
        <f>IF(R72&gt;1,AVERAGE(E72:P72),0)</f>
        <v>0</v>
      </c>
      <c r="T72" s="665">
        <f>IF(R72&gt;1,STDEV(E72:P72),0)</f>
        <v>0</v>
      </c>
      <c r="U72" s="665">
        <f>IF(R72&gt;1,VLOOKUP($R72,$AH$34:$AI$34,2,FALSE),0)</f>
        <v>0</v>
      </c>
      <c r="V72" s="424"/>
      <c r="W72" s="666">
        <f>IF(R72&gt;1,1-((S72-((T72*U72)/(SQRT(R72))))/S72),VLOOKUP($C72,$BI$454:$BQ$484,8,FALSE))</f>
        <v>0</v>
      </c>
      <c r="X72" s="667">
        <f>VLOOKUP($C72,$BI$454:$BO$484,3,FALSE)</f>
        <v>0</v>
      </c>
      <c r="Y72" s="668">
        <f>VLOOKUP($C72,$BI$454:$BO$484,4,FALSE)</f>
        <v>0</v>
      </c>
      <c r="Z72" s="669">
        <f>IF($Q72&gt;0,VLOOKUP($C72,$BI$454:$BO$484,6,FALSE),0)</f>
        <v>0</v>
      </c>
      <c r="AA72" s="670">
        <f>($Q72*X72)/1000</f>
        <v>0</v>
      </c>
      <c r="AB72" s="670">
        <f>AA72*1</f>
        <v>0</v>
      </c>
      <c r="AC72" s="669">
        <f>IF(AA72&gt;0,SQRT(($W72*$W72)+(Z72*Z72)+($V72*$V72)),0)</f>
        <v>0</v>
      </c>
      <c r="AD72" s="670">
        <f>(AB72*AC72)^2</f>
        <v>0</v>
      </c>
      <c r="AE72" s="671">
        <f t="shared" si="118"/>
        <v>0</v>
      </c>
      <c r="AF72" s="655">
        <f t="shared" si="118"/>
        <v>0</v>
      </c>
      <c r="AG72" s="28">
        <f t="shared" si="119"/>
        <v>0</v>
      </c>
      <c r="AH72" s="64"/>
      <c r="AI72" s="168"/>
      <c r="AJ72" s="168"/>
      <c r="AK72" s="168"/>
      <c r="AL72" s="169"/>
      <c r="AM72" s="169"/>
      <c r="AN72" s="169"/>
      <c r="AO72" s="168"/>
      <c r="AP72" s="168"/>
      <c r="AQ72" s="168"/>
      <c r="AR72" s="168"/>
      <c r="AS72" s="168"/>
      <c r="AT72" s="168"/>
      <c r="AU72" s="168"/>
      <c r="AV72" s="168"/>
      <c r="AW72" s="168"/>
      <c r="AX72" s="168"/>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c r="CA72" s="93"/>
      <c r="CB72" s="37"/>
      <c r="CC72" s="37"/>
      <c r="CD72" s="37"/>
      <c r="CE72" s="37"/>
      <c r="CF72" s="37"/>
      <c r="CG72" s="37"/>
      <c r="CH72" s="37"/>
      <c r="CI72" s="37"/>
      <c r="CJ72" s="37"/>
      <c r="CK72" s="37"/>
      <c r="CL72" s="37"/>
      <c r="CM72" s="37"/>
      <c r="CN72" s="37"/>
      <c r="CO72" s="36"/>
      <c r="CP72" s="36"/>
      <c r="CQ72" s="36"/>
      <c r="CR72" s="37"/>
      <c r="CS72" s="37"/>
      <c r="CT72" s="37"/>
      <c r="CU72" s="37"/>
      <c r="CV72" s="37"/>
      <c r="CW72" s="37"/>
      <c r="CX72" s="37"/>
      <c r="CY72" s="36"/>
      <c r="CZ72" s="36"/>
      <c r="DA72" s="36"/>
      <c r="DB72" s="36"/>
      <c r="DC72" s="36"/>
      <c r="DD72" s="36"/>
      <c r="DE72" s="36"/>
      <c r="DF72" s="36"/>
    </row>
    <row r="73" spans="1:137" s="27" customFormat="1" x14ac:dyDescent="0.25">
      <c r="A73" s="26"/>
      <c r="B73" s="1698"/>
      <c r="C73" s="553"/>
      <c r="D73" s="664">
        <f>VLOOKUP($C73,$BI$454:$BO$484,2,FALSE)</f>
        <v>0</v>
      </c>
      <c r="E73" s="1393"/>
      <c r="F73" s="421"/>
      <c r="G73" s="421"/>
      <c r="H73" s="421"/>
      <c r="I73" s="421"/>
      <c r="J73" s="421"/>
      <c r="K73" s="421"/>
      <c r="L73" s="421"/>
      <c r="M73" s="421"/>
      <c r="N73" s="421"/>
      <c r="O73" s="421"/>
      <c r="P73" s="421"/>
      <c r="Q73" s="665">
        <f>SUM(E73:P73)</f>
        <v>0</v>
      </c>
      <c r="R73" s="665">
        <f>COUNT(E73:P73)</f>
        <v>0</v>
      </c>
      <c r="S73" s="665">
        <f>IF(R73&gt;1,AVERAGE(E73:P73),0)</f>
        <v>0</v>
      </c>
      <c r="T73" s="665">
        <f>IF(R73&gt;1,STDEV(E73:P73),0)</f>
        <v>0</v>
      </c>
      <c r="U73" s="665">
        <f>IF(R73&gt;1,VLOOKUP($R73,$AH$34:$AI$34,2,FALSE),0)</f>
        <v>0</v>
      </c>
      <c r="V73" s="424"/>
      <c r="W73" s="666">
        <f>IF(R73&gt;1,1-((S73-((T73*U73)/(SQRT(R73))))/S73),VLOOKUP($C73,$BI$454:$BQ$484,8,FALSE))</f>
        <v>0</v>
      </c>
      <c r="X73" s="667">
        <f>VLOOKUP($C73,$BI$454:$BO$484,3,FALSE)</f>
        <v>0</v>
      </c>
      <c r="Y73" s="668">
        <f>VLOOKUP($C73,$BI$454:$BO$484,4,FALSE)</f>
        <v>0</v>
      </c>
      <c r="Z73" s="669">
        <f>IF($Q73&gt;0,VLOOKUP($C73,$BI$454:$BO$484,6,FALSE),0)</f>
        <v>0</v>
      </c>
      <c r="AA73" s="670">
        <f>($Q73*X73)/1000</f>
        <v>0</v>
      </c>
      <c r="AB73" s="670">
        <f>AA73*1</f>
        <v>0</v>
      </c>
      <c r="AC73" s="669">
        <f>IF(AA73&gt;0,SQRT(($W73*$W73)+(Z73*Z73)+($V73*$V73)),0)</f>
        <v>0</v>
      </c>
      <c r="AD73" s="670">
        <f>(AB73*AC73)^2</f>
        <v>0</v>
      </c>
      <c r="AE73" s="671">
        <f t="shared" si="118"/>
        <v>0</v>
      </c>
      <c r="AF73" s="655">
        <f t="shared" si="118"/>
        <v>0</v>
      </c>
      <c r="AG73" s="28">
        <f t="shared" si="119"/>
        <v>0</v>
      </c>
      <c r="AH73" s="64"/>
      <c r="AI73" s="168"/>
      <c r="AJ73" s="168"/>
      <c r="AK73" s="168"/>
      <c r="AL73" s="169"/>
      <c r="AM73" s="169"/>
      <c r="AN73" s="169"/>
      <c r="AO73" s="168"/>
      <c r="AP73" s="168"/>
      <c r="AQ73" s="168"/>
      <c r="AR73" s="168"/>
      <c r="AS73" s="168"/>
      <c r="AT73" s="168"/>
      <c r="AU73" s="168"/>
      <c r="AV73" s="168"/>
      <c r="AW73" s="168"/>
      <c r="AX73" s="168"/>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37"/>
      <c r="CC73" s="37"/>
      <c r="CD73" s="37"/>
      <c r="CE73" s="37"/>
      <c r="CF73" s="37"/>
      <c r="CG73" s="37"/>
      <c r="CH73" s="37"/>
      <c r="CI73" s="37"/>
      <c r="CJ73" s="37"/>
      <c r="CK73" s="37"/>
      <c r="CL73" s="37"/>
      <c r="CM73" s="37"/>
      <c r="CN73" s="37"/>
      <c r="CO73" s="36"/>
      <c r="CP73" s="36"/>
      <c r="CQ73" s="36"/>
      <c r="CR73" s="37"/>
      <c r="CS73" s="37"/>
      <c r="CT73" s="37"/>
      <c r="CU73" s="37"/>
      <c r="CV73" s="37"/>
      <c r="CW73" s="37"/>
      <c r="CX73" s="37"/>
      <c r="CY73" s="36"/>
      <c r="CZ73" s="36"/>
      <c r="DA73" s="36"/>
      <c r="DB73" s="36"/>
      <c r="DC73" s="36"/>
      <c r="DD73" s="36"/>
      <c r="DE73" s="36"/>
      <c r="DF73" s="36"/>
    </row>
    <row r="74" spans="1:137" s="27" customFormat="1" ht="15.75" thickBot="1" x14ac:dyDescent="0.3">
      <c r="A74" s="26"/>
      <c r="B74" s="644" t="s">
        <v>47</v>
      </c>
      <c r="C74" s="645"/>
      <c r="D74" s="645"/>
      <c r="E74" s="645"/>
      <c r="F74" s="645"/>
      <c r="G74" s="645"/>
      <c r="H74" s="645"/>
      <c r="I74" s="645"/>
      <c r="J74" s="645"/>
      <c r="K74" s="645"/>
      <c r="L74" s="645"/>
      <c r="M74" s="645"/>
      <c r="N74" s="645"/>
      <c r="O74" s="645"/>
      <c r="P74" s="645"/>
      <c r="Q74" s="645"/>
      <c r="R74" s="645"/>
      <c r="S74" s="645"/>
      <c r="T74" s="645"/>
      <c r="U74" s="645"/>
      <c r="V74" s="645"/>
      <c r="W74" s="645"/>
      <c r="X74" s="645"/>
      <c r="Y74" s="645"/>
      <c r="Z74" s="645"/>
      <c r="AA74" s="646"/>
      <c r="AB74" s="672">
        <f>SUM(AB70:AB73)</f>
        <v>0</v>
      </c>
      <c r="AC74" s="673">
        <f>IF(AB74&gt;0,SQRT(SUM(AD70:AD73))/AB74,0)</f>
        <v>0</v>
      </c>
      <c r="AD74" s="672">
        <f>(AB74*AC74)^2</f>
        <v>0</v>
      </c>
      <c r="AE74" s="672">
        <f>SUM(AE66:AE73)</f>
        <v>0</v>
      </c>
      <c r="AF74" s="647">
        <f>IF(AE74&gt;0,SQRT(SUM(AG70:AG73))/AE74,0)</f>
        <v>0</v>
      </c>
      <c r="AG74" s="28">
        <f t="shared" si="119"/>
        <v>0</v>
      </c>
      <c r="AH74" s="64"/>
      <c r="AI74" s="168"/>
      <c r="AJ74" s="168"/>
      <c r="AK74" s="168"/>
      <c r="AL74" s="169"/>
      <c r="AM74" s="169"/>
      <c r="AN74" s="169"/>
      <c r="AO74" s="168"/>
      <c r="AP74" s="168"/>
      <c r="AQ74" s="168"/>
      <c r="AR74" s="168"/>
      <c r="AS74" s="168"/>
      <c r="AT74" s="168"/>
      <c r="AU74" s="168"/>
      <c r="AV74" s="168"/>
      <c r="AW74" s="168"/>
      <c r="AX74" s="168"/>
      <c r="AY74" s="93"/>
      <c r="AZ74" s="93"/>
      <c r="BA74" s="93"/>
      <c r="BB74" s="93"/>
      <c r="BC74" s="93"/>
      <c r="BD74" s="93"/>
      <c r="BE74" s="93"/>
      <c r="BF74" s="93"/>
      <c r="BG74" s="93"/>
      <c r="BH74" s="93"/>
      <c r="BI74" s="93"/>
      <c r="BJ74" s="93"/>
      <c r="BK74" s="93"/>
      <c r="BL74" s="93"/>
      <c r="BM74" s="93"/>
      <c r="BN74" s="93"/>
      <c r="BO74" s="93"/>
      <c r="BP74" s="93"/>
      <c r="BQ74" s="93"/>
      <c r="BR74" s="93"/>
      <c r="BS74" s="93"/>
      <c r="BT74" s="93"/>
      <c r="BU74" s="93"/>
      <c r="BV74" s="93"/>
      <c r="BW74" s="93"/>
      <c r="BX74" s="93"/>
      <c r="BY74" s="93"/>
      <c r="BZ74" s="93"/>
      <c r="CA74" s="93"/>
      <c r="CB74" s="37"/>
      <c r="CC74" s="37"/>
      <c r="CD74" s="37"/>
      <c r="CE74" s="37"/>
      <c r="CF74" s="37"/>
      <c r="CG74" s="37"/>
      <c r="CH74" s="37"/>
      <c r="CI74" s="37"/>
      <c r="CJ74" s="37"/>
      <c r="CK74" s="37"/>
      <c r="CL74" s="37"/>
      <c r="CM74" s="37"/>
      <c r="CN74" s="37"/>
      <c r="CO74" s="36"/>
      <c r="CP74" s="36"/>
      <c r="CQ74" s="36"/>
      <c r="CR74" s="37"/>
      <c r="CS74" s="37"/>
      <c r="CT74" s="37"/>
      <c r="CU74" s="37"/>
      <c r="CV74" s="37"/>
      <c r="CW74" s="37"/>
      <c r="CX74" s="37"/>
      <c r="CY74" s="36"/>
      <c r="CZ74" s="36"/>
      <c r="DA74" s="36"/>
      <c r="DB74" s="36"/>
      <c r="DC74" s="36"/>
      <c r="DD74" s="36"/>
      <c r="DE74" s="36"/>
      <c r="DF74" s="36"/>
    </row>
    <row r="75" spans="1:137" s="27" customFormat="1" ht="15.75" customHeight="1" thickBot="1" x14ac:dyDescent="0.3">
      <c r="A75" s="26"/>
      <c r="B75" s="660"/>
      <c r="C75" s="661"/>
      <c r="D75" s="661"/>
      <c r="E75" s="661"/>
      <c r="F75" s="661"/>
      <c r="G75" s="661"/>
      <c r="H75" s="661"/>
      <c r="I75" s="661"/>
      <c r="J75" s="661"/>
      <c r="K75" s="661"/>
      <c r="L75" s="661"/>
      <c r="M75" s="661"/>
      <c r="N75" s="661"/>
      <c r="O75" s="661"/>
      <c r="P75" s="661"/>
      <c r="Q75" s="661"/>
      <c r="R75" s="661"/>
      <c r="S75" s="661"/>
      <c r="T75" s="661"/>
      <c r="U75" s="661"/>
      <c r="V75" s="661"/>
      <c r="W75" s="661"/>
      <c r="X75" s="661"/>
      <c r="Y75" s="661"/>
      <c r="Z75" s="661"/>
      <c r="AA75" s="661"/>
      <c r="AB75" s="661"/>
      <c r="AC75" s="661"/>
      <c r="AD75" s="661"/>
      <c r="AE75" s="662"/>
      <c r="AF75" s="674"/>
      <c r="AG75" s="28">
        <f t="shared" si="119"/>
        <v>0</v>
      </c>
      <c r="AH75" s="64"/>
      <c r="AI75" s="168"/>
      <c r="AJ75" s="168"/>
      <c r="AK75" s="168"/>
      <c r="AL75" s="169"/>
      <c r="AM75" s="169"/>
      <c r="AN75" s="169"/>
      <c r="AO75" s="168"/>
      <c r="AP75" s="168"/>
      <c r="AQ75" s="168"/>
      <c r="AR75" s="168"/>
      <c r="AS75" s="168"/>
      <c r="AT75" s="168"/>
      <c r="AU75" s="168"/>
      <c r="AV75" s="168"/>
      <c r="AW75" s="168"/>
      <c r="AX75" s="168"/>
      <c r="AY75" s="93"/>
      <c r="AZ75" s="93"/>
      <c r="BA75" s="93"/>
      <c r="BB75" s="93"/>
      <c r="BC75" s="93"/>
      <c r="BD75" s="93"/>
      <c r="BE75" s="93"/>
      <c r="BF75" s="93"/>
      <c r="BG75" s="93"/>
      <c r="BH75" s="93"/>
      <c r="BI75" s="93"/>
      <c r="BJ75" s="93"/>
      <c r="BK75" s="93"/>
      <c r="BL75" s="93"/>
      <c r="BM75" s="93"/>
      <c r="BN75" s="93"/>
      <c r="BO75" s="93"/>
      <c r="BP75" s="93"/>
      <c r="BQ75" s="93"/>
      <c r="BR75" s="93"/>
      <c r="BS75" s="93"/>
      <c r="BT75" s="93"/>
      <c r="BU75" s="93"/>
      <c r="BV75" s="93"/>
      <c r="BW75" s="93"/>
      <c r="BX75" s="93"/>
      <c r="BY75" s="93"/>
      <c r="BZ75" s="93"/>
      <c r="CA75" s="93"/>
      <c r="CB75" s="37"/>
      <c r="CC75" s="37"/>
      <c r="CD75" s="37"/>
      <c r="CE75" s="37"/>
      <c r="CF75" s="37"/>
      <c r="CG75" s="37"/>
      <c r="CH75" s="37"/>
      <c r="CI75" s="37"/>
      <c r="CJ75" s="37"/>
      <c r="CK75" s="37"/>
      <c r="CL75" s="37"/>
      <c r="CM75" s="37"/>
      <c r="CN75" s="37"/>
      <c r="CO75" s="36"/>
      <c r="CP75" s="36"/>
      <c r="CQ75" s="36"/>
      <c r="CR75" s="37"/>
      <c r="CS75" s="37"/>
      <c r="CT75" s="37"/>
      <c r="CU75" s="37"/>
      <c r="CV75" s="37"/>
      <c r="CW75" s="37"/>
      <c r="CX75" s="37"/>
      <c r="CY75" s="36"/>
      <c r="CZ75" s="36"/>
      <c r="DA75" s="36"/>
      <c r="DB75" s="36"/>
      <c r="DC75" s="36"/>
      <c r="DD75" s="36"/>
      <c r="DE75" s="36"/>
      <c r="DF75" s="36"/>
    </row>
    <row r="76" spans="1:137" s="82" customFormat="1" ht="32.25" thickBot="1" x14ac:dyDescent="0.3">
      <c r="A76" s="26"/>
      <c r="B76" s="1695" t="s">
        <v>303</v>
      </c>
      <c r="C76" s="1696"/>
      <c r="D76" s="1696"/>
      <c r="E76" s="1696"/>
      <c r="F76" s="1696"/>
      <c r="G76" s="1696"/>
      <c r="H76" s="1696"/>
      <c r="I76" s="1696"/>
      <c r="J76" s="1696"/>
      <c r="K76" s="1696"/>
      <c r="L76" s="1696"/>
      <c r="M76" s="1696"/>
      <c r="N76" s="1696"/>
      <c r="O76" s="1696"/>
      <c r="P76" s="1696"/>
      <c r="Q76" s="1696"/>
      <c r="R76" s="1696"/>
      <c r="S76" s="1696"/>
      <c r="T76" s="1696"/>
      <c r="U76" s="1696"/>
      <c r="V76" s="1696"/>
      <c r="W76" s="1696"/>
      <c r="X76" s="1696"/>
      <c r="Y76" s="1696"/>
      <c r="Z76" s="1696"/>
      <c r="AA76" s="1697"/>
      <c r="AB76" s="636"/>
      <c r="AC76" s="637">
        <f>IF(AB76&gt;0,(SQRT(AD74+#REF!+#REF!))/AB76,0)</f>
        <v>0</v>
      </c>
      <c r="AD76" s="636">
        <f>(AB76*AC76)^2</f>
        <v>0</v>
      </c>
      <c r="AE76" s="636">
        <f>AE74</f>
        <v>0</v>
      </c>
      <c r="AF76" s="675">
        <f>AF74</f>
        <v>0</v>
      </c>
      <c r="AG76" s="28">
        <f t="shared" si="119"/>
        <v>0</v>
      </c>
      <c r="AH76" s="174"/>
      <c r="AI76" s="175"/>
      <c r="AJ76" s="175"/>
      <c r="AK76" s="175"/>
      <c r="AL76" s="176"/>
      <c r="AM76" s="176"/>
      <c r="AN76" s="176"/>
      <c r="AO76" s="175"/>
      <c r="AP76" s="175"/>
      <c r="AQ76" s="175"/>
      <c r="AR76" s="175"/>
      <c r="AS76" s="175"/>
      <c r="AT76" s="175"/>
      <c r="AU76" s="175"/>
      <c r="AV76" s="175"/>
      <c r="AW76" s="175"/>
      <c r="AX76" s="175"/>
      <c r="AY76" s="93"/>
      <c r="AZ76" s="93"/>
      <c r="BA76" s="93"/>
      <c r="BB76" s="93"/>
      <c r="BC76" s="93"/>
      <c r="BD76" s="93"/>
      <c r="BE76" s="93"/>
      <c r="BF76" s="93"/>
      <c r="BG76" s="93"/>
      <c r="BH76" s="93"/>
      <c r="BI76" s="93"/>
      <c r="BJ76" s="93"/>
      <c r="BK76" s="93"/>
      <c r="BL76" s="93"/>
      <c r="BM76" s="93"/>
      <c r="BN76" s="93"/>
      <c r="BO76" s="93"/>
      <c r="BP76" s="93"/>
      <c r="BQ76" s="93"/>
      <c r="BR76" s="93"/>
      <c r="BS76" s="93"/>
      <c r="BT76" s="93"/>
      <c r="BU76" s="93"/>
      <c r="BV76" s="93"/>
      <c r="BW76" s="93"/>
      <c r="BX76" s="93"/>
      <c r="BY76" s="93"/>
      <c r="BZ76" s="93"/>
      <c r="CA76" s="93"/>
      <c r="CB76" s="81"/>
      <c r="CC76" s="81"/>
      <c r="CD76" s="81"/>
      <c r="CE76" s="81"/>
      <c r="CF76" s="81"/>
      <c r="CG76" s="81"/>
      <c r="CH76" s="81"/>
      <c r="CI76" s="81"/>
      <c r="CJ76" s="81"/>
      <c r="CK76" s="81"/>
      <c r="CL76" s="81"/>
      <c r="CM76" s="81"/>
      <c r="CN76" s="81"/>
      <c r="CO76" s="36"/>
      <c r="CP76" s="36"/>
      <c r="CQ76" s="36"/>
      <c r="CR76" s="81"/>
      <c r="CS76" s="81"/>
      <c r="CT76" s="81"/>
      <c r="CU76" s="81"/>
      <c r="CV76" s="81"/>
      <c r="CW76" s="81"/>
      <c r="CX76" s="81"/>
      <c r="CY76" s="80"/>
      <c r="CZ76" s="80"/>
      <c r="DA76" s="80"/>
      <c r="DB76" s="80"/>
      <c r="DC76" s="80"/>
      <c r="DD76" s="80"/>
      <c r="DE76" s="80"/>
      <c r="DF76" s="80"/>
    </row>
    <row r="77" spans="1:137" s="26" customFormat="1" ht="21" x14ac:dyDescent="0.25">
      <c r="B77" s="136"/>
      <c r="C77" s="136"/>
      <c r="D77" s="136"/>
      <c r="E77" s="137"/>
      <c r="F77" s="137"/>
      <c r="G77" s="137"/>
      <c r="H77" s="137"/>
      <c r="I77" s="137"/>
      <c r="J77" s="137"/>
      <c r="K77" s="137"/>
      <c r="L77" s="137"/>
      <c r="M77" s="137"/>
      <c r="N77" s="137"/>
      <c r="O77" s="137"/>
      <c r="P77" s="137"/>
      <c r="Q77" s="137"/>
      <c r="R77" s="138"/>
      <c r="S77" s="137"/>
      <c r="T77" s="137"/>
      <c r="U77" s="137"/>
      <c r="V77" s="139"/>
      <c r="W77" s="139"/>
      <c r="X77" s="136"/>
      <c r="Y77" s="136"/>
      <c r="Z77" s="139"/>
      <c r="AA77" s="140"/>
      <c r="AB77" s="140"/>
      <c r="AC77" s="139"/>
      <c r="AD77" s="140"/>
      <c r="AG77" s="28"/>
      <c r="AH77" s="164"/>
      <c r="AI77" s="165"/>
      <c r="AJ77" s="165"/>
      <c r="AK77" s="165"/>
      <c r="AL77" s="166"/>
      <c r="AM77" s="166"/>
      <c r="AN77" s="166"/>
      <c r="AO77" s="165"/>
      <c r="AP77" s="165"/>
      <c r="AQ77" s="165"/>
      <c r="AR77" s="165"/>
      <c r="AS77" s="165"/>
      <c r="AT77" s="165"/>
      <c r="AU77" s="165"/>
      <c r="AV77" s="165"/>
      <c r="AW77" s="165"/>
      <c r="AX77" s="165"/>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c r="CA77" s="93"/>
      <c r="CB77" s="28"/>
      <c r="CC77" s="28"/>
      <c r="CD77" s="28"/>
      <c r="CE77" s="28"/>
      <c r="CF77" s="28"/>
      <c r="CG77" s="28"/>
      <c r="CH77" s="28"/>
      <c r="CI77" s="28"/>
      <c r="CJ77" s="28"/>
      <c r="CK77" s="28"/>
      <c r="CL77" s="28"/>
      <c r="CM77" s="28"/>
      <c r="CN77" s="28"/>
      <c r="CO77" s="36"/>
      <c r="CP77" s="36"/>
      <c r="CQ77" s="36"/>
      <c r="CR77" s="28"/>
      <c r="CS77" s="28"/>
      <c r="CT77" s="28"/>
      <c r="CU77" s="28"/>
      <c r="CV77" s="28"/>
      <c r="CW77" s="28"/>
      <c r="CX77" s="28"/>
      <c r="CY77" s="29"/>
      <c r="CZ77" s="29"/>
      <c r="DA77" s="29"/>
      <c r="DB77" s="29"/>
      <c r="DC77" s="29"/>
      <c r="DD77" s="29"/>
      <c r="DE77" s="29"/>
      <c r="DF77" s="29"/>
    </row>
    <row r="78" spans="1:137" x14ac:dyDescent="0.25">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O78" s="36"/>
      <c r="CP78" s="36"/>
      <c r="CQ78" s="36"/>
    </row>
    <row r="79" spans="1:137" x14ac:dyDescent="0.25">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c r="CA79" s="93"/>
      <c r="CO79" s="36"/>
      <c r="CP79" s="36"/>
      <c r="CQ79" s="36"/>
    </row>
    <row r="80" spans="1:137" x14ac:dyDescent="0.25">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O80" s="36"/>
      <c r="CP80" s="36"/>
      <c r="CQ80" s="36"/>
    </row>
    <row r="81" spans="1:137" x14ac:dyDescent="0.25">
      <c r="AY81" s="93"/>
      <c r="AZ81" s="93"/>
      <c r="BA81" s="93"/>
      <c r="BB81" s="93"/>
      <c r="BC81" s="93"/>
      <c r="BD81" s="93"/>
      <c r="BE81" s="93"/>
      <c r="BF81" s="93"/>
      <c r="BG81" s="93"/>
      <c r="BH81" s="93"/>
      <c r="BI81" s="93"/>
      <c r="BJ81" s="93"/>
      <c r="BK81" s="93"/>
      <c r="BL81" s="93"/>
      <c r="BM81" s="93"/>
      <c r="BN81" s="93"/>
      <c r="BO81" s="93"/>
      <c r="BP81" s="93"/>
      <c r="BQ81" s="93"/>
      <c r="BR81" s="93"/>
      <c r="BS81" s="93"/>
      <c r="BT81" s="93"/>
      <c r="BU81" s="93"/>
      <c r="BV81" s="93"/>
      <c r="BW81" s="93"/>
      <c r="BX81" s="93"/>
      <c r="BY81" s="93"/>
      <c r="BZ81" s="93"/>
      <c r="CA81" s="93"/>
      <c r="CO81" s="36"/>
      <c r="CP81" s="36"/>
      <c r="CQ81" s="36"/>
    </row>
    <row r="82" spans="1:137" x14ac:dyDescent="0.25">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O82" s="36"/>
      <c r="CP82" s="36"/>
      <c r="CQ82" s="36"/>
    </row>
    <row r="83" spans="1:137" x14ac:dyDescent="0.25">
      <c r="AY83" s="93"/>
      <c r="AZ83" s="93"/>
      <c r="BA83" s="93"/>
      <c r="BB83" s="93"/>
      <c r="BC83" s="93"/>
      <c r="BD83" s="93"/>
      <c r="BE83" s="93"/>
      <c r="BF83" s="93"/>
      <c r="BG83" s="93"/>
      <c r="BH83" s="93"/>
      <c r="BI83" s="93"/>
      <c r="BJ83" s="93"/>
      <c r="BK83" s="93"/>
      <c r="BL83" s="93"/>
      <c r="BM83" s="93"/>
      <c r="BN83" s="93"/>
      <c r="BO83" s="93"/>
      <c r="BP83" s="93"/>
      <c r="BQ83" s="93"/>
      <c r="BR83" s="93"/>
      <c r="BS83" s="93"/>
      <c r="BT83" s="93"/>
      <c r="BU83" s="93"/>
      <c r="BV83" s="93"/>
      <c r="BW83" s="93"/>
      <c r="BX83" s="93"/>
      <c r="BY83" s="93"/>
      <c r="BZ83" s="93"/>
      <c r="CA83" s="93"/>
      <c r="CO83" s="80"/>
      <c r="CP83" s="80"/>
      <c r="CQ83" s="80"/>
    </row>
    <row r="84" spans="1:137" ht="15" hidden="1" customHeight="1" x14ac:dyDescent="0.25">
      <c r="AY84" s="93"/>
      <c r="AZ84" s="93"/>
      <c r="BA84" s="93"/>
      <c r="BB84" s="93"/>
      <c r="BC84" s="93"/>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O84" s="29"/>
      <c r="CP84" s="29"/>
      <c r="CQ84" s="29"/>
    </row>
    <row r="85" spans="1:137" ht="15" hidden="1" customHeight="1" x14ac:dyDescent="0.25">
      <c r="AY85" s="93"/>
      <c r="AZ85" s="93"/>
      <c r="BA85" s="93"/>
      <c r="BB85" s="93"/>
      <c r="BC85" s="93"/>
      <c r="BD85" s="93"/>
      <c r="BE85" s="93"/>
      <c r="BF85" s="93"/>
      <c r="BG85" s="93"/>
      <c r="BH85" s="93"/>
      <c r="BI85" s="93"/>
      <c r="BJ85" s="93"/>
      <c r="BK85" s="93"/>
      <c r="BL85" s="93"/>
      <c r="BM85" s="93"/>
      <c r="BN85" s="93"/>
      <c r="BO85" s="93"/>
      <c r="BP85" s="93"/>
      <c r="BQ85" s="93"/>
      <c r="BR85" s="93"/>
      <c r="BS85" s="93"/>
      <c r="BT85" s="93"/>
      <c r="BU85" s="93"/>
      <c r="BV85" s="93"/>
      <c r="BW85" s="93"/>
      <c r="BX85" s="93"/>
      <c r="BY85" s="93"/>
      <c r="BZ85" s="93"/>
      <c r="CA85" s="93"/>
      <c r="CO85" s="36"/>
      <c r="CP85" s="36"/>
      <c r="CQ85" s="36"/>
      <c r="CT85" s="98"/>
      <c r="CU85" s="98"/>
      <c r="CV85" s="98"/>
      <c r="CW85" s="98"/>
      <c r="CX85" s="98"/>
      <c r="CY85" s="98"/>
      <c r="CZ85" s="98"/>
      <c r="DA85" s="98"/>
      <c r="DB85" s="98"/>
      <c r="DC85" s="98"/>
      <c r="DD85" s="98"/>
      <c r="DE85" s="98"/>
      <c r="DF85" s="98"/>
      <c r="DG85" s="98"/>
      <c r="DH85" s="98"/>
      <c r="DI85" s="98"/>
      <c r="DJ85" s="98"/>
      <c r="DK85" s="98"/>
      <c r="DL85" s="98"/>
      <c r="DM85" s="98"/>
      <c r="DN85" s="98"/>
      <c r="DO85" s="98"/>
      <c r="DP85" s="98"/>
      <c r="DQ85" s="98"/>
      <c r="DR85" s="98"/>
      <c r="DS85" s="98"/>
      <c r="DT85" s="98"/>
      <c r="DU85" s="98"/>
      <c r="DV85" s="98"/>
      <c r="DW85" s="98"/>
      <c r="DX85" s="98"/>
      <c r="DY85" s="98"/>
      <c r="DZ85" s="98"/>
      <c r="EA85" s="98"/>
      <c r="EB85" s="98"/>
      <c r="EC85" s="98"/>
      <c r="ED85" s="98"/>
      <c r="EE85" s="98"/>
      <c r="EF85" s="98"/>
      <c r="EG85" s="98"/>
    </row>
    <row r="86" spans="1:137" ht="15" hidden="1" customHeight="1" x14ac:dyDescent="0.25">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row>
    <row r="87" spans="1:137" ht="15" hidden="1" customHeight="1" x14ac:dyDescent="0.25">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row>
    <row r="88" spans="1:137" s="101" customFormat="1" ht="15" hidden="1" customHeight="1" x14ac:dyDescent="0.25">
      <c r="A88" s="99"/>
      <c r="V88" s="103"/>
      <c r="AA88" s="104"/>
      <c r="AB88" s="104"/>
      <c r="AD88" s="104"/>
      <c r="AE88" s="105"/>
      <c r="AH88" s="106"/>
      <c r="AI88" s="106"/>
      <c r="AK88" s="104"/>
      <c r="AR88" s="104"/>
      <c r="AV88" s="104"/>
      <c r="AX88" s="104"/>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180"/>
      <c r="CC88" s="179"/>
      <c r="CD88" s="179"/>
      <c r="CE88" s="180"/>
      <c r="CF88" s="180"/>
      <c r="CG88" s="180"/>
      <c r="CH88" s="180"/>
      <c r="CI88" s="179"/>
      <c r="CJ88" s="179"/>
      <c r="CK88" s="180"/>
      <c r="CL88" s="180"/>
      <c r="CM88" s="180"/>
      <c r="CN88" s="116"/>
      <c r="CO88" s="100"/>
      <c r="CP88" s="100"/>
      <c r="CQ88" s="100"/>
    </row>
    <row r="89" spans="1:137" s="101" customFormat="1" ht="15" hidden="1" customHeight="1" x14ac:dyDescent="0.25">
      <c r="A89" s="99"/>
      <c r="V89" s="103"/>
      <c r="AA89" s="104"/>
      <c r="AB89" s="104"/>
      <c r="AD89" s="104"/>
      <c r="AE89" s="105"/>
      <c r="AH89" s="106"/>
      <c r="AI89" s="106"/>
      <c r="AK89" s="104"/>
      <c r="AR89" s="104"/>
      <c r="AV89" s="104"/>
      <c r="AX89" s="104"/>
      <c r="AY89" s="93"/>
      <c r="AZ89" s="93"/>
      <c r="BA89" s="93"/>
      <c r="BB89" s="93"/>
      <c r="BC89" s="93"/>
      <c r="BD89" s="93"/>
      <c r="BE89" s="93"/>
      <c r="BF89" s="93"/>
      <c r="BG89" s="93"/>
      <c r="BH89" s="93"/>
      <c r="BI89" s="93">
        <v>1</v>
      </c>
      <c r="BJ89" s="93">
        <v>2</v>
      </c>
      <c r="BK89" s="93">
        <v>3</v>
      </c>
      <c r="BL89" s="93">
        <v>4</v>
      </c>
      <c r="BM89" s="93">
        <v>5</v>
      </c>
      <c r="BN89" s="93">
        <v>6</v>
      </c>
      <c r="BO89" s="93">
        <v>7</v>
      </c>
      <c r="BP89" s="93">
        <v>8</v>
      </c>
      <c r="BQ89" s="93">
        <v>9</v>
      </c>
      <c r="BR89" s="93">
        <v>10</v>
      </c>
      <c r="BS89" s="93">
        <v>11</v>
      </c>
      <c r="BT89" s="93">
        <v>12</v>
      </c>
      <c r="BU89" s="93">
        <v>13</v>
      </c>
      <c r="BV89" s="93">
        <v>14</v>
      </c>
      <c r="BW89" s="93">
        <v>15</v>
      </c>
      <c r="BX89" s="93">
        <v>16</v>
      </c>
      <c r="BY89" s="93">
        <v>17</v>
      </c>
      <c r="BZ89" s="93">
        <v>18</v>
      </c>
      <c r="CA89" s="93">
        <v>19</v>
      </c>
      <c r="CB89" s="178">
        <v>20</v>
      </c>
      <c r="CC89" s="178">
        <v>21</v>
      </c>
      <c r="CD89" s="178">
        <v>22</v>
      </c>
      <c r="CE89" s="178">
        <v>23</v>
      </c>
      <c r="CF89" s="178">
        <v>24</v>
      </c>
      <c r="CG89" s="178">
        <v>25</v>
      </c>
      <c r="CH89" s="178">
        <v>26</v>
      </c>
      <c r="CI89" s="178">
        <v>27</v>
      </c>
      <c r="CJ89" s="178">
        <v>28</v>
      </c>
      <c r="CK89" s="178">
        <v>29</v>
      </c>
      <c r="CL89" s="178">
        <v>30</v>
      </c>
      <c r="CM89" s="178">
        <v>31</v>
      </c>
      <c r="CN89" s="115">
        <v>32</v>
      </c>
      <c r="CO89" s="100"/>
      <c r="CP89" s="100"/>
      <c r="CQ89" s="100"/>
      <c r="CR89" s="115">
        <v>33</v>
      </c>
      <c r="CS89" s="115">
        <v>34</v>
      </c>
    </row>
    <row r="90" spans="1:137" s="101" customFormat="1" ht="26.25" hidden="1" customHeight="1" x14ac:dyDescent="0.25">
      <c r="A90" s="99"/>
      <c r="V90" s="103"/>
      <c r="AA90" s="104"/>
      <c r="AB90" s="104"/>
      <c r="AD90" s="104"/>
      <c r="AE90" s="105"/>
      <c r="AH90" s="106"/>
      <c r="AI90" s="106"/>
      <c r="AK90" s="104"/>
      <c r="AR90" s="104"/>
      <c r="AV90" s="104"/>
      <c r="AX90" s="104"/>
      <c r="AY90" s="93"/>
      <c r="AZ90" s="93"/>
      <c r="BA90" s="93"/>
      <c r="BB90" s="93"/>
      <c r="BC90" s="93"/>
      <c r="BD90" s="93"/>
      <c r="BE90" s="93"/>
      <c r="BF90" s="93"/>
      <c r="BG90" s="93"/>
      <c r="BH90" s="93"/>
      <c r="BI90" s="93"/>
      <c r="BJ90" s="93"/>
      <c r="BK90" s="93" t="s">
        <v>607</v>
      </c>
      <c r="BL90" s="93"/>
      <c r="BM90" s="93" t="s">
        <v>233</v>
      </c>
      <c r="BN90" s="93" t="s">
        <v>233</v>
      </c>
      <c r="BO90" s="93" t="s">
        <v>240</v>
      </c>
      <c r="BP90" s="93" t="s">
        <v>172</v>
      </c>
      <c r="BQ90" s="93"/>
      <c r="BR90" s="93"/>
      <c r="BS90" s="93"/>
      <c r="BT90" s="93"/>
      <c r="BU90" s="93"/>
      <c r="BV90" s="93"/>
      <c r="BW90" s="93"/>
      <c r="BX90" s="93"/>
      <c r="BY90" s="93"/>
      <c r="BZ90" s="93"/>
      <c r="CA90" s="93"/>
      <c r="CB90" s="1608" t="s">
        <v>173</v>
      </c>
      <c r="CC90" s="1609"/>
      <c r="CD90" s="1609"/>
      <c r="CE90" s="1609"/>
      <c r="CF90" s="1609"/>
      <c r="CG90" s="1609"/>
      <c r="CH90" s="1609"/>
      <c r="CI90" s="1609"/>
      <c r="CJ90" s="1609"/>
      <c r="CK90" s="1609"/>
      <c r="CL90" s="1609"/>
      <c r="CM90" s="1610"/>
      <c r="CN90" s="116"/>
      <c r="CO90" s="100"/>
      <c r="CP90" s="100"/>
      <c r="CQ90" s="100"/>
      <c r="CR90" s="101" t="s">
        <v>295</v>
      </c>
    </row>
    <row r="91" spans="1:137" s="101" customFormat="1" ht="58.5" hidden="1" customHeight="1" x14ac:dyDescent="0.25">
      <c r="A91" s="99"/>
      <c r="V91" s="103"/>
      <c r="X91" s="107"/>
      <c r="Y91" s="107"/>
      <c r="Z91" s="107"/>
      <c r="AA91" s="110"/>
      <c r="AB91" s="110"/>
      <c r="AC91" s="107"/>
      <c r="AD91" s="110"/>
      <c r="AE91" s="109"/>
      <c r="AF91" s="107"/>
      <c r="AG91" s="107"/>
      <c r="AH91" s="111"/>
      <c r="AI91" s="111"/>
      <c r="AJ91" s="107"/>
      <c r="AK91" s="110"/>
      <c r="AL91" s="107"/>
      <c r="AM91" s="107"/>
      <c r="AN91" s="107"/>
      <c r="AO91" s="107"/>
      <c r="AP91" s="107"/>
      <c r="AQ91" s="107"/>
      <c r="AR91" s="110"/>
      <c r="AS91" s="107"/>
      <c r="AT91" s="107"/>
      <c r="AU91" s="107"/>
      <c r="AV91" s="110"/>
      <c r="AW91" s="107"/>
      <c r="AX91" s="110"/>
      <c r="AY91" s="93"/>
      <c r="AZ91" s="93"/>
      <c r="BA91" s="93"/>
      <c r="BB91" s="93"/>
      <c r="BC91" s="93"/>
      <c r="BD91" s="93"/>
      <c r="BE91" s="93"/>
      <c r="BF91" s="93"/>
      <c r="BG91" s="93"/>
      <c r="BH91" s="93"/>
      <c r="BI91" s="93" t="s">
        <v>366</v>
      </c>
      <c r="BJ91" s="93" t="s">
        <v>253</v>
      </c>
      <c r="BK91" s="93"/>
      <c r="BL91" s="93" t="s">
        <v>251</v>
      </c>
      <c r="BM91" s="93"/>
      <c r="BN91" s="93"/>
      <c r="BO91" s="93"/>
      <c r="BP91" s="93" t="s">
        <v>608</v>
      </c>
      <c r="BQ91" s="93" t="s">
        <v>609</v>
      </c>
      <c r="BR91" s="93" t="s">
        <v>251</v>
      </c>
      <c r="BS91" s="93" t="s">
        <v>233</v>
      </c>
      <c r="BT91" s="93" t="s">
        <v>233</v>
      </c>
      <c r="BU91" s="93" t="s">
        <v>240</v>
      </c>
      <c r="BV91" s="93" t="s">
        <v>265</v>
      </c>
      <c r="BW91" s="93" t="s">
        <v>610</v>
      </c>
      <c r="BX91" s="93" t="s">
        <v>251</v>
      </c>
      <c r="BY91" s="93" t="s">
        <v>233</v>
      </c>
      <c r="BZ91" s="93" t="s">
        <v>233</v>
      </c>
      <c r="CA91" s="93" t="s">
        <v>240</v>
      </c>
      <c r="CB91" s="185" t="s">
        <v>266</v>
      </c>
      <c r="CC91" s="185" t="s">
        <v>609</v>
      </c>
      <c r="CD91" s="252" t="s">
        <v>251</v>
      </c>
      <c r="CE91" s="185" t="s">
        <v>233</v>
      </c>
      <c r="CF91" s="185" t="s">
        <v>233</v>
      </c>
      <c r="CG91" s="185" t="s">
        <v>240</v>
      </c>
      <c r="CH91" s="185" t="s">
        <v>265</v>
      </c>
      <c r="CI91" s="185" t="s">
        <v>610</v>
      </c>
      <c r="CJ91" s="252" t="s">
        <v>251</v>
      </c>
      <c r="CK91" s="185" t="s">
        <v>233</v>
      </c>
      <c r="CL91" s="185" t="s">
        <v>233</v>
      </c>
      <c r="CM91" s="185" t="s">
        <v>240</v>
      </c>
      <c r="CN91" s="116"/>
      <c r="CO91" s="100"/>
      <c r="CP91" s="100"/>
      <c r="CQ91" s="100"/>
      <c r="CR91" s="101" t="s">
        <v>296</v>
      </c>
      <c r="CS91" s="101" t="s">
        <v>297</v>
      </c>
    </row>
    <row r="92" spans="1:137" s="101" customFormat="1" ht="16.5" hidden="1" customHeight="1" x14ac:dyDescent="0.3">
      <c r="A92" s="99"/>
      <c r="V92" s="103"/>
      <c r="X92" s="107"/>
      <c r="Y92" s="107"/>
      <c r="Z92" s="107"/>
      <c r="AA92" s="110"/>
      <c r="AB92" s="110"/>
      <c r="AC92" s="107"/>
      <c r="AD92" s="110"/>
      <c r="AE92" s="109"/>
      <c r="AF92" s="107"/>
      <c r="AG92" s="107"/>
      <c r="AH92" s="111"/>
      <c r="AI92" s="111"/>
      <c r="AJ92" s="107"/>
      <c r="AK92" s="110"/>
      <c r="AL92" s="107"/>
      <c r="AM92" s="107"/>
      <c r="AN92" s="107"/>
      <c r="AO92" s="107"/>
      <c r="AP92" s="107"/>
      <c r="AQ92" s="107"/>
      <c r="AR92" s="110"/>
      <c r="AS92" s="107"/>
      <c r="AT92" s="107"/>
      <c r="AU92" s="107"/>
      <c r="AV92" s="110"/>
      <c r="AW92" s="107"/>
      <c r="AX92" s="110"/>
      <c r="AY92" s="93"/>
      <c r="AZ92" s="93"/>
      <c r="BA92" s="93"/>
      <c r="BB92" s="93"/>
      <c r="BC92" s="93"/>
      <c r="BD92" s="93"/>
      <c r="BE92" s="93"/>
      <c r="BF92" s="93"/>
      <c r="BG92" s="93"/>
      <c r="BH92" s="93"/>
      <c r="BI92" s="93" t="s">
        <v>2</v>
      </c>
      <c r="BJ92" s="93" t="s">
        <v>611</v>
      </c>
      <c r="BK92" s="93">
        <v>2534.8130000000001</v>
      </c>
      <c r="BL92" s="93" t="s">
        <v>612</v>
      </c>
      <c r="BM92" s="93">
        <v>2.64E-3</v>
      </c>
      <c r="BN92" s="93">
        <v>2.64E-3</v>
      </c>
      <c r="BO92" s="93" t="s">
        <v>241</v>
      </c>
      <c r="BP92" s="93">
        <v>28.760200000000001</v>
      </c>
      <c r="BQ92" s="93">
        <f>BP92/1000</f>
        <v>2.87602E-2</v>
      </c>
      <c r="BR92" s="93" t="s">
        <v>613</v>
      </c>
      <c r="BS92" s="93">
        <v>3.0000000000000001E-3</v>
      </c>
      <c r="BT92" s="93">
        <v>0.03</v>
      </c>
      <c r="BU92" s="93" t="s">
        <v>242</v>
      </c>
      <c r="BV92" s="93">
        <v>43.1404</v>
      </c>
      <c r="BW92" s="93">
        <f>BV92/1000</f>
        <v>4.3140400000000002E-2</v>
      </c>
      <c r="BX92" s="93" t="s">
        <v>614</v>
      </c>
      <c r="BY92" s="93">
        <v>5.0000000000000001E-3</v>
      </c>
      <c r="BZ92" s="93">
        <v>0.05</v>
      </c>
      <c r="CA92" s="93" t="s">
        <v>242</v>
      </c>
      <c r="CB92" s="187">
        <v>0</v>
      </c>
      <c r="CC92" s="187">
        <f>CB92/1000</f>
        <v>0</v>
      </c>
      <c r="CD92" s="187" t="s">
        <v>613</v>
      </c>
      <c r="CE92" s="189">
        <v>0</v>
      </c>
      <c r="CF92" s="189">
        <v>0</v>
      </c>
      <c r="CG92" s="187" t="s">
        <v>242</v>
      </c>
      <c r="CH92" s="187">
        <v>0</v>
      </c>
      <c r="CI92" s="187">
        <f>CH92/1000</f>
        <v>0</v>
      </c>
      <c r="CJ92" s="187" t="s">
        <v>614</v>
      </c>
      <c r="CK92" s="189">
        <v>0</v>
      </c>
      <c r="CL92" s="189">
        <v>0</v>
      </c>
      <c r="CM92" s="187" t="s">
        <v>242</v>
      </c>
      <c r="CN92" s="116"/>
      <c r="CO92" s="100"/>
      <c r="CP92" s="100"/>
      <c r="CQ92" s="100"/>
      <c r="CR92" s="101">
        <v>0.15</v>
      </c>
      <c r="CS92" s="101">
        <v>0.2</v>
      </c>
    </row>
    <row r="93" spans="1:137" s="101" customFormat="1" ht="16.5" hidden="1" customHeight="1" x14ac:dyDescent="0.3">
      <c r="A93" s="99"/>
      <c r="V93" s="103"/>
      <c r="X93" s="107"/>
      <c r="Y93" s="107"/>
      <c r="Z93" s="107"/>
      <c r="AA93" s="110"/>
      <c r="AB93" s="110"/>
      <c r="AC93" s="107"/>
      <c r="AD93" s="110"/>
      <c r="AE93" s="109"/>
      <c r="AF93" s="107"/>
      <c r="AG93" s="107"/>
      <c r="AH93" s="111"/>
      <c r="AI93" s="111"/>
      <c r="AJ93" s="107"/>
      <c r="AK93" s="110"/>
      <c r="AL93" s="107"/>
      <c r="AM93" s="107"/>
      <c r="AN93" s="107"/>
      <c r="AO93" s="107"/>
      <c r="AP93" s="107"/>
      <c r="AQ93" s="107"/>
      <c r="AR93" s="110"/>
      <c r="AS93" s="107"/>
      <c r="AT93" s="107"/>
      <c r="AU93" s="107"/>
      <c r="AV93" s="110"/>
      <c r="AW93" s="107"/>
      <c r="AX93" s="110"/>
      <c r="AY93" s="93"/>
      <c r="AZ93" s="93"/>
      <c r="BA93" s="93"/>
      <c r="BB93" s="93"/>
      <c r="BC93" s="93"/>
      <c r="BD93" s="93"/>
      <c r="BE93" s="93"/>
      <c r="BF93" s="93"/>
      <c r="BG93" s="93"/>
      <c r="BH93" s="93"/>
      <c r="BI93" s="93" t="s">
        <v>211</v>
      </c>
      <c r="BJ93" s="93" t="s">
        <v>615</v>
      </c>
      <c r="BK93" s="93">
        <v>2160.7550000000001</v>
      </c>
      <c r="BL93" s="93" t="s">
        <v>612</v>
      </c>
      <c r="BM93" s="93">
        <v>3.0399999999999997E-3</v>
      </c>
      <c r="BN93" s="93">
        <v>3.0399999999999997E-3</v>
      </c>
      <c r="BO93" s="93" t="s">
        <v>241</v>
      </c>
      <c r="BP93" s="93">
        <v>26.622399999999999</v>
      </c>
      <c r="BQ93" s="93">
        <f t="shared" ref="BQ93:BQ116" si="120">BP93/1000</f>
        <v>2.6622399999999997E-2</v>
      </c>
      <c r="BR93" s="93" t="s">
        <v>616</v>
      </c>
      <c r="BS93" s="93">
        <v>3.0000000000000001E-3</v>
      </c>
      <c r="BT93" s="93">
        <v>0.03</v>
      </c>
      <c r="BU93" s="93" t="s">
        <v>242</v>
      </c>
      <c r="BV93" s="93">
        <v>39.933500000000002</v>
      </c>
      <c r="BW93" s="93">
        <f t="shared" ref="BW93:BW116" si="121">BV93/1000</f>
        <v>3.9933500000000004E-2</v>
      </c>
      <c r="BX93" s="93" t="s">
        <v>614</v>
      </c>
      <c r="BY93" s="93">
        <v>5.0000000000000001E-3</v>
      </c>
      <c r="BZ93" s="93">
        <v>0.05</v>
      </c>
      <c r="CA93" s="93" t="s">
        <v>242</v>
      </c>
      <c r="CB93" s="187">
        <v>0</v>
      </c>
      <c r="CC93" s="187">
        <f t="shared" ref="CC93:CC116" si="122">CB93/1000</f>
        <v>0</v>
      </c>
      <c r="CD93" s="187" t="s">
        <v>613</v>
      </c>
      <c r="CE93" s="189">
        <v>0</v>
      </c>
      <c r="CF93" s="189">
        <v>0</v>
      </c>
      <c r="CG93" s="187" t="s">
        <v>242</v>
      </c>
      <c r="CH93" s="181">
        <v>0</v>
      </c>
      <c r="CI93" s="187">
        <f t="shared" ref="CI93:CI116" si="123">CH93/1000</f>
        <v>0</v>
      </c>
      <c r="CJ93" s="187" t="s">
        <v>614</v>
      </c>
      <c r="CK93" s="189">
        <v>0</v>
      </c>
      <c r="CL93" s="189">
        <v>0</v>
      </c>
      <c r="CM93" s="187" t="s">
        <v>242</v>
      </c>
      <c r="CN93" s="116"/>
      <c r="CO93" s="100"/>
      <c r="CP93" s="100"/>
      <c r="CQ93" s="100"/>
      <c r="CR93" s="101">
        <v>0.15</v>
      </c>
      <c r="CS93" s="101">
        <v>0.2</v>
      </c>
    </row>
    <row r="94" spans="1:137" s="101" customFormat="1" ht="16.5" hidden="1" customHeight="1" x14ac:dyDescent="0.3">
      <c r="A94" s="99"/>
      <c r="V94" s="103"/>
      <c r="X94" s="107"/>
      <c r="Y94" s="107"/>
      <c r="Z94" s="107"/>
      <c r="AA94" s="110"/>
      <c r="AB94" s="110"/>
      <c r="AC94" s="107"/>
      <c r="AD94" s="110"/>
      <c r="AE94" s="109"/>
      <c r="AF94" s="107"/>
      <c r="AG94" s="107"/>
      <c r="AH94" s="111"/>
      <c r="AI94" s="111"/>
      <c r="AJ94" s="107"/>
      <c r="AK94" s="110"/>
      <c r="AL94" s="107"/>
      <c r="AM94" s="107"/>
      <c r="AN94" s="107"/>
      <c r="AO94" s="107"/>
      <c r="AP94" s="107"/>
      <c r="AQ94" s="107"/>
      <c r="AR94" s="110"/>
      <c r="AS94" s="107"/>
      <c r="AT94" s="107"/>
      <c r="AU94" s="107"/>
      <c r="AV94" s="110"/>
      <c r="AW94" s="107"/>
      <c r="AX94" s="110"/>
      <c r="AY94" s="93"/>
      <c r="AZ94" s="93"/>
      <c r="BA94" s="93"/>
      <c r="BB94" s="93"/>
      <c r="BC94" s="93"/>
      <c r="BD94" s="93"/>
      <c r="BE94" s="93"/>
      <c r="BF94" s="93"/>
      <c r="BG94" s="93"/>
      <c r="BH94" s="93"/>
      <c r="BI94" s="93" t="s">
        <v>212</v>
      </c>
      <c r="BJ94" s="93" t="s">
        <v>615</v>
      </c>
      <c r="BK94" s="93">
        <v>2894.0590000000002</v>
      </c>
      <c r="BL94" s="93" t="s">
        <v>612</v>
      </c>
      <c r="BM94" s="93">
        <v>2.3499999999999997E-3</v>
      </c>
      <c r="BN94" s="93">
        <v>2.3499999999999997E-3</v>
      </c>
      <c r="BO94" s="93" t="s">
        <v>241</v>
      </c>
      <c r="BP94" s="93">
        <v>30.416899999999998</v>
      </c>
      <c r="BQ94" s="93">
        <f t="shared" si="120"/>
        <v>3.0416899999999997E-2</v>
      </c>
      <c r="BR94" s="93" t="s">
        <v>613</v>
      </c>
      <c r="BS94" s="93">
        <v>3.0000000000000001E-3</v>
      </c>
      <c r="BT94" s="93">
        <v>0.03</v>
      </c>
      <c r="BU94" s="93" t="s">
        <v>242</v>
      </c>
      <c r="BV94" s="93">
        <v>45.625300000000003</v>
      </c>
      <c r="BW94" s="93">
        <f t="shared" si="121"/>
        <v>4.5625300000000001E-2</v>
      </c>
      <c r="BX94" s="93" t="s">
        <v>614</v>
      </c>
      <c r="BY94" s="93">
        <v>5.0000000000000001E-3</v>
      </c>
      <c r="BZ94" s="93">
        <v>0.05</v>
      </c>
      <c r="CA94" s="93" t="s">
        <v>242</v>
      </c>
      <c r="CB94" s="187">
        <v>0</v>
      </c>
      <c r="CC94" s="187">
        <f t="shared" si="122"/>
        <v>0</v>
      </c>
      <c r="CD94" s="187" t="s">
        <v>613</v>
      </c>
      <c r="CE94" s="189">
        <v>0</v>
      </c>
      <c r="CF94" s="189">
        <v>0</v>
      </c>
      <c r="CG94" s="187" t="s">
        <v>242</v>
      </c>
      <c r="CH94" s="181">
        <v>0</v>
      </c>
      <c r="CI94" s="187">
        <f t="shared" si="123"/>
        <v>0</v>
      </c>
      <c r="CJ94" s="187" t="s">
        <v>614</v>
      </c>
      <c r="CK94" s="189">
        <v>0</v>
      </c>
      <c r="CL94" s="189">
        <v>0</v>
      </c>
      <c r="CM94" s="187" t="s">
        <v>242</v>
      </c>
      <c r="CN94" s="116"/>
      <c r="CO94" s="100"/>
      <c r="CP94" s="100"/>
      <c r="CQ94" s="100"/>
      <c r="CR94" s="101">
        <v>0.15</v>
      </c>
      <c r="CS94" s="101">
        <v>0.2</v>
      </c>
    </row>
    <row r="95" spans="1:137" s="101" customFormat="1" ht="16.5" hidden="1" customHeight="1" x14ac:dyDescent="0.3">
      <c r="A95" s="99"/>
      <c r="V95" s="103"/>
      <c r="X95" s="107"/>
      <c r="Y95" s="107"/>
      <c r="Z95" s="107"/>
      <c r="AA95" s="110"/>
      <c r="AB95" s="110"/>
      <c r="AC95" s="107"/>
      <c r="AD95" s="110"/>
      <c r="AE95" s="109"/>
      <c r="AF95" s="107"/>
      <c r="AG95" s="107"/>
      <c r="AH95" s="111"/>
      <c r="AI95" s="111"/>
      <c r="AJ95" s="107"/>
      <c r="AK95" s="110"/>
      <c r="AL95" s="107"/>
      <c r="AM95" s="107"/>
      <c r="AN95" s="107"/>
      <c r="AO95" s="107"/>
      <c r="AP95" s="107"/>
      <c r="AQ95" s="107"/>
      <c r="AR95" s="110"/>
      <c r="AS95" s="107"/>
      <c r="AT95" s="107"/>
      <c r="AU95" s="107"/>
      <c r="AV95" s="110"/>
      <c r="AW95" s="107"/>
      <c r="AX95" s="110"/>
      <c r="AY95" s="93"/>
      <c r="AZ95" s="93"/>
      <c r="BA95" s="93"/>
      <c r="BB95" s="93"/>
      <c r="BC95" s="93"/>
      <c r="BD95" s="93"/>
      <c r="BE95" s="93"/>
      <c r="BF95" s="93"/>
      <c r="BG95" s="93"/>
      <c r="BH95" s="93"/>
      <c r="BI95" s="93" t="s">
        <v>213</v>
      </c>
      <c r="BJ95" s="93" t="s">
        <v>615</v>
      </c>
      <c r="BK95" s="93">
        <v>2214.4580000000001</v>
      </c>
      <c r="BL95" s="93" t="s">
        <v>612</v>
      </c>
      <c r="BM95" s="93">
        <v>2.9299999999999999E-3</v>
      </c>
      <c r="BN95" s="93">
        <v>2.9299999999999999E-3</v>
      </c>
      <c r="BO95" s="93" t="s">
        <v>241</v>
      </c>
      <c r="BP95" s="93">
        <v>29.170200000000001</v>
      </c>
      <c r="BQ95" s="93">
        <f t="shared" si="120"/>
        <v>2.91702E-2</v>
      </c>
      <c r="BR95" s="93" t="s">
        <v>613</v>
      </c>
      <c r="BS95" s="93">
        <v>3.0000000000000001E-3</v>
      </c>
      <c r="BT95" s="93">
        <v>0.03</v>
      </c>
      <c r="BU95" s="93" t="s">
        <v>242</v>
      </c>
      <c r="BV95" s="93">
        <v>43.755299999999998</v>
      </c>
      <c r="BW95" s="93">
        <f t="shared" si="121"/>
        <v>4.3755299999999997E-2</v>
      </c>
      <c r="BX95" s="93" t="s">
        <v>614</v>
      </c>
      <c r="BY95" s="93">
        <v>5.0000000000000001E-3</v>
      </c>
      <c r="BZ95" s="93">
        <v>0.05</v>
      </c>
      <c r="CA95" s="93" t="s">
        <v>242</v>
      </c>
      <c r="CB95" s="187">
        <v>0</v>
      </c>
      <c r="CC95" s="187">
        <f t="shared" si="122"/>
        <v>0</v>
      </c>
      <c r="CD95" s="187" t="s">
        <v>613</v>
      </c>
      <c r="CE95" s="189">
        <v>0</v>
      </c>
      <c r="CF95" s="189">
        <v>0</v>
      </c>
      <c r="CG95" s="187" t="s">
        <v>242</v>
      </c>
      <c r="CH95" s="181">
        <v>0</v>
      </c>
      <c r="CI95" s="187">
        <f t="shared" si="123"/>
        <v>0</v>
      </c>
      <c r="CJ95" s="187" t="s">
        <v>614</v>
      </c>
      <c r="CK95" s="189">
        <v>0</v>
      </c>
      <c r="CL95" s="189">
        <v>0</v>
      </c>
      <c r="CM95" s="187" t="s">
        <v>242</v>
      </c>
      <c r="CN95" s="116"/>
      <c r="CO95" s="100"/>
      <c r="CP95" s="100"/>
      <c r="CQ95" s="100"/>
      <c r="CR95" s="101">
        <v>0.15</v>
      </c>
      <c r="CS95" s="101">
        <v>0.2</v>
      </c>
    </row>
    <row r="96" spans="1:137" s="101" customFormat="1" ht="16.5" hidden="1" customHeight="1" x14ac:dyDescent="0.3">
      <c r="A96" s="99"/>
      <c r="V96" s="103"/>
      <c r="X96" s="107"/>
      <c r="Y96" s="107"/>
      <c r="Z96" s="107"/>
      <c r="AA96" s="110"/>
      <c r="AB96" s="110"/>
      <c r="AC96" s="107"/>
      <c r="AD96" s="110"/>
      <c r="AE96" s="109"/>
      <c r="AF96" s="107"/>
      <c r="AG96" s="107"/>
      <c r="AH96" s="111"/>
      <c r="AI96" s="111"/>
      <c r="AJ96" s="107"/>
      <c r="AK96" s="110"/>
      <c r="AL96" s="107"/>
      <c r="AM96" s="107"/>
      <c r="AN96" s="107"/>
      <c r="AO96" s="107"/>
      <c r="AP96" s="107"/>
      <c r="AQ96" s="107"/>
      <c r="AR96" s="110"/>
      <c r="AS96" s="107"/>
      <c r="AT96" s="107"/>
      <c r="AU96" s="107"/>
      <c r="AV96" s="110"/>
      <c r="AW96" s="107"/>
      <c r="AX96" s="110"/>
      <c r="AY96" s="93"/>
      <c r="AZ96" s="93"/>
      <c r="BA96" s="93"/>
      <c r="BB96" s="93"/>
      <c r="BC96" s="93"/>
      <c r="BD96" s="93"/>
      <c r="BE96" s="93"/>
      <c r="BF96" s="93"/>
      <c r="BG96" s="93"/>
      <c r="BH96" s="93"/>
      <c r="BI96" s="93" t="s">
        <v>214</v>
      </c>
      <c r="BJ96" s="93" t="s">
        <v>615</v>
      </c>
      <c r="BK96" s="93">
        <v>2507.6329999999998</v>
      </c>
      <c r="BL96" s="93" t="s">
        <v>612</v>
      </c>
      <c r="BM96" s="93">
        <v>2.6099999999999999E-3</v>
      </c>
      <c r="BN96" s="93">
        <v>2.6099999999999999E-3</v>
      </c>
      <c r="BO96" s="93" t="s">
        <v>241</v>
      </c>
      <c r="BP96" s="93">
        <v>31.212299999999999</v>
      </c>
      <c r="BQ96" s="93">
        <f t="shared" si="120"/>
        <v>3.1212299999999998E-2</v>
      </c>
      <c r="BR96" s="93" t="s">
        <v>613</v>
      </c>
      <c r="BS96" s="93">
        <v>3.0000000000000001E-3</v>
      </c>
      <c r="BT96" s="93">
        <v>0.03</v>
      </c>
      <c r="BU96" s="93" t="s">
        <v>242</v>
      </c>
      <c r="BV96" s="93">
        <v>46.818399999999997</v>
      </c>
      <c r="BW96" s="93">
        <f t="shared" si="121"/>
        <v>4.6818399999999996E-2</v>
      </c>
      <c r="BX96" s="93" t="s">
        <v>614</v>
      </c>
      <c r="BY96" s="93">
        <v>5.0000000000000001E-3</v>
      </c>
      <c r="BZ96" s="93">
        <v>0.05</v>
      </c>
      <c r="CA96" s="93" t="s">
        <v>242</v>
      </c>
      <c r="CB96" s="187">
        <v>0</v>
      </c>
      <c r="CC96" s="187">
        <f t="shared" si="122"/>
        <v>0</v>
      </c>
      <c r="CD96" s="187" t="s">
        <v>613</v>
      </c>
      <c r="CE96" s="189">
        <v>0</v>
      </c>
      <c r="CF96" s="189">
        <v>0</v>
      </c>
      <c r="CG96" s="187" t="s">
        <v>242</v>
      </c>
      <c r="CH96" s="181">
        <v>0</v>
      </c>
      <c r="CI96" s="187">
        <f t="shared" si="123"/>
        <v>0</v>
      </c>
      <c r="CJ96" s="187" t="s">
        <v>614</v>
      </c>
      <c r="CK96" s="189">
        <v>0</v>
      </c>
      <c r="CL96" s="189">
        <v>0</v>
      </c>
      <c r="CM96" s="187" t="s">
        <v>242</v>
      </c>
      <c r="CN96" s="116"/>
      <c r="CO96" s="100"/>
      <c r="CP96" s="100"/>
      <c r="CQ96" s="100"/>
      <c r="CR96" s="101">
        <v>0.15</v>
      </c>
      <c r="CS96" s="101">
        <v>0.2</v>
      </c>
    </row>
    <row r="97" spans="1:97" s="101" customFormat="1" ht="16.5" hidden="1" customHeight="1" x14ac:dyDescent="0.3">
      <c r="A97" s="99"/>
      <c r="V97" s="103"/>
      <c r="X97" s="107"/>
      <c r="Y97" s="107"/>
      <c r="Z97" s="107"/>
      <c r="AA97" s="110"/>
      <c r="AB97" s="110"/>
      <c r="AC97" s="107"/>
      <c r="AD97" s="110"/>
      <c r="AE97" s="109"/>
      <c r="AF97" s="107"/>
      <c r="AG97" s="107"/>
      <c r="AH97" s="111"/>
      <c r="AI97" s="111"/>
      <c r="AJ97" s="107"/>
      <c r="AK97" s="110"/>
      <c r="AL97" s="107"/>
      <c r="AM97" s="107"/>
      <c r="AN97" s="107"/>
      <c r="AO97" s="107"/>
      <c r="AP97" s="107"/>
      <c r="AQ97" s="107"/>
      <c r="AR97" s="110"/>
      <c r="AS97" s="107"/>
      <c r="AT97" s="107"/>
      <c r="AU97" s="107"/>
      <c r="AV97" s="110"/>
      <c r="AW97" s="107"/>
      <c r="AX97" s="110"/>
      <c r="AY97" s="93"/>
      <c r="AZ97" s="93"/>
      <c r="BA97" s="93"/>
      <c r="BB97" s="93"/>
      <c r="BC97" s="93"/>
      <c r="BD97" s="93"/>
      <c r="BE97" s="93"/>
      <c r="BF97" s="93"/>
      <c r="BG97" s="93"/>
      <c r="BH97" s="93"/>
      <c r="BI97" s="93" t="s">
        <v>215</v>
      </c>
      <c r="BJ97" s="93" t="s">
        <v>615</v>
      </c>
      <c r="BK97" s="93">
        <v>2812.7539999999999</v>
      </c>
      <c r="BL97" s="93" t="s">
        <v>612</v>
      </c>
      <c r="BM97" s="93">
        <v>2.3899999999999998E-3</v>
      </c>
      <c r="BN97" s="93">
        <v>2.3899999999999998E-3</v>
      </c>
      <c r="BO97" s="93" t="s">
        <v>241</v>
      </c>
      <c r="BP97" s="93">
        <v>31.229299999999999</v>
      </c>
      <c r="BQ97" s="93">
        <f t="shared" si="120"/>
        <v>3.1229299999999998E-2</v>
      </c>
      <c r="BR97" s="93" t="s">
        <v>613</v>
      </c>
      <c r="BS97" s="93">
        <v>3.0000000000000001E-3</v>
      </c>
      <c r="BT97" s="93">
        <v>0.03</v>
      </c>
      <c r="BU97" s="93" t="s">
        <v>242</v>
      </c>
      <c r="BV97" s="93">
        <v>46.843899999999998</v>
      </c>
      <c r="BW97" s="93">
        <f t="shared" si="121"/>
        <v>4.6843900000000001E-2</v>
      </c>
      <c r="BX97" s="93" t="s">
        <v>614</v>
      </c>
      <c r="BY97" s="93">
        <v>5.0000000000000001E-3</v>
      </c>
      <c r="BZ97" s="93">
        <v>0.05</v>
      </c>
      <c r="CA97" s="93" t="s">
        <v>242</v>
      </c>
      <c r="CB97" s="187">
        <v>0</v>
      </c>
      <c r="CC97" s="187">
        <f t="shared" si="122"/>
        <v>0</v>
      </c>
      <c r="CD97" s="187" t="s">
        <v>613</v>
      </c>
      <c r="CE97" s="189">
        <v>0</v>
      </c>
      <c r="CF97" s="189">
        <v>0</v>
      </c>
      <c r="CG97" s="187" t="s">
        <v>242</v>
      </c>
      <c r="CH97" s="181">
        <v>0</v>
      </c>
      <c r="CI97" s="187">
        <f t="shared" si="123"/>
        <v>0</v>
      </c>
      <c r="CJ97" s="187" t="s">
        <v>614</v>
      </c>
      <c r="CK97" s="189">
        <v>0</v>
      </c>
      <c r="CL97" s="189">
        <v>0</v>
      </c>
      <c r="CM97" s="187" t="s">
        <v>242</v>
      </c>
      <c r="CN97" s="116"/>
      <c r="CO97" s="224">
        <v>33</v>
      </c>
      <c r="CP97" s="224">
        <v>34</v>
      </c>
      <c r="CQ97" s="224">
        <v>35</v>
      </c>
      <c r="CR97" s="101">
        <v>0.15</v>
      </c>
      <c r="CS97" s="101">
        <v>0.2</v>
      </c>
    </row>
    <row r="98" spans="1:97" s="101" customFormat="1" ht="16.5" hidden="1" customHeight="1" x14ac:dyDescent="0.3">
      <c r="A98" s="99"/>
      <c r="V98" s="103"/>
      <c r="X98" s="107"/>
      <c r="Y98" s="107"/>
      <c r="Z98" s="107"/>
      <c r="AA98" s="110"/>
      <c r="AB98" s="110"/>
      <c r="AC98" s="107"/>
      <c r="AD98" s="110"/>
      <c r="AE98" s="109"/>
      <c r="AF98" s="107"/>
      <c r="AG98" s="107"/>
      <c r="AH98" s="111"/>
      <c r="AI98" s="111"/>
      <c r="AJ98" s="107"/>
      <c r="AK98" s="110"/>
      <c r="AL98" s="107"/>
      <c r="AM98" s="107"/>
      <c r="AN98" s="107"/>
      <c r="AO98" s="107"/>
      <c r="AP98" s="107"/>
      <c r="AQ98" s="107"/>
      <c r="AR98" s="110"/>
      <c r="AS98" s="107"/>
      <c r="AT98" s="107"/>
      <c r="AU98" s="107"/>
      <c r="AV98" s="110"/>
      <c r="AW98" s="107"/>
      <c r="AX98" s="110"/>
      <c r="AY98" s="93"/>
      <c r="AZ98" s="93"/>
      <c r="BA98" s="93"/>
      <c r="BB98" s="93"/>
      <c r="BC98" s="93"/>
      <c r="BD98" s="93"/>
      <c r="BE98" s="93"/>
      <c r="BF98" s="93"/>
      <c r="BG98" s="93"/>
      <c r="BH98" s="93"/>
      <c r="BI98" s="93" t="s">
        <v>216</v>
      </c>
      <c r="BJ98" s="93" t="s">
        <v>615</v>
      </c>
      <c r="BK98" s="93">
        <v>1903.181</v>
      </c>
      <c r="BL98" s="93" t="s">
        <v>612</v>
      </c>
      <c r="BM98" s="93">
        <v>3.5399999999999997E-3</v>
      </c>
      <c r="BN98" s="93">
        <v>3.5399999999999997E-3</v>
      </c>
      <c r="BO98" s="93" t="s">
        <v>241</v>
      </c>
      <c r="BP98" s="93">
        <v>20.947600000000001</v>
      </c>
      <c r="BQ98" s="93">
        <f t="shared" si="120"/>
        <v>2.09476E-2</v>
      </c>
      <c r="BR98" s="93" t="s">
        <v>613</v>
      </c>
      <c r="BS98" s="93">
        <v>3.0000000000000001E-3</v>
      </c>
      <c r="BT98" s="93">
        <v>0.03</v>
      </c>
      <c r="BU98" s="93" t="s">
        <v>242</v>
      </c>
      <c r="BV98" s="93">
        <v>31.421399999999998</v>
      </c>
      <c r="BW98" s="93">
        <f t="shared" si="121"/>
        <v>3.1421399999999995E-2</v>
      </c>
      <c r="BX98" s="93" t="s">
        <v>614</v>
      </c>
      <c r="BY98" s="93">
        <v>5.0000000000000001E-3</v>
      </c>
      <c r="BZ98" s="93">
        <v>0.05</v>
      </c>
      <c r="CA98" s="93" t="s">
        <v>242</v>
      </c>
      <c r="CB98" s="187">
        <v>0</v>
      </c>
      <c r="CC98" s="187">
        <f t="shared" si="122"/>
        <v>0</v>
      </c>
      <c r="CD98" s="187" t="s">
        <v>613</v>
      </c>
      <c r="CE98" s="189">
        <v>0</v>
      </c>
      <c r="CF98" s="189">
        <v>0</v>
      </c>
      <c r="CG98" s="187" t="s">
        <v>242</v>
      </c>
      <c r="CH98" s="181">
        <v>0</v>
      </c>
      <c r="CI98" s="187">
        <f t="shared" si="123"/>
        <v>0</v>
      </c>
      <c r="CJ98" s="187" t="s">
        <v>614</v>
      </c>
      <c r="CK98" s="189">
        <v>0</v>
      </c>
      <c r="CL98" s="189">
        <v>0</v>
      </c>
      <c r="CM98" s="187" t="s">
        <v>242</v>
      </c>
      <c r="CN98" s="116"/>
      <c r="CO98" s="100" t="s">
        <v>295</v>
      </c>
      <c r="CP98" s="100"/>
      <c r="CQ98" s="100"/>
      <c r="CR98" s="101">
        <v>0.15</v>
      </c>
      <c r="CS98" s="101">
        <v>0.2</v>
      </c>
    </row>
    <row r="99" spans="1:97" s="101" customFormat="1" ht="16.5" hidden="1" customHeight="1" x14ac:dyDescent="0.3">
      <c r="A99" s="99"/>
      <c r="V99" s="103"/>
      <c r="X99" s="107"/>
      <c r="Y99" s="107"/>
      <c r="Z99" s="107"/>
      <c r="AA99" s="110"/>
      <c r="AB99" s="110"/>
      <c r="AC99" s="107"/>
      <c r="AD99" s="110"/>
      <c r="AE99" s="109"/>
      <c r="AF99" s="107"/>
      <c r="AG99" s="107"/>
      <c r="AH99" s="111"/>
      <c r="AI99" s="111"/>
      <c r="AJ99" s="107"/>
      <c r="AK99" s="110"/>
      <c r="AL99" s="107"/>
      <c r="AM99" s="107"/>
      <c r="AN99" s="107"/>
      <c r="AO99" s="107"/>
      <c r="AP99" s="107"/>
      <c r="AQ99" s="107"/>
      <c r="AR99" s="110"/>
      <c r="AS99" s="107"/>
      <c r="AT99" s="107"/>
      <c r="AU99" s="107"/>
      <c r="AV99" s="110"/>
      <c r="AW99" s="107"/>
      <c r="AX99" s="110"/>
      <c r="AY99" s="93"/>
      <c r="AZ99" s="93"/>
      <c r="BA99" s="93"/>
      <c r="BB99" s="93"/>
      <c r="BC99" s="93"/>
      <c r="BD99" s="93"/>
      <c r="BE99" s="93"/>
      <c r="BF99" s="93"/>
      <c r="BG99" s="93"/>
      <c r="BH99" s="93"/>
      <c r="BI99" s="93" t="s">
        <v>217</v>
      </c>
      <c r="BJ99" s="93" t="s">
        <v>615</v>
      </c>
      <c r="BK99" s="93">
        <v>2560.306</v>
      </c>
      <c r="BL99" s="93" t="s">
        <v>612</v>
      </c>
      <c r="BM99" s="93">
        <v>2.5400000000000002E-3</v>
      </c>
      <c r="BN99" s="93">
        <v>2.5400000000000002E-3</v>
      </c>
      <c r="BO99" s="93" t="s">
        <v>241</v>
      </c>
      <c r="BP99" s="93">
        <v>33.076700000000002</v>
      </c>
      <c r="BQ99" s="93">
        <f t="shared" si="120"/>
        <v>3.3076700000000001E-2</v>
      </c>
      <c r="BR99" s="93" t="s">
        <v>613</v>
      </c>
      <c r="BS99" s="93">
        <v>3.0000000000000001E-3</v>
      </c>
      <c r="BT99" s="93">
        <v>0.03</v>
      </c>
      <c r="BU99" s="93" t="s">
        <v>242</v>
      </c>
      <c r="BV99" s="93">
        <v>49.615000000000002</v>
      </c>
      <c r="BW99" s="93">
        <f t="shared" si="121"/>
        <v>4.9614999999999999E-2</v>
      </c>
      <c r="BX99" s="93" t="s">
        <v>614</v>
      </c>
      <c r="BY99" s="93">
        <v>5.0000000000000001E-3</v>
      </c>
      <c r="BZ99" s="93">
        <v>0.05</v>
      </c>
      <c r="CA99" s="93" t="s">
        <v>242</v>
      </c>
      <c r="CB99" s="187">
        <v>0</v>
      </c>
      <c r="CC99" s="187">
        <f t="shared" si="122"/>
        <v>0</v>
      </c>
      <c r="CD99" s="187" t="s">
        <v>613</v>
      </c>
      <c r="CE99" s="189">
        <v>0</v>
      </c>
      <c r="CF99" s="189">
        <v>0</v>
      </c>
      <c r="CG99" s="187" t="s">
        <v>242</v>
      </c>
      <c r="CH99" s="181">
        <v>0</v>
      </c>
      <c r="CI99" s="187">
        <f t="shared" si="123"/>
        <v>0</v>
      </c>
      <c r="CJ99" s="187" t="s">
        <v>614</v>
      </c>
      <c r="CK99" s="189">
        <v>0</v>
      </c>
      <c r="CL99" s="189">
        <v>0</v>
      </c>
      <c r="CM99" s="187" t="s">
        <v>242</v>
      </c>
      <c r="CN99" s="116"/>
      <c r="CO99" s="100" t="s">
        <v>296</v>
      </c>
      <c r="CP99" s="100" t="s">
        <v>296</v>
      </c>
      <c r="CQ99" s="100" t="s">
        <v>297</v>
      </c>
      <c r="CR99" s="101">
        <v>0.15</v>
      </c>
      <c r="CS99" s="101">
        <v>0.2</v>
      </c>
    </row>
    <row r="100" spans="1:97" s="101" customFormat="1" ht="16.5" hidden="1" customHeight="1" x14ac:dyDescent="0.3">
      <c r="A100" s="99"/>
      <c r="V100" s="103"/>
      <c r="X100" s="107"/>
      <c r="Y100" s="107"/>
      <c r="Z100" s="107"/>
      <c r="AA100" s="110"/>
      <c r="AB100" s="110"/>
      <c r="AC100" s="107"/>
      <c r="AD100" s="110"/>
      <c r="AE100" s="109"/>
      <c r="AF100" s="107"/>
      <c r="AG100" s="107"/>
      <c r="AH100" s="111"/>
      <c r="AI100" s="111"/>
      <c r="AJ100" s="107"/>
      <c r="AK100" s="110"/>
      <c r="AL100" s="107"/>
      <c r="AM100" s="107"/>
      <c r="AN100" s="107"/>
      <c r="AO100" s="107"/>
      <c r="AP100" s="107"/>
      <c r="AQ100" s="107"/>
      <c r="AR100" s="110"/>
      <c r="AS100" s="107"/>
      <c r="AT100" s="107"/>
      <c r="AU100" s="107"/>
      <c r="AV100" s="110"/>
      <c r="AW100" s="107"/>
      <c r="AX100" s="110"/>
      <c r="AY100" s="93"/>
      <c r="AZ100" s="93"/>
      <c r="BA100" s="93"/>
      <c r="BB100" s="93"/>
      <c r="BC100" s="93"/>
      <c r="BD100" s="93"/>
      <c r="BE100" s="93"/>
      <c r="BF100" s="93"/>
      <c r="BG100" s="93"/>
      <c r="BH100" s="93"/>
      <c r="BI100" s="93" t="s">
        <v>218</v>
      </c>
      <c r="BJ100" s="93" t="s">
        <v>615</v>
      </c>
      <c r="BK100" s="93">
        <v>2690.982</v>
      </c>
      <c r="BL100" s="93" t="s">
        <v>612</v>
      </c>
      <c r="BM100" s="93">
        <v>2.5100000000000001E-3</v>
      </c>
      <c r="BN100" s="93">
        <v>2.5100000000000001E-3</v>
      </c>
      <c r="BO100" s="93" t="s">
        <v>241</v>
      </c>
      <c r="BP100" s="93">
        <v>29.204699999999999</v>
      </c>
      <c r="BQ100" s="93">
        <f t="shared" si="120"/>
        <v>2.92047E-2</v>
      </c>
      <c r="BR100" s="93" t="s">
        <v>613</v>
      </c>
      <c r="BS100" s="93">
        <v>3.0000000000000001E-3</v>
      </c>
      <c r="BT100" s="93">
        <v>0.03</v>
      </c>
      <c r="BU100" s="93" t="s">
        <v>242</v>
      </c>
      <c r="BV100" s="93">
        <v>43.807099999999998</v>
      </c>
      <c r="BW100" s="93">
        <f t="shared" si="121"/>
        <v>4.3807100000000002E-2</v>
      </c>
      <c r="BX100" s="93" t="s">
        <v>614</v>
      </c>
      <c r="BY100" s="93">
        <v>5.0000000000000001E-3</v>
      </c>
      <c r="BZ100" s="93">
        <v>0.05</v>
      </c>
      <c r="CA100" s="93" t="s">
        <v>242</v>
      </c>
      <c r="CB100" s="187">
        <v>0</v>
      </c>
      <c r="CC100" s="187">
        <f t="shared" si="122"/>
        <v>0</v>
      </c>
      <c r="CD100" s="187" t="s">
        <v>613</v>
      </c>
      <c r="CE100" s="189">
        <v>0</v>
      </c>
      <c r="CF100" s="189">
        <v>0</v>
      </c>
      <c r="CG100" s="187" t="s">
        <v>242</v>
      </c>
      <c r="CH100" s="181">
        <v>0</v>
      </c>
      <c r="CI100" s="187">
        <f t="shared" si="123"/>
        <v>0</v>
      </c>
      <c r="CJ100" s="187" t="s">
        <v>614</v>
      </c>
      <c r="CK100" s="189">
        <v>0</v>
      </c>
      <c r="CL100" s="189">
        <v>0</v>
      </c>
      <c r="CM100" s="187" t="s">
        <v>242</v>
      </c>
      <c r="CN100" s="116"/>
      <c r="CO100" s="100">
        <v>0.15</v>
      </c>
      <c r="CP100" s="100">
        <f>(CO100+CQ100)/2</f>
        <v>0.17499999999999999</v>
      </c>
      <c r="CQ100" s="100">
        <v>0.2</v>
      </c>
      <c r="CR100" s="101">
        <v>0.15</v>
      </c>
      <c r="CS100" s="101">
        <v>0.2</v>
      </c>
    </row>
    <row r="101" spans="1:97" s="101" customFormat="1" ht="16.5" hidden="1" customHeight="1" x14ac:dyDescent="0.3">
      <c r="A101" s="99"/>
      <c r="V101" s="103"/>
      <c r="AA101" s="104"/>
      <c r="AB101" s="104"/>
      <c r="AD101" s="104"/>
      <c r="AE101" s="105"/>
      <c r="AH101" s="106"/>
      <c r="AI101" s="106"/>
      <c r="AK101" s="104"/>
      <c r="AR101" s="104"/>
      <c r="AV101" s="104"/>
      <c r="AX101" s="104"/>
      <c r="AY101" s="93"/>
      <c r="AZ101" s="93"/>
      <c r="BA101" s="93"/>
      <c r="BB101" s="93"/>
      <c r="BC101" s="93"/>
      <c r="BD101" s="93"/>
      <c r="BE101" s="93"/>
      <c r="BF101" s="93"/>
      <c r="BG101" s="93"/>
      <c r="BH101" s="93"/>
      <c r="BI101" s="93" t="s">
        <v>219</v>
      </c>
      <c r="BJ101" s="93" t="s">
        <v>615</v>
      </c>
      <c r="BK101" s="93">
        <v>3052.7950000000001</v>
      </c>
      <c r="BL101" s="93" t="s">
        <v>612</v>
      </c>
      <c r="BM101" s="93">
        <v>2.1800000000000001E-3</v>
      </c>
      <c r="BN101" s="93">
        <v>2.1800000000000001E-3</v>
      </c>
      <c r="BO101" s="93" t="s">
        <v>241</v>
      </c>
      <c r="BP101" s="93">
        <v>35.206200000000003</v>
      </c>
      <c r="BQ101" s="93">
        <f t="shared" si="120"/>
        <v>3.52062E-2</v>
      </c>
      <c r="BR101" s="93" t="s">
        <v>613</v>
      </c>
      <c r="BS101" s="93">
        <v>3.0000000000000001E-3</v>
      </c>
      <c r="BT101" s="93">
        <v>0.03</v>
      </c>
      <c r="BU101" s="93" t="s">
        <v>242</v>
      </c>
      <c r="BV101" s="93">
        <v>52.8093</v>
      </c>
      <c r="BW101" s="93">
        <f t="shared" si="121"/>
        <v>5.2809300000000003E-2</v>
      </c>
      <c r="BX101" s="93" t="s">
        <v>614</v>
      </c>
      <c r="BY101" s="93">
        <v>5.0000000000000001E-3</v>
      </c>
      <c r="BZ101" s="93">
        <v>0.05</v>
      </c>
      <c r="CA101" s="93" t="s">
        <v>242</v>
      </c>
      <c r="CB101" s="187">
        <v>0</v>
      </c>
      <c r="CC101" s="187">
        <f t="shared" si="122"/>
        <v>0</v>
      </c>
      <c r="CD101" s="187" t="s">
        <v>613</v>
      </c>
      <c r="CE101" s="189">
        <v>0</v>
      </c>
      <c r="CF101" s="189">
        <v>0</v>
      </c>
      <c r="CG101" s="187" t="s">
        <v>242</v>
      </c>
      <c r="CH101" s="181">
        <v>0</v>
      </c>
      <c r="CI101" s="187">
        <f t="shared" si="123"/>
        <v>0</v>
      </c>
      <c r="CJ101" s="187" t="s">
        <v>614</v>
      </c>
      <c r="CK101" s="189">
        <v>0</v>
      </c>
      <c r="CL101" s="189">
        <v>0</v>
      </c>
      <c r="CM101" s="187" t="s">
        <v>242</v>
      </c>
      <c r="CN101" s="116"/>
      <c r="CO101" s="100">
        <v>0.15</v>
      </c>
      <c r="CP101" s="100">
        <f t="shared" ref="CP101:CP124" si="124">(CO101+CQ101)/2</f>
        <v>0.17499999999999999</v>
      </c>
      <c r="CQ101" s="100">
        <v>0.2</v>
      </c>
      <c r="CR101" s="101">
        <v>0.15</v>
      </c>
      <c r="CS101" s="101">
        <v>0.2</v>
      </c>
    </row>
    <row r="102" spans="1:97" s="101" customFormat="1" ht="16.5" hidden="1" customHeight="1" x14ac:dyDescent="0.3">
      <c r="A102" s="99"/>
      <c r="V102" s="103"/>
      <c r="AA102" s="104"/>
      <c r="AB102" s="104"/>
      <c r="AD102" s="104"/>
      <c r="AE102" s="105"/>
      <c r="AH102" s="106"/>
      <c r="AI102" s="106"/>
      <c r="AK102" s="104"/>
      <c r="AR102" s="104"/>
      <c r="AV102" s="104"/>
      <c r="AX102" s="104"/>
      <c r="AY102" s="93"/>
      <c r="AZ102" s="93"/>
      <c r="BA102" s="93"/>
      <c r="BB102" s="93"/>
      <c r="BC102" s="93"/>
      <c r="BD102" s="93"/>
      <c r="BE102" s="93"/>
      <c r="BF102" s="93"/>
      <c r="BG102" s="93"/>
      <c r="BH102" s="93"/>
      <c r="BI102" s="93" t="s">
        <v>220</v>
      </c>
      <c r="BJ102" s="93" t="s">
        <v>615</v>
      </c>
      <c r="BK102" s="93">
        <v>2277.4490000000001</v>
      </c>
      <c r="BL102" s="93" t="s">
        <v>612</v>
      </c>
      <c r="BM102" s="93">
        <v>2.98E-3</v>
      </c>
      <c r="BN102" s="93">
        <v>2.98E-3</v>
      </c>
      <c r="BO102" s="93" t="s">
        <v>241</v>
      </c>
      <c r="BP102" s="93">
        <v>24.4054</v>
      </c>
      <c r="BQ102" s="93">
        <f t="shared" si="120"/>
        <v>2.4405400000000001E-2</v>
      </c>
      <c r="BR102" s="93" t="s">
        <v>613</v>
      </c>
      <c r="BS102" s="93">
        <v>3.0000000000000001E-3</v>
      </c>
      <c r="BT102" s="93">
        <v>0.03</v>
      </c>
      <c r="BU102" s="93" t="s">
        <v>242</v>
      </c>
      <c r="BV102" s="93">
        <v>36.6081</v>
      </c>
      <c r="BW102" s="93">
        <f t="shared" si="121"/>
        <v>3.6608099999999998E-2</v>
      </c>
      <c r="BX102" s="93" t="s">
        <v>614</v>
      </c>
      <c r="BY102" s="93">
        <v>5.0000000000000001E-3</v>
      </c>
      <c r="BZ102" s="93">
        <v>0.05</v>
      </c>
      <c r="CA102" s="93" t="s">
        <v>242</v>
      </c>
      <c r="CB102" s="187">
        <v>0</v>
      </c>
      <c r="CC102" s="187">
        <f t="shared" si="122"/>
        <v>0</v>
      </c>
      <c r="CD102" s="187" t="s">
        <v>613</v>
      </c>
      <c r="CE102" s="189">
        <v>0</v>
      </c>
      <c r="CF102" s="189">
        <v>0</v>
      </c>
      <c r="CG102" s="187" t="s">
        <v>242</v>
      </c>
      <c r="CH102" s="181">
        <v>0</v>
      </c>
      <c r="CI102" s="187">
        <f t="shared" si="123"/>
        <v>0</v>
      </c>
      <c r="CJ102" s="187" t="s">
        <v>614</v>
      </c>
      <c r="CK102" s="189">
        <v>0</v>
      </c>
      <c r="CL102" s="189">
        <v>0</v>
      </c>
      <c r="CM102" s="187" t="s">
        <v>242</v>
      </c>
      <c r="CN102" s="116"/>
      <c r="CO102" s="100">
        <v>0.15</v>
      </c>
      <c r="CP102" s="100">
        <f t="shared" si="124"/>
        <v>0.17499999999999999</v>
      </c>
      <c r="CQ102" s="100">
        <v>0.2</v>
      </c>
      <c r="CR102" s="101">
        <v>0.15</v>
      </c>
      <c r="CS102" s="101">
        <v>0.2</v>
      </c>
    </row>
    <row r="103" spans="1:97" s="101" customFormat="1" ht="16.5" hidden="1" customHeight="1" x14ac:dyDescent="0.3">
      <c r="A103" s="99"/>
      <c r="V103" s="103"/>
      <c r="AA103" s="104"/>
      <c r="AB103" s="104"/>
      <c r="AD103" s="104"/>
      <c r="AE103" s="105"/>
      <c r="AH103" s="106"/>
      <c r="AI103" s="106"/>
      <c r="AK103" s="104"/>
      <c r="AR103" s="104"/>
      <c r="AV103" s="104"/>
      <c r="AX103" s="104"/>
      <c r="AY103" s="93"/>
      <c r="AZ103" s="93"/>
      <c r="BA103" s="93"/>
      <c r="BB103" s="93"/>
      <c r="BC103" s="93"/>
      <c r="BD103" s="93"/>
      <c r="BE103" s="93"/>
      <c r="BF103" s="93"/>
      <c r="BG103" s="93"/>
      <c r="BH103" s="93"/>
      <c r="BI103" s="93" t="s">
        <v>1</v>
      </c>
      <c r="BJ103" s="93" t="s">
        <v>615</v>
      </c>
      <c r="BK103" s="93">
        <v>0</v>
      </c>
      <c r="BL103" s="93" t="s">
        <v>612</v>
      </c>
      <c r="BM103" s="93">
        <v>4.3E-3</v>
      </c>
      <c r="BN103" s="93">
        <v>4.3E-3</v>
      </c>
      <c r="BO103" s="93" t="s">
        <v>241</v>
      </c>
      <c r="BP103" s="93">
        <v>442.28840000000002</v>
      </c>
      <c r="BQ103" s="93">
        <f t="shared" si="120"/>
        <v>0.44228840000000003</v>
      </c>
      <c r="BR103" s="93" t="s">
        <v>613</v>
      </c>
      <c r="BS103" s="93">
        <v>0.1</v>
      </c>
      <c r="BT103" s="93">
        <v>1</v>
      </c>
      <c r="BU103" s="93" t="s">
        <v>242</v>
      </c>
      <c r="BV103" s="93">
        <v>58.971800000000002</v>
      </c>
      <c r="BW103" s="93">
        <f t="shared" si="121"/>
        <v>5.8971800000000005E-2</v>
      </c>
      <c r="BX103" s="93" t="s">
        <v>614</v>
      </c>
      <c r="BY103" s="93">
        <v>1.4999999999999999E-2</v>
      </c>
      <c r="BZ103" s="93">
        <v>0.15</v>
      </c>
      <c r="CA103" s="93" t="s">
        <v>242</v>
      </c>
      <c r="CB103" s="187">
        <v>0</v>
      </c>
      <c r="CC103" s="187">
        <f t="shared" si="122"/>
        <v>0</v>
      </c>
      <c r="CD103" s="187" t="s">
        <v>613</v>
      </c>
      <c r="CE103" s="189">
        <v>0</v>
      </c>
      <c r="CF103" s="189">
        <v>0</v>
      </c>
      <c r="CG103" s="187" t="s">
        <v>242</v>
      </c>
      <c r="CH103" s="181">
        <v>0</v>
      </c>
      <c r="CI103" s="187">
        <f t="shared" si="123"/>
        <v>0</v>
      </c>
      <c r="CJ103" s="187" t="s">
        <v>614</v>
      </c>
      <c r="CK103" s="189">
        <v>0</v>
      </c>
      <c r="CL103" s="189">
        <v>0</v>
      </c>
      <c r="CM103" s="187" t="s">
        <v>242</v>
      </c>
      <c r="CN103" s="116"/>
      <c r="CO103" s="100">
        <v>0.15</v>
      </c>
      <c r="CP103" s="100">
        <f t="shared" si="124"/>
        <v>0.17499999999999999</v>
      </c>
      <c r="CQ103" s="100">
        <v>0.2</v>
      </c>
      <c r="CR103" s="101">
        <v>0.6</v>
      </c>
      <c r="CS103" s="101">
        <v>1</v>
      </c>
    </row>
    <row r="104" spans="1:97" s="101" customFormat="1" ht="16.5" hidden="1" customHeight="1" x14ac:dyDescent="0.3">
      <c r="A104" s="99"/>
      <c r="V104" s="103"/>
      <c r="AA104" s="104"/>
      <c r="AB104" s="104"/>
      <c r="AD104" s="104"/>
      <c r="AE104" s="105"/>
      <c r="AH104" s="106"/>
      <c r="AI104" s="106"/>
      <c r="AK104" s="104"/>
      <c r="AR104" s="104"/>
      <c r="AV104" s="104"/>
      <c r="AX104" s="104"/>
      <c r="AY104" s="93"/>
      <c r="AZ104" s="93"/>
      <c r="BA104" s="93"/>
      <c r="BB104" s="93"/>
      <c r="BC104" s="93"/>
      <c r="BD104" s="93"/>
      <c r="BE104" s="93"/>
      <c r="BF104" s="93"/>
      <c r="BG104" s="93"/>
      <c r="BH104" s="93"/>
      <c r="BI104" s="93" t="s">
        <v>221</v>
      </c>
      <c r="BJ104" s="93" t="s">
        <v>615</v>
      </c>
      <c r="BK104" s="93">
        <v>0</v>
      </c>
      <c r="BL104" s="93" t="s">
        <v>612</v>
      </c>
      <c r="BM104" s="93">
        <v>3.82E-3</v>
      </c>
      <c r="BN104" s="93">
        <v>3.82E-3</v>
      </c>
      <c r="BO104" s="93" t="s">
        <v>241</v>
      </c>
      <c r="BP104" s="93">
        <v>499.19130000000001</v>
      </c>
      <c r="BQ104" s="93">
        <f t="shared" si="120"/>
        <v>0.4991913</v>
      </c>
      <c r="BR104" s="93" t="s">
        <v>613</v>
      </c>
      <c r="BS104" s="93">
        <v>0.1</v>
      </c>
      <c r="BT104" s="93">
        <v>1</v>
      </c>
      <c r="BU104" s="93" t="s">
        <v>242</v>
      </c>
      <c r="BV104" s="93">
        <v>66.558800000000005</v>
      </c>
      <c r="BW104" s="93">
        <f t="shared" si="121"/>
        <v>6.6558800000000001E-2</v>
      </c>
      <c r="BX104" s="93" t="s">
        <v>614</v>
      </c>
      <c r="BY104" s="93">
        <v>1.4999999999999999E-2</v>
      </c>
      <c r="BZ104" s="93">
        <v>0.15</v>
      </c>
      <c r="CA104" s="93" t="s">
        <v>242</v>
      </c>
      <c r="CB104" s="187">
        <v>0</v>
      </c>
      <c r="CC104" s="187">
        <f t="shared" si="122"/>
        <v>0</v>
      </c>
      <c r="CD104" s="187" t="s">
        <v>613</v>
      </c>
      <c r="CE104" s="189">
        <v>0</v>
      </c>
      <c r="CF104" s="189">
        <v>0</v>
      </c>
      <c r="CG104" s="187" t="s">
        <v>242</v>
      </c>
      <c r="CH104" s="181">
        <v>0</v>
      </c>
      <c r="CI104" s="187">
        <f t="shared" si="123"/>
        <v>0</v>
      </c>
      <c r="CJ104" s="187" t="s">
        <v>614</v>
      </c>
      <c r="CK104" s="189">
        <v>0</v>
      </c>
      <c r="CL104" s="189">
        <v>0</v>
      </c>
      <c r="CM104" s="187" t="s">
        <v>242</v>
      </c>
      <c r="CN104" s="117"/>
      <c r="CO104" s="100">
        <v>0.15</v>
      </c>
      <c r="CP104" s="100">
        <f t="shared" si="124"/>
        <v>0.17499999999999999</v>
      </c>
      <c r="CQ104" s="100">
        <v>0.2</v>
      </c>
      <c r="CR104" s="101">
        <v>0.6</v>
      </c>
      <c r="CS104" s="101">
        <v>1</v>
      </c>
    </row>
    <row r="105" spans="1:97" s="101" customFormat="1" ht="16.5" hidden="1" customHeight="1" x14ac:dyDescent="0.3">
      <c r="A105" s="99"/>
      <c r="V105" s="103"/>
      <c r="AA105" s="104"/>
      <c r="AB105" s="104"/>
      <c r="AD105" s="104"/>
      <c r="AE105" s="105"/>
      <c r="AH105" s="106"/>
      <c r="AI105" s="106"/>
      <c r="AK105" s="104"/>
      <c r="AR105" s="104"/>
      <c r="AV105" s="104"/>
      <c r="AX105" s="104"/>
      <c r="AY105" s="93"/>
      <c r="AZ105" s="93"/>
      <c r="BA105" s="93"/>
      <c r="BB105" s="93"/>
      <c r="BC105" s="93"/>
      <c r="BD105" s="93"/>
      <c r="BE105" s="93"/>
      <c r="BF105" s="93"/>
      <c r="BG105" s="93"/>
      <c r="BH105" s="93"/>
      <c r="BI105" s="93" t="s">
        <v>222</v>
      </c>
      <c r="BJ105" s="93" t="s">
        <v>615</v>
      </c>
      <c r="BK105" s="93">
        <v>0</v>
      </c>
      <c r="BL105" s="93" t="s">
        <v>612</v>
      </c>
      <c r="BM105" s="93">
        <v>3.98E-3</v>
      </c>
      <c r="BN105" s="93">
        <v>3.98E-3</v>
      </c>
      <c r="BO105" s="93" t="s">
        <v>241</v>
      </c>
      <c r="BP105" s="93">
        <v>503.12909999999999</v>
      </c>
      <c r="BQ105" s="93">
        <f t="shared" si="120"/>
        <v>0.5031291</v>
      </c>
      <c r="BR105" s="93" t="s">
        <v>613</v>
      </c>
      <c r="BS105" s="93">
        <v>0.1</v>
      </c>
      <c r="BT105" s="93">
        <v>1</v>
      </c>
      <c r="BU105" s="93" t="s">
        <v>242</v>
      </c>
      <c r="BV105" s="93">
        <v>67.0839</v>
      </c>
      <c r="BW105" s="93">
        <f t="shared" si="121"/>
        <v>6.7083900000000002E-2</v>
      </c>
      <c r="BX105" s="93" t="s">
        <v>614</v>
      </c>
      <c r="BY105" s="93">
        <v>1.4999999999999999E-2</v>
      </c>
      <c r="BZ105" s="93">
        <v>0.15</v>
      </c>
      <c r="CA105" s="93" t="s">
        <v>242</v>
      </c>
      <c r="CB105" s="187">
        <v>0</v>
      </c>
      <c r="CC105" s="187">
        <f t="shared" si="122"/>
        <v>0</v>
      </c>
      <c r="CD105" s="187" t="s">
        <v>613</v>
      </c>
      <c r="CE105" s="189">
        <v>0</v>
      </c>
      <c r="CF105" s="189">
        <v>0</v>
      </c>
      <c r="CG105" s="187" t="s">
        <v>242</v>
      </c>
      <c r="CH105" s="181">
        <v>0</v>
      </c>
      <c r="CI105" s="187">
        <f t="shared" si="123"/>
        <v>0</v>
      </c>
      <c r="CJ105" s="187" t="s">
        <v>614</v>
      </c>
      <c r="CK105" s="189">
        <v>0</v>
      </c>
      <c r="CL105" s="189">
        <v>0</v>
      </c>
      <c r="CM105" s="187" t="s">
        <v>242</v>
      </c>
      <c r="CN105" s="116"/>
      <c r="CO105" s="100">
        <v>0.15</v>
      </c>
      <c r="CP105" s="100">
        <f t="shared" si="124"/>
        <v>0.17499999999999999</v>
      </c>
      <c r="CQ105" s="100">
        <v>0.2</v>
      </c>
      <c r="CR105" s="101">
        <v>0.6</v>
      </c>
      <c r="CS105" s="101">
        <v>1</v>
      </c>
    </row>
    <row r="106" spans="1:97" s="101" customFormat="1" ht="16.5" hidden="1" customHeight="1" x14ac:dyDescent="0.3">
      <c r="A106" s="99"/>
      <c r="V106" s="103"/>
      <c r="AA106" s="104"/>
      <c r="AB106" s="104"/>
      <c r="AD106" s="104"/>
      <c r="AE106" s="105"/>
      <c r="AH106" s="106"/>
      <c r="AI106" s="106"/>
      <c r="AK106" s="104"/>
      <c r="AR106" s="104"/>
      <c r="AV106" s="104"/>
      <c r="AX106" s="104"/>
      <c r="AY106" s="93"/>
      <c r="AZ106" s="93"/>
      <c r="BA106" s="93"/>
      <c r="BB106" s="93"/>
      <c r="BC106" s="93"/>
      <c r="BD106" s="93"/>
      <c r="BE106" s="93"/>
      <c r="BF106" s="93"/>
      <c r="BG106" s="93"/>
      <c r="BH106" s="93"/>
      <c r="BI106" s="93" t="s">
        <v>223</v>
      </c>
      <c r="BJ106" s="93" t="s">
        <v>615</v>
      </c>
      <c r="BK106" s="93">
        <v>0</v>
      </c>
      <c r="BL106" s="93" t="s">
        <v>612</v>
      </c>
      <c r="BM106" s="93">
        <v>3.5799999999999998E-3</v>
      </c>
      <c r="BN106" s="93">
        <v>3.5799999999999998E-3</v>
      </c>
      <c r="BO106" s="93" t="s">
        <v>241</v>
      </c>
      <c r="BP106" s="93">
        <v>548.92100000000005</v>
      </c>
      <c r="BQ106" s="93">
        <f t="shared" si="120"/>
        <v>0.5489210000000001</v>
      </c>
      <c r="BR106" s="93" t="s">
        <v>613</v>
      </c>
      <c r="BS106" s="93">
        <v>0.1</v>
      </c>
      <c r="BT106" s="93">
        <v>1</v>
      </c>
      <c r="BU106" s="93" t="s">
        <v>242</v>
      </c>
      <c r="BV106" s="93">
        <v>73.189499999999995</v>
      </c>
      <c r="BW106" s="93">
        <f t="shared" si="121"/>
        <v>7.3189499999999991E-2</v>
      </c>
      <c r="BX106" s="93" t="s">
        <v>614</v>
      </c>
      <c r="BY106" s="93">
        <v>1.4999999999999999E-2</v>
      </c>
      <c r="BZ106" s="93">
        <v>0.15</v>
      </c>
      <c r="CA106" s="93" t="s">
        <v>242</v>
      </c>
      <c r="CB106" s="187">
        <v>0</v>
      </c>
      <c r="CC106" s="187">
        <f t="shared" si="122"/>
        <v>0</v>
      </c>
      <c r="CD106" s="187" t="s">
        <v>613</v>
      </c>
      <c r="CE106" s="189">
        <v>0</v>
      </c>
      <c r="CF106" s="189">
        <v>0</v>
      </c>
      <c r="CG106" s="187" t="s">
        <v>242</v>
      </c>
      <c r="CH106" s="181">
        <v>0</v>
      </c>
      <c r="CI106" s="187">
        <f t="shared" si="123"/>
        <v>0</v>
      </c>
      <c r="CJ106" s="187" t="s">
        <v>614</v>
      </c>
      <c r="CK106" s="189">
        <v>0</v>
      </c>
      <c r="CL106" s="189">
        <v>0</v>
      </c>
      <c r="CM106" s="187" t="s">
        <v>242</v>
      </c>
      <c r="CN106" s="116"/>
      <c r="CO106" s="100">
        <v>0.15</v>
      </c>
      <c r="CP106" s="100">
        <f t="shared" si="124"/>
        <v>0.17499999999999999</v>
      </c>
      <c r="CQ106" s="100">
        <v>0.2</v>
      </c>
      <c r="CR106" s="101">
        <v>0.6</v>
      </c>
      <c r="CS106" s="101">
        <v>1</v>
      </c>
    </row>
    <row r="107" spans="1:97" s="101" customFormat="1" ht="16.5" hidden="1" customHeight="1" x14ac:dyDescent="0.3">
      <c r="A107" s="99"/>
      <c r="V107" s="103"/>
      <c r="AA107" s="104"/>
      <c r="AB107" s="104"/>
      <c r="AD107" s="104"/>
      <c r="AE107" s="105"/>
      <c r="AH107" s="106"/>
      <c r="AI107" s="106"/>
      <c r="AK107" s="104"/>
      <c r="AR107" s="104"/>
      <c r="AV107" s="104"/>
      <c r="AX107" s="104"/>
      <c r="AY107" s="93"/>
      <c r="AZ107" s="93"/>
      <c r="BA107" s="93"/>
      <c r="BB107" s="93"/>
      <c r="BC107" s="93"/>
      <c r="BD107" s="93"/>
      <c r="BE107" s="93"/>
      <c r="BF107" s="93"/>
      <c r="BG107" s="93"/>
      <c r="BH107" s="93"/>
      <c r="BI107" s="93" t="s">
        <v>224</v>
      </c>
      <c r="BJ107" s="93" t="s">
        <v>615</v>
      </c>
      <c r="BK107" s="93">
        <v>0</v>
      </c>
      <c r="BL107" s="93" t="s">
        <v>612</v>
      </c>
      <c r="BM107" s="93">
        <v>4.4900000000000001E-3</v>
      </c>
      <c r="BN107" s="93">
        <v>4.4900000000000001E-3</v>
      </c>
      <c r="BO107" s="93" t="s">
        <v>241</v>
      </c>
      <c r="BP107" s="93">
        <v>448.58819999999997</v>
      </c>
      <c r="BQ107" s="93">
        <f t="shared" si="120"/>
        <v>0.44858819999999999</v>
      </c>
      <c r="BR107" s="93" t="s">
        <v>613</v>
      </c>
      <c r="BS107" s="93">
        <v>0.1</v>
      </c>
      <c r="BT107" s="93">
        <v>1</v>
      </c>
      <c r="BU107" s="93" t="s">
        <v>242</v>
      </c>
      <c r="BV107" s="93">
        <v>59.811799999999998</v>
      </c>
      <c r="BW107" s="93">
        <f t="shared" si="121"/>
        <v>5.9811799999999998E-2</v>
      </c>
      <c r="BX107" s="93" t="s">
        <v>614</v>
      </c>
      <c r="BY107" s="93">
        <v>1.4999999999999999E-2</v>
      </c>
      <c r="BZ107" s="93">
        <v>0.15</v>
      </c>
      <c r="CA107" s="93" t="s">
        <v>242</v>
      </c>
      <c r="CB107" s="187">
        <v>0</v>
      </c>
      <c r="CC107" s="187">
        <f t="shared" si="122"/>
        <v>0</v>
      </c>
      <c r="CD107" s="187" t="s">
        <v>613</v>
      </c>
      <c r="CE107" s="189">
        <v>0</v>
      </c>
      <c r="CF107" s="189">
        <v>0</v>
      </c>
      <c r="CG107" s="187" t="s">
        <v>242</v>
      </c>
      <c r="CH107" s="181">
        <v>0</v>
      </c>
      <c r="CI107" s="187">
        <f t="shared" si="123"/>
        <v>0</v>
      </c>
      <c r="CJ107" s="187" t="s">
        <v>614</v>
      </c>
      <c r="CK107" s="189">
        <v>0</v>
      </c>
      <c r="CL107" s="189">
        <v>0</v>
      </c>
      <c r="CM107" s="187" t="s">
        <v>242</v>
      </c>
      <c r="CN107" s="116"/>
      <c r="CO107" s="100">
        <v>0.15</v>
      </c>
      <c r="CP107" s="100">
        <f t="shared" si="124"/>
        <v>0.17499999999999999</v>
      </c>
      <c r="CQ107" s="100">
        <v>0.2</v>
      </c>
      <c r="CR107" s="101">
        <v>0.6</v>
      </c>
      <c r="CS107" s="101">
        <v>1</v>
      </c>
    </row>
    <row r="108" spans="1:97" s="101" customFormat="1" ht="16.5" hidden="1" customHeight="1" x14ac:dyDescent="0.3">
      <c r="A108" s="99"/>
      <c r="V108" s="103"/>
      <c r="AA108" s="104"/>
      <c r="AB108" s="104"/>
      <c r="AD108" s="104"/>
      <c r="AE108" s="105"/>
      <c r="AH108" s="106"/>
      <c r="AI108" s="106"/>
      <c r="AK108" s="104"/>
      <c r="AR108" s="104"/>
      <c r="AV108" s="104"/>
      <c r="AX108" s="104"/>
      <c r="AY108" s="93"/>
      <c r="AZ108" s="93"/>
      <c r="BA108" s="93"/>
      <c r="BB108" s="93"/>
      <c r="BC108" s="93"/>
      <c r="BD108" s="93"/>
      <c r="BE108" s="93"/>
      <c r="BF108" s="93"/>
      <c r="BG108" s="93"/>
      <c r="BH108" s="93"/>
      <c r="BI108" s="93" t="s">
        <v>225</v>
      </c>
      <c r="BJ108" s="93" t="s">
        <v>615</v>
      </c>
      <c r="BK108" s="93">
        <v>0</v>
      </c>
      <c r="BL108" s="93" t="s">
        <v>612</v>
      </c>
      <c r="BM108" s="93">
        <v>3.0299999999999997E-3</v>
      </c>
      <c r="BN108" s="93">
        <v>3.0299999999999997E-3</v>
      </c>
      <c r="BO108" s="93" t="s">
        <v>241</v>
      </c>
      <c r="BP108" s="93">
        <v>735.18640000000005</v>
      </c>
      <c r="BQ108" s="93">
        <f t="shared" si="120"/>
        <v>0.73518640000000002</v>
      </c>
      <c r="BR108" s="93" t="s">
        <v>613</v>
      </c>
      <c r="BS108" s="93">
        <v>0.1</v>
      </c>
      <c r="BT108" s="93">
        <v>1</v>
      </c>
      <c r="BU108" s="93" t="s">
        <v>242</v>
      </c>
      <c r="BV108" s="93">
        <v>98.024799999999999</v>
      </c>
      <c r="BW108" s="93">
        <f t="shared" si="121"/>
        <v>9.8024799999999995E-2</v>
      </c>
      <c r="BX108" s="93" t="s">
        <v>614</v>
      </c>
      <c r="BY108" s="93">
        <v>1.4999999999999999E-2</v>
      </c>
      <c r="BZ108" s="93">
        <v>0.15</v>
      </c>
      <c r="CA108" s="93" t="s">
        <v>242</v>
      </c>
      <c r="CB108" s="187">
        <v>0</v>
      </c>
      <c r="CC108" s="187">
        <f t="shared" si="122"/>
        <v>0</v>
      </c>
      <c r="CD108" s="187" t="s">
        <v>613</v>
      </c>
      <c r="CE108" s="189">
        <v>0</v>
      </c>
      <c r="CF108" s="189">
        <v>0</v>
      </c>
      <c r="CG108" s="187" t="s">
        <v>242</v>
      </c>
      <c r="CH108" s="181">
        <v>0</v>
      </c>
      <c r="CI108" s="187">
        <f t="shared" si="123"/>
        <v>0</v>
      </c>
      <c r="CJ108" s="187" t="s">
        <v>614</v>
      </c>
      <c r="CK108" s="189">
        <v>0</v>
      </c>
      <c r="CL108" s="189">
        <v>0</v>
      </c>
      <c r="CM108" s="187" t="s">
        <v>242</v>
      </c>
      <c r="CN108" s="116"/>
      <c r="CO108" s="100">
        <v>0.15</v>
      </c>
      <c r="CP108" s="100">
        <f t="shared" si="124"/>
        <v>0.17499999999999999</v>
      </c>
      <c r="CQ108" s="100">
        <v>0.2</v>
      </c>
      <c r="CR108" s="101">
        <v>0.6</v>
      </c>
      <c r="CS108" s="101">
        <v>1</v>
      </c>
    </row>
    <row r="109" spans="1:97" s="101" customFormat="1" ht="16.5" hidden="1" customHeight="1" x14ac:dyDescent="0.3">
      <c r="A109" s="99"/>
      <c r="V109" s="103"/>
      <c r="AA109" s="104"/>
      <c r="AB109" s="104"/>
      <c r="AD109" s="104"/>
      <c r="AE109" s="105"/>
      <c r="AH109" s="106"/>
      <c r="AI109" s="106"/>
      <c r="AK109" s="104"/>
      <c r="AR109" s="104"/>
      <c r="AV109" s="104"/>
      <c r="AX109" s="104"/>
      <c r="AY109" s="93"/>
      <c r="AZ109" s="93"/>
      <c r="BA109" s="93"/>
      <c r="BB109" s="93"/>
      <c r="BC109" s="93"/>
      <c r="BD109" s="93"/>
      <c r="BE109" s="93"/>
      <c r="BF109" s="93"/>
      <c r="BG109" s="93"/>
      <c r="BH109" s="93"/>
      <c r="BI109" s="93" t="s">
        <v>226</v>
      </c>
      <c r="BJ109" s="93" t="s">
        <v>615</v>
      </c>
      <c r="BK109" s="93">
        <v>0</v>
      </c>
      <c r="BL109" s="93" t="s">
        <v>612</v>
      </c>
      <c r="BM109" s="93">
        <v>3.7299999999999998E-3</v>
      </c>
      <c r="BN109" s="93">
        <v>3.7299999999999998E-3</v>
      </c>
      <c r="BO109" s="93" t="s">
        <v>241</v>
      </c>
      <c r="BP109" s="93">
        <v>537.77970000000005</v>
      </c>
      <c r="BQ109" s="93">
        <f t="shared" si="120"/>
        <v>0.53777970000000008</v>
      </c>
      <c r="BR109" s="93" t="s">
        <v>613</v>
      </c>
      <c r="BS109" s="93">
        <v>0.1</v>
      </c>
      <c r="BT109" s="93">
        <v>1</v>
      </c>
      <c r="BU109" s="93" t="s">
        <v>242</v>
      </c>
      <c r="BV109" s="93">
        <v>71.703999999999994</v>
      </c>
      <c r="BW109" s="93">
        <f t="shared" si="121"/>
        <v>7.170399999999999E-2</v>
      </c>
      <c r="BX109" s="93" t="s">
        <v>614</v>
      </c>
      <c r="BY109" s="93">
        <v>1.4999999999999999E-2</v>
      </c>
      <c r="BZ109" s="93">
        <v>0.15</v>
      </c>
      <c r="CA109" s="93" t="s">
        <v>242</v>
      </c>
      <c r="CB109" s="187">
        <v>0</v>
      </c>
      <c r="CC109" s="187">
        <f t="shared" si="122"/>
        <v>0</v>
      </c>
      <c r="CD109" s="187" t="s">
        <v>613</v>
      </c>
      <c r="CE109" s="189">
        <v>0</v>
      </c>
      <c r="CF109" s="189">
        <v>0</v>
      </c>
      <c r="CG109" s="187" t="s">
        <v>242</v>
      </c>
      <c r="CH109" s="181">
        <v>0</v>
      </c>
      <c r="CI109" s="187">
        <f t="shared" si="123"/>
        <v>0</v>
      </c>
      <c r="CJ109" s="187" t="s">
        <v>614</v>
      </c>
      <c r="CK109" s="189">
        <v>0</v>
      </c>
      <c r="CL109" s="189">
        <v>0</v>
      </c>
      <c r="CM109" s="187" t="s">
        <v>242</v>
      </c>
      <c r="CN109" s="116"/>
      <c r="CO109" s="100">
        <v>0.15</v>
      </c>
      <c r="CP109" s="100">
        <f t="shared" si="124"/>
        <v>0.17499999999999999</v>
      </c>
      <c r="CQ109" s="100">
        <v>0.2</v>
      </c>
      <c r="CR109" s="101">
        <v>0.6</v>
      </c>
      <c r="CS109" s="101">
        <v>1</v>
      </c>
    </row>
    <row r="110" spans="1:97" s="101" customFormat="1" ht="16.5" hidden="1" customHeight="1" x14ac:dyDescent="0.3">
      <c r="A110" s="99"/>
      <c r="V110" s="103"/>
      <c r="AA110" s="104"/>
      <c r="AB110" s="104"/>
      <c r="AD110" s="104"/>
      <c r="AE110" s="105"/>
      <c r="AH110" s="106"/>
      <c r="AI110" s="106"/>
      <c r="AK110" s="104"/>
      <c r="AR110" s="104"/>
      <c r="AV110" s="104"/>
      <c r="AX110" s="104"/>
      <c r="AY110" s="93"/>
      <c r="AZ110" s="93"/>
      <c r="BA110" s="93"/>
      <c r="BB110" s="93"/>
      <c r="BC110" s="93"/>
      <c r="BD110" s="93"/>
      <c r="BE110" s="93"/>
      <c r="BF110" s="93"/>
      <c r="BG110" s="93"/>
      <c r="BH110" s="93"/>
      <c r="BI110" s="93" t="s">
        <v>3</v>
      </c>
      <c r="BJ110" s="93" t="s">
        <v>615</v>
      </c>
      <c r="BK110" s="93">
        <v>0</v>
      </c>
      <c r="BL110" s="93" t="s">
        <v>612</v>
      </c>
      <c r="BM110" s="93">
        <v>4.4099999999999999E-3</v>
      </c>
      <c r="BN110" s="93">
        <v>4.4099999999999999E-3</v>
      </c>
      <c r="BO110" s="93" t="s">
        <v>241</v>
      </c>
      <c r="BP110" s="93">
        <v>509.80349999999999</v>
      </c>
      <c r="BQ110" s="93">
        <f t="shared" si="120"/>
        <v>0.50980349999999997</v>
      </c>
      <c r="BR110" s="93" t="s">
        <v>613</v>
      </c>
      <c r="BS110" s="93">
        <v>0.1</v>
      </c>
      <c r="BT110" s="93">
        <v>1</v>
      </c>
      <c r="BU110" s="93" t="s">
        <v>242</v>
      </c>
      <c r="BV110" s="93">
        <v>67.973799999999997</v>
      </c>
      <c r="BW110" s="93">
        <f t="shared" si="121"/>
        <v>6.7973800000000001E-2</v>
      </c>
      <c r="BX110" s="93" t="s">
        <v>614</v>
      </c>
      <c r="BY110" s="93">
        <v>1.4999999999999999E-2</v>
      </c>
      <c r="BZ110" s="93">
        <v>0.15</v>
      </c>
      <c r="CA110" s="93" t="s">
        <v>242</v>
      </c>
      <c r="CB110" s="187">
        <v>0</v>
      </c>
      <c r="CC110" s="187">
        <f t="shared" si="122"/>
        <v>0</v>
      </c>
      <c r="CD110" s="187" t="s">
        <v>613</v>
      </c>
      <c r="CE110" s="189">
        <v>0</v>
      </c>
      <c r="CF110" s="189">
        <v>0</v>
      </c>
      <c r="CG110" s="187" t="s">
        <v>242</v>
      </c>
      <c r="CH110" s="181">
        <v>0</v>
      </c>
      <c r="CI110" s="187">
        <f t="shared" si="123"/>
        <v>0</v>
      </c>
      <c r="CJ110" s="187" t="s">
        <v>614</v>
      </c>
      <c r="CK110" s="189">
        <v>0</v>
      </c>
      <c r="CL110" s="189">
        <v>0</v>
      </c>
      <c r="CM110" s="187" t="s">
        <v>242</v>
      </c>
      <c r="CN110" s="116"/>
      <c r="CO110" s="100">
        <v>0.15</v>
      </c>
      <c r="CP110" s="100">
        <f t="shared" si="124"/>
        <v>0.17499999999999999</v>
      </c>
      <c r="CQ110" s="100">
        <v>0.2</v>
      </c>
      <c r="CR110" s="101">
        <v>0.6</v>
      </c>
      <c r="CS110" s="101">
        <v>1</v>
      </c>
    </row>
    <row r="111" spans="1:97" s="101" customFormat="1" ht="16.5" hidden="1" customHeight="1" x14ac:dyDescent="0.3">
      <c r="A111" s="99"/>
      <c r="V111" s="103"/>
      <c r="AA111" s="104"/>
      <c r="AB111" s="104"/>
      <c r="AD111" s="104"/>
      <c r="AE111" s="105"/>
      <c r="AH111" s="106"/>
      <c r="AI111" s="106"/>
      <c r="AK111" s="104"/>
      <c r="AR111" s="104"/>
      <c r="AV111" s="104"/>
      <c r="AX111" s="104"/>
      <c r="AY111" s="93"/>
      <c r="AZ111" s="93"/>
      <c r="BA111" s="93"/>
      <c r="BB111" s="93"/>
      <c r="BC111" s="93"/>
      <c r="BD111" s="93"/>
      <c r="BE111" s="93"/>
      <c r="BF111" s="93"/>
      <c r="BG111" s="93"/>
      <c r="BH111" s="93"/>
      <c r="BI111" s="93" t="s">
        <v>227</v>
      </c>
      <c r="BJ111" s="93" t="s">
        <v>615</v>
      </c>
      <c r="BK111" s="93">
        <v>0</v>
      </c>
      <c r="BL111" s="93" t="s">
        <v>612</v>
      </c>
      <c r="BM111" s="93">
        <v>3.6800000000000001E-3</v>
      </c>
      <c r="BN111" s="93">
        <v>3.6800000000000001E-3</v>
      </c>
      <c r="BO111" s="93" t="s">
        <v>241</v>
      </c>
      <c r="BP111" s="93">
        <v>509.37279999999998</v>
      </c>
      <c r="BQ111" s="93">
        <f t="shared" si="120"/>
        <v>0.50937279999999996</v>
      </c>
      <c r="BR111" s="93" t="s">
        <v>613</v>
      </c>
      <c r="BS111" s="93">
        <v>0.1</v>
      </c>
      <c r="BT111" s="93">
        <v>1</v>
      </c>
      <c r="BU111" s="93" t="s">
        <v>242</v>
      </c>
      <c r="BV111" s="93">
        <v>67.916399999999996</v>
      </c>
      <c r="BW111" s="93">
        <f t="shared" si="121"/>
        <v>6.7916400000000002E-2</v>
      </c>
      <c r="BX111" s="93" t="s">
        <v>614</v>
      </c>
      <c r="BY111" s="93">
        <v>1.4999999999999999E-2</v>
      </c>
      <c r="BZ111" s="93">
        <v>0.15</v>
      </c>
      <c r="CA111" s="93" t="s">
        <v>242</v>
      </c>
      <c r="CB111" s="187">
        <v>0</v>
      </c>
      <c r="CC111" s="187">
        <f t="shared" si="122"/>
        <v>0</v>
      </c>
      <c r="CD111" s="187" t="s">
        <v>613</v>
      </c>
      <c r="CE111" s="189">
        <v>0</v>
      </c>
      <c r="CF111" s="189">
        <v>0</v>
      </c>
      <c r="CG111" s="187" t="s">
        <v>242</v>
      </c>
      <c r="CH111" s="181">
        <v>0</v>
      </c>
      <c r="CI111" s="187">
        <f t="shared" si="123"/>
        <v>0</v>
      </c>
      <c r="CJ111" s="187" t="s">
        <v>614</v>
      </c>
      <c r="CK111" s="189">
        <v>0</v>
      </c>
      <c r="CL111" s="189">
        <v>0</v>
      </c>
      <c r="CM111" s="187" t="s">
        <v>242</v>
      </c>
      <c r="CN111" s="116"/>
      <c r="CO111" s="100">
        <v>0.6</v>
      </c>
      <c r="CP111" s="100">
        <f t="shared" si="124"/>
        <v>0.8</v>
      </c>
      <c r="CQ111" s="100">
        <v>1</v>
      </c>
      <c r="CR111" s="101">
        <v>0.6</v>
      </c>
      <c r="CS111" s="101">
        <v>1</v>
      </c>
    </row>
    <row r="112" spans="1:97" s="101" customFormat="1" ht="16.5" hidden="1" customHeight="1" x14ac:dyDescent="0.3">
      <c r="A112" s="99"/>
      <c r="V112" s="103"/>
      <c r="AA112" s="104"/>
      <c r="AB112" s="104"/>
      <c r="AD112" s="104"/>
      <c r="AE112" s="105"/>
      <c r="AH112" s="106"/>
      <c r="AI112" s="106"/>
      <c r="AK112" s="104"/>
      <c r="AR112" s="104"/>
      <c r="AV112" s="104"/>
      <c r="AX112" s="104"/>
      <c r="AY112" s="93"/>
      <c r="AZ112" s="93"/>
      <c r="BA112" s="93"/>
      <c r="BB112" s="93"/>
      <c r="BC112" s="93"/>
      <c r="BD112" s="93"/>
      <c r="BE112" s="93"/>
      <c r="BF112" s="93"/>
      <c r="BG112" s="93"/>
      <c r="BH112" s="93"/>
      <c r="BI112" s="93" t="s">
        <v>228</v>
      </c>
      <c r="BJ112" s="93" t="s">
        <v>615</v>
      </c>
      <c r="BK112" s="93">
        <v>0</v>
      </c>
      <c r="BL112" s="93" t="s">
        <v>612</v>
      </c>
      <c r="BM112" s="93">
        <v>3.5899999999999999E-3</v>
      </c>
      <c r="BN112" s="93">
        <v>3.5899999999999999E-3</v>
      </c>
      <c r="BO112" s="93" t="s">
        <v>241</v>
      </c>
      <c r="BP112" s="93">
        <v>554.66999999999996</v>
      </c>
      <c r="BQ112" s="93">
        <f t="shared" si="120"/>
        <v>0.55467</v>
      </c>
      <c r="BR112" s="93" t="s">
        <v>613</v>
      </c>
      <c r="BS112" s="93">
        <v>0.1</v>
      </c>
      <c r="BT112" s="93">
        <v>1</v>
      </c>
      <c r="BU112" s="93" t="s">
        <v>242</v>
      </c>
      <c r="BV112" s="93">
        <v>73.956000000000003</v>
      </c>
      <c r="BW112" s="93">
        <f t="shared" si="121"/>
        <v>7.3956000000000008E-2</v>
      </c>
      <c r="BX112" s="93" t="s">
        <v>614</v>
      </c>
      <c r="BY112" s="93">
        <v>1.4999999999999999E-2</v>
      </c>
      <c r="BZ112" s="93">
        <v>0.15</v>
      </c>
      <c r="CA112" s="93" t="s">
        <v>242</v>
      </c>
      <c r="CB112" s="187">
        <v>0</v>
      </c>
      <c r="CC112" s="187">
        <f t="shared" si="122"/>
        <v>0</v>
      </c>
      <c r="CD112" s="187" t="s">
        <v>613</v>
      </c>
      <c r="CE112" s="189">
        <v>0</v>
      </c>
      <c r="CF112" s="189">
        <v>0</v>
      </c>
      <c r="CG112" s="187" t="s">
        <v>242</v>
      </c>
      <c r="CH112" s="181">
        <v>0</v>
      </c>
      <c r="CI112" s="187">
        <f t="shared" si="123"/>
        <v>0</v>
      </c>
      <c r="CJ112" s="187" t="s">
        <v>614</v>
      </c>
      <c r="CK112" s="189">
        <v>0</v>
      </c>
      <c r="CL112" s="189">
        <v>0</v>
      </c>
      <c r="CM112" s="187" t="s">
        <v>242</v>
      </c>
      <c r="CN112" s="116"/>
      <c r="CO112" s="100">
        <v>0.6</v>
      </c>
      <c r="CP112" s="100">
        <f t="shared" si="124"/>
        <v>0.8</v>
      </c>
      <c r="CQ112" s="100">
        <v>1</v>
      </c>
      <c r="CR112" s="101">
        <v>0.6</v>
      </c>
      <c r="CS112" s="101">
        <v>1</v>
      </c>
    </row>
    <row r="113" spans="1:97" s="101" customFormat="1" ht="16.5" hidden="1" customHeight="1" x14ac:dyDescent="0.3">
      <c r="A113" s="99"/>
      <c r="V113" s="103"/>
      <c r="AA113" s="104"/>
      <c r="AB113" s="104"/>
      <c r="AD113" s="104"/>
      <c r="AE113" s="105"/>
      <c r="AH113" s="106"/>
      <c r="AI113" s="106"/>
      <c r="AK113" s="104"/>
      <c r="AR113" s="104"/>
      <c r="AV113" s="104"/>
      <c r="AX113" s="104"/>
      <c r="AY113" s="93"/>
      <c r="AZ113" s="93"/>
      <c r="BA113" s="93"/>
      <c r="BB113" s="93"/>
      <c r="BC113" s="93"/>
      <c r="BD113" s="93"/>
      <c r="BE113" s="93"/>
      <c r="BF113" s="93"/>
      <c r="BG113" s="93"/>
      <c r="BH113" s="93"/>
      <c r="BI113" s="93" t="s">
        <v>229</v>
      </c>
      <c r="BJ113" s="93" t="s">
        <v>615</v>
      </c>
      <c r="BK113" s="93">
        <v>0</v>
      </c>
      <c r="BL113" s="93" t="s">
        <v>612</v>
      </c>
      <c r="BM113" s="93">
        <v>3.4999999999999996E-3</v>
      </c>
      <c r="BN113" s="93">
        <v>3.4999999999999996E-3</v>
      </c>
      <c r="BO113" s="93" t="s">
        <v>241</v>
      </c>
      <c r="BP113" s="93">
        <v>569.07000000000005</v>
      </c>
      <c r="BQ113" s="93">
        <f t="shared" si="120"/>
        <v>0.56907000000000008</v>
      </c>
      <c r="BR113" s="93" t="s">
        <v>613</v>
      </c>
      <c r="BS113" s="93">
        <v>0.1</v>
      </c>
      <c r="BT113" s="93">
        <v>1</v>
      </c>
      <c r="BU113" s="93" t="s">
        <v>242</v>
      </c>
      <c r="BV113" s="93">
        <v>75.876000000000005</v>
      </c>
      <c r="BW113" s="93">
        <f t="shared" si="121"/>
        <v>7.5875999999999999E-2</v>
      </c>
      <c r="BX113" s="93" t="s">
        <v>614</v>
      </c>
      <c r="BY113" s="93">
        <v>1.4999999999999999E-2</v>
      </c>
      <c r="BZ113" s="93">
        <v>0.15</v>
      </c>
      <c r="CA113" s="93" t="s">
        <v>242</v>
      </c>
      <c r="CB113" s="187">
        <v>0</v>
      </c>
      <c r="CC113" s="187">
        <f t="shared" si="122"/>
        <v>0</v>
      </c>
      <c r="CD113" s="187" t="s">
        <v>613</v>
      </c>
      <c r="CE113" s="189">
        <v>0</v>
      </c>
      <c r="CF113" s="189">
        <v>0</v>
      </c>
      <c r="CG113" s="187" t="s">
        <v>242</v>
      </c>
      <c r="CH113" s="181">
        <v>0</v>
      </c>
      <c r="CI113" s="187">
        <f t="shared" si="123"/>
        <v>0</v>
      </c>
      <c r="CJ113" s="187" t="s">
        <v>614</v>
      </c>
      <c r="CK113" s="189">
        <v>0</v>
      </c>
      <c r="CL113" s="189">
        <v>0</v>
      </c>
      <c r="CM113" s="187" t="s">
        <v>242</v>
      </c>
      <c r="CN113" s="116"/>
      <c r="CO113" s="100">
        <v>0.6</v>
      </c>
      <c r="CP113" s="100">
        <f t="shared" si="124"/>
        <v>0.8</v>
      </c>
      <c r="CQ113" s="100">
        <v>1</v>
      </c>
      <c r="CR113" s="101">
        <v>0.6</v>
      </c>
      <c r="CS113" s="101">
        <v>1</v>
      </c>
    </row>
    <row r="114" spans="1:97" s="101" customFormat="1" ht="16.5" hidden="1" customHeight="1" x14ac:dyDescent="0.3">
      <c r="A114" s="99"/>
      <c r="V114" s="103"/>
      <c r="AA114" s="104"/>
      <c r="AB114" s="104"/>
      <c r="AD114" s="104"/>
      <c r="AE114" s="105"/>
      <c r="AH114" s="106"/>
      <c r="AI114" s="106"/>
      <c r="AK114" s="104"/>
      <c r="AR114" s="104"/>
      <c r="AV114" s="104"/>
      <c r="AX114" s="104"/>
      <c r="AY114" s="93"/>
      <c r="AZ114" s="93"/>
      <c r="BA114" s="93"/>
      <c r="BB114" s="93"/>
      <c r="BC114" s="93"/>
      <c r="BD114" s="93"/>
      <c r="BE114" s="93"/>
      <c r="BF114" s="93"/>
      <c r="BG114" s="93"/>
      <c r="BH114" s="93"/>
      <c r="BI114" s="93" t="s">
        <v>230</v>
      </c>
      <c r="BJ114" s="93" t="s">
        <v>615</v>
      </c>
      <c r="BK114" s="93">
        <v>0</v>
      </c>
      <c r="BL114" s="93" t="s">
        <v>612</v>
      </c>
      <c r="BM114" s="93">
        <v>3.5899999999999999E-3</v>
      </c>
      <c r="BN114" s="93">
        <v>3.5899999999999999E-3</v>
      </c>
      <c r="BO114" s="93" t="s">
        <v>241</v>
      </c>
      <c r="BP114" s="93">
        <v>560.82000000000005</v>
      </c>
      <c r="BQ114" s="93">
        <f t="shared" si="120"/>
        <v>0.5608200000000001</v>
      </c>
      <c r="BR114" s="93" t="s">
        <v>613</v>
      </c>
      <c r="BS114" s="93">
        <v>0.1</v>
      </c>
      <c r="BT114" s="93">
        <v>1</v>
      </c>
      <c r="BU114" s="93" t="s">
        <v>242</v>
      </c>
      <c r="BV114" s="93">
        <v>74.775999999999996</v>
      </c>
      <c r="BW114" s="93">
        <f t="shared" si="121"/>
        <v>7.4775999999999995E-2</v>
      </c>
      <c r="BX114" s="93" t="s">
        <v>614</v>
      </c>
      <c r="BY114" s="93">
        <v>1.4999999999999999E-2</v>
      </c>
      <c r="BZ114" s="93">
        <v>0.15</v>
      </c>
      <c r="CA114" s="93" t="s">
        <v>242</v>
      </c>
      <c r="CB114" s="187">
        <v>0</v>
      </c>
      <c r="CC114" s="187">
        <f t="shared" si="122"/>
        <v>0</v>
      </c>
      <c r="CD114" s="187" t="s">
        <v>613</v>
      </c>
      <c r="CE114" s="189">
        <v>0</v>
      </c>
      <c r="CF114" s="189">
        <v>0</v>
      </c>
      <c r="CG114" s="187" t="s">
        <v>242</v>
      </c>
      <c r="CH114" s="181">
        <v>0</v>
      </c>
      <c r="CI114" s="187">
        <f t="shared" si="123"/>
        <v>0</v>
      </c>
      <c r="CJ114" s="187" t="s">
        <v>614</v>
      </c>
      <c r="CK114" s="189">
        <v>0</v>
      </c>
      <c r="CL114" s="189">
        <v>0</v>
      </c>
      <c r="CM114" s="187" t="s">
        <v>242</v>
      </c>
      <c r="CN114" s="116"/>
      <c r="CO114" s="100">
        <v>0.6</v>
      </c>
      <c r="CP114" s="100">
        <f t="shared" si="124"/>
        <v>0.8</v>
      </c>
      <c r="CQ114" s="100">
        <v>1</v>
      </c>
      <c r="CR114" s="101">
        <v>0.6</v>
      </c>
      <c r="CS114" s="101">
        <v>1</v>
      </c>
    </row>
    <row r="115" spans="1:97" s="101" customFormat="1" ht="16.5" hidden="1" customHeight="1" x14ac:dyDescent="0.3">
      <c r="A115" s="99"/>
      <c r="V115" s="103"/>
      <c r="AA115" s="104"/>
      <c r="AB115" s="104"/>
      <c r="AD115" s="104"/>
      <c r="AE115" s="105"/>
      <c r="AH115" s="106"/>
      <c r="AI115" s="106"/>
      <c r="AK115" s="104"/>
      <c r="AR115" s="104"/>
      <c r="AV115" s="104"/>
      <c r="AX115" s="104"/>
      <c r="AY115" s="93"/>
      <c r="AZ115" s="93"/>
      <c r="BA115" s="93"/>
      <c r="BB115" s="93"/>
      <c r="BC115" s="93"/>
      <c r="BD115" s="93"/>
      <c r="BE115" s="93"/>
      <c r="BF115" s="93"/>
      <c r="BG115" s="93"/>
      <c r="BH115" s="93"/>
      <c r="BI115" s="93" t="s">
        <v>231</v>
      </c>
      <c r="BJ115" s="93" t="s">
        <v>615</v>
      </c>
      <c r="BK115" s="93">
        <v>0</v>
      </c>
      <c r="BL115" s="93" t="s">
        <v>612</v>
      </c>
      <c r="BM115" s="93">
        <v>3.6099999999999999E-3</v>
      </c>
      <c r="BN115" s="93">
        <v>3.6099999999999999E-3</v>
      </c>
      <c r="BO115" s="93" t="s">
        <v>241</v>
      </c>
      <c r="BP115" s="93">
        <v>557.46</v>
      </c>
      <c r="BQ115" s="93">
        <f t="shared" si="120"/>
        <v>0.55746000000000007</v>
      </c>
      <c r="BR115" s="93" t="s">
        <v>613</v>
      </c>
      <c r="BS115" s="93">
        <v>0.1</v>
      </c>
      <c r="BT115" s="93">
        <v>1</v>
      </c>
      <c r="BU115" s="93" t="s">
        <v>242</v>
      </c>
      <c r="BV115" s="93">
        <v>74.328000000000003</v>
      </c>
      <c r="BW115" s="93">
        <f t="shared" si="121"/>
        <v>7.4328000000000005E-2</v>
      </c>
      <c r="BX115" s="93" t="s">
        <v>614</v>
      </c>
      <c r="BY115" s="93">
        <v>1.4999999999999999E-2</v>
      </c>
      <c r="BZ115" s="93">
        <v>0.15</v>
      </c>
      <c r="CA115" s="93" t="s">
        <v>242</v>
      </c>
      <c r="CB115" s="187">
        <v>0</v>
      </c>
      <c r="CC115" s="187">
        <f t="shared" si="122"/>
        <v>0</v>
      </c>
      <c r="CD115" s="187" t="s">
        <v>613</v>
      </c>
      <c r="CE115" s="189">
        <v>0</v>
      </c>
      <c r="CF115" s="189">
        <v>0</v>
      </c>
      <c r="CG115" s="187" t="s">
        <v>242</v>
      </c>
      <c r="CH115" s="181">
        <v>0</v>
      </c>
      <c r="CI115" s="187">
        <f t="shared" si="123"/>
        <v>0</v>
      </c>
      <c r="CJ115" s="187" t="s">
        <v>614</v>
      </c>
      <c r="CK115" s="189">
        <v>0</v>
      </c>
      <c r="CL115" s="189">
        <v>0</v>
      </c>
      <c r="CM115" s="187" t="s">
        <v>242</v>
      </c>
      <c r="CN115" s="116"/>
      <c r="CO115" s="100">
        <v>0.6</v>
      </c>
      <c r="CP115" s="100">
        <f t="shared" si="124"/>
        <v>0.8</v>
      </c>
      <c r="CQ115" s="100">
        <v>1</v>
      </c>
      <c r="CR115" s="101">
        <v>0.6</v>
      </c>
      <c r="CS115" s="101">
        <v>1</v>
      </c>
    </row>
    <row r="116" spans="1:97" s="101" customFormat="1" ht="16.5" hidden="1" customHeight="1" x14ac:dyDescent="0.3">
      <c r="A116" s="99"/>
      <c r="V116" s="103"/>
      <c r="AA116" s="104"/>
      <c r="AB116" s="104"/>
      <c r="AD116" s="104"/>
      <c r="AE116" s="105"/>
      <c r="AH116" s="106"/>
      <c r="AI116" s="106"/>
      <c r="AK116" s="104"/>
      <c r="AR116" s="104"/>
      <c r="AV116" s="104"/>
      <c r="AX116" s="104"/>
      <c r="AY116" s="93"/>
      <c r="AZ116" s="93"/>
      <c r="BA116" s="93"/>
      <c r="BB116" s="93"/>
      <c r="BC116" s="93"/>
      <c r="BD116" s="93"/>
      <c r="BE116" s="93"/>
      <c r="BF116" s="93"/>
      <c r="BG116" s="93"/>
      <c r="BH116" s="93"/>
      <c r="BI116" s="93" t="s">
        <v>372</v>
      </c>
      <c r="BJ116" s="93" t="s">
        <v>615</v>
      </c>
      <c r="BK116" s="93">
        <v>2941.7959999999998</v>
      </c>
      <c r="BL116" s="93" t="s">
        <v>612</v>
      </c>
      <c r="BM116" s="93">
        <v>2.2100000000000002E-3</v>
      </c>
      <c r="BN116" s="93">
        <v>2.2100000000000002E-3</v>
      </c>
      <c r="BO116" s="93" t="s">
        <v>241</v>
      </c>
      <c r="BP116" s="93">
        <v>1137.6222</v>
      </c>
      <c r="BQ116" s="93">
        <f t="shared" si="120"/>
        <v>1.1376222</v>
      </c>
      <c r="BR116" s="93" t="s">
        <v>613</v>
      </c>
      <c r="BS116" s="93">
        <v>3.0000000000000001E-3</v>
      </c>
      <c r="BT116" s="93">
        <v>0.03</v>
      </c>
      <c r="BU116" s="93" t="s">
        <v>242</v>
      </c>
      <c r="BV116" s="93">
        <v>3.7921</v>
      </c>
      <c r="BW116" s="93">
        <f t="shared" si="121"/>
        <v>3.7921000000000001E-3</v>
      </c>
      <c r="BX116" s="93" t="s">
        <v>614</v>
      </c>
      <c r="BY116" s="93">
        <v>3.0000000000000001E-3</v>
      </c>
      <c r="BZ116" s="93">
        <v>1.4999999999999999E-2</v>
      </c>
      <c r="CA116" s="93" t="s">
        <v>242</v>
      </c>
      <c r="CB116" s="187">
        <v>0</v>
      </c>
      <c r="CC116" s="187">
        <f t="shared" si="122"/>
        <v>0</v>
      </c>
      <c r="CD116" s="187" t="s">
        <v>613</v>
      </c>
      <c r="CE116" s="189">
        <v>0</v>
      </c>
      <c r="CF116" s="189">
        <v>0</v>
      </c>
      <c r="CG116" s="187" t="s">
        <v>242</v>
      </c>
      <c r="CH116" s="181">
        <v>0</v>
      </c>
      <c r="CI116" s="187">
        <f t="shared" si="123"/>
        <v>0</v>
      </c>
      <c r="CJ116" s="187" t="s">
        <v>614</v>
      </c>
      <c r="CK116" s="189">
        <v>0</v>
      </c>
      <c r="CL116" s="189">
        <v>0</v>
      </c>
      <c r="CM116" s="187" t="s">
        <v>242</v>
      </c>
      <c r="CN116" s="116"/>
      <c r="CO116" s="100">
        <v>0.6</v>
      </c>
      <c r="CP116" s="100">
        <f t="shared" si="124"/>
        <v>0.8</v>
      </c>
      <c r="CQ116" s="100">
        <v>1</v>
      </c>
      <c r="CR116" s="101">
        <v>0.15</v>
      </c>
      <c r="CS116" s="101">
        <v>0.2</v>
      </c>
    </row>
    <row r="117" spans="1:97" s="101" customFormat="1" ht="16.5" hidden="1" customHeight="1" x14ac:dyDescent="0.25">
      <c r="A117" s="99"/>
      <c r="V117" s="103"/>
      <c r="AA117" s="104"/>
      <c r="AB117" s="104"/>
      <c r="AD117" s="104"/>
      <c r="AE117" s="105"/>
      <c r="AH117" s="106"/>
      <c r="AI117" s="106"/>
      <c r="AK117" s="104"/>
      <c r="AR117" s="104"/>
      <c r="AV117" s="104"/>
      <c r="AX117" s="104"/>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180"/>
      <c r="CC117" s="192"/>
      <c r="CD117" s="192"/>
      <c r="CE117" s="180"/>
      <c r="CF117" s="180"/>
      <c r="CG117" s="180"/>
      <c r="CH117" s="180"/>
      <c r="CI117" s="192"/>
      <c r="CJ117" s="192"/>
      <c r="CK117" s="180"/>
      <c r="CL117" s="180"/>
      <c r="CM117" s="180"/>
      <c r="CN117" s="116"/>
      <c r="CO117" s="100">
        <v>0.6</v>
      </c>
      <c r="CP117" s="100">
        <f t="shared" si="124"/>
        <v>0.8</v>
      </c>
      <c r="CQ117" s="100">
        <v>1</v>
      </c>
    </row>
    <row r="118" spans="1:97" s="101" customFormat="1" ht="16.5" hidden="1" customHeight="1" x14ac:dyDescent="0.25">
      <c r="A118" s="99"/>
      <c r="V118" s="103"/>
      <c r="AA118" s="104"/>
      <c r="AB118" s="104"/>
      <c r="AD118" s="104"/>
      <c r="AE118" s="105"/>
      <c r="AH118" s="106"/>
      <c r="AI118" s="106"/>
      <c r="AK118" s="104"/>
      <c r="AR118" s="104"/>
      <c r="AV118" s="104"/>
      <c r="AX118" s="104"/>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180"/>
      <c r="CC118" s="192"/>
      <c r="CD118" s="192"/>
      <c r="CE118" s="180"/>
      <c r="CF118" s="180"/>
      <c r="CG118" s="180"/>
      <c r="CH118" s="180"/>
      <c r="CI118" s="192"/>
      <c r="CJ118" s="192"/>
      <c r="CK118" s="180"/>
      <c r="CL118" s="180"/>
      <c r="CM118" s="180"/>
      <c r="CN118" s="116"/>
      <c r="CO118" s="100">
        <v>0.6</v>
      </c>
      <c r="CP118" s="100">
        <f t="shared" si="124"/>
        <v>0.8</v>
      </c>
      <c r="CQ118" s="100">
        <v>1</v>
      </c>
    </row>
    <row r="119" spans="1:97" s="101" customFormat="1" ht="26.25" hidden="1" customHeight="1" x14ac:dyDescent="0.25">
      <c r="A119" s="99"/>
      <c r="V119" s="103"/>
      <c r="AA119" s="104"/>
      <c r="AB119" s="104"/>
      <c r="AD119" s="104"/>
      <c r="AE119" s="105"/>
      <c r="AH119" s="106"/>
      <c r="AI119" s="106"/>
      <c r="AK119" s="104"/>
      <c r="AR119" s="104"/>
      <c r="AV119" s="104"/>
      <c r="AX119" s="104"/>
      <c r="AY119" s="93"/>
      <c r="AZ119" s="93"/>
      <c r="BA119" s="93"/>
      <c r="BB119" s="93"/>
      <c r="BC119" s="93"/>
      <c r="BD119" s="93"/>
      <c r="BE119" s="93"/>
      <c r="BF119" s="93"/>
      <c r="BG119" s="93"/>
      <c r="BH119" s="93"/>
      <c r="BI119" s="93" t="s">
        <v>232</v>
      </c>
      <c r="BJ119" s="93"/>
      <c r="BK119" s="93" t="s">
        <v>267</v>
      </c>
      <c r="BL119" s="93"/>
      <c r="BM119" s="93" t="s">
        <v>233</v>
      </c>
      <c r="BN119" s="93" t="s">
        <v>233</v>
      </c>
      <c r="BO119" s="93" t="s">
        <v>240</v>
      </c>
      <c r="BP119" s="93" t="s">
        <v>172</v>
      </c>
      <c r="BQ119" s="93"/>
      <c r="BR119" s="93"/>
      <c r="BS119" s="93"/>
      <c r="BT119" s="93"/>
      <c r="BU119" s="93"/>
      <c r="BV119" s="93"/>
      <c r="BW119" s="93"/>
      <c r="BX119" s="93"/>
      <c r="BY119" s="93"/>
      <c r="BZ119" s="93"/>
      <c r="CA119" s="93"/>
      <c r="CB119" s="1608" t="s">
        <v>173</v>
      </c>
      <c r="CC119" s="1609"/>
      <c r="CD119" s="1609"/>
      <c r="CE119" s="1609"/>
      <c r="CF119" s="1609"/>
      <c r="CG119" s="1609"/>
      <c r="CH119" s="1609"/>
      <c r="CI119" s="1609"/>
      <c r="CJ119" s="1609"/>
      <c r="CK119" s="1609"/>
      <c r="CL119" s="1609"/>
      <c r="CM119" s="1610"/>
      <c r="CN119" s="116"/>
      <c r="CO119" s="100">
        <v>0.6</v>
      </c>
      <c r="CP119" s="100">
        <f t="shared" si="124"/>
        <v>0.8</v>
      </c>
      <c r="CQ119" s="100">
        <v>1</v>
      </c>
    </row>
    <row r="120" spans="1:97" s="101" customFormat="1" ht="58.5" hidden="1" customHeight="1" x14ac:dyDescent="0.25">
      <c r="A120" s="99"/>
      <c r="V120" s="103"/>
      <c r="AA120" s="104"/>
      <c r="AB120" s="104"/>
      <c r="AD120" s="104"/>
      <c r="AE120" s="105"/>
      <c r="AH120" s="106"/>
      <c r="AI120" s="106"/>
      <c r="AK120" s="104"/>
      <c r="AR120" s="104"/>
      <c r="AV120" s="104"/>
      <c r="AX120" s="104"/>
      <c r="AY120" s="93"/>
      <c r="AZ120" s="93"/>
      <c r="BA120" s="93"/>
      <c r="BB120" s="93"/>
      <c r="BC120" s="93"/>
      <c r="BD120" s="93"/>
      <c r="BE120" s="93"/>
      <c r="BF120" s="93"/>
      <c r="BG120" s="93"/>
      <c r="BH120" s="93"/>
      <c r="BI120" s="93"/>
      <c r="BJ120" s="93" t="s">
        <v>253</v>
      </c>
      <c r="BK120" s="93"/>
      <c r="BL120" s="93" t="s">
        <v>251</v>
      </c>
      <c r="BM120" s="93"/>
      <c r="BN120" s="93"/>
      <c r="BO120" s="93"/>
      <c r="BP120" s="93" t="s">
        <v>268</v>
      </c>
      <c r="BQ120" s="93" t="s">
        <v>269</v>
      </c>
      <c r="BR120" s="93" t="s">
        <v>251</v>
      </c>
      <c r="BS120" s="93" t="s">
        <v>233</v>
      </c>
      <c r="BT120" s="93" t="s">
        <v>233</v>
      </c>
      <c r="BU120" s="93" t="s">
        <v>240</v>
      </c>
      <c r="BV120" s="93" t="s">
        <v>270</v>
      </c>
      <c r="BW120" s="93" t="s">
        <v>271</v>
      </c>
      <c r="BX120" s="93" t="s">
        <v>251</v>
      </c>
      <c r="BY120" s="93" t="s">
        <v>233</v>
      </c>
      <c r="BZ120" s="93" t="s">
        <v>233</v>
      </c>
      <c r="CA120" s="93" t="s">
        <v>240</v>
      </c>
      <c r="CB120" s="185" t="s">
        <v>268</v>
      </c>
      <c r="CC120" s="185" t="s">
        <v>269</v>
      </c>
      <c r="CD120" s="252" t="s">
        <v>251</v>
      </c>
      <c r="CE120" s="185" t="s">
        <v>233</v>
      </c>
      <c r="CF120" s="185" t="s">
        <v>233</v>
      </c>
      <c r="CG120" s="185" t="s">
        <v>240</v>
      </c>
      <c r="CH120" s="185" t="s">
        <v>270</v>
      </c>
      <c r="CI120" s="185" t="s">
        <v>271</v>
      </c>
      <c r="CJ120" s="252" t="s">
        <v>251</v>
      </c>
      <c r="CK120" s="185" t="s">
        <v>233</v>
      </c>
      <c r="CL120" s="185" t="s">
        <v>233</v>
      </c>
      <c r="CM120" s="185" t="s">
        <v>240</v>
      </c>
      <c r="CN120" s="116"/>
      <c r="CO120" s="100">
        <v>0.6</v>
      </c>
      <c r="CP120" s="100">
        <f t="shared" si="124"/>
        <v>0.8</v>
      </c>
      <c r="CQ120" s="100">
        <v>1</v>
      </c>
    </row>
    <row r="121" spans="1:97" s="101" customFormat="1" ht="16.5" hidden="1" customHeight="1" x14ac:dyDescent="0.3">
      <c r="A121" s="99"/>
      <c r="V121" s="103"/>
      <c r="AA121" s="104"/>
      <c r="AB121" s="104"/>
      <c r="AD121" s="148"/>
      <c r="AE121" s="105"/>
      <c r="AH121" s="106"/>
      <c r="AI121" s="106"/>
      <c r="AK121" s="148"/>
      <c r="AR121" s="148"/>
      <c r="AV121" s="104"/>
      <c r="AX121" s="148"/>
      <c r="AY121" s="93"/>
      <c r="AZ121" s="93"/>
      <c r="BA121" s="93"/>
      <c r="BB121" s="93"/>
      <c r="BC121" s="93"/>
      <c r="BD121" s="93"/>
      <c r="BE121" s="93"/>
      <c r="BF121" s="93"/>
      <c r="BG121" s="93"/>
      <c r="BH121" s="93"/>
      <c r="BI121" s="93" t="s">
        <v>563</v>
      </c>
      <c r="BJ121" s="93" t="s">
        <v>252</v>
      </c>
      <c r="BK121" s="93">
        <v>10.148999999999999</v>
      </c>
      <c r="BL121" s="93" t="s">
        <v>405</v>
      </c>
      <c r="BM121" s="93">
        <v>2.0499999999999997E-3</v>
      </c>
      <c r="BN121" s="93">
        <v>2.0499999999999997E-3</v>
      </c>
      <c r="BO121" s="93" t="s">
        <v>241</v>
      </c>
      <c r="BP121" s="93">
        <v>0.01</v>
      </c>
      <c r="BQ121" s="93">
        <f>BP121/1000</f>
        <v>1.0000000000000001E-5</v>
      </c>
      <c r="BR121" s="93" t="s">
        <v>406</v>
      </c>
      <c r="BS121" s="93">
        <v>0.01</v>
      </c>
      <c r="BT121" s="93">
        <v>0.1</v>
      </c>
      <c r="BU121" s="93" t="s">
        <v>242</v>
      </c>
      <c r="BV121" s="93">
        <v>6.0000000000000001E-3</v>
      </c>
      <c r="BW121" s="93">
        <f>BV121/1000</f>
        <v>6.0000000000000002E-6</v>
      </c>
      <c r="BX121" s="93" t="s">
        <v>407</v>
      </c>
      <c r="BY121" s="93">
        <v>2E-3</v>
      </c>
      <c r="BZ121" s="93">
        <v>0.02</v>
      </c>
      <c r="CA121" s="93" t="s">
        <v>242</v>
      </c>
      <c r="CB121" s="181">
        <v>3.6999999999999998E-2</v>
      </c>
      <c r="CC121" s="191">
        <f>CB121/1000</f>
        <v>3.6999999999999998E-5</v>
      </c>
      <c r="CD121" s="187" t="s">
        <v>406</v>
      </c>
      <c r="CE121" s="189">
        <v>1.6E-2</v>
      </c>
      <c r="CF121" s="189">
        <v>9.5000000000000001E-2</v>
      </c>
      <c r="CG121" s="187" t="s">
        <v>242</v>
      </c>
      <c r="CH121" s="181">
        <v>3.6999999999999998E-2</v>
      </c>
      <c r="CI121" s="191">
        <f>CH121/1000</f>
        <v>3.6999999999999998E-5</v>
      </c>
      <c r="CJ121" s="187" t="s">
        <v>407</v>
      </c>
      <c r="CK121" s="189">
        <v>1.2999999999999999E-2</v>
      </c>
      <c r="CL121" s="189">
        <v>0.12</v>
      </c>
      <c r="CM121" s="187" t="s">
        <v>242</v>
      </c>
      <c r="CN121" s="116"/>
      <c r="CO121" s="100">
        <v>0.6</v>
      </c>
      <c r="CP121" s="100">
        <f t="shared" si="124"/>
        <v>0.8</v>
      </c>
      <c r="CQ121" s="100">
        <v>1</v>
      </c>
      <c r="CR121" s="101">
        <v>0.15</v>
      </c>
      <c r="CS121" s="101">
        <v>0.2</v>
      </c>
    </row>
    <row r="122" spans="1:97" s="101" customFormat="1" ht="16.5" hidden="1" customHeight="1" x14ac:dyDescent="0.3">
      <c r="A122" s="99"/>
      <c r="V122" s="103"/>
      <c r="AA122" s="104"/>
      <c r="AB122" s="104"/>
      <c r="AD122" s="148"/>
      <c r="AE122" s="105"/>
      <c r="AH122" s="106"/>
      <c r="AI122" s="106"/>
      <c r="AK122" s="148"/>
      <c r="AR122" s="148"/>
      <c r="AV122" s="104"/>
      <c r="AX122" s="148"/>
      <c r="AY122" s="93"/>
      <c r="AZ122" s="93"/>
      <c r="BA122" s="93"/>
      <c r="BB122" s="93"/>
      <c r="BC122" s="93"/>
      <c r="BD122" s="93"/>
      <c r="BE122" s="93"/>
      <c r="BF122" s="93"/>
      <c r="BG122" s="93"/>
      <c r="BH122" s="93"/>
      <c r="BI122" s="93" t="s">
        <v>367</v>
      </c>
      <c r="BJ122" s="93" t="s">
        <v>252</v>
      </c>
      <c r="BK122" s="93">
        <v>8.8085000000000004</v>
      </c>
      <c r="BL122" s="93" t="s">
        <v>405</v>
      </c>
      <c r="BM122" s="93">
        <v>2.0300000000000001E-3</v>
      </c>
      <c r="BN122" s="93">
        <v>2.0300000000000001E-3</v>
      </c>
      <c r="BO122" s="93" t="s">
        <v>241</v>
      </c>
      <c r="BP122" s="93">
        <v>2.6599999999999999E-2</v>
      </c>
      <c r="BQ122" s="93">
        <f>BP122/1000</f>
        <v>2.6599999999999999E-5</v>
      </c>
      <c r="BR122" s="93" t="s">
        <v>406</v>
      </c>
      <c r="BS122" s="93">
        <v>0.01</v>
      </c>
      <c r="BT122" s="93">
        <v>0.1</v>
      </c>
      <c r="BU122" s="93" t="s">
        <v>242</v>
      </c>
      <c r="BV122" s="93">
        <v>5.3E-3</v>
      </c>
      <c r="BW122" s="93">
        <f>BV122/1000</f>
        <v>5.3000000000000001E-6</v>
      </c>
      <c r="BX122" s="93" t="s">
        <v>407</v>
      </c>
      <c r="BY122" s="93">
        <v>2E-3</v>
      </c>
      <c r="BZ122" s="93">
        <v>0.02</v>
      </c>
      <c r="CA122" s="93" t="s">
        <v>242</v>
      </c>
      <c r="CB122" s="181">
        <v>0.29260000000000003</v>
      </c>
      <c r="CC122" s="191">
        <f>CB122/1000</f>
        <v>2.9260000000000001E-4</v>
      </c>
      <c r="CD122" s="187" t="s">
        <v>406</v>
      </c>
      <c r="CE122" s="189">
        <v>9.6000000000000002E-2</v>
      </c>
      <c r="CF122" s="189">
        <v>1.1000000000000001</v>
      </c>
      <c r="CG122" s="187" t="s">
        <v>242</v>
      </c>
      <c r="CH122" s="181">
        <v>2.8400000000000002E-2</v>
      </c>
      <c r="CI122" s="191">
        <f>CH122/1000</f>
        <v>2.8400000000000003E-5</v>
      </c>
      <c r="CJ122" s="187" t="s">
        <v>407</v>
      </c>
      <c r="CK122" s="189">
        <v>9.5999999999999992E-3</v>
      </c>
      <c r="CL122" s="189">
        <v>0.11</v>
      </c>
      <c r="CM122" s="187" t="s">
        <v>242</v>
      </c>
      <c r="CN122" s="116"/>
      <c r="CO122" s="100">
        <v>0.6</v>
      </c>
      <c r="CP122" s="100">
        <f t="shared" si="124"/>
        <v>0.8</v>
      </c>
      <c r="CQ122" s="100">
        <v>1</v>
      </c>
      <c r="CR122" s="101">
        <v>0.15</v>
      </c>
      <c r="CS122" s="101">
        <v>0.2</v>
      </c>
    </row>
    <row r="123" spans="1:97" s="101" customFormat="1" ht="16.5" hidden="1" customHeight="1" x14ac:dyDescent="0.3">
      <c r="A123" s="99"/>
      <c r="V123" s="103"/>
      <c r="AA123" s="104"/>
      <c r="AB123" s="104"/>
      <c r="AD123" s="104"/>
      <c r="AE123" s="105"/>
      <c r="AH123" s="106"/>
      <c r="AI123" s="106"/>
      <c r="AK123" s="104"/>
      <c r="AR123" s="104"/>
      <c r="AV123" s="104"/>
      <c r="AX123" s="104"/>
      <c r="AY123" s="93"/>
      <c r="AZ123" s="93"/>
      <c r="BA123" s="93"/>
      <c r="BB123" s="93"/>
      <c r="BC123" s="93"/>
      <c r="BD123" s="93"/>
      <c r="BE123" s="93"/>
      <c r="BF123" s="93"/>
      <c r="BG123" s="93"/>
      <c r="BH123" s="93"/>
      <c r="BI123" s="93" t="s">
        <v>234</v>
      </c>
      <c r="BJ123" s="93" t="s">
        <v>252</v>
      </c>
      <c r="BK123" s="93">
        <v>9.6232000000000006</v>
      </c>
      <c r="BL123" s="93" t="s">
        <v>405</v>
      </c>
      <c r="BM123" s="93">
        <v>2.0399999999999997E-3</v>
      </c>
      <c r="BN123" s="93">
        <v>2.0399999999999997E-3</v>
      </c>
      <c r="BO123" s="93" t="s">
        <v>241</v>
      </c>
      <c r="BP123" s="93">
        <v>2.7199999999999998E-2</v>
      </c>
      <c r="BQ123" s="93">
        <f>BP123/1000</f>
        <v>2.7199999999999997E-5</v>
      </c>
      <c r="BR123" s="93" t="s">
        <v>406</v>
      </c>
      <c r="BS123" s="93">
        <v>0.01</v>
      </c>
      <c r="BT123" s="93">
        <v>0.1</v>
      </c>
      <c r="BU123" s="93" t="s">
        <v>242</v>
      </c>
      <c r="BV123" s="93">
        <v>5.4000000000000003E-3</v>
      </c>
      <c r="BW123" s="93">
        <f>BV123/1000</f>
        <v>5.4E-6</v>
      </c>
      <c r="BX123" s="93" t="s">
        <v>407</v>
      </c>
      <c r="BY123" s="93">
        <v>2E-3</v>
      </c>
      <c r="BZ123" s="93">
        <v>0.02</v>
      </c>
      <c r="CA123" s="93" t="s">
        <v>242</v>
      </c>
      <c r="CB123" s="193">
        <v>0</v>
      </c>
      <c r="CC123" s="193">
        <f>CB123/1000</f>
        <v>0</v>
      </c>
      <c r="CD123" s="187" t="s">
        <v>406</v>
      </c>
      <c r="CE123" s="189">
        <v>0</v>
      </c>
      <c r="CF123" s="189">
        <v>0</v>
      </c>
      <c r="CG123" s="187" t="s">
        <v>242</v>
      </c>
      <c r="CH123" s="194">
        <v>0</v>
      </c>
      <c r="CI123" s="193">
        <f>CH123/1000</f>
        <v>0</v>
      </c>
      <c r="CJ123" s="187" t="s">
        <v>407</v>
      </c>
      <c r="CK123" s="189">
        <v>0</v>
      </c>
      <c r="CL123" s="189">
        <v>0</v>
      </c>
      <c r="CM123" s="187" t="s">
        <v>242</v>
      </c>
      <c r="CN123" s="116"/>
      <c r="CO123" s="100">
        <v>0.6</v>
      </c>
      <c r="CP123" s="100">
        <f t="shared" si="124"/>
        <v>0.8</v>
      </c>
      <c r="CQ123" s="100">
        <v>1</v>
      </c>
      <c r="CR123" s="101">
        <v>0.15</v>
      </c>
      <c r="CS123" s="101">
        <v>0.2</v>
      </c>
    </row>
    <row r="124" spans="1:97" s="101" customFormat="1" ht="16.5" hidden="1" customHeight="1" x14ac:dyDescent="0.3">
      <c r="A124" s="99"/>
      <c r="V124" s="103"/>
      <c r="AA124" s="104"/>
      <c r="AB124" s="104"/>
      <c r="AD124" s="148"/>
      <c r="AE124" s="105"/>
      <c r="AH124" s="106"/>
      <c r="AI124" s="106"/>
      <c r="AK124" s="148"/>
      <c r="AR124" s="148"/>
      <c r="AV124" s="104"/>
      <c r="AX124" s="148"/>
      <c r="AY124" s="93"/>
      <c r="AZ124" s="93"/>
      <c r="BA124" s="93"/>
      <c r="BB124" s="93"/>
      <c r="BC124" s="93"/>
      <c r="BD124" s="93"/>
      <c r="BE124" s="93"/>
      <c r="BF124" s="93"/>
      <c r="BG124" s="93"/>
      <c r="BH124" s="93"/>
      <c r="BI124" s="93" t="s">
        <v>123</v>
      </c>
      <c r="BJ124" s="93" t="s">
        <v>252</v>
      </c>
      <c r="BK124" s="93">
        <v>11.624599999999999</v>
      </c>
      <c r="BL124" s="93" t="s">
        <v>405</v>
      </c>
      <c r="BM124" s="93">
        <v>2.0699999999999998E-3</v>
      </c>
      <c r="BN124" s="93">
        <v>2.0699999999999998E-3</v>
      </c>
      <c r="BO124" s="93" t="s">
        <v>241</v>
      </c>
      <c r="BP124" s="93">
        <v>3.0200000000000001E-2</v>
      </c>
      <c r="BQ124" s="93">
        <f t="shared" ref="BQ124:BQ133" si="125">BP124/1000</f>
        <v>3.0200000000000002E-5</v>
      </c>
      <c r="BR124" s="93" t="s">
        <v>406</v>
      </c>
      <c r="BS124" s="93">
        <v>0.01</v>
      </c>
      <c r="BT124" s="93">
        <v>0.1</v>
      </c>
      <c r="BU124" s="93" t="s">
        <v>242</v>
      </c>
      <c r="BV124" s="93">
        <v>6.0000000000000001E-3</v>
      </c>
      <c r="BW124" s="93">
        <f t="shared" ref="BW124:BW133" si="126">BV124/1000</f>
        <v>6.0000000000000002E-6</v>
      </c>
      <c r="BX124" s="93" t="s">
        <v>407</v>
      </c>
      <c r="BY124" s="93">
        <v>2E-3</v>
      </c>
      <c r="BZ124" s="93">
        <v>0.02</v>
      </c>
      <c r="CA124" s="93" t="s">
        <v>242</v>
      </c>
      <c r="CB124" s="194">
        <v>0</v>
      </c>
      <c r="CC124" s="193">
        <f t="shared" ref="CC124:CC133" si="127">CB124/1000</f>
        <v>0</v>
      </c>
      <c r="CD124" s="187" t="s">
        <v>406</v>
      </c>
      <c r="CE124" s="189">
        <v>0</v>
      </c>
      <c r="CF124" s="189">
        <v>0</v>
      </c>
      <c r="CG124" s="187" t="s">
        <v>242</v>
      </c>
      <c r="CH124" s="194">
        <v>0</v>
      </c>
      <c r="CI124" s="193">
        <f t="shared" ref="CI124:CI133" si="128">CH124/1000</f>
        <v>0</v>
      </c>
      <c r="CJ124" s="187" t="s">
        <v>407</v>
      </c>
      <c r="CK124" s="189">
        <v>0</v>
      </c>
      <c r="CL124" s="189">
        <v>0</v>
      </c>
      <c r="CM124" s="187" t="s">
        <v>242</v>
      </c>
      <c r="CN124" s="116"/>
      <c r="CO124" s="100">
        <v>0.15</v>
      </c>
      <c r="CP124" s="100">
        <f t="shared" si="124"/>
        <v>0.17499999999999999</v>
      </c>
      <c r="CQ124" s="100">
        <v>0.2</v>
      </c>
      <c r="CR124" s="101">
        <v>0.15</v>
      </c>
      <c r="CS124" s="101">
        <v>0.2</v>
      </c>
    </row>
    <row r="125" spans="1:97" s="101" customFormat="1" ht="16.5" hidden="1" customHeight="1" x14ac:dyDescent="0.3">
      <c r="A125" s="99"/>
      <c r="V125" s="103"/>
      <c r="AA125" s="104"/>
      <c r="AB125" s="104"/>
      <c r="AD125" s="148"/>
      <c r="AE125" s="105"/>
      <c r="AH125" s="106"/>
      <c r="AI125" s="106"/>
      <c r="AK125" s="148"/>
      <c r="AR125" s="148"/>
      <c r="AV125" s="104"/>
      <c r="AX125" s="148"/>
      <c r="AY125" s="93"/>
      <c r="AZ125" s="93"/>
      <c r="BA125" s="93"/>
      <c r="BB125" s="93"/>
      <c r="BC125" s="93"/>
      <c r="BD125" s="93"/>
      <c r="BE125" s="93"/>
      <c r="BF125" s="93"/>
      <c r="BG125" s="93"/>
      <c r="BH125" s="93"/>
      <c r="BI125" s="93" t="s">
        <v>0</v>
      </c>
      <c r="BJ125" s="93" t="s">
        <v>252</v>
      </c>
      <c r="BK125" s="93">
        <v>11.2818</v>
      </c>
      <c r="BL125" s="93" t="s">
        <v>405</v>
      </c>
      <c r="BM125" s="93">
        <v>2.0599999999999998E-3</v>
      </c>
      <c r="BN125" s="93">
        <v>2.0599999999999998E-3</v>
      </c>
      <c r="BO125" s="93" t="s">
        <v>241</v>
      </c>
      <c r="BP125" s="93">
        <v>3.0300000000000001E-2</v>
      </c>
      <c r="BQ125" s="93">
        <f t="shared" si="125"/>
        <v>3.0300000000000001E-5</v>
      </c>
      <c r="BR125" s="93" t="s">
        <v>406</v>
      </c>
      <c r="BS125" s="93">
        <v>0.01</v>
      </c>
      <c r="BT125" s="93">
        <v>0.1</v>
      </c>
      <c r="BU125" s="93" t="s">
        <v>242</v>
      </c>
      <c r="BV125" s="93">
        <v>6.1000000000000004E-3</v>
      </c>
      <c r="BW125" s="93">
        <f t="shared" si="126"/>
        <v>6.1E-6</v>
      </c>
      <c r="BX125" s="93" t="s">
        <v>407</v>
      </c>
      <c r="BY125" s="93">
        <v>2E-3</v>
      </c>
      <c r="BZ125" s="93">
        <v>0.02</v>
      </c>
      <c r="CA125" s="93" t="s">
        <v>242</v>
      </c>
      <c r="CB125" s="194">
        <v>0</v>
      </c>
      <c r="CC125" s="193">
        <f t="shared" si="127"/>
        <v>0</v>
      </c>
      <c r="CD125" s="187" t="s">
        <v>406</v>
      </c>
      <c r="CE125" s="189">
        <v>0</v>
      </c>
      <c r="CF125" s="189">
        <v>0</v>
      </c>
      <c r="CG125" s="187" t="s">
        <v>242</v>
      </c>
      <c r="CH125" s="194">
        <v>0</v>
      </c>
      <c r="CI125" s="193">
        <f t="shared" si="128"/>
        <v>0</v>
      </c>
      <c r="CJ125" s="187" t="s">
        <v>407</v>
      </c>
      <c r="CK125" s="189">
        <v>0</v>
      </c>
      <c r="CL125" s="189">
        <v>0</v>
      </c>
      <c r="CM125" s="187" t="s">
        <v>242</v>
      </c>
      <c r="CN125" s="116"/>
      <c r="CO125" s="100"/>
      <c r="CP125" s="100"/>
      <c r="CQ125" s="100"/>
      <c r="CR125" s="101">
        <v>0.15</v>
      </c>
      <c r="CS125" s="101">
        <v>0.2</v>
      </c>
    </row>
    <row r="126" spans="1:97" s="101" customFormat="1" ht="16.5" hidden="1" customHeight="1" x14ac:dyDescent="0.3">
      <c r="A126" s="99"/>
      <c r="V126" s="103"/>
      <c r="AA126" s="104"/>
      <c r="AB126" s="104"/>
      <c r="AD126" s="148"/>
      <c r="AE126" s="105"/>
      <c r="AH126" s="106"/>
      <c r="AI126" s="106"/>
      <c r="AK126" s="148"/>
      <c r="AR126" s="148"/>
      <c r="AV126" s="104"/>
      <c r="AX126" s="148"/>
      <c r="AY126" s="93"/>
      <c r="AZ126" s="93"/>
      <c r="BA126" s="93"/>
      <c r="BB126" s="93"/>
      <c r="BC126" s="93"/>
      <c r="BD126" s="93"/>
      <c r="BE126" s="93"/>
      <c r="BF126" s="93"/>
      <c r="BG126" s="93"/>
      <c r="BH126" s="93"/>
      <c r="BI126" s="93" t="s">
        <v>235</v>
      </c>
      <c r="BJ126" s="93" t="s">
        <v>252</v>
      </c>
      <c r="BK126" s="93">
        <v>6.3869999999999996</v>
      </c>
      <c r="BL126" s="93" t="s">
        <v>405</v>
      </c>
      <c r="BM126" s="93">
        <v>2.5600000000000002E-3</v>
      </c>
      <c r="BN126" s="93">
        <v>2.5600000000000002E-3</v>
      </c>
      <c r="BO126" s="93" t="s">
        <v>241</v>
      </c>
      <c r="BP126" s="93">
        <v>2.3699999999999999E-2</v>
      </c>
      <c r="BQ126" s="93">
        <f t="shared" si="125"/>
        <v>2.37E-5</v>
      </c>
      <c r="BR126" s="93" t="s">
        <v>406</v>
      </c>
      <c r="BS126" s="93">
        <v>0.01</v>
      </c>
      <c r="BT126" s="93">
        <v>0.1</v>
      </c>
      <c r="BU126" s="93" t="s">
        <v>242</v>
      </c>
      <c r="BV126" s="93">
        <v>4.7000000000000002E-3</v>
      </c>
      <c r="BW126" s="93">
        <f t="shared" si="126"/>
        <v>4.6999999999999999E-6</v>
      </c>
      <c r="BX126" s="93" t="s">
        <v>407</v>
      </c>
      <c r="BY126" s="93">
        <v>2E-3</v>
      </c>
      <c r="BZ126" s="93">
        <v>0.02</v>
      </c>
      <c r="CA126" s="93" t="s">
        <v>242</v>
      </c>
      <c r="CB126" s="194">
        <v>0</v>
      </c>
      <c r="CC126" s="193">
        <f t="shared" si="127"/>
        <v>0</v>
      </c>
      <c r="CD126" s="187" t="s">
        <v>406</v>
      </c>
      <c r="CE126" s="189">
        <v>0</v>
      </c>
      <c r="CF126" s="189">
        <v>0</v>
      </c>
      <c r="CG126" s="187" t="s">
        <v>242</v>
      </c>
      <c r="CH126" s="194">
        <v>0</v>
      </c>
      <c r="CI126" s="193">
        <f t="shared" si="128"/>
        <v>0</v>
      </c>
      <c r="CJ126" s="187" t="s">
        <v>407</v>
      </c>
      <c r="CK126" s="189">
        <v>0</v>
      </c>
      <c r="CL126" s="189">
        <v>0</v>
      </c>
      <c r="CM126" s="187" t="s">
        <v>242</v>
      </c>
      <c r="CN126" s="116"/>
      <c r="CO126" s="100"/>
      <c r="CP126" s="100"/>
      <c r="CQ126" s="100"/>
      <c r="CR126" s="101">
        <v>0.15</v>
      </c>
      <c r="CS126" s="101">
        <v>0.2</v>
      </c>
    </row>
    <row r="127" spans="1:97" s="101" customFormat="1" ht="16.5" hidden="1" customHeight="1" x14ac:dyDescent="0.3">
      <c r="A127" s="99"/>
      <c r="V127" s="103"/>
      <c r="AA127" s="104"/>
      <c r="AB127" s="104"/>
      <c r="AD127" s="148"/>
      <c r="AE127" s="105"/>
      <c r="AH127" s="106"/>
      <c r="AI127" s="106"/>
      <c r="AK127" s="148"/>
      <c r="AR127" s="148"/>
      <c r="AV127" s="104"/>
      <c r="AX127" s="148"/>
      <c r="AY127" s="93"/>
      <c r="AZ127" s="93"/>
      <c r="BA127" s="93"/>
      <c r="BB127" s="93"/>
      <c r="BC127" s="93"/>
      <c r="BD127" s="93"/>
      <c r="BE127" s="93"/>
      <c r="BF127" s="93"/>
      <c r="BG127" s="93"/>
      <c r="BH127" s="93"/>
      <c r="BI127" s="93" t="s">
        <v>236</v>
      </c>
      <c r="BJ127" s="93" t="s">
        <v>252</v>
      </c>
      <c r="BK127" s="93">
        <v>9.8404000000000007</v>
      </c>
      <c r="BL127" s="93" t="s">
        <v>405</v>
      </c>
      <c r="BM127" s="93">
        <v>2.1299999999999999E-3</v>
      </c>
      <c r="BN127" s="93">
        <v>2.1299999999999999E-3</v>
      </c>
      <c r="BO127" s="93" t="s">
        <v>241</v>
      </c>
      <c r="BP127" s="93">
        <v>2.3300000000000001E-2</v>
      </c>
      <c r="BQ127" s="93">
        <f t="shared" si="125"/>
        <v>2.3300000000000001E-5</v>
      </c>
      <c r="BR127" s="93" t="s">
        <v>406</v>
      </c>
      <c r="BS127" s="93">
        <v>0.01</v>
      </c>
      <c r="BT127" s="93">
        <v>0.1</v>
      </c>
      <c r="BU127" s="93" t="s">
        <v>242</v>
      </c>
      <c r="BV127" s="93">
        <v>4.7000000000000002E-3</v>
      </c>
      <c r="BW127" s="93">
        <f t="shared" si="126"/>
        <v>4.6999999999999999E-6</v>
      </c>
      <c r="BX127" s="93" t="s">
        <v>407</v>
      </c>
      <c r="BY127" s="93">
        <v>2E-3</v>
      </c>
      <c r="BZ127" s="93">
        <v>0.02</v>
      </c>
      <c r="CA127" s="93" t="s">
        <v>242</v>
      </c>
      <c r="CB127" s="194">
        <v>0</v>
      </c>
      <c r="CC127" s="193">
        <f t="shared" si="127"/>
        <v>0</v>
      </c>
      <c r="CD127" s="187" t="s">
        <v>406</v>
      </c>
      <c r="CE127" s="189">
        <v>0</v>
      </c>
      <c r="CF127" s="189">
        <v>0</v>
      </c>
      <c r="CG127" s="187" t="s">
        <v>242</v>
      </c>
      <c r="CH127" s="194">
        <v>0</v>
      </c>
      <c r="CI127" s="193">
        <f t="shared" si="128"/>
        <v>0</v>
      </c>
      <c r="CJ127" s="187" t="s">
        <v>407</v>
      </c>
      <c r="CK127" s="189">
        <v>0</v>
      </c>
      <c r="CL127" s="189">
        <v>0</v>
      </c>
      <c r="CM127" s="187" t="s">
        <v>242</v>
      </c>
      <c r="CN127" s="116"/>
      <c r="CO127" s="100"/>
      <c r="CP127" s="100"/>
      <c r="CQ127" s="100"/>
      <c r="CR127" s="101">
        <v>0.15</v>
      </c>
      <c r="CS127" s="101">
        <v>0.2</v>
      </c>
    </row>
    <row r="128" spans="1:97" s="101" customFormat="1" ht="16.5" hidden="1" customHeight="1" x14ac:dyDescent="0.3">
      <c r="A128" s="99"/>
      <c r="V128" s="103"/>
      <c r="AA128" s="104"/>
      <c r="AB128" s="104"/>
      <c r="AD128" s="148"/>
      <c r="AE128" s="105"/>
      <c r="AH128" s="106"/>
      <c r="AI128" s="106"/>
      <c r="AK128" s="148"/>
      <c r="AR128" s="148"/>
      <c r="AV128" s="104"/>
      <c r="AX128" s="148"/>
      <c r="AY128" s="93"/>
      <c r="AZ128" s="93"/>
      <c r="BA128" s="93"/>
      <c r="BB128" s="93"/>
      <c r="BC128" s="93"/>
      <c r="BD128" s="93"/>
      <c r="BE128" s="93"/>
      <c r="BF128" s="93"/>
      <c r="BG128" s="93"/>
      <c r="BH128" s="93"/>
      <c r="BI128" s="93" t="s">
        <v>237</v>
      </c>
      <c r="BJ128" s="93" t="s">
        <v>252</v>
      </c>
      <c r="BK128" s="93">
        <v>0</v>
      </c>
      <c r="BL128" s="93" t="s">
        <v>405</v>
      </c>
      <c r="BM128" s="93">
        <v>2.98E-3</v>
      </c>
      <c r="BN128" s="93">
        <v>2.98E-3</v>
      </c>
      <c r="BO128" s="93" t="s">
        <v>241</v>
      </c>
      <c r="BP128" s="93">
        <v>2.63E-2</v>
      </c>
      <c r="BQ128" s="93">
        <f t="shared" si="125"/>
        <v>2.6299999999999999E-5</v>
      </c>
      <c r="BR128" s="93" t="s">
        <v>406</v>
      </c>
      <c r="BS128" s="93">
        <v>0.01</v>
      </c>
      <c r="BT128" s="93">
        <v>0.1</v>
      </c>
      <c r="BU128" s="93" t="s">
        <v>242</v>
      </c>
      <c r="BV128" s="93">
        <v>5.3E-3</v>
      </c>
      <c r="BW128" s="93">
        <f t="shared" si="126"/>
        <v>5.3000000000000001E-6</v>
      </c>
      <c r="BX128" s="93" t="s">
        <v>407</v>
      </c>
      <c r="BY128" s="93">
        <v>2E-3</v>
      </c>
      <c r="BZ128" s="93">
        <v>0.02</v>
      </c>
      <c r="CA128" s="93" t="s">
        <v>242</v>
      </c>
      <c r="CB128" s="181">
        <v>3.4200000000000001E-2</v>
      </c>
      <c r="CC128" s="191">
        <f t="shared" si="127"/>
        <v>3.4200000000000005E-5</v>
      </c>
      <c r="CD128" s="187" t="s">
        <v>406</v>
      </c>
      <c r="CE128" s="189">
        <v>1.6E-2</v>
      </c>
      <c r="CF128" s="189">
        <v>9.5000000000000001E-2</v>
      </c>
      <c r="CG128" s="187" t="s">
        <v>242</v>
      </c>
      <c r="CH128" s="181">
        <v>3.4200000000000001E-2</v>
      </c>
      <c r="CI128" s="191">
        <f t="shared" si="128"/>
        <v>3.4200000000000005E-5</v>
      </c>
      <c r="CJ128" s="187" t="s">
        <v>407</v>
      </c>
      <c r="CK128" s="189">
        <v>1.2999999999999999E-2</v>
      </c>
      <c r="CL128" s="189">
        <v>0.12</v>
      </c>
      <c r="CM128" s="187" t="s">
        <v>242</v>
      </c>
      <c r="CN128" s="116"/>
      <c r="CO128" s="100"/>
      <c r="CP128" s="100"/>
      <c r="CQ128" s="100"/>
      <c r="CR128" s="101">
        <v>0.6</v>
      </c>
      <c r="CS128" s="101">
        <v>1</v>
      </c>
    </row>
    <row r="129" spans="1:97" s="101" customFormat="1" ht="16.5" hidden="1" customHeight="1" x14ac:dyDescent="0.3">
      <c r="A129" s="99"/>
      <c r="V129" s="103"/>
      <c r="AA129" s="104"/>
      <c r="AB129" s="104"/>
      <c r="AD129" s="148"/>
      <c r="AE129" s="105"/>
      <c r="AH129" s="106"/>
      <c r="AI129" s="106"/>
      <c r="AK129" s="148"/>
      <c r="AR129" s="148"/>
      <c r="AV129" s="104"/>
      <c r="AX129" s="148"/>
      <c r="AY129" s="93"/>
      <c r="AZ129" s="93"/>
      <c r="BA129" s="93"/>
      <c r="BB129" s="93"/>
      <c r="BC129" s="93"/>
      <c r="BD129" s="93"/>
      <c r="BE129" s="93"/>
      <c r="BF129" s="93"/>
      <c r="BG129" s="93"/>
      <c r="BH129" s="93"/>
      <c r="BI129" s="93" t="s">
        <v>368</v>
      </c>
      <c r="BJ129" s="93" t="s">
        <v>252</v>
      </c>
      <c r="BK129" s="93">
        <v>0</v>
      </c>
      <c r="BL129" s="93" t="s">
        <v>405</v>
      </c>
      <c r="BM129" s="93">
        <v>3.4799999999999996E-3</v>
      </c>
      <c r="BN129" s="93">
        <v>3.4799999999999996E-3</v>
      </c>
      <c r="BO129" s="93" t="s">
        <v>241</v>
      </c>
      <c r="BP129" s="93">
        <v>1.46E-2</v>
      </c>
      <c r="BQ129" s="93">
        <f t="shared" si="125"/>
        <v>1.4600000000000001E-5</v>
      </c>
      <c r="BR129" s="93" t="s">
        <v>406</v>
      </c>
      <c r="BS129" s="93">
        <v>0.01</v>
      </c>
      <c r="BT129" s="93">
        <v>0.1</v>
      </c>
      <c r="BU129" s="93" t="s">
        <v>242</v>
      </c>
      <c r="BV129" s="93">
        <v>2.8999999999999998E-3</v>
      </c>
      <c r="BW129" s="93">
        <f t="shared" si="126"/>
        <v>2.8999999999999998E-6</v>
      </c>
      <c r="BX129" s="93" t="s">
        <v>407</v>
      </c>
      <c r="BY129" s="93">
        <v>2E-3</v>
      </c>
      <c r="BZ129" s="93">
        <v>0.02</v>
      </c>
      <c r="CA129" s="93" t="s">
        <v>242</v>
      </c>
      <c r="CB129" s="181">
        <v>8.77E-2</v>
      </c>
      <c r="CC129" s="191">
        <f t="shared" si="127"/>
        <v>8.7700000000000004E-5</v>
      </c>
      <c r="CD129" s="187" t="s">
        <v>406</v>
      </c>
      <c r="CE129" s="189">
        <v>0.13</v>
      </c>
      <c r="CF129" s="189">
        <v>0.84</v>
      </c>
      <c r="CG129" s="187" t="s">
        <v>242</v>
      </c>
      <c r="CH129" s="181">
        <v>0.19989999999999999</v>
      </c>
      <c r="CI129" s="191">
        <f t="shared" si="128"/>
        <v>1.9990000000000001E-4</v>
      </c>
      <c r="CJ129" s="187" t="s">
        <v>407</v>
      </c>
      <c r="CK129" s="189">
        <v>0.13</v>
      </c>
      <c r="CL129" s="189">
        <v>1.23</v>
      </c>
      <c r="CM129" s="187" t="s">
        <v>242</v>
      </c>
      <c r="CN129" s="116"/>
      <c r="CO129" s="100">
        <v>0.15</v>
      </c>
      <c r="CP129" s="100">
        <f t="shared" ref="CP129:CP141" si="129">(CO129+CQ129)/2</f>
        <v>0.17499999999999999</v>
      </c>
      <c r="CQ129" s="100">
        <v>0.2</v>
      </c>
      <c r="CR129" s="101">
        <v>0.6</v>
      </c>
      <c r="CS129" s="101">
        <v>1</v>
      </c>
    </row>
    <row r="130" spans="1:97" s="101" customFormat="1" ht="16.5" hidden="1" customHeight="1" x14ac:dyDescent="0.3">
      <c r="A130" s="99"/>
      <c r="V130" s="103"/>
      <c r="AA130" s="104"/>
      <c r="AB130" s="104"/>
      <c r="AD130" s="148"/>
      <c r="AE130" s="105"/>
      <c r="AH130" s="106"/>
      <c r="AI130" s="106"/>
      <c r="AK130" s="148"/>
      <c r="AR130" s="148"/>
      <c r="AV130" s="104"/>
      <c r="AX130" s="148"/>
      <c r="AY130" s="93"/>
      <c r="AZ130" s="93"/>
      <c r="BA130" s="93"/>
      <c r="BB130" s="93"/>
      <c r="BC130" s="93"/>
      <c r="BD130" s="93"/>
      <c r="BE130" s="93"/>
      <c r="BF130" s="93"/>
      <c r="BG130" s="93"/>
      <c r="BH130" s="93"/>
      <c r="BI130" s="93" t="s">
        <v>238</v>
      </c>
      <c r="BJ130" s="93" t="s">
        <v>252</v>
      </c>
      <c r="BK130" s="93">
        <v>10.178100000000001</v>
      </c>
      <c r="BL130" s="93" t="s">
        <v>405</v>
      </c>
      <c r="BM130" s="93">
        <v>2.0599999999999998E-3</v>
      </c>
      <c r="BN130" s="93">
        <v>2.0599999999999998E-3</v>
      </c>
      <c r="BO130" s="93" t="s">
        <v>241</v>
      </c>
      <c r="BP130" s="93">
        <v>2.7199999999999998E-2</v>
      </c>
      <c r="BQ130" s="93">
        <f t="shared" si="125"/>
        <v>2.7199999999999997E-5</v>
      </c>
      <c r="BR130" s="93" t="s">
        <v>406</v>
      </c>
      <c r="BS130" s="93">
        <v>0.01</v>
      </c>
      <c r="BT130" s="93">
        <v>0.1</v>
      </c>
      <c r="BU130" s="93" t="s">
        <v>242</v>
      </c>
      <c r="BV130" s="93">
        <v>5.4000000000000003E-3</v>
      </c>
      <c r="BW130" s="93">
        <f t="shared" si="126"/>
        <v>5.4E-6</v>
      </c>
      <c r="BX130" s="93" t="s">
        <v>407</v>
      </c>
      <c r="BY130" s="93">
        <v>2E-3</v>
      </c>
      <c r="BZ130" s="93">
        <v>0.02</v>
      </c>
      <c r="CA130" s="93" t="s">
        <v>242</v>
      </c>
      <c r="CB130" s="181">
        <v>0</v>
      </c>
      <c r="CC130" s="191">
        <f t="shared" si="127"/>
        <v>0</v>
      </c>
      <c r="CD130" s="187" t="s">
        <v>406</v>
      </c>
      <c r="CE130" s="189">
        <v>0</v>
      </c>
      <c r="CF130" s="189">
        <v>0</v>
      </c>
      <c r="CG130" s="187" t="s">
        <v>242</v>
      </c>
      <c r="CH130" s="181">
        <v>0</v>
      </c>
      <c r="CI130" s="191">
        <f t="shared" si="128"/>
        <v>0</v>
      </c>
      <c r="CJ130" s="187" t="s">
        <v>407</v>
      </c>
      <c r="CK130" s="189">
        <v>0</v>
      </c>
      <c r="CL130" s="189">
        <v>0</v>
      </c>
      <c r="CM130" s="187" t="s">
        <v>242</v>
      </c>
      <c r="CN130" s="116"/>
      <c r="CO130" s="100">
        <v>0.15</v>
      </c>
      <c r="CP130" s="100">
        <f t="shared" si="129"/>
        <v>0.17499999999999999</v>
      </c>
      <c r="CQ130" s="100">
        <v>0.2</v>
      </c>
      <c r="CR130" s="101">
        <v>0.15</v>
      </c>
      <c r="CS130" s="101">
        <v>0.2</v>
      </c>
    </row>
    <row r="131" spans="1:97" s="101" customFormat="1" ht="16.5" hidden="1" customHeight="1" x14ac:dyDescent="0.3">
      <c r="A131" s="99"/>
      <c r="V131" s="103"/>
      <c r="AA131" s="104"/>
      <c r="AB131" s="104"/>
      <c r="AD131" s="148"/>
      <c r="AE131" s="105"/>
      <c r="AH131" s="106"/>
      <c r="AI131" s="106"/>
      <c r="AK131" s="148"/>
      <c r="AR131" s="148"/>
      <c r="AV131" s="104"/>
      <c r="AX131" s="148"/>
      <c r="AY131" s="93"/>
      <c r="AZ131" s="93"/>
      <c r="BA131" s="93"/>
      <c r="BB131" s="93"/>
      <c r="BC131" s="93"/>
      <c r="BD131" s="93"/>
      <c r="BE131" s="93"/>
      <c r="BF131" s="93"/>
      <c r="BG131" s="93"/>
      <c r="BH131" s="93"/>
      <c r="BI131" s="93" t="s">
        <v>273</v>
      </c>
      <c r="BJ131" s="93" t="s">
        <v>252</v>
      </c>
      <c r="BK131" s="93">
        <v>8.8632000000000009</v>
      </c>
      <c r="BL131" s="93" t="s">
        <v>405</v>
      </c>
      <c r="BM131" s="93">
        <v>2.32E-3</v>
      </c>
      <c r="BN131" s="93">
        <v>2.32E-3</v>
      </c>
      <c r="BO131" s="93" t="s">
        <v>241</v>
      </c>
      <c r="BP131" s="93">
        <v>9.4999999999999998E-3</v>
      </c>
      <c r="BQ131" s="93">
        <f t="shared" si="125"/>
        <v>9.5000000000000005E-6</v>
      </c>
      <c r="BR131" s="93" t="s">
        <v>406</v>
      </c>
      <c r="BS131" s="93">
        <v>0.01</v>
      </c>
      <c r="BT131" s="93">
        <v>0.1</v>
      </c>
      <c r="BU131" s="93" t="s">
        <v>242</v>
      </c>
      <c r="BV131" s="93">
        <v>5.7000000000000002E-3</v>
      </c>
      <c r="BW131" s="93">
        <f t="shared" si="126"/>
        <v>5.7000000000000005E-6</v>
      </c>
      <c r="BX131" s="93" t="s">
        <v>407</v>
      </c>
      <c r="BY131" s="93">
        <v>2E-3</v>
      </c>
      <c r="BZ131" s="93">
        <v>0.02</v>
      </c>
      <c r="CA131" s="93" t="s">
        <v>242</v>
      </c>
      <c r="CB131" s="181">
        <v>3.6999999999999998E-2</v>
      </c>
      <c r="CC131" s="191">
        <f t="shared" si="127"/>
        <v>3.6999999999999998E-5</v>
      </c>
      <c r="CD131" s="187" t="s">
        <v>406</v>
      </c>
      <c r="CE131" s="189">
        <v>1.6E-2</v>
      </c>
      <c r="CF131" s="189">
        <v>9.5000000000000001E-2</v>
      </c>
      <c r="CG131" s="187" t="s">
        <v>242</v>
      </c>
      <c r="CH131" s="181">
        <v>3.6999999999999998E-2</v>
      </c>
      <c r="CI131" s="191">
        <f t="shared" si="128"/>
        <v>3.6999999999999998E-5</v>
      </c>
      <c r="CJ131" s="187" t="s">
        <v>407</v>
      </c>
      <c r="CK131" s="189">
        <v>1.2999999999999999E-2</v>
      </c>
      <c r="CL131" s="189">
        <v>0.12</v>
      </c>
      <c r="CM131" s="187" t="s">
        <v>242</v>
      </c>
      <c r="CN131" s="116"/>
      <c r="CO131" s="100">
        <v>0.15</v>
      </c>
      <c r="CP131" s="100">
        <f t="shared" si="129"/>
        <v>0.17499999999999999</v>
      </c>
      <c r="CQ131" s="100">
        <v>0.2</v>
      </c>
      <c r="CR131" s="101">
        <v>0.15</v>
      </c>
      <c r="CS131" s="101">
        <v>0.2</v>
      </c>
    </row>
    <row r="132" spans="1:97" s="101" customFormat="1" ht="16.5" hidden="1" customHeight="1" x14ac:dyDescent="0.3">
      <c r="A132" s="99"/>
      <c r="V132" s="103"/>
      <c r="AA132" s="104"/>
      <c r="AB132" s="104"/>
      <c r="AD132" s="148"/>
      <c r="AE132" s="105"/>
      <c r="AH132" s="106"/>
      <c r="AI132" s="106"/>
      <c r="AK132" s="148"/>
      <c r="AR132" s="148"/>
      <c r="AV132" s="104"/>
      <c r="AX132" s="148"/>
      <c r="AY132" s="93"/>
      <c r="AZ132" s="93"/>
      <c r="BA132" s="93"/>
      <c r="BB132" s="93"/>
      <c r="BC132" s="93"/>
      <c r="BD132" s="93"/>
      <c r="BE132" s="93"/>
      <c r="BF132" s="93"/>
      <c r="BG132" s="93"/>
      <c r="BH132" s="93"/>
      <c r="BI132" s="93" t="s">
        <v>272</v>
      </c>
      <c r="BJ132" s="93" t="s">
        <v>252</v>
      </c>
      <c r="BK132" s="93">
        <v>10.2765</v>
      </c>
      <c r="BL132" s="93" t="s">
        <v>405</v>
      </c>
      <c r="BM132" s="93">
        <v>2.0499999999999997E-3</v>
      </c>
      <c r="BN132" s="93">
        <v>2.0499999999999997E-3</v>
      </c>
      <c r="BO132" s="93" t="s">
        <v>241</v>
      </c>
      <c r="BP132" s="93">
        <v>9.5999999999999992E-3</v>
      </c>
      <c r="BQ132" s="93">
        <f>BP132/1000</f>
        <v>9.5999999999999996E-6</v>
      </c>
      <c r="BR132" s="93" t="s">
        <v>406</v>
      </c>
      <c r="BS132" s="93">
        <v>0.01</v>
      </c>
      <c r="BT132" s="93">
        <v>0.1</v>
      </c>
      <c r="BU132" s="93" t="s">
        <v>242</v>
      </c>
      <c r="BV132" s="93">
        <v>5.7999999999999996E-3</v>
      </c>
      <c r="BW132" s="93">
        <f>BV132/1000</f>
        <v>5.7999999999999995E-6</v>
      </c>
      <c r="BX132" s="93" t="s">
        <v>407</v>
      </c>
      <c r="BY132" s="93">
        <v>2E-3</v>
      </c>
      <c r="BZ132" s="93">
        <v>0.02</v>
      </c>
      <c r="CA132" s="93" t="s">
        <v>242</v>
      </c>
      <c r="CB132" s="181">
        <v>3.7400000000000003E-2</v>
      </c>
      <c r="CC132" s="191">
        <f>CB132/1000</f>
        <v>3.7400000000000001E-5</v>
      </c>
      <c r="CD132" s="187" t="s">
        <v>406</v>
      </c>
      <c r="CE132" s="189">
        <v>1.6E-2</v>
      </c>
      <c r="CF132" s="189">
        <v>9.5000000000000001E-2</v>
      </c>
      <c r="CG132" s="187" t="s">
        <v>242</v>
      </c>
      <c r="CH132" s="181">
        <v>3.7400000000000003E-2</v>
      </c>
      <c r="CI132" s="191">
        <f>CH132/1000</f>
        <v>3.7400000000000001E-5</v>
      </c>
      <c r="CJ132" s="187" t="s">
        <v>407</v>
      </c>
      <c r="CK132" s="189">
        <v>1.2999999999999999E-2</v>
      </c>
      <c r="CL132" s="189">
        <v>0.12</v>
      </c>
      <c r="CM132" s="187" t="s">
        <v>242</v>
      </c>
      <c r="CN132" s="116"/>
      <c r="CO132" s="100">
        <v>0.15</v>
      </c>
      <c r="CP132" s="100">
        <f t="shared" si="129"/>
        <v>0.17499999999999999</v>
      </c>
      <c r="CQ132" s="100">
        <v>0.2</v>
      </c>
      <c r="CR132" s="101">
        <v>0.15</v>
      </c>
      <c r="CS132" s="101">
        <v>0.2</v>
      </c>
    </row>
    <row r="133" spans="1:97" s="101" customFormat="1" ht="16.5" hidden="1" customHeight="1" x14ac:dyDescent="0.3">
      <c r="A133" s="99"/>
      <c r="V133" s="103"/>
      <c r="AA133" s="104"/>
      <c r="AB133" s="104"/>
      <c r="AD133" s="148"/>
      <c r="AE133" s="105"/>
      <c r="AH133" s="106"/>
      <c r="AI133" s="106"/>
      <c r="AK133" s="148"/>
      <c r="AR133" s="148"/>
      <c r="AV133" s="104"/>
      <c r="AX133" s="148"/>
      <c r="AY133" s="93"/>
      <c r="AZ133" s="93"/>
      <c r="BA133" s="93"/>
      <c r="BB133" s="93"/>
      <c r="BC133" s="93"/>
      <c r="BD133" s="93"/>
      <c r="BE133" s="93"/>
      <c r="BF133" s="93"/>
      <c r="BG133" s="93"/>
      <c r="BH133" s="93"/>
      <c r="BI133" s="93" t="s">
        <v>239</v>
      </c>
      <c r="BJ133" s="93" t="s">
        <v>252</v>
      </c>
      <c r="BK133" s="93">
        <v>7.6181000000000001</v>
      </c>
      <c r="BL133" s="93" t="s">
        <v>405</v>
      </c>
      <c r="BM133" s="93">
        <v>2.3400000000000001E-3</v>
      </c>
      <c r="BN133" s="93">
        <v>2.3400000000000001E-3</v>
      </c>
      <c r="BO133" s="93" t="s">
        <v>241</v>
      </c>
      <c r="BP133" s="93">
        <v>2.3900000000000001E-2</v>
      </c>
      <c r="BQ133" s="93">
        <f t="shared" si="125"/>
        <v>2.3900000000000002E-5</v>
      </c>
      <c r="BR133" s="93" t="s">
        <v>406</v>
      </c>
      <c r="BS133" s="93">
        <v>0.01</v>
      </c>
      <c r="BT133" s="93">
        <v>0.1</v>
      </c>
      <c r="BU133" s="93" t="s">
        <v>242</v>
      </c>
      <c r="BV133" s="93">
        <v>4.7999999999999996E-3</v>
      </c>
      <c r="BW133" s="93">
        <f t="shared" si="126"/>
        <v>4.7999999999999998E-6</v>
      </c>
      <c r="BX133" s="93" t="s">
        <v>407</v>
      </c>
      <c r="BY133" s="93">
        <v>2E-3</v>
      </c>
      <c r="BZ133" s="93">
        <v>0.02</v>
      </c>
      <c r="CA133" s="93" t="s">
        <v>242</v>
      </c>
      <c r="CB133" s="181">
        <v>0.26269999999999999</v>
      </c>
      <c r="CC133" s="191">
        <f t="shared" si="127"/>
        <v>2.6269999999999999E-4</v>
      </c>
      <c r="CD133" s="187" t="s">
        <v>406</v>
      </c>
      <c r="CE133" s="189">
        <v>9.6000000000000002E-2</v>
      </c>
      <c r="CF133" s="189">
        <v>1.1000000000000001</v>
      </c>
      <c r="CG133" s="187" t="s">
        <v>242</v>
      </c>
      <c r="CH133" s="181">
        <v>2.5499999999999998E-2</v>
      </c>
      <c r="CI133" s="191">
        <f t="shared" si="128"/>
        <v>2.55E-5</v>
      </c>
      <c r="CJ133" s="187" t="s">
        <v>407</v>
      </c>
      <c r="CK133" s="189">
        <v>9.5999999999999992E-3</v>
      </c>
      <c r="CL133" s="189">
        <v>0.11</v>
      </c>
      <c r="CM133" s="187" t="s">
        <v>242</v>
      </c>
      <c r="CN133" s="116"/>
      <c r="CO133" s="100">
        <v>0.15</v>
      </c>
      <c r="CP133" s="100">
        <f t="shared" si="129"/>
        <v>0.17499999999999999</v>
      </c>
      <c r="CQ133" s="100">
        <v>0.2</v>
      </c>
      <c r="CR133" s="101">
        <v>0.15</v>
      </c>
      <c r="CS133" s="101">
        <v>0.2</v>
      </c>
    </row>
    <row r="134" spans="1:97" s="101" customFormat="1" ht="15" hidden="1" customHeight="1" x14ac:dyDescent="0.25">
      <c r="A134" s="99"/>
      <c r="V134" s="103"/>
      <c r="AA134" s="104"/>
      <c r="AB134" s="104"/>
      <c r="AD134" s="104"/>
      <c r="AE134" s="105"/>
      <c r="AH134" s="106"/>
      <c r="AI134" s="106"/>
      <c r="AK134" s="104"/>
      <c r="AR134" s="104"/>
      <c r="AV134" s="104"/>
      <c r="AX134" s="104"/>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180"/>
      <c r="CC134" s="192"/>
      <c r="CD134" s="192"/>
      <c r="CE134" s="180"/>
      <c r="CF134" s="180"/>
      <c r="CG134" s="180"/>
      <c r="CH134" s="180"/>
      <c r="CI134" s="192"/>
      <c r="CJ134" s="192"/>
      <c r="CK134" s="180"/>
      <c r="CL134" s="180"/>
      <c r="CM134" s="180"/>
      <c r="CN134" s="116"/>
      <c r="CO134" s="100">
        <v>0.15</v>
      </c>
      <c r="CP134" s="100">
        <f t="shared" si="129"/>
        <v>0.17499999999999999</v>
      </c>
      <c r="CQ134" s="100">
        <v>0.2</v>
      </c>
    </row>
    <row r="135" spans="1:97" s="101" customFormat="1" ht="15" hidden="1" customHeight="1" x14ac:dyDescent="0.25">
      <c r="A135" s="99"/>
      <c r="V135" s="103"/>
      <c r="AA135" s="104"/>
      <c r="AB135" s="104"/>
      <c r="AD135" s="104"/>
      <c r="AE135" s="105"/>
      <c r="AH135" s="106"/>
      <c r="AI135" s="106"/>
      <c r="AK135" s="104"/>
      <c r="AR135" s="104"/>
      <c r="AV135" s="104"/>
      <c r="AX135" s="104"/>
      <c r="AY135" s="93"/>
      <c r="AZ135" s="93"/>
      <c r="BA135" s="93"/>
      <c r="BB135" s="93"/>
      <c r="BC135" s="93"/>
      <c r="BD135" s="93"/>
      <c r="BE135" s="93"/>
      <c r="BF135" s="93"/>
      <c r="BG135" s="93"/>
      <c r="BH135" s="93"/>
      <c r="BI135" s="93"/>
      <c r="BJ135" s="93"/>
      <c r="BK135" s="93"/>
      <c r="BL135" s="93"/>
      <c r="BM135" s="93"/>
      <c r="BN135" s="93"/>
      <c r="BO135" s="93"/>
      <c r="BP135" s="93"/>
      <c r="BQ135" s="93"/>
      <c r="BR135" s="93"/>
      <c r="BS135" s="93"/>
      <c r="BT135" s="93"/>
      <c r="BU135" s="93"/>
      <c r="BV135" s="93"/>
      <c r="BW135" s="93"/>
      <c r="BX135" s="93"/>
      <c r="BY135" s="93"/>
      <c r="BZ135" s="93"/>
      <c r="CA135" s="93"/>
      <c r="CB135" s="180"/>
      <c r="CC135" s="192"/>
      <c r="CD135" s="192"/>
      <c r="CE135" s="180"/>
      <c r="CF135" s="180"/>
      <c r="CG135" s="180"/>
      <c r="CH135" s="180"/>
      <c r="CI135" s="192"/>
      <c r="CJ135" s="192"/>
      <c r="CK135" s="180"/>
      <c r="CL135" s="180"/>
      <c r="CM135" s="180"/>
      <c r="CN135" s="116"/>
      <c r="CO135" s="100">
        <v>0.15</v>
      </c>
      <c r="CP135" s="100">
        <f t="shared" si="129"/>
        <v>0.17499999999999999</v>
      </c>
      <c r="CQ135" s="100">
        <v>0.2</v>
      </c>
    </row>
    <row r="136" spans="1:97" s="101" customFormat="1" ht="26.25" hidden="1" customHeight="1" x14ac:dyDescent="0.25">
      <c r="A136" s="99"/>
      <c r="V136" s="103"/>
      <c r="AA136" s="104"/>
      <c r="AB136" s="104"/>
      <c r="AD136" s="104"/>
      <c r="AE136" s="105"/>
      <c r="AH136" s="106"/>
      <c r="AI136" s="106"/>
      <c r="AK136" s="104"/>
      <c r="AR136" s="104"/>
      <c r="AV136" s="104"/>
      <c r="AX136" s="104"/>
      <c r="AY136" s="93"/>
      <c r="AZ136" s="93"/>
      <c r="BA136" s="93"/>
      <c r="BB136" s="93"/>
      <c r="BC136" s="93"/>
      <c r="BD136" s="93"/>
      <c r="BE136" s="93"/>
      <c r="BF136" s="93"/>
      <c r="BG136" s="93"/>
      <c r="BH136" s="93"/>
      <c r="BI136" s="93" t="s">
        <v>232</v>
      </c>
      <c r="BJ136" s="93"/>
      <c r="BK136" s="93" t="s">
        <v>267</v>
      </c>
      <c r="BL136" s="93"/>
      <c r="BM136" s="93" t="s">
        <v>233</v>
      </c>
      <c r="BN136" s="93" t="s">
        <v>233</v>
      </c>
      <c r="BO136" s="93" t="s">
        <v>240</v>
      </c>
      <c r="BP136" s="93" t="s">
        <v>172</v>
      </c>
      <c r="BQ136" s="93"/>
      <c r="BR136" s="93"/>
      <c r="BS136" s="93"/>
      <c r="BT136" s="93"/>
      <c r="BU136" s="93"/>
      <c r="BV136" s="93"/>
      <c r="BW136" s="93"/>
      <c r="BX136" s="93"/>
      <c r="BY136" s="93"/>
      <c r="BZ136" s="93"/>
      <c r="CA136" s="93"/>
      <c r="CB136" s="1608" t="s">
        <v>173</v>
      </c>
      <c r="CC136" s="1609"/>
      <c r="CD136" s="1609"/>
      <c r="CE136" s="1609"/>
      <c r="CF136" s="1609"/>
      <c r="CG136" s="1609"/>
      <c r="CH136" s="1609"/>
      <c r="CI136" s="1609"/>
      <c r="CJ136" s="1609"/>
      <c r="CK136" s="1609"/>
      <c r="CL136" s="1609"/>
      <c r="CM136" s="1610"/>
      <c r="CN136" s="116"/>
      <c r="CO136" s="100">
        <v>0.6</v>
      </c>
      <c r="CP136" s="100">
        <f t="shared" si="129"/>
        <v>0.8</v>
      </c>
      <c r="CQ136" s="100">
        <v>1</v>
      </c>
    </row>
    <row r="137" spans="1:97" s="101" customFormat="1" ht="59.25" hidden="1" customHeight="1" x14ac:dyDescent="0.25">
      <c r="A137" s="99"/>
      <c r="V137" s="103"/>
      <c r="AA137" s="104"/>
      <c r="AB137" s="104"/>
      <c r="AD137" s="104"/>
      <c r="AE137" s="105"/>
      <c r="AH137" s="106"/>
      <c r="AI137" s="106"/>
      <c r="AK137" s="104"/>
      <c r="AR137" s="104"/>
      <c r="AV137" s="104"/>
      <c r="AX137" s="104"/>
      <c r="AY137" s="93"/>
      <c r="AZ137" s="93"/>
      <c r="BA137" s="93"/>
      <c r="BB137" s="93"/>
      <c r="BC137" s="93"/>
      <c r="BD137" s="93"/>
      <c r="BE137" s="93"/>
      <c r="BF137" s="93"/>
      <c r="BG137" s="93"/>
      <c r="BH137" s="93"/>
      <c r="BI137" s="93"/>
      <c r="BJ137" s="93" t="s">
        <v>253</v>
      </c>
      <c r="BK137" s="93"/>
      <c r="BL137" s="93" t="s">
        <v>251</v>
      </c>
      <c r="BM137" s="93"/>
      <c r="BN137" s="93"/>
      <c r="BO137" s="93"/>
      <c r="BP137" s="93" t="s">
        <v>268</v>
      </c>
      <c r="BQ137" s="93" t="s">
        <v>269</v>
      </c>
      <c r="BR137" s="93" t="s">
        <v>251</v>
      </c>
      <c r="BS137" s="93" t="s">
        <v>233</v>
      </c>
      <c r="BT137" s="93" t="s">
        <v>233</v>
      </c>
      <c r="BU137" s="93" t="s">
        <v>240</v>
      </c>
      <c r="BV137" s="93" t="s">
        <v>270</v>
      </c>
      <c r="BW137" s="93" t="s">
        <v>271</v>
      </c>
      <c r="BX137" s="93" t="s">
        <v>251</v>
      </c>
      <c r="BY137" s="93" t="s">
        <v>233</v>
      </c>
      <c r="BZ137" s="93" t="s">
        <v>233</v>
      </c>
      <c r="CA137" s="93" t="s">
        <v>240</v>
      </c>
      <c r="CB137" s="185" t="s">
        <v>268</v>
      </c>
      <c r="CC137" s="185" t="s">
        <v>269</v>
      </c>
      <c r="CD137" s="252" t="s">
        <v>251</v>
      </c>
      <c r="CE137" s="185" t="s">
        <v>233</v>
      </c>
      <c r="CF137" s="185" t="s">
        <v>233</v>
      </c>
      <c r="CG137" s="185" t="s">
        <v>240</v>
      </c>
      <c r="CH137" s="185" t="s">
        <v>270</v>
      </c>
      <c r="CI137" s="185" t="s">
        <v>271</v>
      </c>
      <c r="CJ137" s="252" t="s">
        <v>251</v>
      </c>
      <c r="CK137" s="185" t="s">
        <v>233</v>
      </c>
      <c r="CL137" s="185" t="s">
        <v>233</v>
      </c>
      <c r="CM137" s="185" t="s">
        <v>240</v>
      </c>
      <c r="CN137" s="116"/>
      <c r="CO137" s="100">
        <v>0.6</v>
      </c>
      <c r="CP137" s="100">
        <f t="shared" si="129"/>
        <v>0.8</v>
      </c>
      <c r="CQ137" s="100">
        <v>1</v>
      </c>
    </row>
    <row r="138" spans="1:97" s="101" customFormat="1" ht="17.25" hidden="1" customHeight="1" thickBot="1" x14ac:dyDescent="0.35">
      <c r="A138" s="99"/>
      <c r="V138" s="103"/>
      <c r="AA138" s="104"/>
      <c r="AB138" s="104"/>
      <c r="AD138" s="104"/>
      <c r="AE138" s="105"/>
      <c r="AH138" s="106"/>
      <c r="AI138" s="106"/>
      <c r="AK138" s="104"/>
      <c r="AR138" s="104"/>
      <c r="AV138" s="104"/>
      <c r="AX138" s="104"/>
      <c r="AY138" s="93"/>
      <c r="AZ138" s="93"/>
      <c r="BA138" s="93"/>
      <c r="BB138" s="93"/>
      <c r="BC138" s="93"/>
      <c r="BD138" s="93"/>
      <c r="BE138" s="93"/>
      <c r="BF138" s="93"/>
      <c r="BG138" s="93"/>
      <c r="BH138" s="93"/>
      <c r="BI138" s="93" t="s">
        <v>274</v>
      </c>
      <c r="BJ138" s="93" t="s">
        <v>408</v>
      </c>
      <c r="BK138" s="93">
        <v>0</v>
      </c>
      <c r="BL138" s="93" t="s">
        <v>409</v>
      </c>
      <c r="BM138" s="93">
        <v>8.8870000000000005E-2</v>
      </c>
      <c r="BN138" s="93">
        <v>8.8870000000000005E-2</v>
      </c>
      <c r="BO138" s="93" t="s">
        <v>241</v>
      </c>
      <c r="BP138" s="93">
        <v>2.1999999999999999E-2</v>
      </c>
      <c r="BQ138" s="93">
        <f>BP138/1000</f>
        <v>2.1999999999999999E-5</v>
      </c>
      <c r="BR138" s="93" t="s">
        <v>410</v>
      </c>
      <c r="BS138" s="93">
        <v>3.0000000000000001E-3</v>
      </c>
      <c r="BT138" s="93">
        <v>0.03</v>
      </c>
      <c r="BU138" s="93" t="s">
        <v>242</v>
      </c>
      <c r="BV138" s="93">
        <v>2.2000000000000001E-3</v>
      </c>
      <c r="BW138" s="93">
        <f>BV138/1000</f>
        <v>2.2000000000000001E-6</v>
      </c>
      <c r="BX138" s="93" t="s">
        <v>515</v>
      </c>
      <c r="BY138" s="93">
        <v>2.9999999999999997E-4</v>
      </c>
      <c r="BZ138" s="93">
        <v>0.03</v>
      </c>
      <c r="CA138" s="93" t="s">
        <v>242</v>
      </c>
      <c r="CB138" s="181">
        <v>0</v>
      </c>
      <c r="CC138" s="195">
        <f>CB138/1000</f>
        <v>0</v>
      </c>
      <c r="CD138" s="187" t="s">
        <v>410</v>
      </c>
      <c r="CE138" s="189">
        <v>0</v>
      </c>
      <c r="CF138" s="189">
        <v>0</v>
      </c>
      <c r="CG138" s="187" t="s">
        <v>242</v>
      </c>
      <c r="CH138" s="181">
        <v>0</v>
      </c>
      <c r="CI138" s="195">
        <f>CH138/1000</f>
        <v>0</v>
      </c>
      <c r="CJ138" s="187" t="s">
        <v>515</v>
      </c>
      <c r="CK138" s="189">
        <v>0</v>
      </c>
      <c r="CL138" s="189">
        <v>0</v>
      </c>
      <c r="CM138" s="187" t="s">
        <v>242</v>
      </c>
      <c r="CN138" s="116"/>
      <c r="CO138" s="100">
        <v>0.15</v>
      </c>
      <c r="CP138" s="100">
        <f t="shared" si="129"/>
        <v>0.17499999999999999</v>
      </c>
      <c r="CQ138" s="100">
        <v>0.2</v>
      </c>
      <c r="CR138" s="101">
        <v>0.6</v>
      </c>
      <c r="CS138" s="101">
        <v>1</v>
      </c>
    </row>
    <row r="139" spans="1:97" s="101" customFormat="1" ht="17.25" hidden="1" customHeight="1" thickBot="1" x14ac:dyDescent="0.35">
      <c r="A139" s="99"/>
      <c r="V139" s="103"/>
      <c r="AA139" s="104"/>
      <c r="AB139" s="104"/>
      <c r="AD139" s="104"/>
      <c r="AE139" s="105"/>
      <c r="AH139" s="106"/>
      <c r="AI139" s="106"/>
      <c r="AK139" s="104"/>
      <c r="AR139" s="104"/>
      <c r="AV139" s="104"/>
      <c r="AX139" s="104"/>
      <c r="AY139" s="93"/>
      <c r="AZ139" s="93"/>
      <c r="BA139" s="93"/>
      <c r="BB139" s="93"/>
      <c r="BC139" s="93"/>
      <c r="BD139" s="93"/>
      <c r="BE139" s="93"/>
      <c r="BF139" s="93"/>
      <c r="BG139" s="93"/>
      <c r="BH139" s="93"/>
      <c r="BI139" s="93" t="s">
        <v>243</v>
      </c>
      <c r="BJ139" s="93" t="s">
        <v>408</v>
      </c>
      <c r="BK139" s="93">
        <v>0.6129</v>
      </c>
      <c r="BL139" s="93" t="s">
        <v>409</v>
      </c>
      <c r="BM139" s="93">
        <v>0.18914999999999998</v>
      </c>
      <c r="BN139" s="93">
        <v>0.18914999999999998</v>
      </c>
      <c r="BO139" s="93" t="s">
        <v>241</v>
      </c>
      <c r="BP139" s="93">
        <v>1.4999999999999999E-2</v>
      </c>
      <c r="BQ139" s="93">
        <f t="shared" ref="BQ139:BQ155" si="130">BP139/1000</f>
        <v>1.4999999999999999E-5</v>
      </c>
      <c r="BR139" s="93" t="s">
        <v>410</v>
      </c>
      <c r="BS139" s="93">
        <v>3.0000000000000001E-3</v>
      </c>
      <c r="BT139" s="93">
        <v>0.03</v>
      </c>
      <c r="BU139" s="93" t="s">
        <v>242</v>
      </c>
      <c r="BV139" s="93">
        <v>1.5E-3</v>
      </c>
      <c r="BW139" s="93">
        <f t="shared" ref="BW139:BW155" si="131">BV139/1000</f>
        <v>1.5E-6</v>
      </c>
      <c r="BX139" s="93" t="s">
        <v>515</v>
      </c>
      <c r="BY139" s="93">
        <v>2.9999999999999997E-4</v>
      </c>
      <c r="BZ139" s="93">
        <v>0.03</v>
      </c>
      <c r="CA139" s="93" t="s">
        <v>242</v>
      </c>
      <c r="CB139" s="181">
        <v>0</v>
      </c>
      <c r="CC139" s="195">
        <f t="shared" ref="CC139:CC155" si="132">CB139/1000</f>
        <v>0</v>
      </c>
      <c r="CD139" s="187" t="s">
        <v>410</v>
      </c>
      <c r="CE139" s="189">
        <v>0</v>
      </c>
      <c r="CF139" s="189">
        <v>0</v>
      </c>
      <c r="CG139" s="187" t="s">
        <v>242</v>
      </c>
      <c r="CH139" s="181">
        <v>0</v>
      </c>
      <c r="CI139" s="195">
        <f t="shared" ref="CI139:CI155" si="133">CH139/1000</f>
        <v>0</v>
      </c>
      <c r="CJ139" s="187" t="s">
        <v>515</v>
      </c>
      <c r="CK139" s="189">
        <v>0</v>
      </c>
      <c r="CL139" s="189">
        <v>0</v>
      </c>
      <c r="CM139" s="187" t="s">
        <v>242</v>
      </c>
      <c r="CN139" s="116"/>
      <c r="CO139" s="100">
        <v>0.15</v>
      </c>
      <c r="CP139" s="100">
        <f t="shared" si="129"/>
        <v>0.17499999999999999</v>
      </c>
      <c r="CQ139" s="100">
        <v>0.2</v>
      </c>
      <c r="CR139" s="101">
        <v>0.15</v>
      </c>
      <c r="CS139" s="101">
        <v>0.2</v>
      </c>
    </row>
    <row r="140" spans="1:97" s="101" customFormat="1" ht="17.25" hidden="1" customHeight="1" thickBot="1" x14ac:dyDescent="0.35">
      <c r="A140" s="99"/>
      <c r="V140" s="103"/>
      <c r="AA140" s="104"/>
      <c r="AB140" s="104"/>
      <c r="AD140" s="104"/>
      <c r="AE140" s="105"/>
      <c r="AH140" s="106"/>
      <c r="AI140" s="106"/>
      <c r="AK140" s="104"/>
      <c r="AR140" s="104"/>
      <c r="AV140" s="104"/>
      <c r="AX140" s="104"/>
      <c r="AY140" s="93"/>
      <c r="AZ140" s="93"/>
      <c r="BA140" s="93"/>
      <c r="BB140" s="93"/>
      <c r="BC140" s="93"/>
      <c r="BD140" s="93"/>
      <c r="BE140" s="93"/>
      <c r="BF140" s="93"/>
      <c r="BG140" s="93"/>
      <c r="BH140" s="93"/>
      <c r="BI140" s="93" t="s">
        <v>427</v>
      </c>
      <c r="BJ140" s="93" t="s">
        <v>408</v>
      </c>
      <c r="BK140" s="93">
        <v>1.9805999999999999</v>
      </c>
      <c r="BL140" s="93" t="s">
        <v>409</v>
      </c>
      <c r="BM140" s="93">
        <v>6.5890000000000004E-2</v>
      </c>
      <c r="BN140" s="93">
        <v>6.5890000000000004E-2</v>
      </c>
      <c r="BO140" s="93" t="s">
        <v>241</v>
      </c>
      <c r="BP140" s="93">
        <v>3.5700000000000003E-2</v>
      </c>
      <c r="BQ140" s="93">
        <f>BP140/1000</f>
        <v>3.57E-5</v>
      </c>
      <c r="BR140" s="93" t="s">
        <v>410</v>
      </c>
      <c r="BS140" s="93">
        <v>3.0000000000000001E-3</v>
      </c>
      <c r="BT140" s="93">
        <v>0.03</v>
      </c>
      <c r="BU140" s="93" t="s">
        <v>242</v>
      </c>
      <c r="BV140" s="93">
        <v>3.5999999999999999E-3</v>
      </c>
      <c r="BW140" s="93">
        <f>BV140/1000</f>
        <v>3.5999999999999998E-6</v>
      </c>
      <c r="BX140" s="93" t="s">
        <v>515</v>
      </c>
      <c r="BY140" s="93">
        <v>2.9999999999999997E-4</v>
      </c>
      <c r="BZ140" s="93">
        <v>0.03</v>
      </c>
      <c r="CA140" s="93" t="s">
        <v>242</v>
      </c>
      <c r="CB140" s="181">
        <v>3.28</v>
      </c>
      <c r="CC140" s="195">
        <f>CB140/1000</f>
        <v>3.2799999999999999E-3</v>
      </c>
      <c r="CD140" s="187" t="s">
        <v>410</v>
      </c>
      <c r="CE140" s="189">
        <v>0.5</v>
      </c>
      <c r="CF140" s="189">
        <v>15.4</v>
      </c>
      <c r="CG140" s="187" t="s">
        <v>242</v>
      </c>
      <c r="CH140" s="181">
        <v>0.107</v>
      </c>
      <c r="CI140" s="195">
        <f>CH140/1000</f>
        <v>1.07E-4</v>
      </c>
      <c r="CJ140" s="187" t="s">
        <v>515</v>
      </c>
      <c r="CK140" s="189">
        <v>0.01</v>
      </c>
      <c r="CL140" s="189">
        <v>0.77</v>
      </c>
      <c r="CM140" s="187" t="s">
        <v>242</v>
      </c>
      <c r="CN140" s="116"/>
      <c r="CO140" s="100">
        <v>0.15</v>
      </c>
      <c r="CP140" s="100">
        <f t="shared" si="129"/>
        <v>0.17499999999999999</v>
      </c>
      <c r="CQ140" s="100">
        <v>0.2</v>
      </c>
      <c r="CR140" s="101">
        <v>0.15</v>
      </c>
      <c r="CS140" s="101">
        <v>0.2</v>
      </c>
    </row>
    <row r="141" spans="1:97" s="101" customFormat="1" ht="17.25" hidden="1" customHeight="1" thickBot="1" x14ac:dyDescent="0.35">
      <c r="A141" s="99"/>
      <c r="V141" s="103"/>
      <c r="AA141" s="104"/>
      <c r="AB141" s="104"/>
      <c r="AD141" s="104"/>
      <c r="AE141" s="105"/>
      <c r="AH141" s="106"/>
      <c r="AI141" s="106"/>
      <c r="AK141" s="104"/>
      <c r="AR141" s="104"/>
      <c r="AV141" s="104"/>
      <c r="AX141" s="104"/>
      <c r="AY141" s="93"/>
      <c r="AZ141" s="93"/>
      <c r="BA141" s="93"/>
      <c r="BB141" s="93"/>
      <c r="BC141" s="93"/>
      <c r="BD141" s="93"/>
      <c r="BE141" s="93"/>
      <c r="BF141" s="93"/>
      <c r="BG141" s="93"/>
      <c r="BH141" s="93"/>
      <c r="BI141" s="93" t="s">
        <v>4</v>
      </c>
      <c r="BJ141" s="93" t="s">
        <v>408</v>
      </c>
      <c r="BK141" s="93">
        <v>2.1913</v>
      </c>
      <c r="BL141" s="93" t="s">
        <v>409</v>
      </c>
      <c r="BM141" s="93">
        <v>1.15E-3</v>
      </c>
      <c r="BN141" s="93">
        <v>1.15E-3</v>
      </c>
      <c r="BO141" s="93" t="s">
        <v>241</v>
      </c>
      <c r="BP141" s="93">
        <v>3.8699999999999998E-2</v>
      </c>
      <c r="BQ141" s="93">
        <f t="shared" si="130"/>
        <v>3.8699999999999999E-5</v>
      </c>
      <c r="BR141" s="93" t="s">
        <v>410</v>
      </c>
      <c r="BS141" s="93">
        <v>3.0000000000000001E-3</v>
      </c>
      <c r="BT141" s="93">
        <v>0.03</v>
      </c>
      <c r="BU141" s="93" t="s">
        <v>242</v>
      </c>
      <c r="BV141" s="93">
        <v>3.8999999999999998E-3</v>
      </c>
      <c r="BW141" s="93">
        <f t="shared" si="131"/>
        <v>3.8999999999999999E-6</v>
      </c>
      <c r="BX141" s="93" t="s">
        <v>515</v>
      </c>
      <c r="BY141" s="93">
        <v>2.9999999999999997E-4</v>
      </c>
      <c r="BZ141" s="93">
        <v>0.03</v>
      </c>
      <c r="CA141" s="93" t="s">
        <v>242</v>
      </c>
      <c r="CB141" s="181">
        <v>3.5579999999999998</v>
      </c>
      <c r="CC141" s="195">
        <f t="shared" si="132"/>
        <v>3.558E-3</v>
      </c>
      <c r="CD141" s="187" t="s">
        <v>410</v>
      </c>
      <c r="CE141" s="189">
        <v>0.5</v>
      </c>
      <c r="CF141" s="189">
        <v>15.4</v>
      </c>
      <c r="CG141" s="187" t="s">
        <v>242</v>
      </c>
      <c r="CH141" s="181">
        <v>0.11600000000000001</v>
      </c>
      <c r="CI141" s="195">
        <f t="shared" si="133"/>
        <v>1.16E-4</v>
      </c>
      <c r="CJ141" s="187" t="s">
        <v>515</v>
      </c>
      <c r="CK141" s="189">
        <v>0.01</v>
      </c>
      <c r="CL141" s="189">
        <v>0.77</v>
      </c>
      <c r="CM141" s="187" t="s">
        <v>242</v>
      </c>
      <c r="CN141" s="116"/>
      <c r="CO141" s="100">
        <v>0.15</v>
      </c>
      <c r="CP141" s="100">
        <f t="shared" si="129"/>
        <v>0.17499999999999999</v>
      </c>
      <c r="CQ141" s="100">
        <v>0.2</v>
      </c>
      <c r="CR141" s="101">
        <v>0.15</v>
      </c>
      <c r="CS141" s="101">
        <v>0.2</v>
      </c>
    </row>
    <row r="142" spans="1:97" s="101" customFormat="1" ht="17.25" hidden="1" customHeight="1" thickBot="1" x14ac:dyDescent="0.35">
      <c r="A142" s="99"/>
      <c r="V142" s="103"/>
      <c r="AA142" s="104"/>
      <c r="AB142" s="104"/>
      <c r="AD142" s="104"/>
      <c r="AE142" s="105"/>
      <c r="AH142" s="106"/>
      <c r="AI142" s="106"/>
      <c r="AK142" s="104"/>
      <c r="AR142" s="104"/>
      <c r="AV142" s="104"/>
      <c r="AX142" s="104"/>
      <c r="AY142" s="93"/>
      <c r="AZ142" s="93"/>
      <c r="BA142" s="93"/>
      <c r="BB142" s="93"/>
      <c r="BC142" s="93"/>
      <c r="BD142" s="93"/>
      <c r="BE142" s="93"/>
      <c r="BF142" s="93"/>
      <c r="BG142" s="93"/>
      <c r="BH142" s="93"/>
      <c r="BI142" s="93" t="s">
        <v>5</v>
      </c>
      <c r="BJ142" s="93" t="s">
        <v>408</v>
      </c>
      <c r="BK142" s="93">
        <v>1.8396999999999999</v>
      </c>
      <c r="BL142" s="93" t="s">
        <v>409</v>
      </c>
      <c r="BM142" s="93">
        <v>1.16E-3</v>
      </c>
      <c r="BN142" s="93">
        <v>1.16E-3</v>
      </c>
      <c r="BO142" s="93" t="s">
        <v>241</v>
      </c>
      <c r="BP142" s="93">
        <v>3.3500000000000002E-2</v>
      </c>
      <c r="BQ142" s="93">
        <f t="shared" si="130"/>
        <v>3.3500000000000001E-5</v>
      </c>
      <c r="BR142" s="93" t="s">
        <v>410</v>
      </c>
      <c r="BS142" s="93">
        <v>3.0000000000000001E-3</v>
      </c>
      <c r="BT142" s="93">
        <v>0.03</v>
      </c>
      <c r="BU142" s="93" t="s">
        <v>242</v>
      </c>
      <c r="BV142" s="93">
        <v>3.3E-3</v>
      </c>
      <c r="BW142" s="93">
        <f t="shared" si="131"/>
        <v>3.3000000000000002E-6</v>
      </c>
      <c r="BX142" s="93" t="s">
        <v>515</v>
      </c>
      <c r="BY142" s="93">
        <v>2.9999999999999997E-4</v>
      </c>
      <c r="BZ142" s="93">
        <v>0.03</v>
      </c>
      <c r="CA142" s="93" t="s">
        <v>242</v>
      </c>
      <c r="CB142" s="181">
        <v>3.0815000000000001</v>
      </c>
      <c r="CC142" s="195">
        <f t="shared" si="132"/>
        <v>3.0815E-3</v>
      </c>
      <c r="CD142" s="187" t="s">
        <v>410</v>
      </c>
      <c r="CE142" s="189">
        <v>0.5</v>
      </c>
      <c r="CF142" s="189">
        <v>15.4</v>
      </c>
      <c r="CG142" s="187" t="s">
        <v>242</v>
      </c>
      <c r="CH142" s="181">
        <v>0.10050000000000001</v>
      </c>
      <c r="CI142" s="195">
        <f t="shared" si="133"/>
        <v>1.005E-4</v>
      </c>
      <c r="CJ142" s="187" t="s">
        <v>515</v>
      </c>
      <c r="CK142" s="189">
        <v>0.01</v>
      </c>
      <c r="CL142" s="189">
        <v>0.77</v>
      </c>
      <c r="CM142" s="187" t="s">
        <v>242</v>
      </c>
      <c r="CN142" s="116"/>
      <c r="CO142" s="100"/>
      <c r="CP142" s="100"/>
      <c r="CQ142" s="100"/>
      <c r="CR142" s="101">
        <v>0.15</v>
      </c>
      <c r="CS142" s="101">
        <v>0.2</v>
      </c>
    </row>
    <row r="143" spans="1:97" s="101" customFormat="1" ht="17.25" hidden="1" customHeight="1" thickBot="1" x14ac:dyDescent="0.35">
      <c r="A143" s="99"/>
      <c r="V143" s="103"/>
      <c r="AA143" s="104"/>
      <c r="AB143" s="104"/>
      <c r="AD143" s="104"/>
      <c r="AE143" s="105"/>
      <c r="AH143" s="106"/>
      <c r="AI143" s="106"/>
      <c r="AK143" s="104"/>
      <c r="AR143" s="104"/>
      <c r="AV143" s="104"/>
      <c r="AX143" s="104"/>
      <c r="AY143" s="93"/>
      <c r="AZ143" s="93"/>
      <c r="BA143" s="93"/>
      <c r="BB143" s="93"/>
      <c r="BC143" s="93"/>
      <c r="BD143" s="93"/>
      <c r="BE143" s="93"/>
      <c r="BF143" s="93"/>
      <c r="BG143" s="93"/>
      <c r="BH143" s="93"/>
      <c r="BI143" s="93" t="s">
        <v>6</v>
      </c>
      <c r="BJ143" s="93" t="s">
        <v>408</v>
      </c>
      <c r="BK143" s="93">
        <v>1.8259000000000001</v>
      </c>
      <c r="BL143" s="93" t="s">
        <v>409</v>
      </c>
      <c r="BM143" s="93">
        <v>7.107999999999999E-2</v>
      </c>
      <c r="BN143" s="93">
        <v>7.107999999999999E-2</v>
      </c>
      <c r="BO143" s="93" t="s">
        <v>241</v>
      </c>
      <c r="BP143" s="93">
        <v>3.3300000000000003E-2</v>
      </c>
      <c r="BQ143" s="93">
        <f t="shared" si="130"/>
        <v>3.3300000000000003E-5</v>
      </c>
      <c r="BR143" s="93" t="s">
        <v>410</v>
      </c>
      <c r="BS143" s="93">
        <v>3.0000000000000001E-3</v>
      </c>
      <c r="BT143" s="93">
        <v>0.03</v>
      </c>
      <c r="BU143" s="93" t="s">
        <v>242</v>
      </c>
      <c r="BV143" s="93">
        <v>3.3E-3</v>
      </c>
      <c r="BW143" s="93">
        <f t="shared" si="131"/>
        <v>3.3000000000000002E-6</v>
      </c>
      <c r="BX143" s="93" t="s">
        <v>515</v>
      </c>
      <c r="BY143" s="93">
        <v>2.9999999999999997E-4</v>
      </c>
      <c r="BZ143" s="93">
        <v>0.03</v>
      </c>
      <c r="CA143" s="93" t="s">
        <v>242</v>
      </c>
      <c r="CB143" s="181">
        <v>3.0607000000000002</v>
      </c>
      <c r="CC143" s="195">
        <f t="shared" si="132"/>
        <v>3.0607000000000004E-3</v>
      </c>
      <c r="CD143" s="187" t="s">
        <v>410</v>
      </c>
      <c r="CE143" s="189">
        <v>0.5</v>
      </c>
      <c r="CF143" s="189">
        <v>15.4</v>
      </c>
      <c r="CG143" s="187" t="s">
        <v>242</v>
      </c>
      <c r="CH143" s="181">
        <v>9.98E-2</v>
      </c>
      <c r="CI143" s="195">
        <f t="shared" si="133"/>
        <v>9.98E-5</v>
      </c>
      <c r="CJ143" s="187" t="s">
        <v>515</v>
      </c>
      <c r="CK143" s="189">
        <v>0.01</v>
      </c>
      <c r="CL143" s="189">
        <v>0.77</v>
      </c>
      <c r="CM143" s="187" t="s">
        <v>242</v>
      </c>
      <c r="CN143" s="116"/>
      <c r="CO143" s="100"/>
      <c r="CP143" s="100"/>
      <c r="CQ143" s="100"/>
      <c r="CR143" s="101">
        <v>0.15</v>
      </c>
      <c r="CS143" s="101">
        <v>0.2</v>
      </c>
    </row>
    <row r="144" spans="1:97" s="101" customFormat="1" ht="17.25" hidden="1" customHeight="1" thickBot="1" x14ac:dyDescent="0.35">
      <c r="A144" s="99"/>
      <c r="V144" s="103"/>
      <c r="AA144" s="104"/>
      <c r="AB144" s="104"/>
      <c r="AD144" s="104"/>
      <c r="AE144" s="105"/>
      <c r="AH144" s="106"/>
      <c r="AI144" s="106"/>
      <c r="AK144" s="104"/>
      <c r="AR144" s="104"/>
      <c r="AV144" s="104"/>
      <c r="AX144" s="104"/>
      <c r="AY144" s="93"/>
      <c r="AZ144" s="93"/>
      <c r="BA144" s="93"/>
      <c r="BB144" s="93"/>
      <c r="BC144" s="93"/>
      <c r="BD144" s="93"/>
      <c r="BE144" s="93"/>
      <c r="BF144" s="93"/>
      <c r="BG144" s="93"/>
      <c r="BH144" s="93"/>
      <c r="BI144" s="93" t="s">
        <v>244</v>
      </c>
      <c r="BJ144" s="93" t="s">
        <v>408</v>
      </c>
      <c r="BK144" s="93">
        <v>2.0354999999999999</v>
      </c>
      <c r="BL144" s="93" t="s">
        <v>409</v>
      </c>
      <c r="BM144" s="93">
        <v>6.3630000000000006E-2</v>
      </c>
      <c r="BN144" s="93">
        <v>6.3630000000000006E-2</v>
      </c>
      <c r="BO144" s="93" t="s">
        <v>241</v>
      </c>
      <c r="BP144" s="93">
        <v>3.73E-2</v>
      </c>
      <c r="BQ144" s="93">
        <f t="shared" si="130"/>
        <v>3.7299999999999999E-5</v>
      </c>
      <c r="BR144" s="93" t="s">
        <v>410</v>
      </c>
      <c r="BS144" s="93">
        <v>3.0000000000000001E-3</v>
      </c>
      <c r="BT144" s="93">
        <v>0.03</v>
      </c>
      <c r="BU144" s="93" t="s">
        <v>242</v>
      </c>
      <c r="BV144" s="93">
        <v>3.7000000000000002E-3</v>
      </c>
      <c r="BW144" s="93">
        <f t="shared" si="131"/>
        <v>3.7000000000000002E-6</v>
      </c>
      <c r="BX144" s="93" t="s">
        <v>515</v>
      </c>
      <c r="BY144" s="93">
        <v>2.9999999999999997E-4</v>
      </c>
      <c r="BZ144" s="93">
        <v>0.03</v>
      </c>
      <c r="CA144" s="93" t="s">
        <v>242</v>
      </c>
      <c r="CB144" s="181">
        <v>3.4278</v>
      </c>
      <c r="CC144" s="195">
        <f t="shared" si="132"/>
        <v>3.4277999999999999E-3</v>
      </c>
      <c r="CD144" s="187" t="s">
        <v>410</v>
      </c>
      <c r="CE144" s="189">
        <v>0.5</v>
      </c>
      <c r="CF144" s="189">
        <v>15.4</v>
      </c>
      <c r="CG144" s="187" t="s">
        <v>242</v>
      </c>
      <c r="CH144" s="181">
        <v>0.1118</v>
      </c>
      <c r="CI144" s="195">
        <f t="shared" si="133"/>
        <v>1.1179999999999999E-4</v>
      </c>
      <c r="CJ144" s="187" t="s">
        <v>515</v>
      </c>
      <c r="CK144" s="189">
        <v>0.01</v>
      </c>
      <c r="CL144" s="189">
        <v>0.77</v>
      </c>
      <c r="CM144" s="187" t="s">
        <v>242</v>
      </c>
      <c r="CN144" s="116"/>
      <c r="CO144" s="100"/>
      <c r="CP144" s="100"/>
      <c r="CQ144" s="100"/>
      <c r="CR144" s="101">
        <v>0.15</v>
      </c>
      <c r="CS144" s="101">
        <v>0.2</v>
      </c>
    </row>
    <row r="145" spans="1:97" s="101" customFormat="1" ht="17.25" hidden="1" customHeight="1" thickBot="1" x14ac:dyDescent="0.35">
      <c r="A145" s="99"/>
      <c r="V145" s="103"/>
      <c r="AA145" s="104"/>
      <c r="AB145" s="104"/>
      <c r="AD145" s="104"/>
      <c r="AE145" s="105"/>
      <c r="AH145" s="106"/>
      <c r="AI145" s="106"/>
      <c r="AK145" s="104"/>
      <c r="AR145" s="104"/>
      <c r="AV145" s="104"/>
      <c r="AX145" s="104"/>
      <c r="AY145" s="93"/>
      <c r="AZ145" s="93"/>
      <c r="BA145" s="93"/>
      <c r="BB145" s="93"/>
      <c r="BC145" s="93"/>
      <c r="BD145" s="93"/>
      <c r="BE145" s="93"/>
      <c r="BF145" s="93"/>
      <c r="BG145" s="93"/>
      <c r="BH145" s="93"/>
      <c r="BI145" s="93" t="s">
        <v>245</v>
      </c>
      <c r="BJ145" s="93" t="s">
        <v>408</v>
      </c>
      <c r="BK145" s="93">
        <v>1.9775</v>
      </c>
      <c r="BL145" s="93" t="s">
        <v>409</v>
      </c>
      <c r="BM145" s="93">
        <v>3.7130000000000003E-2</v>
      </c>
      <c r="BN145" s="93">
        <v>3.7130000000000003E-2</v>
      </c>
      <c r="BO145" s="93" t="s">
        <v>241</v>
      </c>
      <c r="BP145" s="93">
        <v>3.5400000000000001E-2</v>
      </c>
      <c r="BQ145" s="93">
        <f t="shared" si="130"/>
        <v>3.54E-5</v>
      </c>
      <c r="BR145" s="93" t="s">
        <v>410</v>
      </c>
      <c r="BS145" s="93">
        <v>3.0000000000000001E-3</v>
      </c>
      <c r="BT145" s="93">
        <v>0.03</v>
      </c>
      <c r="BU145" s="93" t="s">
        <v>242</v>
      </c>
      <c r="BV145" s="93">
        <v>3.5000000000000001E-3</v>
      </c>
      <c r="BW145" s="93">
        <f t="shared" si="131"/>
        <v>3.4999999999999999E-6</v>
      </c>
      <c r="BX145" s="93" t="s">
        <v>515</v>
      </c>
      <c r="BY145" s="93">
        <v>2.9999999999999997E-4</v>
      </c>
      <c r="BZ145" s="93">
        <v>0.03</v>
      </c>
      <c r="CA145" s="93" t="s">
        <v>242</v>
      </c>
      <c r="CB145" s="181">
        <v>3.2595000000000001</v>
      </c>
      <c r="CC145" s="195">
        <f t="shared" si="132"/>
        <v>3.2595000000000002E-3</v>
      </c>
      <c r="CD145" s="187" t="s">
        <v>410</v>
      </c>
      <c r="CE145" s="189">
        <v>0.5</v>
      </c>
      <c r="CF145" s="189">
        <v>15.4</v>
      </c>
      <c r="CG145" s="187" t="s">
        <v>242</v>
      </c>
      <c r="CH145" s="181">
        <v>0.10630000000000001</v>
      </c>
      <c r="CI145" s="195">
        <f t="shared" si="133"/>
        <v>1.0630000000000001E-4</v>
      </c>
      <c r="CJ145" s="187" t="s">
        <v>515</v>
      </c>
      <c r="CK145" s="189">
        <v>0.01</v>
      </c>
      <c r="CL145" s="189">
        <v>0.77</v>
      </c>
      <c r="CM145" s="187" t="s">
        <v>242</v>
      </c>
      <c r="CN145" s="116"/>
      <c r="CO145" s="100"/>
      <c r="CP145" s="100"/>
      <c r="CQ145" s="100"/>
      <c r="CR145" s="101">
        <v>0.15</v>
      </c>
      <c r="CS145" s="101">
        <v>0.2</v>
      </c>
    </row>
    <row r="146" spans="1:97" s="101" customFormat="1" ht="17.25" hidden="1" customHeight="1" thickBot="1" x14ac:dyDescent="0.35">
      <c r="A146" s="99"/>
      <c r="V146" s="103"/>
      <c r="AA146" s="104"/>
      <c r="AB146" s="104"/>
      <c r="AD146" s="104"/>
      <c r="AE146" s="105"/>
      <c r="AH146" s="106"/>
      <c r="AI146" s="106"/>
      <c r="AK146" s="104"/>
      <c r="AR146" s="104"/>
      <c r="AV146" s="104"/>
      <c r="AX146" s="104"/>
      <c r="AY146" s="93"/>
      <c r="AZ146" s="93"/>
      <c r="BA146" s="93"/>
      <c r="BB146" s="93"/>
      <c r="BC146" s="93"/>
      <c r="BD146" s="93"/>
      <c r="BE146" s="93"/>
      <c r="BF146" s="93"/>
      <c r="BG146" s="93"/>
      <c r="BH146" s="93"/>
      <c r="BI146" s="93" t="s">
        <v>246</v>
      </c>
      <c r="BJ146" s="93" t="s">
        <v>408</v>
      </c>
      <c r="BK146" s="93">
        <v>2.1621000000000001</v>
      </c>
      <c r="BL146" s="93" t="s">
        <v>409</v>
      </c>
      <c r="BM146" s="93">
        <v>3.0299999999999997E-3</v>
      </c>
      <c r="BN146" s="93">
        <v>3.0299999999999997E-3</v>
      </c>
      <c r="BO146" s="93" t="s">
        <v>241</v>
      </c>
      <c r="BP146" s="93">
        <v>3.7900000000000003E-2</v>
      </c>
      <c r="BQ146" s="93">
        <f t="shared" si="130"/>
        <v>3.7900000000000006E-5</v>
      </c>
      <c r="BR146" s="93" t="s">
        <v>410</v>
      </c>
      <c r="BS146" s="93">
        <v>3.0000000000000001E-3</v>
      </c>
      <c r="BT146" s="93">
        <v>0.03</v>
      </c>
      <c r="BU146" s="93" t="s">
        <v>242</v>
      </c>
      <c r="BV146" s="93">
        <v>3.8E-3</v>
      </c>
      <c r="BW146" s="93">
        <f t="shared" si="131"/>
        <v>3.8E-6</v>
      </c>
      <c r="BX146" s="93" t="s">
        <v>515</v>
      </c>
      <c r="BY146" s="93">
        <v>2.9999999999999997E-4</v>
      </c>
      <c r="BZ146" s="93">
        <v>0.03</v>
      </c>
      <c r="CA146" s="93" t="s">
        <v>242</v>
      </c>
      <c r="CB146" s="181">
        <v>3.49</v>
      </c>
      <c r="CC146" s="195">
        <f t="shared" si="132"/>
        <v>3.49E-3</v>
      </c>
      <c r="CD146" s="187" t="s">
        <v>410</v>
      </c>
      <c r="CE146" s="189">
        <v>0.5</v>
      </c>
      <c r="CF146" s="189">
        <v>15.4</v>
      </c>
      <c r="CG146" s="187" t="s">
        <v>242</v>
      </c>
      <c r="CH146" s="181">
        <v>0.1138</v>
      </c>
      <c r="CI146" s="195">
        <f t="shared" si="133"/>
        <v>1.138E-4</v>
      </c>
      <c r="CJ146" s="187" t="s">
        <v>515</v>
      </c>
      <c r="CK146" s="189">
        <v>0.01</v>
      </c>
      <c r="CL146" s="189">
        <v>0.77</v>
      </c>
      <c r="CM146" s="187" t="s">
        <v>242</v>
      </c>
      <c r="CN146" s="116"/>
      <c r="CO146" s="100">
        <v>0.6</v>
      </c>
      <c r="CP146" s="100">
        <f t="shared" ref="CP146:CP163" si="134">(CO146+CQ146)/2</f>
        <v>0.8</v>
      </c>
      <c r="CQ146" s="100">
        <v>1</v>
      </c>
      <c r="CR146" s="101">
        <v>0.15</v>
      </c>
      <c r="CS146" s="101">
        <v>0.2</v>
      </c>
    </row>
    <row r="147" spans="1:97" s="101" customFormat="1" ht="17.25" hidden="1" customHeight="1" thickBot="1" x14ac:dyDescent="0.35">
      <c r="A147" s="99"/>
      <c r="V147" s="103"/>
      <c r="AA147" s="104"/>
      <c r="AB147" s="104"/>
      <c r="AD147" s="104"/>
      <c r="AE147" s="105"/>
      <c r="AH147" s="106"/>
      <c r="AI147" s="106"/>
      <c r="AK147" s="104"/>
      <c r="AR147" s="104"/>
      <c r="AV147" s="104"/>
      <c r="AX147" s="104"/>
      <c r="AY147" s="93"/>
      <c r="AZ147" s="93"/>
      <c r="BA147" s="93"/>
      <c r="BB147" s="93"/>
      <c r="BC147" s="93"/>
      <c r="BD147" s="93"/>
      <c r="BE147" s="93"/>
      <c r="BF147" s="93"/>
      <c r="BG147" s="93"/>
      <c r="BH147" s="93"/>
      <c r="BI147" s="93" t="s">
        <v>247</v>
      </c>
      <c r="BJ147" s="93" t="s">
        <v>408</v>
      </c>
      <c r="BK147" s="93">
        <v>1.8321000000000001</v>
      </c>
      <c r="BL147" s="93" t="s">
        <v>409</v>
      </c>
      <c r="BM147" s="93">
        <v>7.0720000000000005E-2</v>
      </c>
      <c r="BN147" s="93">
        <v>7.0720000000000005E-2</v>
      </c>
      <c r="BO147" s="93" t="s">
        <v>241</v>
      </c>
      <c r="BP147" s="93">
        <v>3.3500000000000002E-2</v>
      </c>
      <c r="BQ147" s="93">
        <f t="shared" si="130"/>
        <v>3.3500000000000001E-5</v>
      </c>
      <c r="BR147" s="93" t="s">
        <v>410</v>
      </c>
      <c r="BS147" s="93">
        <v>3.0000000000000001E-3</v>
      </c>
      <c r="BT147" s="93">
        <v>0.03</v>
      </c>
      <c r="BU147" s="93" t="s">
        <v>242</v>
      </c>
      <c r="BV147" s="93">
        <v>3.3999999999999998E-3</v>
      </c>
      <c r="BW147" s="93">
        <f t="shared" si="131"/>
        <v>3.3999999999999996E-6</v>
      </c>
      <c r="BX147" s="93" t="s">
        <v>515</v>
      </c>
      <c r="BY147" s="93">
        <v>2.9999999999999997E-4</v>
      </c>
      <c r="BZ147" s="93">
        <v>0.03</v>
      </c>
      <c r="CA147" s="93" t="s">
        <v>242</v>
      </c>
      <c r="CB147" s="181">
        <v>3.0825</v>
      </c>
      <c r="CC147" s="195">
        <f t="shared" si="132"/>
        <v>3.0825000000000002E-3</v>
      </c>
      <c r="CD147" s="187" t="s">
        <v>410</v>
      </c>
      <c r="CE147" s="189">
        <v>0.5</v>
      </c>
      <c r="CF147" s="189">
        <v>15.4</v>
      </c>
      <c r="CG147" s="187" t="s">
        <v>242</v>
      </c>
      <c r="CH147" s="181">
        <v>0.10050000000000001</v>
      </c>
      <c r="CI147" s="195">
        <f t="shared" si="133"/>
        <v>1.005E-4</v>
      </c>
      <c r="CJ147" s="187" t="s">
        <v>515</v>
      </c>
      <c r="CK147" s="189">
        <v>0.01</v>
      </c>
      <c r="CL147" s="189">
        <v>0.77</v>
      </c>
      <c r="CM147" s="187" t="s">
        <v>242</v>
      </c>
      <c r="CN147" s="116"/>
      <c r="CO147" s="100">
        <v>0.15</v>
      </c>
      <c r="CP147" s="100">
        <f t="shared" si="134"/>
        <v>0.17499999999999999</v>
      </c>
      <c r="CQ147" s="100">
        <v>0.2</v>
      </c>
      <c r="CR147" s="101">
        <v>0.15</v>
      </c>
      <c r="CS147" s="101">
        <v>0.2</v>
      </c>
    </row>
    <row r="148" spans="1:97" s="101" customFormat="1" ht="17.25" hidden="1" customHeight="1" thickBot="1" x14ac:dyDescent="0.35">
      <c r="A148" s="99"/>
      <c r="V148" s="103"/>
      <c r="AA148" s="104"/>
      <c r="AB148" s="104"/>
      <c r="AD148" s="104"/>
      <c r="AE148" s="105"/>
      <c r="AH148" s="106"/>
      <c r="AI148" s="106"/>
      <c r="AK148" s="104"/>
      <c r="AR148" s="104"/>
      <c r="AV148" s="104"/>
      <c r="AX148" s="104"/>
      <c r="AY148" s="93"/>
      <c r="AZ148" s="93"/>
      <c r="BA148" s="93"/>
      <c r="BB148" s="93"/>
      <c r="BC148" s="93"/>
      <c r="BD148" s="93"/>
      <c r="BE148" s="93"/>
      <c r="BF148" s="93"/>
      <c r="BG148" s="93"/>
      <c r="BH148" s="93"/>
      <c r="BI148" s="93" t="s">
        <v>275</v>
      </c>
      <c r="BJ148" s="93" t="s">
        <v>408</v>
      </c>
      <c r="BK148" s="93">
        <v>4.6929999999999996</v>
      </c>
      <c r="BL148" s="93" t="s">
        <v>409</v>
      </c>
      <c r="BM148" s="93">
        <v>2.6000000000000002E-2</v>
      </c>
      <c r="BN148" s="93">
        <v>2.6000000000000002E-2</v>
      </c>
      <c r="BO148" s="93" t="s">
        <v>241</v>
      </c>
      <c r="BP148" s="93">
        <v>9.9199999999999997E-2</v>
      </c>
      <c r="BQ148" s="93">
        <f t="shared" si="130"/>
        <v>9.9199999999999999E-5</v>
      </c>
      <c r="BR148" s="93" t="s">
        <v>410</v>
      </c>
      <c r="BS148" s="93">
        <v>3.0000000000000001E-3</v>
      </c>
      <c r="BT148" s="93">
        <v>0.03</v>
      </c>
      <c r="BU148" s="93" t="s">
        <v>242</v>
      </c>
      <c r="BV148" s="93">
        <v>9.9000000000000008E-3</v>
      </c>
      <c r="BW148" s="93">
        <f t="shared" si="131"/>
        <v>9.9000000000000001E-6</v>
      </c>
      <c r="BX148" s="93" t="s">
        <v>515</v>
      </c>
      <c r="BY148" s="93">
        <v>2.9999999999999997E-4</v>
      </c>
      <c r="BZ148" s="93">
        <v>0.03</v>
      </c>
      <c r="CA148" s="93" t="s">
        <v>242</v>
      </c>
      <c r="CB148" s="181">
        <v>6.1513</v>
      </c>
      <c r="CC148" s="195">
        <f t="shared" si="132"/>
        <v>6.1513000000000002E-3</v>
      </c>
      <c r="CD148" s="187" t="s">
        <v>410</v>
      </c>
      <c r="CE148" s="189">
        <v>0</v>
      </c>
      <c r="CF148" s="189">
        <v>0</v>
      </c>
      <c r="CG148" s="187" t="s">
        <v>242</v>
      </c>
      <c r="CH148" s="181">
        <v>1.9800000000000002E-2</v>
      </c>
      <c r="CI148" s="195">
        <f t="shared" si="133"/>
        <v>1.98E-5</v>
      </c>
      <c r="CJ148" s="187" t="s">
        <v>515</v>
      </c>
      <c r="CK148" s="189">
        <v>0</v>
      </c>
      <c r="CL148" s="189">
        <v>0</v>
      </c>
      <c r="CM148" s="187" t="s">
        <v>242</v>
      </c>
      <c r="CN148" s="116"/>
      <c r="CO148" s="100">
        <v>0.15</v>
      </c>
      <c r="CP148" s="100">
        <f t="shared" si="134"/>
        <v>0.17499999999999999</v>
      </c>
      <c r="CQ148" s="100">
        <v>0.2</v>
      </c>
      <c r="CR148" s="101">
        <v>0.15</v>
      </c>
      <c r="CS148" s="101">
        <v>0.2</v>
      </c>
    </row>
    <row r="149" spans="1:97" s="101" customFormat="1" ht="17.25" hidden="1" customHeight="1" thickBot="1" x14ac:dyDescent="0.35">
      <c r="A149" s="99"/>
      <c r="V149" s="103"/>
      <c r="AA149" s="104"/>
      <c r="AB149" s="104"/>
      <c r="AD149" s="104"/>
      <c r="AE149" s="105"/>
      <c r="AH149" s="106"/>
      <c r="AI149" s="106"/>
      <c r="AK149" s="104"/>
      <c r="AR149" s="104"/>
      <c r="AV149" s="104"/>
      <c r="AX149" s="104"/>
      <c r="AY149" s="93"/>
      <c r="AZ149" s="93"/>
      <c r="BA149" s="93"/>
      <c r="BB149" s="93"/>
      <c r="BC149" s="93"/>
      <c r="BD149" s="93"/>
      <c r="BE149" s="93"/>
      <c r="BF149" s="93"/>
      <c r="BG149" s="93"/>
      <c r="BH149" s="93"/>
      <c r="BI149" s="93" t="s">
        <v>7</v>
      </c>
      <c r="BJ149" s="93" t="s">
        <v>408</v>
      </c>
      <c r="BK149" s="93">
        <v>5.5792000000000002</v>
      </c>
      <c r="BL149" s="93" t="s">
        <v>409</v>
      </c>
      <c r="BM149" s="93">
        <v>2.5219999999999999E-2</v>
      </c>
      <c r="BN149" s="93">
        <v>2.5219999999999999E-2</v>
      </c>
      <c r="BO149" s="93" t="s">
        <v>241</v>
      </c>
      <c r="BP149" s="93">
        <v>8.6300000000000002E-2</v>
      </c>
      <c r="BQ149" s="93">
        <f t="shared" si="130"/>
        <v>8.6299999999999997E-5</v>
      </c>
      <c r="BR149" s="93" t="s">
        <v>410</v>
      </c>
      <c r="BS149" s="93">
        <v>3.0000000000000001E-3</v>
      </c>
      <c r="BT149" s="93">
        <v>0.03</v>
      </c>
      <c r="BU149" s="93" t="s">
        <v>242</v>
      </c>
      <c r="BV149" s="93">
        <v>8.6E-3</v>
      </c>
      <c r="BW149" s="93">
        <f t="shared" si="131"/>
        <v>8.6000000000000007E-6</v>
      </c>
      <c r="BX149" s="93" t="s">
        <v>515</v>
      </c>
      <c r="BY149" s="93">
        <v>2.9999999999999997E-4</v>
      </c>
      <c r="BZ149" s="93">
        <v>0.03</v>
      </c>
      <c r="CA149" s="93" t="s">
        <v>242</v>
      </c>
      <c r="CB149" s="181">
        <v>5.3475999999999999</v>
      </c>
      <c r="CC149" s="195">
        <f t="shared" si="132"/>
        <v>5.3476000000000001E-3</v>
      </c>
      <c r="CD149" s="187" t="s">
        <v>410</v>
      </c>
      <c r="CE149" s="189">
        <v>0</v>
      </c>
      <c r="CF149" s="189">
        <v>0</v>
      </c>
      <c r="CG149" s="187" t="s">
        <v>242</v>
      </c>
      <c r="CH149" s="181">
        <v>1.7299999999999999E-2</v>
      </c>
      <c r="CI149" s="195">
        <f t="shared" si="133"/>
        <v>1.73E-5</v>
      </c>
      <c r="CJ149" s="187" t="s">
        <v>515</v>
      </c>
      <c r="CK149" s="189">
        <v>0</v>
      </c>
      <c r="CL149" s="189">
        <v>0</v>
      </c>
      <c r="CM149" s="187" t="s">
        <v>242</v>
      </c>
      <c r="CN149" s="116"/>
      <c r="CO149" s="100">
        <v>0.15</v>
      </c>
      <c r="CP149" s="100">
        <f t="shared" si="134"/>
        <v>0.17499999999999999</v>
      </c>
      <c r="CQ149" s="100">
        <v>0.2</v>
      </c>
      <c r="CR149" s="101">
        <v>0.15</v>
      </c>
      <c r="CS149" s="101">
        <v>0.2</v>
      </c>
    </row>
    <row r="150" spans="1:97" s="101" customFormat="1" ht="17.25" hidden="1" customHeight="1" thickBot="1" x14ac:dyDescent="0.35">
      <c r="A150" s="99"/>
      <c r="V150" s="103"/>
      <c r="AA150" s="104"/>
      <c r="AB150" s="104"/>
      <c r="AD150" s="104"/>
      <c r="AE150" s="105"/>
      <c r="AH150" s="106"/>
      <c r="AI150" s="106"/>
      <c r="AK150" s="104"/>
      <c r="AR150" s="104"/>
      <c r="AV150" s="104"/>
      <c r="AX150" s="104"/>
      <c r="AY150" s="93"/>
      <c r="AZ150" s="93"/>
      <c r="BA150" s="93"/>
      <c r="BB150" s="93"/>
      <c r="BC150" s="93"/>
      <c r="BD150" s="93"/>
      <c r="BE150" s="93"/>
      <c r="BF150" s="93"/>
      <c r="BG150" s="93"/>
      <c r="BH150" s="93"/>
      <c r="BI150" s="93" t="s">
        <v>248</v>
      </c>
      <c r="BJ150" s="93" t="s">
        <v>408</v>
      </c>
      <c r="BK150" s="93">
        <v>2.2818000000000001</v>
      </c>
      <c r="BL150" s="93" t="s">
        <v>409</v>
      </c>
      <c r="BM150" s="93">
        <v>2.8499999999999997E-3</v>
      </c>
      <c r="BN150" s="93">
        <v>2.8499999999999997E-3</v>
      </c>
      <c r="BO150" s="93" t="s">
        <v>241</v>
      </c>
      <c r="BP150" s="93">
        <v>4.0599999999999997E-2</v>
      </c>
      <c r="BQ150" s="93">
        <f t="shared" si="130"/>
        <v>4.0599999999999998E-5</v>
      </c>
      <c r="BR150" s="93" t="s">
        <v>410</v>
      </c>
      <c r="BS150" s="93">
        <v>3.0000000000000001E-3</v>
      </c>
      <c r="BT150" s="93">
        <v>0.03</v>
      </c>
      <c r="BU150" s="93" t="s">
        <v>242</v>
      </c>
      <c r="BV150" s="93">
        <v>4.1000000000000003E-3</v>
      </c>
      <c r="BW150" s="93">
        <f t="shared" si="131"/>
        <v>4.1000000000000006E-6</v>
      </c>
      <c r="BX150" s="93" t="s">
        <v>515</v>
      </c>
      <c r="BY150" s="93">
        <v>2.9999999999999997E-4</v>
      </c>
      <c r="BZ150" s="93">
        <v>0.03</v>
      </c>
      <c r="CA150" s="93" t="s">
        <v>242</v>
      </c>
      <c r="CB150" s="181">
        <v>0</v>
      </c>
      <c r="CC150" s="195">
        <f t="shared" si="132"/>
        <v>0</v>
      </c>
      <c r="CD150" s="187" t="s">
        <v>410</v>
      </c>
      <c r="CE150" s="189">
        <v>0</v>
      </c>
      <c r="CF150" s="189">
        <v>0</v>
      </c>
      <c r="CG150" s="187" t="s">
        <v>242</v>
      </c>
      <c r="CH150" s="181">
        <v>0</v>
      </c>
      <c r="CI150" s="195">
        <f t="shared" si="133"/>
        <v>0</v>
      </c>
      <c r="CJ150" s="187" t="s">
        <v>515</v>
      </c>
      <c r="CK150" s="189">
        <v>0</v>
      </c>
      <c r="CL150" s="189">
        <v>0</v>
      </c>
      <c r="CM150" s="187" t="s">
        <v>242</v>
      </c>
      <c r="CN150" s="116"/>
      <c r="CO150" s="100">
        <v>0.15</v>
      </c>
      <c r="CP150" s="100">
        <f t="shared" si="134"/>
        <v>0.17499999999999999</v>
      </c>
      <c r="CQ150" s="100">
        <v>0.2</v>
      </c>
      <c r="CR150" s="101">
        <v>0.15</v>
      </c>
      <c r="CS150" s="101">
        <v>0.2</v>
      </c>
    </row>
    <row r="151" spans="1:97" s="101" customFormat="1" ht="17.25" hidden="1" customHeight="1" thickBot="1" x14ac:dyDescent="0.35">
      <c r="A151" s="99"/>
      <c r="V151" s="103"/>
      <c r="AA151" s="104"/>
      <c r="AB151" s="104"/>
      <c r="AD151" s="104"/>
      <c r="AE151" s="105"/>
      <c r="AH151" s="106"/>
      <c r="AI151" s="106"/>
      <c r="AK151" s="104"/>
      <c r="AR151" s="104"/>
      <c r="AV151" s="104"/>
      <c r="AX151" s="104"/>
      <c r="AY151" s="93"/>
      <c r="AZ151" s="93"/>
      <c r="BA151" s="93"/>
      <c r="BB151" s="93"/>
      <c r="BC151" s="93"/>
      <c r="BD151" s="93"/>
      <c r="BE151" s="93"/>
      <c r="BF151" s="93"/>
      <c r="BG151" s="93"/>
      <c r="BH151" s="93"/>
      <c r="BI151" s="93" t="s">
        <v>369</v>
      </c>
      <c r="BJ151" s="93" t="s">
        <v>408</v>
      </c>
      <c r="BK151" s="93">
        <v>1.9420999999999999</v>
      </c>
      <c r="BL151" s="93" t="s">
        <v>409</v>
      </c>
      <c r="BM151" s="93">
        <v>0.10070999999999999</v>
      </c>
      <c r="BN151" s="93">
        <v>0.10070999999999999</v>
      </c>
      <c r="BO151" s="93" t="s">
        <v>241</v>
      </c>
      <c r="BP151" s="93">
        <v>3.5499999999999997E-2</v>
      </c>
      <c r="BQ151" s="93">
        <f t="shared" si="130"/>
        <v>3.5499999999999996E-5</v>
      </c>
      <c r="BR151" s="93" t="s">
        <v>410</v>
      </c>
      <c r="BS151" s="93">
        <v>3.0000000000000001E-3</v>
      </c>
      <c r="BT151" s="93">
        <v>0.03</v>
      </c>
      <c r="BU151" s="93" t="s">
        <v>242</v>
      </c>
      <c r="BV151" s="93">
        <v>3.5999999999999999E-3</v>
      </c>
      <c r="BW151" s="93">
        <f t="shared" si="131"/>
        <v>3.5999999999999998E-6</v>
      </c>
      <c r="BX151" s="93" t="s">
        <v>515</v>
      </c>
      <c r="BY151" s="93">
        <v>2.9999999999999997E-4</v>
      </c>
      <c r="BZ151" s="93">
        <v>0.03</v>
      </c>
      <c r="CA151" s="93" t="s">
        <v>242</v>
      </c>
      <c r="CB151" s="181">
        <v>3.2690000000000001</v>
      </c>
      <c r="CC151" s="195">
        <f t="shared" si="132"/>
        <v>3.2690000000000002E-3</v>
      </c>
      <c r="CD151" s="187" t="s">
        <v>410</v>
      </c>
      <c r="CE151" s="189">
        <v>0.5</v>
      </c>
      <c r="CF151" s="189">
        <v>15.4</v>
      </c>
      <c r="CG151" s="187" t="s">
        <v>242</v>
      </c>
      <c r="CH151" s="181">
        <v>0.1066</v>
      </c>
      <c r="CI151" s="195">
        <f t="shared" si="133"/>
        <v>1.066E-4</v>
      </c>
      <c r="CJ151" s="187" t="s">
        <v>515</v>
      </c>
      <c r="CK151" s="189">
        <v>0.01</v>
      </c>
      <c r="CL151" s="189">
        <v>0.77</v>
      </c>
      <c r="CM151" s="187" t="s">
        <v>242</v>
      </c>
      <c r="CN151" s="116"/>
      <c r="CO151" s="100">
        <v>0.15</v>
      </c>
      <c r="CP151" s="100">
        <f t="shared" si="134"/>
        <v>0.17499999999999999</v>
      </c>
      <c r="CQ151" s="100">
        <v>0.2</v>
      </c>
      <c r="CR151" s="101">
        <v>0.15</v>
      </c>
      <c r="CS151" s="101">
        <v>0.2</v>
      </c>
    </row>
    <row r="152" spans="1:97" s="101" customFormat="1" ht="17.25" hidden="1" customHeight="1" thickBot="1" x14ac:dyDescent="0.35">
      <c r="A152" s="99"/>
      <c r="V152" s="103"/>
      <c r="AA152" s="104"/>
      <c r="AB152" s="104"/>
      <c r="AD152" s="104"/>
      <c r="AE152" s="105"/>
      <c r="AH152" s="106"/>
      <c r="AI152" s="106"/>
      <c r="AK152" s="104"/>
      <c r="AR152" s="104"/>
      <c r="AV152" s="104"/>
      <c r="AX152" s="104"/>
      <c r="AY152" s="93"/>
      <c r="AZ152" s="93"/>
      <c r="BA152" s="93"/>
      <c r="BB152" s="93"/>
      <c r="BC152" s="93"/>
      <c r="BD152" s="93"/>
      <c r="BE152" s="93"/>
      <c r="BF152" s="93"/>
      <c r="BG152" s="93"/>
      <c r="BH152" s="93"/>
      <c r="BI152" s="93" t="s">
        <v>370</v>
      </c>
      <c r="BJ152" s="93" t="s">
        <v>408</v>
      </c>
      <c r="BK152" s="93">
        <v>2.101</v>
      </c>
      <c r="BL152" s="93" t="s">
        <v>409</v>
      </c>
      <c r="BM152" s="93">
        <v>6.6460000000000005E-2</v>
      </c>
      <c r="BN152" s="93">
        <v>6.6460000000000005E-2</v>
      </c>
      <c r="BO152" s="93" t="s">
        <v>241</v>
      </c>
      <c r="BP152" s="93">
        <v>3.73E-2</v>
      </c>
      <c r="BQ152" s="93">
        <f t="shared" si="130"/>
        <v>3.7299999999999999E-5</v>
      </c>
      <c r="BR152" s="93" t="s">
        <v>410</v>
      </c>
      <c r="BS152" s="93">
        <v>3.0000000000000001E-3</v>
      </c>
      <c r="BT152" s="93">
        <v>0.03</v>
      </c>
      <c r="BU152" s="93" t="s">
        <v>242</v>
      </c>
      <c r="BV152" s="93">
        <v>3.7000000000000002E-3</v>
      </c>
      <c r="BW152" s="93">
        <f t="shared" si="131"/>
        <v>3.7000000000000002E-6</v>
      </c>
      <c r="BX152" s="93" t="s">
        <v>515</v>
      </c>
      <c r="BY152" s="93">
        <v>2.9999999999999997E-4</v>
      </c>
      <c r="BZ152" s="93">
        <v>0.03</v>
      </c>
      <c r="CA152" s="93" t="s">
        <v>242</v>
      </c>
      <c r="CB152" s="181">
        <v>3.4272999999999998</v>
      </c>
      <c r="CC152" s="195">
        <f t="shared" si="132"/>
        <v>3.4272999999999999E-3</v>
      </c>
      <c r="CD152" s="187" t="s">
        <v>410</v>
      </c>
      <c r="CE152" s="189">
        <v>0.5</v>
      </c>
      <c r="CF152" s="189">
        <v>15.4</v>
      </c>
      <c r="CG152" s="187" t="s">
        <v>242</v>
      </c>
      <c r="CH152" s="181">
        <v>0.1118</v>
      </c>
      <c r="CI152" s="195">
        <f t="shared" si="133"/>
        <v>1.1179999999999999E-4</v>
      </c>
      <c r="CJ152" s="187" t="s">
        <v>515</v>
      </c>
      <c r="CK152" s="189">
        <v>0.01</v>
      </c>
      <c r="CL152" s="189">
        <v>0.77</v>
      </c>
      <c r="CM152" s="187" t="s">
        <v>242</v>
      </c>
      <c r="CN152" s="116"/>
      <c r="CO152" s="100">
        <v>0.15</v>
      </c>
      <c r="CP152" s="100">
        <f t="shared" si="134"/>
        <v>0.17499999999999999</v>
      </c>
      <c r="CQ152" s="100">
        <v>0.2</v>
      </c>
      <c r="CR152" s="101">
        <v>0.15</v>
      </c>
      <c r="CS152" s="101">
        <v>0.2</v>
      </c>
    </row>
    <row r="153" spans="1:97" s="101" customFormat="1" ht="17.25" hidden="1" customHeight="1" thickBot="1" x14ac:dyDescent="0.35">
      <c r="A153" s="99"/>
      <c r="V153" s="103"/>
      <c r="AA153" s="104"/>
      <c r="AB153" s="104"/>
      <c r="AD153" s="104"/>
      <c r="AE153" s="105"/>
      <c r="AH153" s="106"/>
      <c r="AI153" s="106"/>
      <c r="AK153" s="104"/>
      <c r="AR153" s="104"/>
      <c r="AV153" s="104"/>
      <c r="AX153" s="104"/>
      <c r="AY153" s="93"/>
      <c r="AZ153" s="93"/>
      <c r="BA153" s="93"/>
      <c r="BB153" s="93"/>
      <c r="BC153" s="93"/>
      <c r="BD153" s="93"/>
      <c r="BE153" s="93"/>
      <c r="BF153" s="93"/>
      <c r="BG153" s="93"/>
      <c r="BH153" s="93"/>
      <c r="BI153" s="93" t="s">
        <v>371</v>
      </c>
      <c r="BJ153" s="93" t="s">
        <v>408</v>
      </c>
      <c r="BK153" s="93">
        <v>2.1795</v>
      </c>
      <c r="BL153" s="93" t="s">
        <v>409</v>
      </c>
      <c r="BM153" s="93">
        <v>4.79E-3</v>
      </c>
      <c r="BN153" s="93">
        <v>4.79E-3</v>
      </c>
      <c r="BO153" s="93" t="s">
        <v>241</v>
      </c>
      <c r="BP153" s="93">
        <v>3.85E-2</v>
      </c>
      <c r="BQ153" s="93">
        <f>BP153/1000</f>
        <v>3.8500000000000001E-5</v>
      </c>
      <c r="BR153" s="93" t="s">
        <v>410</v>
      </c>
      <c r="BS153" s="93">
        <v>3.0000000000000001E-3</v>
      </c>
      <c r="BT153" s="93">
        <v>0.03</v>
      </c>
      <c r="BU153" s="93" t="s">
        <v>242</v>
      </c>
      <c r="BV153" s="93">
        <v>3.8E-3</v>
      </c>
      <c r="BW153" s="93">
        <f>BV153/1000</f>
        <v>3.8E-6</v>
      </c>
      <c r="BX153" s="93" t="s">
        <v>515</v>
      </c>
      <c r="BY153" s="93">
        <v>2.9999999999999997E-4</v>
      </c>
      <c r="BZ153" s="93">
        <v>0.03</v>
      </c>
      <c r="CA153" s="93" t="s">
        <v>242</v>
      </c>
      <c r="CB153" s="181">
        <v>3.5390999999999999</v>
      </c>
      <c r="CC153" s="195">
        <f>CB153/1000</f>
        <v>3.5390999999999999E-3</v>
      </c>
      <c r="CD153" s="187" t="s">
        <v>410</v>
      </c>
      <c r="CE153" s="189">
        <v>0.5</v>
      </c>
      <c r="CF153" s="189">
        <v>15.4</v>
      </c>
      <c r="CG153" s="187" t="s">
        <v>242</v>
      </c>
      <c r="CH153" s="181">
        <v>0.1154</v>
      </c>
      <c r="CI153" s="195">
        <f>CH153/1000</f>
        <v>1.154E-4</v>
      </c>
      <c r="CJ153" s="187" t="s">
        <v>515</v>
      </c>
      <c r="CK153" s="189">
        <v>0.01</v>
      </c>
      <c r="CL153" s="189">
        <v>0.77</v>
      </c>
      <c r="CM153" s="187" t="s">
        <v>242</v>
      </c>
      <c r="CN153" s="116"/>
      <c r="CO153" s="100">
        <v>0.15</v>
      </c>
      <c r="CP153" s="100">
        <f t="shared" si="134"/>
        <v>0.17499999999999999</v>
      </c>
      <c r="CQ153" s="100">
        <v>0.2</v>
      </c>
      <c r="CR153" s="101">
        <v>0.15</v>
      </c>
      <c r="CS153" s="101">
        <v>0.2</v>
      </c>
    </row>
    <row r="154" spans="1:97" s="101" customFormat="1" ht="16.5" hidden="1" customHeight="1" x14ac:dyDescent="0.3">
      <c r="A154" s="99"/>
      <c r="V154" s="103"/>
      <c r="AA154" s="104"/>
      <c r="AB154" s="104"/>
      <c r="AD154" s="104"/>
      <c r="AE154" s="105"/>
      <c r="AH154" s="106"/>
      <c r="AI154" s="106"/>
      <c r="AK154" s="104"/>
      <c r="AR154" s="104"/>
      <c r="AV154" s="104"/>
      <c r="AX154" s="104"/>
      <c r="AY154" s="93"/>
      <c r="AZ154" s="93"/>
      <c r="BA154" s="93"/>
      <c r="BB154" s="93"/>
      <c r="BC154" s="93"/>
      <c r="BD154" s="93"/>
      <c r="BE154" s="93"/>
      <c r="BF154" s="93"/>
      <c r="BG154" s="93"/>
      <c r="BH154" s="93"/>
      <c r="BI154" s="93" t="s">
        <v>356</v>
      </c>
      <c r="BJ154" s="93" t="s">
        <v>49</v>
      </c>
      <c r="BK154" s="93">
        <f>(3.13757879682717*99.5%)</f>
        <v>3.1218909028430342</v>
      </c>
      <c r="BL154" s="93" t="s">
        <v>423</v>
      </c>
      <c r="BM154" s="93">
        <v>0.02</v>
      </c>
      <c r="BN154" s="93">
        <v>0.5</v>
      </c>
      <c r="BO154" s="93" t="s">
        <v>382</v>
      </c>
      <c r="BP154" s="93">
        <v>0</v>
      </c>
      <c r="BQ154" s="93">
        <f>BP154/1000</f>
        <v>0</v>
      </c>
      <c r="BR154" s="93" t="s">
        <v>410</v>
      </c>
      <c r="BS154" s="93">
        <v>0</v>
      </c>
      <c r="BT154" s="93">
        <v>0</v>
      </c>
      <c r="BU154" s="93"/>
      <c r="BV154" s="93">
        <v>0</v>
      </c>
      <c r="BW154" s="93">
        <f>BV154/1000</f>
        <v>0</v>
      </c>
      <c r="BX154" s="93" t="s">
        <v>515</v>
      </c>
      <c r="BY154" s="93">
        <v>0</v>
      </c>
      <c r="BZ154" s="93">
        <v>0</v>
      </c>
      <c r="CA154" s="93"/>
      <c r="CB154" s="181">
        <v>0</v>
      </c>
      <c r="CC154" s="195">
        <f>CB154/1000</f>
        <v>0</v>
      </c>
      <c r="CD154" s="187" t="s">
        <v>410</v>
      </c>
      <c r="CE154" s="189">
        <v>0</v>
      </c>
      <c r="CF154" s="189">
        <v>0</v>
      </c>
      <c r="CG154" s="187"/>
      <c r="CH154" s="181">
        <v>0</v>
      </c>
      <c r="CI154" s="195">
        <f>CH154/1000</f>
        <v>0</v>
      </c>
      <c r="CJ154" s="187" t="s">
        <v>515</v>
      </c>
      <c r="CK154" s="189">
        <v>0</v>
      </c>
      <c r="CL154" s="189">
        <v>0</v>
      </c>
      <c r="CM154" s="187"/>
      <c r="CN154" s="116"/>
      <c r="CO154" s="100">
        <v>0.15</v>
      </c>
      <c r="CP154" s="100">
        <f t="shared" si="134"/>
        <v>0.17499999999999999</v>
      </c>
      <c r="CQ154" s="100">
        <v>0.2</v>
      </c>
      <c r="CR154" s="101">
        <v>0.15</v>
      </c>
      <c r="CS154" s="101">
        <v>0.2</v>
      </c>
    </row>
    <row r="155" spans="1:97" s="101" customFormat="1" ht="17.25" hidden="1" customHeight="1" thickBot="1" x14ac:dyDescent="0.35">
      <c r="A155" s="99"/>
      <c r="V155" s="103"/>
      <c r="AA155" s="104"/>
      <c r="AB155" s="104"/>
      <c r="AD155" s="104"/>
      <c r="AE155" s="105"/>
      <c r="AH155" s="106"/>
      <c r="AI155" s="106"/>
      <c r="AK155" s="104"/>
      <c r="AR155" s="104"/>
      <c r="AV155" s="104"/>
      <c r="AX155" s="104"/>
      <c r="AY155" s="93"/>
      <c r="AZ155" s="93"/>
      <c r="BA155" s="93"/>
      <c r="BB155" s="93"/>
      <c r="BC155" s="93"/>
      <c r="BD155" s="93"/>
      <c r="BE155" s="93"/>
      <c r="BF155" s="93"/>
      <c r="BG155" s="93"/>
      <c r="BH155" s="93"/>
      <c r="BI155" s="93" t="s">
        <v>349</v>
      </c>
      <c r="BJ155" s="93" t="s">
        <v>49</v>
      </c>
      <c r="BK155" s="93">
        <v>3.38</v>
      </c>
      <c r="BL155" s="93" t="s">
        <v>404</v>
      </c>
      <c r="BM155" s="93">
        <v>0.1</v>
      </c>
      <c r="BN155" s="93">
        <v>0.2</v>
      </c>
      <c r="BO155" s="93" t="s">
        <v>494</v>
      </c>
      <c r="BP155" s="93">
        <v>0</v>
      </c>
      <c r="BQ155" s="93">
        <f t="shared" si="130"/>
        <v>0</v>
      </c>
      <c r="BR155" s="93" t="s">
        <v>410</v>
      </c>
      <c r="BS155" s="93">
        <v>0</v>
      </c>
      <c r="BT155" s="93">
        <v>0</v>
      </c>
      <c r="BU155" s="93"/>
      <c r="BV155" s="93">
        <v>0</v>
      </c>
      <c r="BW155" s="93">
        <f t="shared" si="131"/>
        <v>0</v>
      </c>
      <c r="BX155" s="93" t="s">
        <v>515</v>
      </c>
      <c r="BY155" s="93">
        <v>0</v>
      </c>
      <c r="BZ155" s="93">
        <v>0</v>
      </c>
      <c r="CA155" s="93"/>
      <c r="CB155" s="181">
        <v>0</v>
      </c>
      <c r="CC155" s="195">
        <f t="shared" si="132"/>
        <v>0</v>
      </c>
      <c r="CD155" s="187" t="s">
        <v>410</v>
      </c>
      <c r="CE155" s="189">
        <v>0</v>
      </c>
      <c r="CF155" s="189">
        <v>0</v>
      </c>
      <c r="CG155" s="187"/>
      <c r="CH155" s="181">
        <v>0</v>
      </c>
      <c r="CI155" s="195">
        <f t="shared" si="133"/>
        <v>0</v>
      </c>
      <c r="CJ155" s="187" t="s">
        <v>515</v>
      </c>
      <c r="CK155" s="189">
        <v>0</v>
      </c>
      <c r="CL155" s="189">
        <v>0</v>
      </c>
      <c r="CM155" s="187"/>
      <c r="CN155" s="116"/>
      <c r="CO155" s="100">
        <v>0.15</v>
      </c>
      <c r="CP155" s="100">
        <f t="shared" si="134"/>
        <v>0.17499999999999999</v>
      </c>
      <c r="CQ155" s="100">
        <v>0.2</v>
      </c>
      <c r="CR155" s="101">
        <v>0.15</v>
      </c>
      <c r="CS155" s="101">
        <v>0.2</v>
      </c>
    </row>
    <row r="156" spans="1:97" s="101" customFormat="1" ht="15" hidden="1" customHeight="1" x14ac:dyDescent="0.25">
      <c r="A156" s="99"/>
      <c r="V156" s="103"/>
      <c r="AA156" s="104"/>
      <c r="AB156" s="104"/>
      <c r="AD156" s="104"/>
      <c r="AE156" s="105"/>
      <c r="AH156" s="106"/>
      <c r="AI156" s="106"/>
      <c r="AK156" s="104"/>
      <c r="AR156" s="104"/>
      <c r="AV156" s="104"/>
      <c r="AX156" s="104"/>
      <c r="AY156" s="93"/>
      <c r="AZ156" s="93"/>
      <c r="BA156" s="93"/>
      <c r="BB156" s="93"/>
      <c r="BC156" s="93"/>
      <c r="BD156" s="93"/>
      <c r="BE156" s="93"/>
      <c r="BF156" s="93"/>
      <c r="BG156" s="93"/>
      <c r="BH156" s="93"/>
      <c r="BI156" s="93"/>
      <c r="BJ156" s="93"/>
      <c r="BK156" s="93"/>
      <c r="BL156" s="93"/>
      <c r="BM156" s="93"/>
      <c r="BN156" s="93"/>
      <c r="BO156" s="93"/>
      <c r="BP156" s="93"/>
      <c r="BQ156" s="93"/>
      <c r="BR156" s="93"/>
      <c r="BS156" s="93"/>
      <c r="BT156" s="93"/>
      <c r="BU156" s="93"/>
      <c r="BV156" s="93"/>
      <c r="BW156" s="93"/>
      <c r="BX156" s="93"/>
      <c r="BY156" s="93"/>
      <c r="BZ156" s="93"/>
      <c r="CA156" s="93"/>
      <c r="CB156" s="180"/>
      <c r="CC156" s="192"/>
      <c r="CD156" s="192"/>
      <c r="CE156" s="180"/>
      <c r="CF156" s="180"/>
      <c r="CG156" s="180"/>
      <c r="CH156" s="180"/>
      <c r="CI156" s="192"/>
      <c r="CJ156" s="192"/>
      <c r="CK156" s="180"/>
      <c r="CL156" s="180"/>
      <c r="CM156" s="180"/>
      <c r="CN156" s="116"/>
      <c r="CO156" s="100">
        <v>0.15</v>
      </c>
      <c r="CP156" s="100">
        <f t="shared" si="134"/>
        <v>0.17499999999999999</v>
      </c>
      <c r="CQ156" s="100">
        <v>0.2</v>
      </c>
    </row>
    <row r="157" spans="1:97" s="101" customFormat="1" ht="27" hidden="1" customHeight="1" x14ac:dyDescent="0.25">
      <c r="A157" s="99"/>
      <c r="V157" s="103"/>
      <c r="AA157" s="104"/>
      <c r="AB157" s="104"/>
      <c r="AD157" s="104"/>
      <c r="AE157" s="105"/>
      <c r="AH157" s="106"/>
      <c r="AI157" s="106"/>
      <c r="AK157" s="104"/>
      <c r="AR157" s="104"/>
      <c r="AV157" s="104"/>
      <c r="AX157" s="104"/>
      <c r="AY157" s="93"/>
      <c r="AZ157" s="93"/>
      <c r="BA157" s="93"/>
      <c r="BB157" s="93"/>
      <c r="BC157" s="93"/>
      <c r="BD157" s="93"/>
      <c r="BE157" s="93"/>
      <c r="BF157" s="93"/>
      <c r="BG157" s="93"/>
      <c r="BH157" s="93"/>
      <c r="BI157" s="93" t="s">
        <v>255</v>
      </c>
      <c r="BJ157" s="93"/>
      <c r="BK157" s="93" t="s">
        <v>276</v>
      </c>
      <c r="BL157" s="93"/>
      <c r="BM157" s="93" t="s">
        <v>233</v>
      </c>
      <c r="BN157" s="93" t="s">
        <v>233</v>
      </c>
      <c r="BO157" s="93" t="s">
        <v>240</v>
      </c>
      <c r="BP157" s="93"/>
      <c r="BQ157" s="93" t="s">
        <v>276</v>
      </c>
      <c r="BR157" s="93"/>
      <c r="BS157" s="93" t="s">
        <v>233</v>
      </c>
      <c r="BT157" s="93" t="s">
        <v>233</v>
      </c>
      <c r="BU157" s="93" t="s">
        <v>240</v>
      </c>
      <c r="BV157" s="93"/>
      <c r="BW157" s="93"/>
      <c r="BX157" s="93"/>
      <c r="BY157" s="93"/>
      <c r="BZ157" s="93"/>
      <c r="CA157" s="93"/>
      <c r="CB157" s="180"/>
      <c r="CC157" s="192"/>
      <c r="CD157" s="192"/>
      <c r="CE157" s="180"/>
      <c r="CF157" s="180"/>
      <c r="CG157" s="180"/>
      <c r="CH157" s="180"/>
      <c r="CI157" s="192"/>
      <c r="CJ157" s="192"/>
      <c r="CK157" s="180"/>
      <c r="CL157" s="180"/>
      <c r="CM157" s="180"/>
      <c r="CN157" s="116"/>
      <c r="CO157" s="100">
        <v>0.15</v>
      </c>
      <c r="CP157" s="100">
        <f t="shared" si="134"/>
        <v>0.17499999999999999</v>
      </c>
      <c r="CQ157" s="100">
        <v>0.2</v>
      </c>
    </row>
    <row r="158" spans="1:97" s="101" customFormat="1" ht="53.25" hidden="1" customHeight="1" x14ac:dyDescent="0.25">
      <c r="A158" s="99"/>
      <c r="V158" s="103"/>
      <c r="AA158" s="104"/>
      <c r="AB158" s="104"/>
      <c r="AD158" s="104"/>
      <c r="AE158" s="105"/>
      <c r="AH158" s="106"/>
      <c r="AI158" s="106"/>
      <c r="AK158" s="104"/>
      <c r="AR158" s="104"/>
      <c r="AV158" s="104"/>
      <c r="AX158" s="104"/>
      <c r="AY158" s="93"/>
      <c r="AZ158" s="93"/>
      <c r="BA158" s="93"/>
      <c r="BB158" s="93"/>
      <c r="BC158" s="93"/>
      <c r="BD158" s="93"/>
      <c r="BE158" s="93"/>
      <c r="BF158" s="93"/>
      <c r="BG158" s="93"/>
      <c r="BH158" s="93"/>
      <c r="BI158" s="93"/>
      <c r="BJ158" s="93" t="s">
        <v>253</v>
      </c>
      <c r="BK158" s="93"/>
      <c r="BL158" s="93" t="s">
        <v>251</v>
      </c>
      <c r="BM158" s="93"/>
      <c r="BN158" s="93"/>
      <c r="BO158" s="93"/>
      <c r="BP158" s="93" t="s">
        <v>253</v>
      </c>
      <c r="BQ158" s="93"/>
      <c r="BR158" s="93" t="s">
        <v>251</v>
      </c>
      <c r="BS158" s="93"/>
      <c r="BT158" s="93"/>
      <c r="BU158" s="93"/>
      <c r="BV158" s="93"/>
      <c r="BW158" s="93"/>
      <c r="BX158" s="93"/>
      <c r="BY158" s="93"/>
      <c r="BZ158" s="93"/>
      <c r="CA158" s="93"/>
      <c r="CB158" s="180"/>
      <c r="CC158" s="192"/>
      <c r="CD158" s="192"/>
      <c r="CE158" s="180"/>
      <c r="CF158" s="180"/>
      <c r="CG158" s="180"/>
      <c r="CH158" s="180"/>
      <c r="CI158" s="192"/>
      <c r="CJ158" s="192"/>
      <c r="CK158" s="180"/>
      <c r="CL158" s="180"/>
      <c r="CM158" s="180"/>
      <c r="CN158" s="116"/>
      <c r="CO158" s="100">
        <v>0.15</v>
      </c>
      <c r="CP158" s="100">
        <f t="shared" si="134"/>
        <v>0.17499999999999999</v>
      </c>
      <c r="CQ158" s="100">
        <v>0.2</v>
      </c>
    </row>
    <row r="159" spans="1:97" s="101" customFormat="1" ht="18.75" hidden="1" customHeight="1" thickBot="1" x14ac:dyDescent="0.4">
      <c r="A159" s="99"/>
      <c r="V159" s="103"/>
      <c r="AA159" s="104"/>
      <c r="AB159" s="104"/>
      <c r="AD159" s="104"/>
      <c r="AE159" s="105"/>
      <c r="AH159" s="106"/>
      <c r="AI159" s="106"/>
      <c r="AK159" s="104"/>
      <c r="AR159" s="104"/>
      <c r="AV159" s="104"/>
      <c r="AX159" s="104"/>
      <c r="AY159" s="93"/>
      <c r="AZ159" s="93"/>
      <c r="BA159" s="93"/>
      <c r="BB159" s="93"/>
      <c r="BC159" s="93"/>
      <c r="BD159" s="93"/>
      <c r="BE159" s="93"/>
      <c r="BF159" s="93"/>
      <c r="BG159" s="93"/>
      <c r="BH159" s="93"/>
      <c r="BI159" s="93" t="s">
        <v>176</v>
      </c>
      <c r="BJ159" s="93" t="s">
        <v>49</v>
      </c>
      <c r="BK159" s="93">
        <v>4660</v>
      </c>
      <c r="BL159" s="93" t="s">
        <v>411</v>
      </c>
      <c r="BM159" s="93">
        <v>0.01</v>
      </c>
      <c r="BN159" s="93">
        <v>0.5</v>
      </c>
      <c r="BO159" s="93" t="s">
        <v>311</v>
      </c>
      <c r="BP159" s="93" t="s">
        <v>49</v>
      </c>
      <c r="BQ159" s="93">
        <v>4750</v>
      </c>
      <c r="BR159" s="93" t="s">
        <v>411</v>
      </c>
      <c r="BS159" s="93">
        <v>0.01</v>
      </c>
      <c r="BT159" s="93">
        <v>0.5</v>
      </c>
      <c r="BU159" s="93" t="s">
        <v>254</v>
      </c>
      <c r="BV159" s="93"/>
      <c r="BW159" s="93"/>
      <c r="BX159" s="93"/>
      <c r="BY159" s="93"/>
      <c r="BZ159" s="93"/>
      <c r="CA159" s="93"/>
      <c r="CB159" s="102"/>
      <c r="CC159" s="102"/>
      <c r="CD159" s="102"/>
      <c r="CE159" s="180"/>
      <c r="CF159" s="180"/>
      <c r="CG159" s="180"/>
      <c r="CH159" s="180"/>
      <c r="CI159" s="178"/>
      <c r="CJ159" s="178"/>
      <c r="CK159" s="180"/>
      <c r="CL159" s="180"/>
      <c r="CM159" s="180"/>
      <c r="CN159" s="116"/>
      <c r="CO159" s="100">
        <v>0.15</v>
      </c>
      <c r="CP159" s="100">
        <f t="shared" si="134"/>
        <v>0.17499999999999999</v>
      </c>
      <c r="CQ159" s="100">
        <v>0.2</v>
      </c>
      <c r="CR159" s="101">
        <v>0.01</v>
      </c>
      <c r="CS159" s="101">
        <v>0.5</v>
      </c>
    </row>
    <row r="160" spans="1:97" s="101" customFormat="1" ht="18.75" hidden="1" customHeight="1" thickBot="1" x14ac:dyDescent="0.4">
      <c r="A160" s="99"/>
      <c r="V160" s="103"/>
      <c r="AA160" s="104"/>
      <c r="AB160" s="104"/>
      <c r="AD160" s="104"/>
      <c r="AE160" s="105"/>
      <c r="AH160" s="106"/>
      <c r="AI160" s="106"/>
      <c r="AK160" s="104"/>
      <c r="AR160" s="104"/>
      <c r="AV160" s="104"/>
      <c r="AX160" s="104"/>
      <c r="AY160" s="93"/>
      <c r="AZ160" s="93"/>
      <c r="BA160" s="93"/>
      <c r="BB160" s="93"/>
      <c r="BC160" s="93"/>
      <c r="BD160" s="93"/>
      <c r="BE160" s="93"/>
      <c r="BF160" s="93"/>
      <c r="BG160" s="93"/>
      <c r="BH160" s="93"/>
      <c r="BI160" s="93" t="s">
        <v>177</v>
      </c>
      <c r="BJ160" s="93" t="s">
        <v>49</v>
      </c>
      <c r="BK160" s="93">
        <v>10200</v>
      </c>
      <c r="BL160" s="93" t="s">
        <v>411</v>
      </c>
      <c r="BM160" s="93">
        <v>0.01</v>
      </c>
      <c r="BN160" s="93">
        <v>0.5</v>
      </c>
      <c r="BO160" s="93" t="s">
        <v>311</v>
      </c>
      <c r="BP160" s="93" t="s">
        <v>49</v>
      </c>
      <c r="BQ160" s="93">
        <v>10900</v>
      </c>
      <c r="BR160" s="93" t="s">
        <v>411</v>
      </c>
      <c r="BS160" s="93">
        <v>0.01</v>
      </c>
      <c r="BT160" s="93">
        <v>0.5</v>
      </c>
      <c r="BU160" s="93" t="s">
        <v>254</v>
      </c>
      <c r="BV160" s="93"/>
      <c r="BW160" s="93"/>
      <c r="BX160" s="93"/>
      <c r="BY160" s="93"/>
      <c r="BZ160" s="93"/>
      <c r="CA160" s="93"/>
      <c r="CB160" s="102"/>
      <c r="CC160" s="102"/>
      <c r="CD160" s="102"/>
      <c r="CE160" s="192"/>
      <c r="CF160" s="192"/>
      <c r="CG160" s="192"/>
      <c r="CH160" s="197"/>
      <c r="CI160" s="192"/>
      <c r="CJ160" s="192"/>
      <c r="CK160" s="197"/>
      <c r="CL160" s="197"/>
      <c r="CM160" s="192"/>
      <c r="CN160" s="116"/>
      <c r="CO160" s="100">
        <v>0.15</v>
      </c>
      <c r="CP160" s="100">
        <f t="shared" si="134"/>
        <v>0.17499999999999999</v>
      </c>
      <c r="CQ160" s="100">
        <v>0.2</v>
      </c>
      <c r="CR160" s="101">
        <v>0.01</v>
      </c>
      <c r="CS160" s="101">
        <v>0.5</v>
      </c>
    </row>
    <row r="161" spans="1:97" s="101" customFormat="1" ht="18.75" hidden="1" customHeight="1" thickBot="1" x14ac:dyDescent="0.4">
      <c r="A161" s="99"/>
      <c r="V161" s="103"/>
      <c r="AA161" s="104"/>
      <c r="AB161" s="104"/>
      <c r="AD161" s="104"/>
      <c r="AE161" s="105"/>
      <c r="AH161" s="106"/>
      <c r="AI161" s="106"/>
      <c r="AK161" s="104"/>
      <c r="AR161" s="104"/>
      <c r="AV161" s="104"/>
      <c r="AX161" s="104"/>
      <c r="AY161" s="93"/>
      <c r="AZ161" s="93"/>
      <c r="BA161" s="93"/>
      <c r="BB161" s="93"/>
      <c r="BC161" s="93"/>
      <c r="BD161" s="93"/>
      <c r="BE161" s="93"/>
      <c r="BF161" s="93"/>
      <c r="BG161" s="93"/>
      <c r="BH161" s="93"/>
      <c r="BI161" s="93" t="s">
        <v>178</v>
      </c>
      <c r="BJ161" s="93" t="s">
        <v>49</v>
      </c>
      <c r="BK161" s="93">
        <v>1760</v>
      </c>
      <c r="BL161" s="93" t="s">
        <v>411</v>
      </c>
      <c r="BM161" s="93">
        <v>0.01</v>
      </c>
      <c r="BN161" s="93">
        <v>0.5</v>
      </c>
      <c r="BO161" s="93" t="s">
        <v>311</v>
      </c>
      <c r="BP161" s="93" t="s">
        <v>49</v>
      </c>
      <c r="BQ161" s="93">
        <v>1810</v>
      </c>
      <c r="BR161" s="93" t="s">
        <v>411</v>
      </c>
      <c r="BS161" s="93">
        <v>0.01</v>
      </c>
      <c r="BT161" s="93">
        <v>0.5</v>
      </c>
      <c r="BU161" s="93" t="s">
        <v>254</v>
      </c>
      <c r="BV161" s="93"/>
      <c r="BW161" s="93"/>
      <c r="BX161" s="93"/>
      <c r="BY161" s="93"/>
      <c r="BZ161" s="93"/>
      <c r="CA161" s="93"/>
      <c r="CB161" s="102"/>
      <c r="CC161" s="102"/>
      <c r="CD161" s="102"/>
      <c r="CE161" s="192"/>
      <c r="CF161" s="192"/>
      <c r="CG161" s="192"/>
      <c r="CH161" s="197"/>
      <c r="CI161" s="192"/>
      <c r="CJ161" s="192"/>
      <c r="CK161" s="197"/>
      <c r="CL161" s="197"/>
      <c r="CM161" s="192"/>
      <c r="CN161" s="116"/>
      <c r="CO161" s="100">
        <v>0.15</v>
      </c>
      <c r="CP161" s="100">
        <f t="shared" si="134"/>
        <v>0.17499999999999999</v>
      </c>
      <c r="CQ161" s="100">
        <v>0.2</v>
      </c>
      <c r="CR161" s="101">
        <v>0.01</v>
      </c>
      <c r="CS161" s="101">
        <v>0.5</v>
      </c>
    </row>
    <row r="162" spans="1:97" s="101" customFormat="1" ht="18.75" hidden="1" customHeight="1" thickBot="1" x14ac:dyDescent="0.4">
      <c r="A162" s="99"/>
      <c r="V162" s="103"/>
      <c r="AA162" s="104"/>
      <c r="AB162" s="104"/>
      <c r="AD162" s="104"/>
      <c r="AE162" s="105"/>
      <c r="AH162" s="106"/>
      <c r="AI162" s="106"/>
      <c r="AK162" s="104"/>
      <c r="AR162" s="104"/>
      <c r="AV162" s="104"/>
      <c r="AX162" s="104"/>
      <c r="AY162" s="93"/>
      <c r="AZ162" s="93"/>
      <c r="BA162" s="93"/>
      <c r="BB162" s="93"/>
      <c r="BC162" s="93"/>
      <c r="BD162" s="93"/>
      <c r="BE162" s="93"/>
      <c r="BF162" s="93"/>
      <c r="BG162" s="93"/>
      <c r="BH162" s="93"/>
      <c r="BI162" s="93" t="s">
        <v>357</v>
      </c>
      <c r="BJ162" s="93" t="s">
        <v>49</v>
      </c>
      <c r="BK162" s="93">
        <v>782</v>
      </c>
      <c r="BL162" s="93" t="s">
        <v>411</v>
      </c>
      <c r="BM162" s="93">
        <v>0.01</v>
      </c>
      <c r="BN162" s="93">
        <v>0.5</v>
      </c>
      <c r="BO162" s="93" t="s">
        <v>311</v>
      </c>
      <c r="BP162" s="93"/>
      <c r="BQ162" s="93"/>
      <c r="BR162" s="93"/>
      <c r="BS162" s="93"/>
      <c r="BT162" s="93"/>
      <c r="BU162" s="93"/>
      <c r="BV162" s="93"/>
      <c r="BW162" s="93"/>
      <c r="BX162" s="93"/>
      <c r="BY162" s="93"/>
      <c r="BZ162" s="93"/>
      <c r="CA162" s="93"/>
      <c r="CB162" s="102"/>
      <c r="CC162" s="102"/>
      <c r="CD162" s="102"/>
      <c r="CE162" s="192"/>
      <c r="CF162" s="192"/>
      <c r="CG162" s="192"/>
      <c r="CH162" s="197"/>
      <c r="CI162" s="192"/>
      <c r="CJ162" s="192"/>
      <c r="CK162" s="197"/>
      <c r="CL162" s="197"/>
      <c r="CM162" s="192"/>
      <c r="CN162" s="116"/>
      <c r="CO162" s="100">
        <v>0.15</v>
      </c>
      <c r="CP162" s="100">
        <f t="shared" si="134"/>
        <v>0.17499999999999999</v>
      </c>
      <c r="CQ162" s="100">
        <v>0.2</v>
      </c>
    </row>
    <row r="163" spans="1:97" s="101" customFormat="1" ht="18.75" hidden="1" customHeight="1" thickBot="1" x14ac:dyDescent="0.4">
      <c r="A163" s="99"/>
      <c r="V163" s="103"/>
      <c r="AA163" s="104"/>
      <c r="AB163" s="104"/>
      <c r="AD163" s="104"/>
      <c r="AE163" s="105"/>
      <c r="AH163" s="106"/>
      <c r="AI163" s="106"/>
      <c r="AK163" s="104"/>
      <c r="AR163" s="104"/>
      <c r="AV163" s="104"/>
      <c r="AX163" s="104"/>
      <c r="AY163" s="93"/>
      <c r="AZ163" s="93"/>
      <c r="BA163" s="93"/>
      <c r="BB163" s="93"/>
      <c r="BC163" s="93"/>
      <c r="BD163" s="93"/>
      <c r="BE163" s="93"/>
      <c r="BF163" s="93"/>
      <c r="BG163" s="93"/>
      <c r="BH163" s="93"/>
      <c r="BI163" s="93" t="s">
        <v>179</v>
      </c>
      <c r="BJ163" s="93" t="s">
        <v>49</v>
      </c>
      <c r="BK163" s="93">
        <v>12400</v>
      </c>
      <c r="BL163" s="93" t="s">
        <v>411</v>
      </c>
      <c r="BM163" s="93">
        <v>0.01</v>
      </c>
      <c r="BN163" s="93">
        <v>0.5</v>
      </c>
      <c r="BO163" s="93" t="s">
        <v>311</v>
      </c>
      <c r="BP163" s="93" t="s">
        <v>49</v>
      </c>
      <c r="BQ163" s="93">
        <v>14800</v>
      </c>
      <c r="BR163" s="93" t="s">
        <v>411</v>
      </c>
      <c r="BS163" s="93">
        <v>0.01</v>
      </c>
      <c r="BT163" s="93">
        <v>0.5</v>
      </c>
      <c r="BU163" s="93" t="s">
        <v>254</v>
      </c>
      <c r="BV163" s="93"/>
      <c r="BW163" s="93"/>
      <c r="BX163" s="93"/>
      <c r="BY163" s="93"/>
      <c r="BZ163" s="93"/>
      <c r="CA163" s="93"/>
      <c r="CB163" s="102"/>
      <c r="CC163" s="102"/>
      <c r="CD163" s="102"/>
      <c r="CE163" s="192"/>
      <c r="CF163" s="192"/>
      <c r="CG163" s="192"/>
      <c r="CH163" s="197"/>
      <c r="CI163" s="192"/>
      <c r="CJ163" s="192"/>
      <c r="CK163" s="197"/>
      <c r="CL163" s="197"/>
      <c r="CM163" s="192"/>
      <c r="CN163" s="116"/>
      <c r="CO163" s="100">
        <v>0.15</v>
      </c>
      <c r="CP163" s="100">
        <f t="shared" si="134"/>
        <v>0.17499999999999999</v>
      </c>
      <c r="CQ163" s="100">
        <v>0.2</v>
      </c>
      <c r="CR163" s="101">
        <v>0.01</v>
      </c>
      <c r="CS163" s="101">
        <v>0.5</v>
      </c>
    </row>
    <row r="164" spans="1:97" s="101" customFormat="1" ht="18.75" hidden="1" customHeight="1" thickBot="1" x14ac:dyDescent="0.4">
      <c r="A164" s="99"/>
      <c r="V164" s="103"/>
      <c r="AA164" s="104"/>
      <c r="AB164" s="104"/>
      <c r="AD164" s="104"/>
      <c r="AE164" s="105"/>
      <c r="AH164" s="106"/>
      <c r="AI164" s="106"/>
      <c r="AK164" s="104"/>
      <c r="AR164" s="104"/>
      <c r="AV164" s="104"/>
      <c r="AX164" s="104"/>
      <c r="AY164" s="93"/>
      <c r="AZ164" s="93"/>
      <c r="BA164" s="93"/>
      <c r="BB164" s="93"/>
      <c r="BC164" s="93"/>
      <c r="BD164" s="93"/>
      <c r="BE164" s="93"/>
      <c r="BF164" s="93"/>
      <c r="BG164" s="93"/>
      <c r="BH164" s="93"/>
      <c r="BI164" s="93" t="s">
        <v>180</v>
      </c>
      <c r="BJ164" s="93" t="s">
        <v>49</v>
      </c>
      <c r="BK164" s="93">
        <v>677</v>
      </c>
      <c r="BL164" s="93" t="s">
        <v>411</v>
      </c>
      <c r="BM164" s="93">
        <v>0.01</v>
      </c>
      <c r="BN164" s="93">
        <v>0.5</v>
      </c>
      <c r="BO164" s="93" t="s">
        <v>311</v>
      </c>
      <c r="BP164" s="93" t="s">
        <v>49</v>
      </c>
      <c r="BQ164" s="93">
        <v>675</v>
      </c>
      <c r="BR164" s="93" t="s">
        <v>411</v>
      </c>
      <c r="BS164" s="93">
        <v>0.01</v>
      </c>
      <c r="BT164" s="93">
        <v>0.5</v>
      </c>
      <c r="BU164" s="93" t="s">
        <v>254</v>
      </c>
      <c r="BV164" s="93"/>
      <c r="BW164" s="93"/>
      <c r="BX164" s="93"/>
      <c r="BY164" s="93"/>
      <c r="BZ164" s="93"/>
      <c r="CA164" s="93"/>
      <c r="CB164" s="102"/>
      <c r="CC164" s="102"/>
      <c r="CD164" s="102"/>
      <c r="CE164" s="192"/>
      <c r="CF164" s="192"/>
      <c r="CG164" s="192"/>
      <c r="CH164" s="197"/>
      <c r="CI164" s="192"/>
      <c r="CJ164" s="192"/>
      <c r="CK164" s="197"/>
      <c r="CL164" s="197"/>
      <c r="CM164" s="192"/>
      <c r="CN164" s="116"/>
      <c r="CO164" s="100"/>
      <c r="CP164" s="100"/>
      <c r="CQ164" s="100"/>
      <c r="CR164" s="101">
        <v>0.01</v>
      </c>
      <c r="CS164" s="101">
        <v>0.5</v>
      </c>
    </row>
    <row r="165" spans="1:97" s="101" customFormat="1" ht="18.75" hidden="1" customHeight="1" thickBot="1" x14ac:dyDescent="0.4">
      <c r="A165" s="99"/>
      <c r="V165" s="103"/>
      <c r="AA165" s="104"/>
      <c r="AB165" s="104"/>
      <c r="AD165" s="104"/>
      <c r="AE165" s="105"/>
      <c r="AH165" s="106"/>
      <c r="AI165" s="106"/>
      <c r="AK165" s="104"/>
      <c r="AR165" s="104"/>
      <c r="AV165" s="104"/>
      <c r="AX165" s="104"/>
      <c r="AY165" s="93"/>
      <c r="AZ165" s="93"/>
      <c r="BA165" s="93"/>
      <c r="BB165" s="93"/>
      <c r="BC165" s="93"/>
      <c r="BD165" s="93"/>
      <c r="BE165" s="93"/>
      <c r="BF165" s="93"/>
      <c r="BG165" s="93"/>
      <c r="BH165" s="93"/>
      <c r="BI165" s="93" t="s">
        <v>360</v>
      </c>
      <c r="BJ165" s="93" t="s">
        <v>49</v>
      </c>
      <c r="BK165" s="93">
        <v>3170</v>
      </c>
      <c r="BL165" s="93" t="s">
        <v>411</v>
      </c>
      <c r="BM165" s="93">
        <v>0.01</v>
      </c>
      <c r="BN165" s="93">
        <v>0.5</v>
      </c>
      <c r="BO165" s="93" t="s">
        <v>311</v>
      </c>
      <c r="BP165" s="93"/>
      <c r="BQ165" s="93"/>
      <c r="BR165" s="93"/>
      <c r="BS165" s="93"/>
      <c r="BT165" s="93"/>
      <c r="BU165" s="93"/>
      <c r="BV165" s="93"/>
      <c r="BW165" s="93"/>
      <c r="BX165" s="93"/>
      <c r="BY165" s="93"/>
      <c r="BZ165" s="93"/>
      <c r="CA165" s="93"/>
      <c r="CB165" s="102"/>
      <c r="CC165" s="102"/>
      <c r="CD165" s="102"/>
      <c r="CE165" s="192"/>
      <c r="CF165" s="192"/>
      <c r="CG165" s="192"/>
      <c r="CH165" s="197"/>
      <c r="CI165" s="192"/>
      <c r="CJ165" s="192"/>
      <c r="CK165" s="197"/>
      <c r="CL165" s="197"/>
      <c r="CM165" s="192"/>
      <c r="CN165" s="116"/>
      <c r="CO165" s="100"/>
      <c r="CP165" s="100"/>
      <c r="CQ165" s="100"/>
      <c r="CR165" s="101">
        <v>0.01</v>
      </c>
      <c r="CS165" s="101">
        <v>0.5</v>
      </c>
    </row>
    <row r="166" spans="1:97" s="101" customFormat="1" ht="18.75" hidden="1" customHeight="1" thickBot="1" x14ac:dyDescent="0.4">
      <c r="A166" s="99"/>
      <c r="V166" s="103"/>
      <c r="AA166" s="104"/>
      <c r="AB166" s="104"/>
      <c r="AD166" s="104"/>
      <c r="AE166" s="105"/>
      <c r="AH166" s="106"/>
      <c r="AI166" s="106"/>
      <c r="AK166" s="104"/>
      <c r="AR166" s="104"/>
      <c r="AV166" s="104"/>
      <c r="AX166" s="104"/>
      <c r="AY166" s="93"/>
      <c r="AZ166" s="93"/>
      <c r="BA166" s="93"/>
      <c r="BB166" s="93"/>
      <c r="BC166" s="93"/>
      <c r="BD166" s="93"/>
      <c r="BE166" s="93"/>
      <c r="BF166" s="93"/>
      <c r="BG166" s="93"/>
      <c r="BH166" s="93"/>
      <c r="BI166" s="93" t="s">
        <v>181</v>
      </c>
      <c r="BJ166" s="93" t="s">
        <v>49</v>
      </c>
      <c r="BK166" s="93">
        <v>1120</v>
      </c>
      <c r="BL166" s="93" t="s">
        <v>411</v>
      </c>
      <c r="BM166" s="93">
        <v>0.01</v>
      </c>
      <c r="BN166" s="93">
        <v>0.5</v>
      </c>
      <c r="BO166" s="93" t="s">
        <v>311</v>
      </c>
      <c r="BP166" s="93" t="s">
        <v>49</v>
      </c>
      <c r="BQ166" s="93">
        <v>1100</v>
      </c>
      <c r="BR166" s="93" t="s">
        <v>411</v>
      </c>
      <c r="BS166" s="93">
        <v>0.01</v>
      </c>
      <c r="BT166" s="93">
        <v>0.5</v>
      </c>
      <c r="BU166" s="93" t="s">
        <v>254</v>
      </c>
      <c r="BV166" s="93"/>
      <c r="BW166" s="93"/>
      <c r="BX166" s="93"/>
      <c r="BY166" s="93"/>
      <c r="BZ166" s="93"/>
      <c r="CA166" s="93"/>
      <c r="CB166" s="102"/>
      <c r="CC166" s="102"/>
      <c r="CD166" s="102"/>
      <c r="CE166" s="192"/>
      <c r="CF166" s="192"/>
      <c r="CG166" s="192"/>
      <c r="CH166" s="197"/>
      <c r="CI166" s="192"/>
      <c r="CJ166" s="192"/>
      <c r="CK166" s="197"/>
      <c r="CL166" s="197"/>
      <c r="CM166" s="192"/>
      <c r="CN166" s="116"/>
      <c r="CO166" s="100"/>
      <c r="CP166" s="100"/>
      <c r="CQ166" s="100"/>
      <c r="CR166" s="101">
        <v>0.01</v>
      </c>
      <c r="CS166" s="101">
        <v>0.5</v>
      </c>
    </row>
    <row r="167" spans="1:97" s="101" customFormat="1" ht="18.75" hidden="1" customHeight="1" thickBot="1" x14ac:dyDescent="0.4">
      <c r="A167" s="99"/>
      <c r="V167" s="103"/>
      <c r="AA167" s="104"/>
      <c r="AB167" s="104"/>
      <c r="AD167" s="104"/>
      <c r="AE167" s="105"/>
      <c r="AH167" s="106"/>
      <c r="AI167" s="106"/>
      <c r="AK167" s="104"/>
      <c r="AR167" s="104"/>
      <c r="AV167" s="104"/>
      <c r="AX167" s="104"/>
      <c r="AY167" s="93"/>
      <c r="AZ167" s="93"/>
      <c r="BA167" s="93"/>
      <c r="BB167" s="93"/>
      <c r="BC167" s="93"/>
      <c r="BD167" s="93"/>
      <c r="BE167" s="93"/>
      <c r="BF167" s="93"/>
      <c r="BG167" s="93"/>
      <c r="BH167" s="93"/>
      <c r="BI167" s="93" t="s">
        <v>182</v>
      </c>
      <c r="BJ167" s="93" t="s">
        <v>49</v>
      </c>
      <c r="BK167" s="93">
        <v>1300</v>
      </c>
      <c r="BL167" s="93" t="s">
        <v>411</v>
      </c>
      <c r="BM167" s="93">
        <v>0.01</v>
      </c>
      <c r="BN167" s="93">
        <v>0.5</v>
      </c>
      <c r="BO167" s="93" t="s">
        <v>311</v>
      </c>
      <c r="BP167" s="93" t="s">
        <v>49</v>
      </c>
      <c r="BQ167" s="93">
        <v>1430</v>
      </c>
      <c r="BR167" s="93" t="s">
        <v>411</v>
      </c>
      <c r="BS167" s="93">
        <v>0.01</v>
      </c>
      <c r="BT167" s="93">
        <v>0.5</v>
      </c>
      <c r="BU167" s="93" t="s">
        <v>254</v>
      </c>
      <c r="BV167" s="93"/>
      <c r="BW167" s="93"/>
      <c r="BX167" s="93"/>
      <c r="BY167" s="93"/>
      <c r="BZ167" s="93"/>
      <c r="CA167" s="93"/>
      <c r="CB167" s="102"/>
      <c r="CC167" s="102"/>
      <c r="CD167" s="102"/>
      <c r="CE167" s="192"/>
      <c r="CF167" s="192"/>
      <c r="CG167" s="192"/>
      <c r="CH167" s="197"/>
      <c r="CI167" s="192"/>
      <c r="CJ167" s="192"/>
      <c r="CK167" s="197"/>
      <c r="CL167" s="197"/>
      <c r="CM167" s="192"/>
      <c r="CN167" s="116"/>
      <c r="CO167" s="100">
        <v>0.01</v>
      </c>
      <c r="CP167" s="100">
        <f t="shared" ref="CP167:CP188" si="135">(CO167+CQ167)/2</f>
        <v>0.255</v>
      </c>
      <c r="CQ167" s="100">
        <v>0.5</v>
      </c>
      <c r="CR167" s="101">
        <v>0.01</v>
      </c>
      <c r="CS167" s="101">
        <v>0.5</v>
      </c>
    </row>
    <row r="168" spans="1:97" s="101" customFormat="1" ht="18.75" hidden="1" customHeight="1" thickBot="1" x14ac:dyDescent="0.4">
      <c r="A168" s="99"/>
      <c r="V168" s="103"/>
      <c r="AA168" s="104"/>
      <c r="AB168" s="104"/>
      <c r="AD168" s="104"/>
      <c r="AE168" s="105"/>
      <c r="AH168" s="106"/>
      <c r="AI168" s="106"/>
      <c r="AK168" s="104"/>
      <c r="AR168" s="104"/>
      <c r="AV168" s="104"/>
      <c r="AX168" s="104"/>
      <c r="AY168" s="93"/>
      <c r="AZ168" s="93"/>
      <c r="BA168" s="93"/>
      <c r="BB168" s="93"/>
      <c r="BC168" s="93"/>
      <c r="BD168" s="93"/>
      <c r="BE168" s="93"/>
      <c r="BF168" s="93"/>
      <c r="BG168" s="93"/>
      <c r="BH168" s="93"/>
      <c r="BI168" s="93" t="s">
        <v>186</v>
      </c>
      <c r="BJ168" s="93" t="s">
        <v>49</v>
      </c>
      <c r="BK168" s="93">
        <v>328</v>
      </c>
      <c r="BL168" s="93" t="s">
        <v>411</v>
      </c>
      <c r="BM168" s="93">
        <v>0.01</v>
      </c>
      <c r="BN168" s="93">
        <v>0.5</v>
      </c>
      <c r="BO168" s="93" t="s">
        <v>311</v>
      </c>
      <c r="BP168" s="93" t="s">
        <v>49</v>
      </c>
      <c r="BQ168" s="93">
        <v>353</v>
      </c>
      <c r="BR168" s="93" t="s">
        <v>411</v>
      </c>
      <c r="BS168" s="93">
        <v>0.01</v>
      </c>
      <c r="BT168" s="93">
        <v>0.5</v>
      </c>
      <c r="BU168" s="93" t="s">
        <v>254</v>
      </c>
      <c r="BV168" s="93"/>
      <c r="BW168" s="93"/>
      <c r="BX168" s="93"/>
      <c r="BY168" s="93"/>
      <c r="BZ168" s="93"/>
      <c r="CA168" s="93"/>
      <c r="CB168" s="102"/>
      <c r="CC168" s="102"/>
      <c r="CD168" s="102"/>
      <c r="CE168" s="192"/>
      <c r="CF168" s="192"/>
      <c r="CG168" s="192"/>
      <c r="CH168" s="197"/>
      <c r="CI168" s="192"/>
      <c r="CJ168" s="192"/>
      <c r="CK168" s="197"/>
      <c r="CL168" s="197"/>
      <c r="CM168" s="192"/>
      <c r="CN168" s="116"/>
      <c r="CO168" s="100">
        <v>0.01</v>
      </c>
      <c r="CP168" s="100">
        <f t="shared" si="135"/>
        <v>0.255</v>
      </c>
      <c r="CQ168" s="100">
        <v>0.5</v>
      </c>
      <c r="CR168" s="101">
        <v>0.01</v>
      </c>
      <c r="CS168" s="101">
        <v>0.5</v>
      </c>
    </row>
    <row r="169" spans="1:97" s="101" customFormat="1" ht="18.75" hidden="1" customHeight="1" thickBot="1" x14ac:dyDescent="0.4">
      <c r="A169" s="99"/>
      <c r="V169" s="103"/>
      <c r="AA169" s="104"/>
      <c r="AB169" s="104"/>
      <c r="AD169" s="104"/>
      <c r="AE169" s="105"/>
      <c r="AH169" s="106"/>
      <c r="AI169" s="106"/>
      <c r="AK169" s="104"/>
      <c r="AR169" s="104"/>
      <c r="AV169" s="104"/>
      <c r="AX169" s="104"/>
      <c r="AY169" s="93"/>
      <c r="AZ169" s="93"/>
      <c r="BA169" s="93"/>
      <c r="BB169" s="93"/>
      <c r="BC169" s="93"/>
      <c r="BD169" s="93"/>
      <c r="BE169" s="93"/>
      <c r="BF169" s="93"/>
      <c r="BG169" s="93"/>
      <c r="BH169" s="93"/>
      <c r="BI169" s="93" t="s">
        <v>187</v>
      </c>
      <c r="BJ169" s="93" t="s">
        <v>49</v>
      </c>
      <c r="BK169" s="93">
        <v>4800</v>
      </c>
      <c r="BL169" s="93" t="s">
        <v>411</v>
      </c>
      <c r="BM169" s="93">
        <v>0.01</v>
      </c>
      <c r="BN169" s="93">
        <v>0.5</v>
      </c>
      <c r="BO169" s="93" t="s">
        <v>311</v>
      </c>
      <c r="BP169" s="93" t="s">
        <v>49</v>
      </c>
      <c r="BQ169" s="93">
        <v>4470</v>
      </c>
      <c r="BR169" s="93" t="s">
        <v>411</v>
      </c>
      <c r="BS169" s="93">
        <v>0.01</v>
      </c>
      <c r="BT169" s="93">
        <v>0.5</v>
      </c>
      <c r="BU169" s="93" t="s">
        <v>254</v>
      </c>
      <c r="BV169" s="93"/>
      <c r="BW169" s="93"/>
      <c r="BX169" s="93"/>
      <c r="BY169" s="93"/>
      <c r="BZ169" s="93"/>
      <c r="CA169" s="93"/>
      <c r="CB169" s="102"/>
      <c r="CC169" s="102"/>
      <c r="CD169" s="102"/>
      <c r="CE169" s="192"/>
      <c r="CF169" s="192"/>
      <c r="CG169" s="192"/>
      <c r="CH169" s="197"/>
      <c r="CI169" s="192"/>
      <c r="CJ169" s="192"/>
      <c r="CK169" s="197"/>
      <c r="CL169" s="197"/>
      <c r="CM169" s="192"/>
      <c r="CN169" s="116"/>
      <c r="CO169" s="100">
        <v>0.01</v>
      </c>
      <c r="CP169" s="100">
        <f t="shared" si="135"/>
        <v>0.255</v>
      </c>
      <c r="CQ169" s="100">
        <v>0.5</v>
      </c>
      <c r="CR169" s="101">
        <v>0.01</v>
      </c>
      <c r="CS169" s="101">
        <v>0.5</v>
      </c>
    </row>
    <row r="170" spans="1:97" s="101" customFormat="1" ht="18.75" hidden="1" customHeight="1" thickBot="1" x14ac:dyDescent="0.4">
      <c r="A170" s="99"/>
      <c r="V170" s="103"/>
      <c r="AA170" s="104"/>
      <c r="AB170" s="104"/>
      <c r="AD170" s="104"/>
      <c r="AE170" s="105"/>
      <c r="AH170" s="106"/>
      <c r="AI170" s="106"/>
      <c r="AK170" s="104"/>
      <c r="AR170" s="104"/>
      <c r="AV170" s="104"/>
      <c r="AX170" s="104"/>
      <c r="AY170" s="93"/>
      <c r="AZ170" s="93"/>
      <c r="BA170" s="93"/>
      <c r="BB170" s="93"/>
      <c r="BC170" s="93"/>
      <c r="BD170" s="93"/>
      <c r="BE170" s="93"/>
      <c r="BF170" s="93"/>
      <c r="BG170" s="93"/>
      <c r="BH170" s="93"/>
      <c r="BI170" s="93" t="s">
        <v>395</v>
      </c>
      <c r="BJ170" s="93" t="s">
        <v>49</v>
      </c>
      <c r="BK170" s="93">
        <v>3350</v>
      </c>
      <c r="BL170" s="93" t="s">
        <v>411</v>
      </c>
      <c r="BM170" s="93">
        <v>0.01</v>
      </c>
      <c r="BN170" s="93">
        <v>0.5</v>
      </c>
      <c r="BO170" s="93" t="s">
        <v>311</v>
      </c>
      <c r="BP170" s="93"/>
      <c r="BQ170" s="93"/>
      <c r="BR170" s="93"/>
      <c r="BS170" s="93"/>
      <c r="BT170" s="93"/>
      <c r="BU170" s="93"/>
      <c r="BV170" s="93"/>
      <c r="BW170" s="93"/>
      <c r="BX170" s="93"/>
      <c r="BY170" s="93"/>
      <c r="BZ170" s="93"/>
      <c r="CA170" s="93"/>
      <c r="CB170" s="102"/>
      <c r="CC170" s="102"/>
      <c r="CD170" s="102"/>
      <c r="CE170" s="192"/>
      <c r="CF170" s="192"/>
      <c r="CG170" s="192"/>
      <c r="CH170" s="197"/>
      <c r="CI170" s="192"/>
      <c r="CJ170" s="192"/>
      <c r="CK170" s="197"/>
      <c r="CL170" s="197"/>
      <c r="CM170" s="192"/>
      <c r="CN170" s="116"/>
      <c r="CO170" s="100">
        <v>0.01</v>
      </c>
      <c r="CP170" s="100">
        <f t="shared" si="135"/>
        <v>0.255</v>
      </c>
      <c r="CQ170" s="100">
        <v>0.5</v>
      </c>
    </row>
    <row r="171" spans="1:97" s="101" customFormat="1" ht="90.75" hidden="1" customHeight="1" thickBot="1" x14ac:dyDescent="0.4">
      <c r="A171" s="99"/>
      <c r="V171" s="103"/>
      <c r="AA171" s="104"/>
      <c r="AB171" s="104"/>
      <c r="AD171" s="104"/>
      <c r="AE171" s="105"/>
      <c r="AH171" s="106"/>
      <c r="AI171" s="106"/>
      <c r="AK171" s="104"/>
      <c r="AR171" s="104"/>
      <c r="AV171" s="104"/>
      <c r="AX171" s="104"/>
      <c r="AY171" s="93"/>
      <c r="AZ171" s="93"/>
      <c r="BA171" s="93"/>
      <c r="BB171" s="93"/>
      <c r="BC171" s="93"/>
      <c r="BD171" s="93"/>
      <c r="BE171" s="93"/>
      <c r="BF171" s="93"/>
      <c r="BG171" s="93"/>
      <c r="BH171" s="93"/>
      <c r="BI171" s="93" t="s">
        <v>359</v>
      </c>
      <c r="BJ171" s="93" t="s">
        <v>49</v>
      </c>
      <c r="BK171" s="93">
        <f>(BK167*4%)+(BK165*44%)+(BK169*52%)</f>
        <v>3942.8</v>
      </c>
      <c r="BL171" s="93" t="s">
        <v>411</v>
      </c>
      <c r="BM171" s="93">
        <v>0.01</v>
      </c>
      <c r="BN171" s="93">
        <v>0.5</v>
      </c>
      <c r="BO171" s="93" t="s">
        <v>383</v>
      </c>
      <c r="BP171" s="93" t="s">
        <v>49</v>
      </c>
      <c r="BQ171" s="93">
        <v>3922</v>
      </c>
      <c r="BR171" s="93" t="s">
        <v>411</v>
      </c>
      <c r="BS171" s="93">
        <v>0.01</v>
      </c>
      <c r="BT171" s="93">
        <v>0.5</v>
      </c>
      <c r="BU171" s="93" t="s">
        <v>358</v>
      </c>
      <c r="BV171" s="93"/>
      <c r="BW171" s="93"/>
      <c r="BX171" s="93"/>
      <c r="BY171" s="93"/>
      <c r="BZ171" s="93"/>
      <c r="CA171" s="93"/>
      <c r="CB171" s="102"/>
      <c r="CC171" s="102"/>
      <c r="CD171" s="102"/>
      <c r="CE171" s="192"/>
      <c r="CF171" s="192"/>
      <c r="CG171" s="192"/>
      <c r="CH171" s="197"/>
      <c r="CI171" s="192"/>
      <c r="CJ171" s="192"/>
      <c r="CK171" s="197"/>
      <c r="CL171" s="197"/>
      <c r="CM171" s="192"/>
      <c r="CN171" s="116"/>
      <c r="CO171" s="100">
        <v>0.01</v>
      </c>
      <c r="CP171" s="100">
        <f t="shared" si="135"/>
        <v>0.255</v>
      </c>
      <c r="CQ171" s="100">
        <v>0.5</v>
      </c>
      <c r="CR171" s="101">
        <v>0.01</v>
      </c>
      <c r="CS171" s="101">
        <v>0.5</v>
      </c>
    </row>
    <row r="172" spans="1:97" s="101" customFormat="1" ht="128.25" hidden="1" customHeight="1" thickBot="1" x14ac:dyDescent="0.4">
      <c r="A172" s="99"/>
      <c r="V172" s="103"/>
      <c r="AA172" s="104"/>
      <c r="AB172" s="104"/>
      <c r="AD172" s="104"/>
      <c r="AE172" s="105"/>
      <c r="AH172" s="106"/>
      <c r="AI172" s="106"/>
      <c r="AK172" s="104"/>
      <c r="AR172" s="104"/>
      <c r="AV172" s="104"/>
      <c r="AX172" s="104"/>
      <c r="AY172" s="93"/>
      <c r="AZ172" s="93"/>
      <c r="BA172" s="93"/>
      <c r="BB172" s="93"/>
      <c r="BC172" s="93"/>
      <c r="BD172" s="93"/>
      <c r="BE172" s="93"/>
      <c r="BF172" s="93"/>
      <c r="BG172" s="93"/>
      <c r="BH172" s="93"/>
      <c r="BI172" s="93" t="s">
        <v>185</v>
      </c>
      <c r="BJ172" s="93" t="s">
        <v>49</v>
      </c>
      <c r="BK172" s="93">
        <f>(BK167*52%)+(BK165*25%)+(BK164*23%)</f>
        <v>1624.21</v>
      </c>
      <c r="BL172" s="93" t="s">
        <v>411</v>
      </c>
      <c r="BM172" s="93">
        <v>0.01</v>
      </c>
      <c r="BN172" s="93">
        <v>0.5</v>
      </c>
      <c r="BO172" s="93" t="s">
        <v>384</v>
      </c>
      <c r="BP172" s="93" t="s">
        <v>49</v>
      </c>
      <c r="BQ172" s="93">
        <v>1774</v>
      </c>
      <c r="BR172" s="93" t="s">
        <v>411</v>
      </c>
      <c r="BS172" s="93">
        <v>0.01</v>
      </c>
      <c r="BT172" s="93">
        <v>0.5</v>
      </c>
      <c r="BU172" s="93" t="s">
        <v>254</v>
      </c>
      <c r="BV172" s="93"/>
      <c r="BW172" s="93"/>
      <c r="BX172" s="93"/>
      <c r="BY172" s="93"/>
      <c r="BZ172" s="93"/>
      <c r="CA172" s="93"/>
      <c r="CB172" s="102"/>
      <c r="CC172" s="102"/>
      <c r="CD172" s="102"/>
      <c r="CE172" s="192"/>
      <c r="CF172" s="192"/>
      <c r="CG172" s="192"/>
      <c r="CH172" s="197"/>
      <c r="CI172" s="192"/>
      <c r="CJ172" s="192"/>
      <c r="CK172" s="197"/>
      <c r="CL172" s="197"/>
      <c r="CM172" s="192"/>
      <c r="CN172" s="116"/>
      <c r="CO172" s="100">
        <v>0.01</v>
      </c>
      <c r="CP172" s="100">
        <f t="shared" si="135"/>
        <v>0.255</v>
      </c>
      <c r="CQ172" s="100">
        <v>0.5</v>
      </c>
      <c r="CR172" s="101">
        <v>0.01</v>
      </c>
      <c r="CS172" s="101">
        <v>0.5</v>
      </c>
    </row>
    <row r="173" spans="1:97" s="101" customFormat="1" ht="128.25" hidden="1" customHeight="1" thickBot="1" x14ac:dyDescent="0.4">
      <c r="A173" s="99"/>
      <c r="V173" s="103"/>
      <c r="AA173" s="104"/>
      <c r="AB173" s="104"/>
      <c r="AD173" s="104"/>
      <c r="AE173" s="105"/>
      <c r="AH173" s="106"/>
      <c r="AI173" s="106"/>
      <c r="AK173" s="104"/>
      <c r="AR173" s="104"/>
      <c r="AV173" s="104"/>
      <c r="AX173" s="104"/>
      <c r="AY173" s="93"/>
      <c r="AZ173" s="93"/>
      <c r="BA173" s="93"/>
      <c r="BB173" s="93"/>
      <c r="BC173" s="93"/>
      <c r="BD173" s="93"/>
      <c r="BE173" s="93"/>
      <c r="BF173" s="93"/>
      <c r="BG173" s="93"/>
      <c r="BH173" s="93"/>
      <c r="BI173" s="93" t="s">
        <v>184</v>
      </c>
      <c r="BJ173" s="93" t="s">
        <v>49</v>
      </c>
      <c r="BK173" s="93">
        <f>(BK165*50%)+(BK164*50%)</f>
        <v>1923.5</v>
      </c>
      <c r="BL173" s="93" t="s">
        <v>411</v>
      </c>
      <c r="BM173" s="93">
        <v>0.01</v>
      </c>
      <c r="BN173" s="93">
        <v>0.5</v>
      </c>
      <c r="BO173" s="93" t="s">
        <v>385</v>
      </c>
      <c r="BP173" s="93" t="s">
        <v>49</v>
      </c>
      <c r="BQ173" s="93">
        <v>2088</v>
      </c>
      <c r="BR173" s="93" t="s">
        <v>411</v>
      </c>
      <c r="BS173" s="93">
        <v>0.01</v>
      </c>
      <c r="BT173" s="93">
        <v>0.5</v>
      </c>
      <c r="BU173" s="93" t="s">
        <v>254</v>
      </c>
      <c r="BV173" s="93"/>
      <c r="BW173" s="93"/>
      <c r="BX173" s="93"/>
      <c r="BY173" s="93"/>
      <c r="BZ173" s="93"/>
      <c r="CA173" s="93"/>
      <c r="CB173" s="102"/>
      <c r="CC173" s="102"/>
      <c r="CD173" s="102"/>
      <c r="CE173" s="192"/>
      <c r="CF173" s="192"/>
      <c r="CG173" s="192"/>
      <c r="CH173" s="197"/>
      <c r="CI173" s="192"/>
      <c r="CJ173" s="192"/>
      <c r="CK173" s="197"/>
      <c r="CL173" s="197"/>
      <c r="CM173" s="192"/>
      <c r="CN173" s="116"/>
      <c r="CO173" s="100">
        <v>0.01</v>
      </c>
      <c r="CP173" s="100">
        <f t="shared" si="135"/>
        <v>0.255</v>
      </c>
      <c r="CQ173" s="100">
        <v>0.5</v>
      </c>
      <c r="CR173" s="101">
        <v>0.01</v>
      </c>
      <c r="CS173" s="101">
        <v>0.5</v>
      </c>
    </row>
    <row r="174" spans="1:97" s="101" customFormat="1" ht="128.25" hidden="1" customHeight="1" thickBot="1" x14ac:dyDescent="0.4">
      <c r="A174" s="99"/>
      <c r="V174" s="103"/>
      <c r="AA174" s="104"/>
      <c r="AB174" s="104"/>
      <c r="AD174" s="104"/>
      <c r="AE174" s="105"/>
      <c r="AH174" s="106"/>
      <c r="AI174" s="106"/>
      <c r="AK174" s="104"/>
      <c r="AR174" s="104"/>
      <c r="AV174" s="104"/>
      <c r="AX174" s="104"/>
      <c r="AY174" s="93"/>
      <c r="AZ174" s="93"/>
      <c r="BA174" s="93"/>
      <c r="BB174" s="93"/>
      <c r="BC174" s="93"/>
      <c r="BD174" s="93"/>
      <c r="BE174" s="93"/>
      <c r="BF174" s="93"/>
      <c r="BG174" s="93"/>
      <c r="BH174" s="93"/>
      <c r="BI174" s="93" t="s">
        <v>188</v>
      </c>
      <c r="BJ174" s="93" t="s">
        <v>49</v>
      </c>
      <c r="BK174" s="93">
        <f>(BK165*65.1%)+(BK167*31.5%)+(BK178*3.4%)</f>
        <v>2473.2039999999997</v>
      </c>
      <c r="BL174" s="93" t="s">
        <v>411</v>
      </c>
      <c r="BM174" s="93">
        <v>0.01</v>
      </c>
      <c r="BN174" s="93">
        <v>0.5</v>
      </c>
      <c r="BO174" s="93" t="s">
        <v>386</v>
      </c>
      <c r="BP174" s="93" t="s">
        <v>49</v>
      </c>
      <c r="BQ174" s="93">
        <v>2729</v>
      </c>
      <c r="BR174" s="93" t="s">
        <v>411</v>
      </c>
      <c r="BS174" s="93">
        <v>0.01</v>
      </c>
      <c r="BT174" s="93">
        <v>0.5</v>
      </c>
      <c r="BU174" s="93" t="s">
        <v>254</v>
      </c>
      <c r="BV174" s="93"/>
      <c r="BW174" s="93"/>
      <c r="BX174" s="93"/>
      <c r="BY174" s="93"/>
      <c r="BZ174" s="93"/>
      <c r="CA174" s="93"/>
      <c r="CB174" s="102"/>
      <c r="CC174" s="102"/>
      <c r="CD174" s="102"/>
      <c r="CE174" s="192"/>
      <c r="CF174" s="192"/>
      <c r="CG174" s="192"/>
      <c r="CH174" s="197"/>
      <c r="CI174" s="192"/>
      <c r="CJ174" s="192"/>
      <c r="CK174" s="197"/>
      <c r="CL174" s="197"/>
      <c r="CM174" s="192"/>
      <c r="CN174" s="116"/>
      <c r="CO174" s="100">
        <v>0.01</v>
      </c>
      <c r="CP174" s="100">
        <f t="shared" si="135"/>
        <v>0.255</v>
      </c>
      <c r="CQ174" s="100">
        <v>0.5</v>
      </c>
      <c r="CR174" s="101">
        <v>0.01</v>
      </c>
      <c r="CS174" s="101">
        <v>0.5</v>
      </c>
    </row>
    <row r="175" spans="1:97" s="101" customFormat="1" ht="18.75" hidden="1" customHeight="1" thickBot="1" x14ac:dyDescent="0.4">
      <c r="A175" s="99"/>
      <c r="V175" s="103"/>
      <c r="AA175" s="104"/>
      <c r="AB175" s="104"/>
      <c r="AD175" s="104"/>
      <c r="AE175" s="105"/>
      <c r="AH175" s="106"/>
      <c r="AI175" s="106"/>
      <c r="AK175" s="104"/>
      <c r="AR175" s="104"/>
      <c r="AV175" s="104"/>
      <c r="AX175" s="104"/>
      <c r="AY175" s="93"/>
      <c r="AZ175" s="93"/>
      <c r="BA175" s="93"/>
      <c r="BB175" s="93"/>
      <c r="BC175" s="93"/>
      <c r="BD175" s="93"/>
      <c r="BE175" s="93"/>
      <c r="BF175" s="93"/>
      <c r="BG175" s="93"/>
      <c r="BH175" s="93"/>
      <c r="BI175" s="93" t="s">
        <v>183</v>
      </c>
      <c r="BJ175" s="93" t="s">
        <v>49</v>
      </c>
      <c r="BK175" s="93">
        <v>6630</v>
      </c>
      <c r="BL175" s="93" t="s">
        <v>411</v>
      </c>
      <c r="BM175" s="93">
        <v>0.01</v>
      </c>
      <c r="BN175" s="93">
        <v>0.5</v>
      </c>
      <c r="BO175" s="93" t="s">
        <v>311</v>
      </c>
      <c r="BP175" s="93" t="s">
        <v>49</v>
      </c>
      <c r="BQ175" s="93">
        <v>7390</v>
      </c>
      <c r="BR175" s="93" t="s">
        <v>411</v>
      </c>
      <c r="BS175" s="93">
        <v>0.01</v>
      </c>
      <c r="BT175" s="93">
        <v>0.5</v>
      </c>
      <c r="BU175" s="93" t="s">
        <v>254</v>
      </c>
      <c r="BV175" s="93"/>
      <c r="BW175" s="93"/>
      <c r="BX175" s="93"/>
      <c r="BY175" s="93"/>
      <c r="BZ175" s="93"/>
      <c r="CA175" s="93"/>
      <c r="CB175" s="102"/>
      <c r="CC175" s="102"/>
      <c r="CD175" s="102"/>
      <c r="CE175" s="192"/>
      <c r="CF175" s="192"/>
      <c r="CG175" s="192"/>
      <c r="CH175" s="180"/>
      <c r="CI175" s="192"/>
      <c r="CJ175" s="192"/>
      <c r="CK175" s="180"/>
      <c r="CL175" s="180"/>
      <c r="CM175" s="192"/>
      <c r="CN175" s="116"/>
      <c r="CO175" s="100">
        <v>0.01</v>
      </c>
      <c r="CP175" s="100">
        <f t="shared" si="135"/>
        <v>0.255</v>
      </c>
      <c r="CQ175" s="100">
        <v>0.5</v>
      </c>
      <c r="CR175" s="101">
        <v>0.01</v>
      </c>
      <c r="CS175" s="101">
        <v>0.5</v>
      </c>
    </row>
    <row r="176" spans="1:97" s="101" customFormat="1" ht="18.75" hidden="1" customHeight="1" thickBot="1" x14ac:dyDescent="0.4">
      <c r="A176" s="99"/>
      <c r="V176" s="103"/>
      <c r="AA176" s="104"/>
      <c r="AB176" s="104"/>
      <c r="AD176" s="104"/>
      <c r="AE176" s="105"/>
      <c r="AH176" s="106"/>
      <c r="AI176" s="106"/>
      <c r="AK176" s="104"/>
      <c r="AR176" s="104"/>
      <c r="AV176" s="104"/>
      <c r="AX176" s="104"/>
      <c r="AY176" s="93"/>
      <c r="AZ176" s="93"/>
      <c r="BA176" s="93"/>
      <c r="BB176" s="93"/>
      <c r="BC176" s="93"/>
      <c r="BD176" s="93"/>
      <c r="BE176" s="93"/>
      <c r="BF176" s="93"/>
      <c r="BG176" s="93"/>
      <c r="BH176" s="93"/>
      <c r="BI176" s="93" t="s">
        <v>394</v>
      </c>
      <c r="BJ176" s="93" t="s">
        <v>49</v>
      </c>
      <c r="BK176" s="93">
        <v>182</v>
      </c>
      <c r="BL176" s="93" t="s">
        <v>411</v>
      </c>
      <c r="BM176" s="93">
        <v>0.01</v>
      </c>
      <c r="BN176" s="93">
        <v>0.5</v>
      </c>
      <c r="BO176" s="93" t="s">
        <v>311</v>
      </c>
      <c r="BP176" s="93"/>
      <c r="BQ176" s="93"/>
      <c r="BR176" s="93"/>
      <c r="BS176" s="93"/>
      <c r="BT176" s="93"/>
      <c r="BU176" s="93"/>
      <c r="BV176" s="93"/>
      <c r="BW176" s="93"/>
      <c r="BX176" s="93"/>
      <c r="BY176" s="93"/>
      <c r="BZ176" s="93"/>
      <c r="CA176" s="93"/>
      <c r="CB176" s="102"/>
      <c r="CC176" s="102"/>
      <c r="CD176" s="102"/>
      <c r="CE176" s="192"/>
      <c r="CF176" s="192"/>
      <c r="CG176" s="192"/>
      <c r="CH176" s="180"/>
      <c r="CI176" s="192"/>
      <c r="CJ176" s="192"/>
      <c r="CK176" s="180"/>
      <c r="CL176" s="180"/>
      <c r="CM176" s="192"/>
      <c r="CN176" s="116"/>
      <c r="CO176" s="100">
        <v>0.01</v>
      </c>
      <c r="CP176" s="100">
        <f t="shared" si="135"/>
        <v>0.255</v>
      </c>
      <c r="CQ176" s="100">
        <v>0.5</v>
      </c>
    </row>
    <row r="177" spans="1:97" s="101" customFormat="1" ht="105.75" hidden="1" customHeight="1" thickBot="1" x14ac:dyDescent="0.4">
      <c r="A177" s="99"/>
      <c r="V177" s="103"/>
      <c r="AA177" s="104"/>
      <c r="AB177" s="104"/>
      <c r="AD177" s="104"/>
      <c r="AE177" s="105"/>
      <c r="AH177" s="106"/>
      <c r="AI177" s="106"/>
      <c r="AK177" s="104"/>
      <c r="AR177" s="104"/>
      <c r="AV177" s="104"/>
      <c r="AX177" s="104"/>
      <c r="AY177" s="93"/>
      <c r="AZ177" s="93"/>
      <c r="BA177" s="93"/>
      <c r="BB177" s="93"/>
      <c r="BC177" s="93"/>
      <c r="BD177" s="93"/>
      <c r="BE177" s="93"/>
      <c r="BF177" s="93"/>
      <c r="BG177" s="93"/>
      <c r="BH177" s="93"/>
      <c r="BI177" s="93" t="s">
        <v>361</v>
      </c>
      <c r="BJ177" s="93" t="s">
        <v>49</v>
      </c>
      <c r="BK177" s="93">
        <v>3</v>
      </c>
      <c r="BL177" s="93" t="s">
        <v>411</v>
      </c>
      <c r="BM177" s="93">
        <v>0.01</v>
      </c>
      <c r="BN177" s="93">
        <v>0.5</v>
      </c>
      <c r="BO177" s="93" t="s">
        <v>312</v>
      </c>
      <c r="BP177" s="93" t="s">
        <v>49</v>
      </c>
      <c r="BQ177" s="93">
        <v>3</v>
      </c>
      <c r="BR177" s="93" t="s">
        <v>411</v>
      </c>
      <c r="BS177" s="93">
        <v>0.01</v>
      </c>
      <c r="BT177" s="93">
        <v>0.5</v>
      </c>
      <c r="BU177" s="93" t="s">
        <v>254</v>
      </c>
      <c r="BV177" s="93"/>
      <c r="BW177" s="93"/>
      <c r="BX177" s="93"/>
      <c r="BY177" s="93"/>
      <c r="BZ177" s="93"/>
      <c r="CA177" s="93"/>
      <c r="CB177" s="102"/>
      <c r="CC177" s="102"/>
      <c r="CD177" s="102"/>
      <c r="CE177" s="192"/>
      <c r="CF177" s="192"/>
      <c r="CG177" s="192"/>
      <c r="CH177" s="197"/>
      <c r="CI177" s="192"/>
      <c r="CJ177" s="192"/>
      <c r="CK177" s="197"/>
      <c r="CL177" s="197"/>
      <c r="CM177" s="192"/>
      <c r="CN177" s="116"/>
      <c r="CO177" s="100">
        <v>0.01</v>
      </c>
      <c r="CP177" s="100">
        <f t="shared" si="135"/>
        <v>0.255</v>
      </c>
      <c r="CQ177" s="100">
        <v>0.5</v>
      </c>
      <c r="CR177" s="101">
        <v>0.01</v>
      </c>
      <c r="CS177" s="101">
        <v>0.5</v>
      </c>
    </row>
    <row r="178" spans="1:97" s="101" customFormat="1" ht="64.5" hidden="1" customHeight="1" thickBot="1" x14ac:dyDescent="0.4">
      <c r="A178" s="99"/>
      <c r="V178" s="103"/>
      <c r="AA178" s="104"/>
      <c r="AB178" s="104"/>
      <c r="AD178" s="104"/>
      <c r="AE178" s="105"/>
      <c r="AH178" s="106"/>
      <c r="AI178" s="106"/>
      <c r="AK178" s="104"/>
      <c r="AR178" s="104"/>
      <c r="AV178" s="104"/>
      <c r="AX178" s="104"/>
      <c r="AY178" s="93"/>
      <c r="AZ178" s="93"/>
      <c r="BA178" s="93"/>
      <c r="BB178" s="93"/>
      <c r="BC178" s="93"/>
      <c r="BD178" s="93"/>
      <c r="BE178" s="93"/>
      <c r="BF178" s="93"/>
      <c r="BG178" s="93"/>
      <c r="BH178" s="93"/>
      <c r="BI178" s="93" t="s">
        <v>362</v>
      </c>
      <c r="BJ178" s="93" t="s">
        <v>49</v>
      </c>
      <c r="BK178" s="93">
        <v>1</v>
      </c>
      <c r="BL178" s="93" t="s">
        <v>411</v>
      </c>
      <c r="BM178" s="93">
        <v>0.01</v>
      </c>
      <c r="BN178" s="93">
        <v>0.5</v>
      </c>
      <c r="BO178" s="93" t="s">
        <v>312</v>
      </c>
      <c r="BP178" s="93" t="s">
        <v>49</v>
      </c>
      <c r="BQ178" s="93">
        <v>3</v>
      </c>
      <c r="BR178" s="93" t="s">
        <v>411</v>
      </c>
      <c r="BS178" s="93">
        <v>0.01</v>
      </c>
      <c r="BT178" s="93">
        <v>0.5</v>
      </c>
      <c r="BU178" s="93" t="s">
        <v>254</v>
      </c>
      <c r="BV178" s="93"/>
      <c r="BW178" s="93"/>
      <c r="BX178" s="93"/>
      <c r="BY178" s="93"/>
      <c r="BZ178" s="93"/>
      <c r="CA178" s="93"/>
      <c r="CB178" s="102"/>
      <c r="CC178" s="102"/>
      <c r="CD178" s="102"/>
      <c r="CE178" s="192"/>
      <c r="CF178" s="192"/>
      <c r="CG178" s="192"/>
      <c r="CH178" s="197"/>
      <c r="CI178" s="192"/>
      <c r="CJ178" s="192"/>
      <c r="CK178" s="197"/>
      <c r="CL178" s="197"/>
      <c r="CM178" s="192"/>
      <c r="CN178" s="116"/>
      <c r="CO178" s="100">
        <v>0.01</v>
      </c>
      <c r="CP178" s="100">
        <f t="shared" si="135"/>
        <v>0.255</v>
      </c>
      <c r="CQ178" s="100">
        <v>0.5</v>
      </c>
      <c r="CR178" s="101">
        <v>0.01</v>
      </c>
      <c r="CS178" s="101">
        <v>0.5</v>
      </c>
    </row>
    <row r="179" spans="1:97" s="101" customFormat="1" ht="18.75" hidden="1" customHeight="1" thickBot="1" x14ac:dyDescent="0.4">
      <c r="A179" s="99"/>
      <c r="V179" s="103"/>
      <c r="AA179" s="104"/>
      <c r="AB179" s="104"/>
      <c r="AD179" s="104"/>
      <c r="AE179" s="105"/>
      <c r="AH179" s="106"/>
      <c r="AI179" s="106"/>
      <c r="AK179" s="104"/>
      <c r="AR179" s="104"/>
      <c r="AV179" s="104"/>
      <c r="AX179" s="104"/>
      <c r="AY179" s="93"/>
      <c r="AZ179" s="93"/>
      <c r="BA179" s="93"/>
      <c r="BB179" s="93"/>
      <c r="BC179" s="93"/>
      <c r="BD179" s="93"/>
      <c r="BE179" s="93"/>
      <c r="BF179" s="93"/>
      <c r="BG179" s="93"/>
      <c r="BH179" s="93"/>
      <c r="BI179" s="93" t="s">
        <v>192</v>
      </c>
      <c r="BJ179" s="93" t="s">
        <v>49</v>
      </c>
      <c r="BK179" s="93">
        <v>6290</v>
      </c>
      <c r="BL179" s="93" t="s">
        <v>411</v>
      </c>
      <c r="BM179" s="93">
        <v>0.01</v>
      </c>
      <c r="BN179" s="93">
        <v>0.5</v>
      </c>
      <c r="BO179" s="93" t="s">
        <v>311</v>
      </c>
      <c r="BP179" s="93" t="s">
        <v>49</v>
      </c>
      <c r="BQ179" s="93">
        <v>7140</v>
      </c>
      <c r="BR179" s="93" t="s">
        <v>411</v>
      </c>
      <c r="BS179" s="93">
        <v>0.01</v>
      </c>
      <c r="BT179" s="93">
        <v>0.5</v>
      </c>
      <c r="BU179" s="93" t="s">
        <v>254</v>
      </c>
      <c r="BV179" s="93"/>
      <c r="BW179" s="93"/>
      <c r="BX179" s="93"/>
      <c r="BY179" s="93"/>
      <c r="BZ179" s="93"/>
      <c r="CA179" s="93"/>
      <c r="CB179" s="102"/>
      <c r="CC179" s="102"/>
      <c r="CD179" s="102"/>
      <c r="CE179" s="192"/>
      <c r="CF179" s="192"/>
      <c r="CG179" s="192"/>
      <c r="CH179" s="197"/>
      <c r="CI179" s="192"/>
      <c r="CJ179" s="192"/>
      <c r="CK179" s="197"/>
      <c r="CL179" s="197"/>
      <c r="CM179" s="192"/>
      <c r="CN179" s="116"/>
      <c r="CO179" s="100">
        <v>0.01</v>
      </c>
      <c r="CP179" s="100">
        <f t="shared" si="135"/>
        <v>0.255</v>
      </c>
      <c r="CQ179" s="100">
        <v>0.5</v>
      </c>
      <c r="CR179" s="101">
        <v>0.01</v>
      </c>
      <c r="CS179" s="101">
        <v>0.5</v>
      </c>
    </row>
    <row r="180" spans="1:97" s="101" customFormat="1" ht="15.75" hidden="1" customHeight="1" thickBot="1" x14ac:dyDescent="0.3">
      <c r="A180" s="99"/>
      <c r="V180" s="103"/>
      <c r="AA180" s="104"/>
      <c r="AB180" s="104"/>
      <c r="AD180" s="104"/>
      <c r="AE180" s="105"/>
      <c r="AH180" s="106"/>
      <c r="AI180" s="106"/>
      <c r="AK180" s="104"/>
      <c r="AR180" s="104"/>
      <c r="AV180" s="104"/>
      <c r="AX180" s="104"/>
      <c r="AY180" s="93"/>
      <c r="AZ180" s="93"/>
      <c r="BA180" s="93"/>
      <c r="BB180" s="93"/>
      <c r="BC180" s="93"/>
      <c r="BD180" s="93"/>
      <c r="BE180" s="93"/>
      <c r="BF180" s="93"/>
      <c r="BG180" s="93"/>
      <c r="BH180" s="93"/>
      <c r="BI180" s="93"/>
      <c r="BJ180" s="93"/>
      <c r="BK180" s="93"/>
      <c r="BL180" s="93"/>
      <c r="BM180" s="93"/>
      <c r="BN180" s="93"/>
      <c r="BO180" s="93"/>
      <c r="BP180" s="93"/>
      <c r="BQ180" s="93"/>
      <c r="BR180" s="93"/>
      <c r="BS180" s="93"/>
      <c r="BT180" s="93"/>
      <c r="BU180" s="93"/>
      <c r="BV180" s="93"/>
      <c r="BW180" s="93"/>
      <c r="BX180" s="93"/>
      <c r="BY180" s="93"/>
      <c r="BZ180" s="93"/>
      <c r="CA180" s="93"/>
      <c r="CB180" s="102"/>
      <c r="CC180" s="102"/>
      <c r="CD180" s="102"/>
      <c r="CE180" s="192"/>
      <c r="CF180" s="192"/>
      <c r="CG180" s="192"/>
      <c r="CH180" s="180"/>
      <c r="CI180" s="192"/>
      <c r="CJ180" s="192"/>
      <c r="CK180" s="180"/>
      <c r="CL180" s="180"/>
      <c r="CM180" s="192"/>
      <c r="CN180" s="116"/>
      <c r="CO180" s="100">
        <v>0.01</v>
      </c>
      <c r="CP180" s="100">
        <f t="shared" si="135"/>
        <v>0.255</v>
      </c>
      <c r="CQ180" s="100">
        <v>0.5</v>
      </c>
      <c r="CR180" s="101">
        <v>0.01</v>
      </c>
      <c r="CS180" s="101">
        <v>0.5</v>
      </c>
    </row>
    <row r="181" spans="1:97" s="101" customFormat="1" ht="15" hidden="1" customHeight="1" x14ac:dyDescent="0.25">
      <c r="A181" s="99"/>
      <c r="V181" s="103"/>
      <c r="AA181" s="104"/>
      <c r="AB181" s="104"/>
      <c r="AD181" s="104"/>
      <c r="AE181" s="105"/>
      <c r="AH181" s="106"/>
      <c r="AI181" s="106"/>
      <c r="AK181" s="104"/>
      <c r="AR181" s="104"/>
      <c r="AV181" s="104"/>
      <c r="AX181" s="104"/>
      <c r="AY181" s="93"/>
      <c r="AZ181" s="93"/>
      <c r="BA181" s="93"/>
      <c r="BB181" s="93"/>
      <c r="BC181" s="93"/>
      <c r="BD181" s="93"/>
      <c r="BE181" s="93"/>
      <c r="BF181" s="93"/>
      <c r="BG181" s="93"/>
      <c r="BH181" s="93"/>
      <c r="BI181" s="93"/>
      <c r="BJ181" s="93"/>
      <c r="BK181" s="93"/>
      <c r="BL181" s="93"/>
      <c r="BM181" s="93"/>
      <c r="BN181" s="93"/>
      <c r="BO181" s="93"/>
      <c r="BP181" s="93"/>
      <c r="BQ181" s="93"/>
      <c r="BR181" s="93"/>
      <c r="BS181" s="93"/>
      <c r="BT181" s="93"/>
      <c r="BU181" s="93"/>
      <c r="BV181" s="93"/>
      <c r="BW181" s="93"/>
      <c r="BX181" s="93"/>
      <c r="BY181" s="93"/>
      <c r="BZ181" s="93"/>
      <c r="CA181" s="93"/>
      <c r="CB181" s="192"/>
      <c r="CC181" s="192"/>
      <c r="CD181" s="192"/>
      <c r="CE181" s="192"/>
      <c r="CF181" s="192"/>
      <c r="CG181" s="192"/>
      <c r="CH181" s="180"/>
      <c r="CI181" s="192"/>
      <c r="CJ181" s="192"/>
      <c r="CK181" s="180"/>
      <c r="CL181" s="180"/>
      <c r="CM181" s="192"/>
      <c r="CN181" s="116"/>
      <c r="CO181" s="100">
        <v>0.01</v>
      </c>
      <c r="CP181" s="100">
        <f t="shared" si="135"/>
        <v>0.255</v>
      </c>
      <c r="CQ181" s="100">
        <v>0.5</v>
      </c>
    </row>
    <row r="182" spans="1:97" s="101" customFormat="1" ht="15" hidden="1" customHeight="1" x14ac:dyDescent="0.25">
      <c r="A182" s="99"/>
      <c r="V182" s="103"/>
      <c r="AA182" s="104"/>
      <c r="AB182" s="104"/>
      <c r="AD182" s="104"/>
      <c r="AE182" s="105"/>
      <c r="AH182" s="106"/>
      <c r="AI182" s="106"/>
      <c r="AK182" s="104"/>
      <c r="AR182" s="104"/>
      <c r="AV182" s="104"/>
      <c r="AX182" s="104"/>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180"/>
      <c r="CC182" s="178"/>
      <c r="CD182" s="178"/>
      <c r="CE182" s="180"/>
      <c r="CF182" s="180"/>
      <c r="CG182" s="180"/>
      <c r="CH182" s="180"/>
      <c r="CI182" s="178"/>
      <c r="CJ182" s="178"/>
      <c r="CK182" s="180"/>
      <c r="CL182" s="180"/>
      <c r="CM182" s="180"/>
      <c r="CN182" s="116"/>
      <c r="CO182" s="100">
        <v>0.01</v>
      </c>
      <c r="CP182" s="100">
        <f t="shared" si="135"/>
        <v>0.255</v>
      </c>
      <c r="CQ182" s="100">
        <v>0.5</v>
      </c>
    </row>
    <row r="183" spans="1:97" s="101" customFormat="1" ht="33.75" hidden="1" customHeight="1" x14ac:dyDescent="0.25">
      <c r="A183" s="99"/>
      <c r="V183" s="103"/>
      <c r="AA183" s="104"/>
      <c r="AB183" s="104"/>
      <c r="AD183" s="104"/>
      <c r="AE183" s="105"/>
      <c r="AH183" s="106"/>
      <c r="AI183" s="106"/>
      <c r="AK183" s="104"/>
      <c r="AR183" s="104"/>
      <c r="AV183" s="104"/>
      <c r="AX183" s="104"/>
      <c r="AY183" s="93"/>
      <c r="AZ183" s="93"/>
      <c r="BA183" s="93"/>
      <c r="BB183" s="93"/>
      <c r="BC183" s="93"/>
      <c r="BD183" s="93"/>
      <c r="BE183" s="93"/>
      <c r="BF183" s="93"/>
      <c r="BG183" s="93"/>
      <c r="BH183" s="93"/>
      <c r="BI183" s="93" t="s">
        <v>250</v>
      </c>
      <c r="BJ183" s="93"/>
      <c r="BK183" s="93" t="s">
        <v>276</v>
      </c>
      <c r="BL183" s="93"/>
      <c r="BM183" s="93" t="s">
        <v>233</v>
      </c>
      <c r="BN183" s="93" t="s">
        <v>233</v>
      </c>
      <c r="BO183" s="93" t="s">
        <v>240</v>
      </c>
      <c r="BP183" s="93"/>
      <c r="BQ183" s="93" t="s">
        <v>276</v>
      </c>
      <c r="BR183" s="93"/>
      <c r="BS183" s="93" t="s">
        <v>233</v>
      </c>
      <c r="BT183" s="93" t="s">
        <v>233</v>
      </c>
      <c r="BU183" s="93" t="s">
        <v>240</v>
      </c>
      <c r="BV183" s="93"/>
      <c r="BW183" s="93"/>
      <c r="BX183" s="93"/>
      <c r="BY183" s="93"/>
      <c r="BZ183" s="93"/>
      <c r="CA183" s="93"/>
      <c r="CB183" s="180"/>
      <c r="CC183" s="178"/>
      <c r="CD183" s="178"/>
      <c r="CE183" s="180"/>
      <c r="CF183" s="180"/>
      <c r="CG183" s="180"/>
      <c r="CH183" s="180"/>
      <c r="CI183" s="178"/>
      <c r="CJ183" s="178"/>
      <c r="CK183" s="180"/>
      <c r="CL183" s="180"/>
      <c r="CM183" s="180"/>
      <c r="CN183" s="116"/>
      <c r="CO183" s="100">
        <v>0.01</v>
      </c>
      <c r="CP183" s="100">
        <f t="shared" si="135"/>
        <v>0.255</v>
      </c>
      <c r="CQ183" s="100">
        <v>0.5</v>
      </c>
    </row>
    <row r="184" spans="1:97" s="101" customFormat="1" ht="37.5" hidden="1" customHeight="1" x14ac:dyDescent="0.25">
      <c r="A184" s="99"/>
      <c r="V184" s="103"/>
      <c r="AA184" s="104"/>
      <c r="AB184" s="104"/>
      <c r="AD184" s="104"/>
      <c r="AE184" s="105"/>
      <c r="AH184" s="106"/>
      <c r="AI184" s="106"/>
      <c r="AK184" s="104"/>
      <c r="AR184" s="104"/>
      <c r="AV184" s="104"/>
      <c r="AX184" s="104"/>
      <c r="AY184" s="93"/>
      <c r="AZ184" s="93"/>
      <c r="BA184" s="93"/>
      <c r="BB184" s="93"/>
      <c r="BC184" s="93"/>
      <c r="BD184" s="93"/>
      <c r="BE184" s="93"/>
      <c r="BF184" s="93"/>
      <c r="BG184" s="93"/>
      <c r="BH184" s="93"/>
      <c r="BI184" s="93"/>
      <c r="BJ184" s="93" t="s">
        <v>253</v>
      </c>
      <c r="BK184" s="93"/>
      <c r="BL184" s="93" t="s">
        <v>251</v>
      </c>
      <c r="BM184" s="93"/>
      <c r="BN184" s="93"/>
      <c r="BO184" s="93"/>
      <c r="BP184" s="93" t="s">
        <v>253</v>
      </c>
      <c r="BQ184" s="93"/>
      <c r="BR184" s="93" t="s">
        <v>251</v>
      </c>
      <c r="BS184" s="93"/>
      <c r="BT184" s="93"/>
      <c r="BU184" s="93"/>
      <c r="BV184" s="93"/>
      <c r="BW184" s="93"/>
      <c r="BX184" s="93"/>
      <c r="BY184" s="93"/>
      <c r="BZ184" s="93"/>
      <c r="CA184" s="93"/>
      <c r="CB184" s="180"/>
      <c r="CC184" s="178"/>
      <c r="CD184" s="178"/>
      <c r="CE184" s="180"/>
      <c r="CF184" s="180"/>
      <c r="CG184" s="180"/>
      <c r="CH184" s="180"/>
      <c r="CI184" s="178"/>
      <c r="CJ184" s="178"/>
      <c r="CK184" s="180"/>
      <c r="CL184" s="180"/>
      <c r="CM184" s="180"/>
      <c r="CN184" s="116"/>
      <c r="CO184" s="100">
        <v>0.01</v>
      </c>
      <c r="CP184" s="100">
        <f t="shared" si="135"/>
        <v>0.255</v>
      </c>
      <c r="CQ184" s="100">
        <v>0.5</v>
      </c>
    </row>
    <row r="185" spans="1:97" s="101" customFormat="1" ht="18.75" hidden="1" customHeight="1" thickBot="1" x14ac:dyDescent="0.4">
      <c r="A185" s="99"/>
      <c r="V185" s="103"/>
      <c r="AA185" s="104"/>
      <c r="AB185" s="104"/>
      <c r="AD185" s="104"/>
      <c r="AE185" s="105"/>
      <c r="AH185" s="106"/>
      <c r="AI185" s="106"/>
      <c r="AK185" s="104"/>
      <c r="AR185" s="104"/>
      <c r="AV185" s="104"/>
      <c r="AX185" s="104"/>
      <c r="AY185" s="93"/>
      <c r="AZ185" s="93"/>
      <c r="BA185" s="93"/>
      <c r="BB185" s="93"/>
      <c r="BC185" s="93"/>
      <c r="BD185" s="93"/>
      <c r="BE185" s="93"/>
      <c r="BF185" s="93"/>
      <c r="BG185" s="93"/>
      <c r="BH185" s="93"/>
      <c r="BI185" s="93" t="s">
        <v>373</v>
      </c>
      <c r="BJ185" s="93" t="s">
        <v>49</v>
      </c>
      <c r="BK185" s="93">
        <v>1</v>
      </c>
      <c r="BL185" s="93" t="s">
        <v>411</v>
      </c>
      <c r="BM185" s="93">
        <v>0.01</v>
      </c>
      <c r="BN185" s="93">
        <v>0.5</v>
      </c>
      <c r="BO185" s="93" t="s">
        <v>311</v>
      </c>
      <c r="BP185" s="93" t="s">
        <v>49</v>
      </c>
      <c r="BQ185" s="93">
        <v>1</v>
      </c>
      <c r="BR185" s="93" t="s">
        <v>411</v>
      </c>
      <c r="BS185" s="93">
        <v>0.01</v>
      </c>
      <c r="BT185" s="93">
        <v>0.5</v>
      </c>
      <c r="BU185" s="93" t="s">
        <v>254</v>
      </c>
      <c r="BV185" s="93"/>
      <c r="BW185" s="93"/>
      <c r="BX185" s="93"/>
      <c r="BY185" s="93"/>
      <c r="BZ185" s="93"/>
      <c r="CA185" s="93"/>
      <c r="CB185" s="180"/>
      <c r="CC185" s="178"/>
      <c r="CD185" s="178"/>
      <c r="CE185" s="180"/>
      <c r="CF185" s="180"/>
      <c r="CG185" s="180"/>
      <c r="CH185" s="180"/>
      <c r="CI185" s="178"/>
      <c r="CJ185" s="178"/>
      <c r="CK185" s="180"/>
      <c r="CL185" s="180"/>
      <c r="CM185" s="180"/>
      <c r="CN185" s="116"/>
      <c r="CO185" s="100">
        <v>0.01</v>
      </c>
      <c r="CP185" s="100">
        <f t="shared" si="135"/>
        <v>0.255</v>
      </c>
      <c r="CQ185" s="100">
        <v>0.5</v>
      </c>
      <c r="CR185" s="101">
        <v>0.01</v>
      </c>
      <c r="CS185" s="101">
        <v>0.5</v>
      </c>
    </row>
    <row r="186" spans="1:97" s="101" customFormat="1" ht="18.75" hidden="1" customHeight="1" thickBot="1" x14ac:dyDescent="0.4">
      <c r="A186" s="99"/>
      <c r="V186" s="103"/>
      <c r="AA186" s="104"/>
      <c r="AB186" s="104"/>
      <c r="AD186" s="104"/>
      <c r="AE186" s="105"/>
      <c r="AH186" s="106"/>
      <c r="AI186" s="106"/>
      <c r="AK186" s="104"/>
      <c r="AR186" s="104"/>
      <c r="AV186" s="104"/>
      <c r="AX186" s="104"/>
      <c r="AY186" s="93"/>
      <c r="AZ186" s="93"/>
      <c r="BA186" s="93"/>
      <c r="BB186" s="93"/>
      <c r="BC186" s="93"/>
      <c r="BD186" s="93"/>
      <c r="BE186" s="93"/>
      <c r="BF186" s="93"/>
      <c r="BG186" s="93"/>
      <c r="BH186" s="93"/>
      <c r="BI186" s="93" t="s">
        <v>374</v>
      </c>
      <c r="BJ186" s="93" t="s">
        <v>49</v>
      </c>
      <c r="BK186" s="93">
        <v>79</v>
      </c>
      <c r="BL186" s="93" t="s">
        <v>411</v>
      </c>
      <c r="BM186" s="93">
        <v>0.01</v>
      </c>
      <c r="BN186" s="93">
        <v>0.5</v>
      </c>
      <c r="BO186" s="93" t="s">
        <v>311</v>
      </c>
      <c r="BP186" s="93" t="s">
        <v>49</v>
      </c>
      <c r="BQ186" s="93">
        <v>77</v>
      </c>
      <c r="BR186" s="93" t="s">
        <v>411</v>
      </c>
      <c r="BS186" s="93">
        <v>0.01</v>
      </c>
      <c r="BT186" s="93">
        <v>0.5</v>
      </c>
      <c r="BU186" s="93" t="s">
        <v>254</v>
      </c>
      <c r="BV186" s="93"/>
      <c r="BW186" s="93"/>
      <c r="BX186" s="93"/>
      <c r="BY186" s="93"/>
      <c r="BZ186" s="93"/>
      <c r="CA186" s="93"/>
      <c r="CB186" s="178"/>
      <c r="CC186" s="178"/>
      <c r="CD186" s="178"/>
      <c r="CE186" s="178"/>
      <c r="CF186" s="178"/>
      <c r="CG186" s="178"/>
      <c r="CH186" s="178"/>
      <c r="CI186" s="178"/>
      <c r="CJ186" s="178"/>
      <c r="CK186" s="178"/>
      <c r="CL186" s="178"/>
      <c r="CM186" s="178"/>
      <c r="CN186" s="116"/>
      <c r="CO186" s="100">
        <v>0.01</v>
      </c>
      <c r="CP186" s="100">
        <f t="shared" si="135"/>
        <v>0.255</v>
      </c>
      <c r="CQ186" s="100">
        <v>0.5</v>
      </c>
      <c r="CR186" s="101">
        <v>0.01</v>
      </c>
      <c r="CS186" s="101">
        <v>0.5</v>
      </c>
    </row>
    <row r="187" spans="1:97" s="101" customFormat="1" ht="15" hidden="1" customHeight="1" x14ac:dyDescent="0.25">
      <c r="A187" s="99"/>
      <c r="V187" s="103"/>
      <c r="AA187" s="104"/>
      <c r="AB187" s="104"/>
      <c r="AD187" s="104"/>
      <c r="AE187" s="105"/>
      <c r="AH187" s="106"/>
      <c r="AI187" s="106"/>
      <c r="AK187" s="104"/>
      <c r="AR187" s="104"/>
      <c r="AV187" s="104"/>
      <c r="AX187" s="104"/>
      <c r="AY187" s="93"/>
      <c r="AZ187" s="93"/>
      <c r="BA187" s="93"/>
      <c r="BB187" s="93"/>
      <c r="BC187" s="93"/>
      <c r="BD187" s="93"/>
      <c r="BE187" s="93"/>
      <c r="BF187" s="93"/>
      <c r="BG187" s="93"/>
      <c r="BH187" s="93"/>
      <c r="BI187" s="93"/>
      <c r="BJ187" s="93"/>
      <c r="BK187" s="93"/>
      <c r="BL187" s="93"/>
      <c r="BM187" s="93"/>
      <c r="BN187" s="93"/>
      <c r="BO187" s="93"/>
      <c r="BP187" s="93"/>
      <c r="BQ187" s="93"/>
      <c r="BR187" s="93"/>
      <c r="BS187" s="93"/>
      <c r="BT187" s="93"/>
      <c r="BU187" s="93"/>
      <c r="BV187" s="93"/>
      <c r="BW187" s="93"/>
      <c r="BX187" s="93"/>
      <c r="BY187" s="93"/>
      <c r="BZ187" s="93"/>
      <c r="CA187" s="93"/>
      <c r="CB187" s="178"/>
      <c r="CC187" s="178"/>
      <c r="CD187" s="178"/>
      <c r="CE187" s="178"/>
      <c r="CF187" s="178"/>
      <c r="CG187" s="178"/>
      <c r="CH187" s="178"/>
      <c r="CI187" s="178"/>
      <c r="CJ187" s="178"/>
      <c r="CK187" s="178"/>
      <c r="CL187" s="178"/>
      <c r="CM187" s="178"/>
      <c r="CN187" s="118"/>
      <c r="CO187" s="100">
        <v>0.01</v>
      </c>
      <c r="CP187" s="100">
        <f t="shared" si="135"/>
        <v>0.255</v>
      </c>
      <c r="CQ187" s="100">
        <v>0.5</v>
      </c>
    </row>
    <row r="188" spans="1:97" s="101" customFormat="1" ht="15" hidden="1" customHeight="1" x14ac:dyDescent="0.25">
      <c r="A188" s="99"/>
      <c r="V188" s="103"/>
      <c r="AA188" s="104"/>
      <c r="AB188" s="104"/>
      <c r="AD188" s="104"/>
      <c r="AE188" s="105"/>
      <c r="AH188" s="106"/>
      <c r="AI188" s="106"/>
      <c r="AK188" s="104"/>
      <c r="AR188" s="104"/>
      <c r="AV188" s="104"/>
      <c r="AX188" s="104"/>
      <c r="AY188" s="93"/>
      <c r="AZ188" s="93"/>
      <c r="BA188" s="93"/>
      <c r="BB188" s="93"/>
      <c r="BC188" s="93"/>
      <c r="BD188" s="93"/>
      <c r="BE188" s="93"/>
      <c r="BF188" s="93"/>
      <c r="BG188" s="93"/>
      <c r="BH188" s="93"/>
      <c r="BI188" s="93"/>
      <c r="BJ188" s="93"/>
      <c r="BK188" s="93"/>
      <c r="BL188" s="93"/>
      <c r="BM188" s="93"/>
      <c r="BN188" s="93"/>
      <c r="BO188" s="93"/>
      <c r="BP188" s="93"/>
      <c r="BQ188" s="93"/>
      <c r="BR188" s="93"/>
      <c r="BS188" s="93"/>
      <c r="BT188" s="93"/>
      <c r="BU188" s="93"/>
      <c r="BV188" s="93"/>
      <c r="BW188" s="93"/>
      <c r="BX188" s="93"/>
      <c r="BY188" s="93"/>
      <c r="BZ188" s="93"/>
      <c r="CA188" s="93"/>
      <c r="CB188" s="178"/>
      <c r="CC188" s="178"/>
      <c r="CD188" s="178"/>
      <c r="CE188" s="178"/>
      <c r="CF188" s="178"/>
      <c r="CG188" s="178"/>
      <c r="CH188" s="178"/>
      <c r="CI188" s="178"/>
      <c r="CJ188" s="178"/>
      <c r="CK188" s="178"/>
      <c r="CL188" s="178"/>
      <c r="CM188" s="178"/>
      <c r="CN188" s="118"/>
      <c r="CO188" s="100">
        <v>0.01</v>
      </c>
      <c r="CP188" s="100">
        <f t="shared" si="135"/>
        <v>0.255</v>
      </c>
      <c r="CQ188" s="100">
        <v>0.5</v>
      </c>
    </row>
    <row r="189" spans="1:97" s="101" customFormat="1" ht="15" hidden="1" customHeight="1" x14ac:dyDescent="0.25">
      <c r="A189" s="99"/>
      <c r="V189" s="103"/>
      <c r="AA189" s="104"/>
      <c r="AB189" s="104"/>
      <c r="AD189" s="104"/>
      <c r="AE189" s="105"/>
      <c r="AH189" s="106"/>
      <c r="AI189" s="106"/>
      <c r="AK189" s="104"/>
      <c r="AR189" s="104"/>
      <c r="AV189" s="104"/>
      <c r="AX189" s="104"/>
      <c r="AY189" s="93"/>
      <c r="AZ189" s="93"/>
      <c r="BA189" s="93"/>
      <c r="BB189" s="93"/>
      <c r="BC189" s="93"/>
      <c r="BD189" s="93"/>
      <c r="BE189" s="93"/>
      <c r="BF189" s="93"/>
      <c r="BG189" s="93"/>
      <c r="BH189" s="93"/>
      <c r="BI189" s="93" t="s">
        <v>249</v>
      </c>
      <c r="BJ189" s="93"/>
      <c r="BK189" s="93" t="s">
        <v>277</v>
      </c>
      <c r="BL189" s="93"/>
      <c r="BM189" s="93" t="s">
        <v>233</v>
      </c>
      <c r="BN189" s="93" t="s">
        <v>233</v>
      </c>
      <c r="BO189" s="93" t="s">
        <v>240</v>
      </c>
      <c r="BP189" s="93"/>
      <c r="BQ189" s="93"/>
      <c r="BR189" s="93"/>
      <c r="BS189" s="93"/>
      <c r="BT189" s="93"/>
      <c r="BU189" s="93"/>
      <c r="BV189" s="93"/>
      <c r="BW189" s="93"/>
      <c r="BX189" s="93"/>
      <c r="BY189" s="93"/>
      <c r="BZ189" s="93"/>
      <c r="CA189" s="93"/>
      <c r="CB189" s="199"/>
      <c r="CC189" s="178"/>
      <c r="CD189" s="178"/>
      <c r="CE189" s="199"/>
      <c r="CF189" s="199"/>
      <c r="CG189" s="199"/>
      <c r="CH189" s="199"/>
      <c r="CI189" s="178"/>
      <c r="CJ189" s="178"/>
      <c r="CK189" s="199"/>
      <c r="CL189" s="199"/>
      <c r="CM189" s="199"/>
      <c r="CN189" s="118"/>
      <c r="CO189" s="100"/>
      <c r="CP189" s="100"/>
      <c r="CQ189" s="100"/>
    </row>
    <row r="190" spans="1:97" s="101" customFormat="1" ht="49.5" hidden="1" customHeight="1" x14ac:dyDescent="0.25">
      <c r="A190" s="99"/>
      <c r="V190" s="103"/>
      <c r="AA190" s="104"/>
      <c r="AB190" s="104"/>
      <c r="AD190" s="104"/>
      <c r="AE190" s="105"/>
      <c r="AH190" s="106"/>
      <c r="AI190" s="106"/>
      <c r="AK190" s="104"/>
      <c r="AR190" s="104"/>
      <c r="AV190" s="104"/>
      <c r="AX190" s="104"/>
      <c r="AY190" s="93"/>
      <c r="AZ190" s="93"/>
      <c r="BA190" s="93"/>
      <c r="BB190" s="93"/>
      <c r="BC190" s="93"/>
      <c r="BD190" s="93"/>
      <c r="BE190" s="93"/>
      <c r="BF190" s="93"/>
      <c r="BG190" s="93"/>
      <c r="BH190" s="93"/>
      <c r="BI190" s="93"/>
      <c r="BJ190" s="93" t="s">
        <v>253</v>
      </c>
      <c r="BK190" s="93"/>
      <c r="BL190" s="93" t="s">
        <v>251</v>
      </c>
      <c r="BM190" s="93"/>
      <c r="BN190" s="93"/>
      <c r="BO190" s="93"/>
      <c r="BP190" s="93"/>
      <c r="BQ190" s="93"/>
      <c r="BR190" s="93"/>
      <c r="BS190" s="93"/>
      <c r="BT190" s="93"/>
      <c r="BU190" s="93"/>
      <c r="BV190" s="93"/>
      <c r="BW190" s="93"/>
      <c r="BX190" s="93"/>
      <c r="BY190" s="93"/>
      <c r="BZ190" s="93"/>
      <c r="CA190" s="93"/>
      <c r="CB190" s="199"/>
      <c r="CC190" s="178"/>
      <c r="CD190" s="178"/>
      <c r="CE190" s="199"/>
      <c r="CF190" s="199"/>
      <c r="CG190" s="199"/>
      <c r="CH190" s="199"/>
      <c r="CI190" s="178"/>
      <c r="CJ190" s="178"/>
      <c r="CK190" s="199"/>
      <c r="CL190" s="199"/>
      <c r="CM190" s="199"/>
      <c r="CN190" s="118"/>
      <c r="CO190" s="100"/>
      <c r="CP190" s="100"/>
      <c r="CQ190" s="100"/>
    </row>
    <row r="191" spans="1:97" s="101" customFormat="1" ht="15.75" hidden="1" customHeight="1" thickBot="1" x14ac:dyDescent="0.3">
      <c r="A191" s="99"/>
      <c r="V191" s="103"/>
      <c r="AA191" s="104"/>
      <c r="AB191" s="104"/>
      <c r="AD191" s="104"/>
      <c r="AE191" s="105"/>
      <c r="AH191" s="106"/>
      <c r="AI191" s="106"/>
      <c r="AK191" s="104"/>
      <c r="AR191" s="104"/>
      <c r="AV191" s="104"/>
      <c r="AX191" s="104"/>
      <c r="AY191" s="93"/>
      <c r="AZ191" s="93"/>
      <c r="BA191" s="93"/>
      <c r="BB191" s="93"/>
      <c r="BC191" s="93"/>
      <c r="BD191" s="93"/>
      <c r="BE191" s="93"/>
      <c r="BF191" s="93"/>
      <c r="BG191" s="93"/>
      <c r="BH191" s="93"/>
      <c r="BI191" s="93" t="s">
        <v>256</v>
      </c>
      <c r="BJ191" s="93" t="s">
        <v>75</v>
      </c>
      <c r="BK191" s="93">
        <v>1.7829504000000003E-3</v>
      </c>
      <c r="BL191" s="93" t="s">
        <v>278</v>
      </c>
      <c r="BM191" s="93">
        <v>0.01</v>
      </c>
      <c r="BN191" s="93">
        <v>0.5</v>
      </c>
      <c r="BO191" s="93" t="s">
        <v>258</v>
      </c>
      <c r="BP191" s="93"/>
      <c r="BQ191" s="93"/>
      <c r="BR191" s="93"/>
      <c r="BS191" s="93"/>
      <c r="BT191" s="93"/>
      <c r="BU191" s="93"/>
      <c r="BV191" s="93"/>
      <c r="BW191" s="93"/>
      <c r="BX191" s="93"/>
      <c r="BY191" s="93"/>
      <c r="BZ191" s="93"/>
      <c r="CA191" s="93"/>
      <c r="CB191" s="180"/>
      <c r="CC191" s="178"/>
      <c r="CD191" s="178"/>
      <c r="CE191" s="180"/>
      <c r="CF191" s="180"/>
      <c r="CG191" s="180"/>
      <c r="CH191" s="180"/>
      <c r="CI191" s="178"/>
      <c r="CJ191" s="178"/>
      <c r="CK191" s="180"/>
      <c r="CL191" s="180"/>
      <c r="CM191" s="180"/>
      <c r="CN191" s="116"/>
      <c r="CO191" s="100"/>
      <c r="CP191" s="100"/>
      <c r="CQ191" s="100"/>
      <c r="CR191" s="101">
        <v>0.15</v>
      </c>
      <c r="CS191" s="101">
        <v>0.2</v>
      </c>
    </row>
    <row r="192" spans="1:97" s="101" customFormat="1" ht="15.75" hidden="1" customHeight="1" thickBot="1" x14ac:dyDescent="0.3">
      <c r="A192" s="99"/>
      <c r="V192" s="103"/>
      <c r="AA192" s="104"/>
      <c r="AB192" s="104"/>
      <c r="AD192" s="104"/>
      <c r="AE192" s="105"/>
      <c r="AH192" s="106"/>
      <c r="AI192" s="106"/>
      <c r="AK192" s="104"/>
      <c r="AR192" s="104"/>
      <c r="AV192" s="104"/>
      <c r="AX192" s="104"/>
      <c r="AY192" s="93"/>
      <c r="AZ192" s="93"/>
      <c r="BA192" s="93"/>
      <c r="BB192" s="93"/>
      <c r="BC192" s="93"/>
      <c r="BD192" s="93"/>
      <c r="BE192" s="93"/>
      <c r="BF192" s="93"/>
      <c r="BG192" s="93"/>
      <c r="BH192" s="93"/>
      <c r="BI192" s="93" t="s">
        <v>257</v>
      </c>
      <c r="BJ192" s="93" t="s">
        <v>49</v>
      </c>
      <c r="BK192" s="93">
        <v>5.8960000000000013E-4</v>
      </c>
      <c r="BL192" s="93" t="s">
        <v>259</v>
      </c>
      <c r="BM192" s="93">
        <v>0.01</v>
      </c>
      <c r="BN192" s="93">
        <v>0.5</v>
      </c>
      <c r="BO192" s="93" t="s">
        <v>258</v>
      </c>
      <c r="BP192" s="93"/>
      <c r="BQ192" s="93"/>
      <c r="BR192" s="93"/>
      <c r="BS192" s="93"/>
      <c r="BT192" s="93"/>
      <c r="BU192" s="93"/>
      <c r="BV192" s="93"/>
      <c r="BW192" s="93"/>
      <c r="BX192" s="93"/>
      <c r="BY192" s="93"/>
      <c r="BZ192" s="93"/>
      <c r="CA192" s="93"/>
      <c r="CB192" s="180"/>
      <c r="CC192" s="178"/>
      <c r="CD192" s="178"/>
      <c r="CE192" s="180"/>
      <c r="CF192" s="180"/>
      <c r="CG192" s="180"/>
      <c r="CH192" s="180"/>
      <c r="CI192" s="178"/>
      <c r="CJ192" s="178"/>
      <c r="CK192" s="180"/>
      <c r="CL192" s="180"/>
      <c r="CM192" s="180"/>
      <c r="CN192" s="116"/>
      <c r="CO192" s="100"/>
      <c r="CP192" s="100"/>
      <c r="CQ192" s="100"/>
      <c r="CR192" s="101">
        <v>0.15</v>
      </c>
      <c r="CS192" s="101">
        <v>0.2</v>
      </c>
    </row>
    <row r="193" spans="1:97" s="101" customFormat="1" ht="15" hidden="1" customHeight="1" x14ac:dyDescent="0.25">
      <c r="A193" s="99"/>
      <c r="V193" s="103"/>
      <c r="AA193" s="104"/>
      <c r="AB193" s="104"/>
      <c r="AD193" s="104"/>
      <c r="AE193" s="105"/>
      <c r="AH193" s="106"/>
      <c r="AI193" s="106"/>
      <c r="AK193" s="104"/>
      <c r="AR193" s="104"/>
      <c r="AV193" s="104"/>
      <c r="AX193" s="104"/>
      <c r="AY193" s="93"/>
      <c r="AZ193" s="93"/>
      <c r="BA193" s="93"/>
      <c r="BB193" s="93"/>
      <c r="BC193" s="93"/>
      <c r="BD193" s="93"/>
      <c r="BE193" s="93"/>
      <c r="BF193" s="93"/>
      <c r="BG193" s="93"/>
      <c r="BH193" s="93"/>
      <c r="BI193" s="93"/>
      <c r="BJ193" s="93"/>
      <c r="BK193" s="93"/>
      <c r="BL193" s="93"/>
      <c r="BM193" s="93"/>
      <c r="BN193" s="93"/>
      <c r="BO193" s="93"/>
      <c r="BP193" s="93"/>
      <c r="BQ193" s="93"/>
      <c r="BR193" s="93"/>
      <c r="BS193" s="93"/>
      <c r="BT193" s="93"/>
      <c r="BU193" s="93"/>
      <c r="BV193" s="93"/>
      <c r="BW193" s="93"/>
      <c r="BX193" s="93"/>
      <c r="BY193" s="93"/>
      <c r="BZ193" s="93"/>
      <c r="CA193" s="93"/>
      <c r="CB193" s="180"/>
      <c r="CC193" s="178"/>
      <c r="CD193" s="178"/>
      <c r="CE193" s="180"/>
      <c r="CF193" s="180"/>
      <c r="CG193" s="180"/>
      <c r="CH193" s="180"/>
      <c r="CI193" s="178"/>
      <c r="CJ193" s="178"/>
      <c r="CK193" s="180"/>
      <c r="CL193" s="180"/>
      <c r="CM193" s="180"/>
      <c r="CN193" s="116"/>
      <c r="CO193" s="100">
        <v>0.01</v>
      </c>
      <c r="CP193" s="100">
        <f>(CO193+CQ193)/2</f>
        <v>0.255</v>
      </c>
      <c r="CQ193" s="100">
        <v>0.5</v>
      </c>
    </row>
    <row r="194" spans="1:97" s="101" customFormat="1" ht="15" hidden="1" customHeight="1" x14ac:dyDescent="0.25">
      <c r="A194" s="99"/>
      <c r="V194" s="103"/>
      <c r="AA194" s="104"/>
      <c r="AB194" s="104"/>
      <c r="AD194" s="104"/>
      <c r="AE194" s="105"/>
      <c r="AH194" s="106"/>
      <c r="AI194" s="106"/>
      <c r="AK194" s="104"/>
      <c r="AR194" s="104"/>
      <c r="AV194" s="104"/>
      <c r="AX194" s="104"/>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180"/>
      <c r="CC194" s="178"/>
      <c r="CD194" s="178"/>
      <c r="CE194" s="180"/>
      <c r="CF194" s="180"/>
      <c r="CG194" s="180"/>
      <c r="CH194" s="180"/>
      <c r="CI194" s="178"/>
      <c r="CJ194" s="178"/>
      <c r="CK194" s="180"/>
      <c r="CL194" s="180"/>
      <c r="CM194" s="180"/>
      <c r="CN194" s="116"/>
      <c r="CO194" s="100">
        <v>0.01</v>
      </c>
      <c r="CP194" s="100">
        <f>(CO194+CQ194)/2</f>
        <v>0.255</v>
      </c>
      <c r="CQ194" s="100">
        <v>0.5</v>
      </c>
    </row>
    <row r="195" spans="1:97" s="101" customFormat="1" ht="15" hidden="1" customHeight="1" x14ac:dyDescent="0.25">
      <c r="A195" s="99"/>
      <c r="V195" s="103"/>
      <c r="AA195" s="104"/>
      <c r="AB195" s="104"/>
      <c r="AD195" s="104"/>
      <c r="AE195" s="105"/>
      <c r="AH195" s="106"/>
      <c r="AI195" s="106"/>
      <c r="AK195" s="104"/>
      <c r="AR195" s="104"/>
      <c r="AV195" s="104"/>
      <c r="AX195" s="104"/>
      <c r="AY195" s="93"/>
      <c r="AZ195" s="93"/>
      <c r="BA195" s="93"/>
      <c r="BB195" s="93"/>
      <c r="BC195" s="93"/>
      <c r="BD195" s="93"/>
      <c r="BE195" s="93"/>
      <c r="BF195" s="93"/>
      <c r="BG195" s="93"/>
      <c r="BH195" s="93"/>
      <c r="BI195" s="93" t="s">
        <v>171</v>
      </c>
      <c r="BJ195" s="93"/>
      <c r="BK195" s="93" t="s">
        <v>276</v>
      </c>
      <c r="BL195" s="93"/>
      <c r="BM195" s="93" t="s">
        <v>233</v>
      </c>
      <c r="BN195" s="93" t="s">
        <v>233</v>
      </c>
      <c r="BO195" s="93" t="s">
        <v>240</v>
      </c>
      <c r="BP195" s="93"/>
      <c r="BQ195" s="93"/>
      <c r="BR195" s="93"/>
      <c r="BS195" s="93"/>
      <c r="BT195" s="93"/>
      <c r="BU195" s="93"/>
      <c r="BV195" s="93"/>
      <c r="BW195" s="93"/>
      <c r="BX195" s="93"/>
      <c r="BY195" s="93"/>
      <c r="BZ195" s="93"/>
      <c r="CA195" s="93"/>
      <c r="CB195" s="180"/>
      <c r="CC195" s="178"/>
      <c r="CD195" s="178"/>
      <c r="CE195" s="180"/>
      <c r="CF195" s="180"/>
      <c r="CG195" s="180"/>
      <c r="CH195" s="180"/>
      <c r="CI195" s="178"/>
      <c r="CJ195" s="178"/>
      <c r="CK195" s="180"/>
      <c r="CL195" s="180"/>
      <c r="CM195" s="180"/>
      <c r="CN195" s="116"/>
      <c r="CO195" s="100"/>
      <c r="CP195" s="100"/>
      <c r="CQ195" s="100"/>
    </row>
    <row r="196" spans="1:97" s="101" customFormat="1" ht="41.25" hidden="1" customHeight="1" x14ac:dyDescent="0.25">
      <c r="A196" s="99"/>
      <c r="V196" s="103"/>
      <c r="AA196" s="104"/>
      <c r="AB196" s="104"/>
      <c r="AD196" s="104"/>
      <c r="AE196" s="105"/>
      <c r="AH196" s="106"/>
      <c r="AI196" s="106"/>
      <c r="AK196" s="104"/>
      <c r="AR196" s="104"/>
      <c r="AV196" s="104"/>
      <c r="AX196" s="104"/>
      <c r="AY196" s="93"/>
      <c r="AZ196" s="93"/>
      <c r="BA196" s="93"/>
      <c r="BB196" s="93"/>
      <c r="BC196" s="93"/>
      <c r="BD196" s="93"/>
      <c r="BE196" s="93"/>
      <c r="BF196" s="93"/>
      <c r="BG196" s="93"/>
      <c r="BH196" s="93"/>
      <c r="BI196" s="93"/>
      <c r="BJ196" s="93" t="s">
        <v>253</v>
      </c>
      <c r="BK196" s="93"/>
      <c r="BL196" s="93" t="s">
        <v>251</v>
      </c>
      <c r="BM196" s="93"/>
      <c r="BN196" s="93"/>
      <c r="BO196" s="93"/>
      <c r="BP196" s="93"/>
      <c r="BQ196" s="93"/>
      <c r="BR196" s="93"/>
      <c r="BS196" s="93"/>
      <c r="BT196" s="93"/>
      <c r="BU196" s="93"/>
      <c r="BV196" s="93"/>
      <c r="BW196" s="93"/>
      <c r="BX196" s="93"/>
      <c r="BY196" s="93"/>
      <c r="BZ196" s="93"/>
      <c r="CA196" s="93"/>
      <c r="CB196" s="180"/>
      <c r="CC196" s="178"/>
      <c r="CD196" s="178"/>
      <c r="CE196" s="180"/>
      <c r="CF196" s="180"/>
      <c r="CG196" s="180"/>
      <c r="CH196" s="180"/>
      <c r="CI196" s="178"/>
      <c r="CJ196" s="178"/>
      <c r="CK196" s="180"/>
      <c r="CL196" s="180"/>
      <c r="CM196" s="180"/>
      <c r="CN196" s="116"/>
      <c r="CO196" s="100"/>
      <c r="CP196" s="100"/>
      <c r="CQ196" s="100"/>
    </row>
    <row r="197" spans="1:97" s="101" customFormat="1" ht="18.75" hidden="1" customHeight="1" thickBot="1" x14ac:dyDescent="0.4">
      <c r="A197" s="99"/>
      <c r="V197" s="103"/>
      <c r="AA197" s="104"/>
      <c r="AB197" s="104"/>
      <c r="AD197" s="104"/>
      <c r="AE197" s="105"/>
      <c r="AH197" s="106"/>
      <c r="AI197" s="106"/>
      <c r="AK197" s="104"/>
      <c r="AR197" s="104"/>
      <c r="AV197" s="104"/>
      <c r="AX197" s="104"/>
      <c r="AY197" s="93"/>
      <c r="AZ197" s="93"/>
      <c r="BA197" s="93"/>
      <c r="BB197" s="93"/>
      <c r="BC197" s="93"/>
      <c r="BD197" s="93"/>
      <c r="BE197" s="93"/>
      <c r="BF197" s="93"/>
      <c r="BG197" s="93"/>
      <c r="BH197" s="93"/>
      <c r="BI197" s="93" t="s">
        <v>170</v>
      </c>
      <c r="BJ197" s="93" t="s">
        <v>49</v>
      </c>
      <c r="BK197" s="93">
        <v>1</v>
      </c>
      <c r="BL197" s="93" t="s">
        <v>411</v>
      </c>
      <c r="BM197" s="93">
        <v>0.01</v>
      </c>
      <c r="BN197" s="93">
        <v>0.5</v>
      </c>
      <c r="BO197" s="93" t="s">
        <v>311</v>
      </c>
      <c r="BP197" s="93"/>
      <c r="BQ197" s="93"/>
      <c r="BR197" s="93"/>
      <c r="BS197" s="93"/>
      <c r="BT197" s="93"/>
      <c r="BU197" s="93"/>
      <c r="BV197" s="93"/>
      <c r="BW197" s="93"/>
      <c r="BX197" s="93"/>
      <c r="BY197" s="93"/>
      <c r="BZ197" s="93"/>
      <c r="CA197" s="93"/>
      <c r="CB197" s="180"/>
      <c r="CC197" s="178"/>
      <c r="CD197" s="178"/>
      <c r="CE197" s="180"/>
      <c r="CF197" s="180"/>
      <c r="CG197" s="180"/>
      <c r="CH197" s="180"/>
      <c r="CI197" s="178"/>
      <c r="CJ197" s="178"/>
      <c r="CK197" s="180"/>
      <c r="CL197" s="180"/>
      <c r="CM197" s="180"/>
      <c r="CN197" s="116"/>
      <c r="CO197" s="100"/>
      <c r="CP197" s="100"/>
      <c r="CQ197" s="100"/>
      <c r="CR197" s="101">
        <v>0.01</v>
      </c>
      <c r="CS197" s="101">
        <v>0.5</v>
      </c>
    </row>
    <row r="198" spans="1:97" s="101" customFormat="1" ht="15" hidden="1" customHeight="1" x14ac:dyDescent="0.25">
      <c r="A198" s="99"/>
      <c r="V198" s="103"/>
      <c r="AA198" s="104"/>
      <c r="AB198" s="104"/>
      <c r="AD198" s="104"/>
      <c r="AE198" s="105"/>
      <c r="AH198" s="106"/>
      <c r="AI198" s="106"/>
      <c r="AK198" s="104"/>
      <c r="AR198" s="104"/>
      <c r="AV198" s="104"/>
      <c r="AX198" s="104"/>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180"/>
      <c r="CC198" s="178"/>
      <c r="CD198" s="178"/>
      <c r="CE198" s="180"/>
      <c r="CF198" s="180"/>
      <c r="CG198" s="180"/>
      <c r="CH198" s="180"/>
      <c r="CI198" s="178"/>
      <c r="CJ198" s="178"/>
      <c r="CK198" s="180"/>
      <c r="CL198" s="180"/>
      <c r="CM198" s="180"/>
      <c r="CN198" s="116"/>
      <c r="CO198" s="100"/>
      <c r="CP198" s="100"/>
      <c r="CQ198" s="100"/>
    </row>
    <row r="199" spans="1:97" s="101" customFormat="1" ht="15" hidden="1" customHeight="1" x14ac:dyDescent="0.25">
      <c r="A199" s="99"/>
      <c r="V199" s="103"/>
      <c r="AA199" s="104"/>
      <c r="AB199" s="104"/>
      <c r="AD199" s="104"/>
      <c r="AE199" s="105"/>
      <c r="AH199" s="106"/>
      <c r="AI199" s="106"/>
      <c r="AK199" s="104"/>
      <c r="AR199" s="104"/>
      <c r="AV199" s="104"/>
      <c r="AX199" s="104"/>
      <c r="AY199" s="93"/>
      <c r="AZ199" s="93"/>
      <c r="BA199" s="93"/>
      <c r="BB199" s="93"/>
      <c r="BC199" s="93"/>
      <c r="BD199" s="93"/>
      <c r="BE199" s="93"/>
      <c r="BF199" s="93"/>
      <c r="BG199" s="93"/>
      <c r="BH199" s="93"/>
      <c r="BI199" s="93"/>
      <c r="BJ199" s="93"/>
      <c r="BK199" s="93"/>
      <c r="BL199" s="93"/>
      <c r="BM199" s="93"/>
      <c r="BN199" s="93"/>
      <c r="BO199" s="93"/>
      <c r="BP199" s="93"/>
      <c r="BQ199" s="93"/>
      <c r="BR199" s="93"/>
      <c r="BS199" s="93"/>
      <c r="BT199" s="93"/>
      <c r="BU199" s="93"/>
      <c r="BV199" s="93"/>
      <c r="BW199" s="93"/>
      <c r="BX199" s="93"/>
      <c r="BY199" s="93"/>
      <c r="BZ199" s="93"/>
      <c r="CA199" s="93"/>
      <c r="CB199" s="180"/>
      <c r="CC199" s="178"/>
      <c r="CD199" s="178"/>
      <c r="CE199" s="180"/>
      <c r="CF199" s="180"/>
      <c r="CG199" s="180"/>
      <c r="CH199" s="180"/>
      <c r="CI199" s="178"/>
      <c r="CJ199" s="178"/>
      <c r="CK199" s="180"/>
      <c r="CL199" s="180"/>
      <c r="CM199" s="180"/>
      <c r="CN199" s="116"/>
      <c r="CO199" s="100">
        <v>0.15</v>
      </c>
      <c r="CP199" s="100">
        <f>(CO199+CQ199)/2</f>
        <v>0.17499999999999999</v>
      </c>
      <c r="CQ199" s="100">
        <v>0.2</v>
      </c>
    </row>
    <row r="200" spans="1:97" s="101" customFormat="1" ht="15" hidden="1" customHeight="1" x14ac:dyDescent="0.25">
      <c r="A200" s="99"/>
      <c r="V200" s="103"/>
      <c r="AA200" s="104"/>
      <c r="AB200" s="104"/>
      <c r="AD200" s="104"/>
      <c r="AE200" s="105"/>
      <c r="AH200" s="106"/>
      <c r="AI200" s="106"/>
      <c r="AK200" s="104"/>
      <c r="AR200" s="104"/>
      <c r="AV200" s="104"/>
      <c r="AX200" s="104"/>
      <c r="AY200" s="93"/>
      <c r="AZ200" s="93"/>
      <c r="BA200" s="93"/>
      <c r="BB200" s="93"/>
      <c r="BC200" s="93"/>
      <c r="BD200" s="93"/>
      <c r="BE200" s="93"/>
      <c r="BF200" s="93"/>
      <c r="BG200" s="93"/>
      <c r="BH200" s="93"/>
      <c r="BI200" s="93" t="s">
        <v>264</v>
      </c>
      <c r="BJ200" s="93"/>
      <c r="BK200" s="93" t="s">
        <v>276</v>
      </c>
      <c r="BL200" s="93"/>
      <c r="BM200" s="93" t="s">
        <v>233</v>
      </c>
      <c r="BN200" s="93" t="s">
        <v>233</v>
      </c>
      <c r="BO200" s="93" t="s">
        <v>240</v>
      </c>
      <c r="BP200" s="93"/>
      <c r="BQ200" s="93" t="s">
        <v>276</v>
      </c>
      <c r="BR200" s="93"/>
      <c r="BS200" s="93" t="s">
        <v>233</v>
      </c>
      <c r="BT200" s="93" t="s">
        <v>233</v>
      </c>
      <c r="BU200" s="93" t="s">
        <v>240</v>
      </c>
      <c r="BV200" s="93"/>
      <c r="BW200" s="93"/>
      <c r="BX200" s="93"/>
      <c r="BY200" s="93"/>
      <c r="BZ200" s="93"/>
      <c r="CA200" s="93"/>
      <c r="CB200" s="180"/>
      <c r="CC200" s="178"/>
      <c r="CD200" s="178"/>
      <c r="CE200" s="180"/>
      <c r="CF200" s="180"/>
      <c r="CG200" s="180"/>
      <c r="CH200" s="180"/>
      <c r="CI200" s="178"/>
      <c r="CJ200" s="178"/>
      <c r="CK200" s="180"/>
      <c r="CL200" s="180"/>
      <c r="CM200" s="180"/>
      <c r="CN200" s="116"/>
      <c r="CO200" s="100">
        <v>0.15</v>
      </c>
      <c r="CP200" s="100">
        <f>(CO200+CQ200)/2</f>
        <v>0.17499999999999999</v>
      </c>
      <c r="CQ200" s="100">
        <v>0.2</v>
      </c>
    </row>
    <row r="201" spans="1:97" s="101" customFormat="1" ht="15.75" hidden="1" customHeight="1" thickBot="1" x14ac:dyDescent="0.3">
      <c r="A201" s="99"/>
      <c r="V201" s="103"/>
      <c r="AA201" s="104"/>
      <c r="AB201" s="104"/>
      <c r="AD201" s="104"/>
      <c r="AE201" s="105"/>
      <c r="AH201" s="106"/>
      <c r="AI201" s="106"/>
      <c r="AK201" s="104"/>
      <c r="AR201" s="104"/>
      <c r="AV201" s="104"/>
      <c r="AX201" s="104"/>
      <c r="AY201" s="93"/>
      <c r="AZ201" s="93"/>
      <c r="BA201" s="93"/>
      <c r="BB201" s="93"/>
      <c r="BC201" s="93"/>
      <c r="BD201" s="93"/>
      <c r="BE201" s="93"/>
      <c r="BF201" s="93"/>
      <c r="BG201" s="93"/>
      <c r="BH201" s="93"/>
      <c r="BI201" s="93"/>
      <c r="BJ201" s="93" t="s">
        <v>253</v>
      </c>
      <c r="BK201" s="93"/>
      <c r="BL201" s="93" t="s">
        <v>251</v>
      </c>
      <c r="BM201" s="93"/>
      <c r="BN201" s="93"/>
      <c r="BO201" s="93"/>
      <c r="BP201" s="93" t="s">
        <v>253</v>
      </c>
      <c r="BQ201" s="93"/>
      <c r="BR201" s="93" t="s">
        <v>251</v>
      </c>
      <c r="BS201" s="93"/>
      <c r="BT201" s="93"/>
      <c r="BU201" s="93"/>
      <c r="BV201" s="93"/>
      <c r="BW201" s="93"/>
      <c r="BX201" s="93"/>
      <c r="BY201" s="93"/>
      <c r="BZ201" s="93"/>
      <c r="CA201" s="93"/>
      <c r="CB201" s="180"/>
      <c r="CC201" s="178"/>
      <c r="CD201" s="178"/>
      <c r="CE201" s="180"/>
      <c r="CF201" s="180"/>
      <c r="CG201" s="180"/>
      <c r="CH201" s="180"/>
      <c r="CI201" s="178"/>
      <c r="CJ201" s="178"/>
      <c r="CK201" s="180"/>
      <c r="CL201" s="180"/>
      <c r="CM201" s="180"/>
      <c r="CN201" s="116"/>
      <c r="CO201" s="100"/>
      <c r="CP201" s="100"/>
      <c r="CQ201" s="100"/>
    </row>
    <row r="202" spans="1:97" s="101" customFormat="1" ht="18.75" hidden="1" customHeight="1" thickBot="1" x14ac:dyDescent="0.4">
      <c r="A202" s="99"/>
      <c r="V202" s="103"/>
      <c r="AA202" s="104"/>
      <c r="AB202" s="104"/>
      <c r="AD202" s="104"/>
      <c r="AE202" s="105"/>
      <c r="AH202" s="106"/>
      <c r="AI202" s="106"/>
      <c r="AK202" s="104"/>
      <c r="AR202" s="104"/>
      <c r="AV202" s="104"/>
      <c r="AX202" s="104"/>
      <c r="AY202" s="93"/>
      <c r="AZ202" s="93"/>
      <c r="BA202" s="93"/>
      <c r="BB202" s="93"/>
      <c r="BC202" s="93"/>
      <c r="BD202" s="93"/>
      <c r="BE202" s="93"/>
      <c r="BF202" s="93"/>
      <c r="BG202" s="93"/>
      <c r="BH202" s="93"/>
      <c r="BI202" s="93" t="s">
        <v>8</v>
      </c>
      <c r="BJ202" s="93" t="s">
        <v>49</v>
      </c>
      <c r="BK202" s="93">
        <f>BJ445</f>
        <v>23500</v>
      </c>
      <c r="BL202" s="93" t="s">
        <v>411</v>
      </c>
      <c r="BM202" s="93">
        <v>0.01</v>
      </c>
      <c r="BN202" s="93">
        <v>0.5</v>
      </c>
      <c r="BO202" s="93" t="s">
        <v>311</v>
      </c>
      <c r="BP202" s="93" t="s">
        <v>49</v>
      </c>
      <c r="BQ202" s="93">
        <v>22800</v>
      </c>
      <c r="BR202" s="93" t="s">
        <v>411</v>
      </c>
      <c r="BS202" s="93">
        <v>0.01</v>
      </c>
      <c r="BT202" s="93">
        <v>0.5</v>
      </c>
      <c r="BU202" s="93" t="s">
        <v>254</v>
      </c>
      <c r="BV202" s="93"/>
      <c r="BW202" s="93"/>
      <c r="BX202" s="93"/>
      <c r="BY202" s="93"/>
      <c r="BZ202" s="93"/>
      <c r="CA202" s="93"/>
      <c r="CB202" s="180"/>
      <c r="CC202" s="178"/>
      <c r="CD202" s="178"/>
      <c r="CE202" s="180"/>
      <c r="CF202" s="180"/>
      <c r="CG202" s="180"/>
      <c r="CH202" s="180"/>
      <c r="CI202" s="178"/>
      <c r="CJ202" s="178"/>
      <c r="CK202" s="180"/>
      <c r="CL202" s="180"/>
      <c r="CM202" s="180"/>
      <c r="CN202" s="116"/>
      <c r="CO202" s="100"/>
      <c r="CP202" s="100"/>
      <c r="CQ202" s="100"/>
      <c r="CR202" s="101">
        <v>0.01</v>
      </c>
      <c r="CS202" s="101">
        <v>0.5</v>
      </c>
    </row>
    <row r="203" spans="1:97" s="101" customFormat="1" ht="15" hidden="1" customHeight="1" x14ac:dyDescent="0.25">
      <c r="A203" s="99"/>
      <c r="V203" s="103"/>
      <c r="AA203" s="104"/>
      <c r="AB203" s="104"/>
      <c r="AD203" s="104"/>
      <c r="AE203" s="105"/>
      <c r="AH203" s="106"/>
      <c r="AI203" s="106"/>
      <c r="AK203" s="104"/>
      <c r="AR203" s="104"/>
      <c r="AV203" s="104"/>
      <c r="AX203" s="104"/>
      <c r="AY203" s="93"/>
      <c r="AZ203" s="93"/>
      <c r="BA203" s="93"/>
      <c r="BB203" s="93"/>
      <c r="BC203" s="93"/>
      <c r="BD203" s="93"/>
      <c r="BE203" s="93"/>
      <c r="BF203" s="93"/>
      <c r="BG203" s="93"/>
      <c r="BH203" s="93"/>
      <c r="BI203" s="93"/>
      <c r="BJ203" s="93"/>
      <c r="BK203" s="93"/>
      <c r="BL203" s="93"/>
      <c r="BM203" s="93"/>
      <c r="BN203" s="93"/>
      <c r="BO203" s="93"/>
      <c r="BP203" s="93"/>
      <c r="BQ203" s="93"/>
      <c r="BR203" s="93"/>
      <c r="BS203" s="93"/>
      <c r="BT203" s="93"/>
      <c r="BU203" s="93"/>
      <c r="BV203" s="93"/>
      <c r="BW203" s="93"/>
      <c r="BX203" s="93"/>
      <c r="BY203" s="93"/>
      <c r="BZ203" s="93"/>
      <c r="CA203" s="93"/>
      <c r="CB203" s="180"/>
      <c r="CC203" s="178"/>
      <c r="CD203" s="178"/>
      <c r="CE203" s="180"/>
      <c r="CF203" s="180"/>
      <c r="CG203" s="180"/>
      <c r="CH203" s="180"/>
      <c r="CI203" s="178"/>
      <c r="CJ203" s="178"/>
      <c r="CK203" s="180"/>
      <c r="CL203" s="180"/>
      <c r="CM203" s="180"/>
      <c r="CN203" s="116"/>
      <c r="CO203" s="100"/>
      <c r="CP203" s="100"/>
      <c r="CQ203" s="100"/>
    </row>
    <row r="204" spans="1:97" s="101" customFormat="1" ht="15" hidden="1" customHeight="1" x14ac:dyDescent="0.25">
      <c r="A204" s="99"/>
      <c r="V204" s="103"/>
      <c r="AA204" s="104"/>
      <c r="AB204" s="104"/>
      <c r="AD204" s="104"/>
      <c r="AE204" s="105"/>
      <c r="AH204" s="106"/>
      <c r="AI204" s="106"/>
      <c r="AK204" s="104"/>
      <c r="AR204" s="104"/>
      <c r="AV204" s="104"/>
      <c r="AX204" s="104"/>
      <c r="AY204" s="93"/>
      <c r="AZ204" s="93"/>
      <c r="BA204" s="93"/>
      <c r="BB204" s="93"/>
      <c r="BC204" s="93"/>
      <c r="BD204" s="93"/>
      <c r="BE204" s="93"/>
      <c r="BF204" s="93"/>
      <c r="BG204" s="93"/>
      <c r="BH204" s="93"/>
      <c r="BI204" s="93"/>
      <c r="BJ204" s="93"/>
      <c r="BK204" s="93"/>
      <c r="BL204" s="93"/>
      <c r="BM204" s="93"/>
      <c r="BN204" s="93"/>
      <c r="BO204" s="93"/>
      <c r="BP204" s="93"/>
      <c r="BQ204" s="93"/>
      <c r="BR204" s="93"/>
      <c r="BS204" s="93"/>
      <c r="BT204" s="93"/>
      <c r="BU204" s="93"/>
      <c r="BV204" s="93"/>
      <c r="BW204" s="93"/>
      <c r="BX204" s="93"/>
      <c r="BY204" s="93"/>
      <c r="BZ204" s="93"/>
      <c r="CA204" s="93"/>
      <c r="CB204" s="180"/>
      <c r="CC204" s="178"/>
      <c r="CD204" s="178"/>
      <c r="CE204" s="180"/>
      <c r="CF204" s="180"/>
      <c r="CG204" s="180"/>
      <c r="CH204" s="180"/>
      <c r="CI204" s="178"/>
      <c r="CJ204" s="178"/>
      <c r="CK204" s="180"/>
      <c r="CL204" s="180"/>
      <c r="CM204" s="180"/>
      <c r="CN204" s="116"/>
      <c r="CO204" s="100"/>
      <c r="CP204" s="100"/>
      <c r="CQ204" s="100"/>
    </row>
    <row r="205" spans="1:97" s="101" customFormat="1" ht="15" hidden="1" customHeight="1" x14ac:dyDescent="0.25">
      <c r="A205" s="99"/>
      <c r="V205" s="103"/>
      <c r="AA205" s="104"/>
      <c r="AB205" s="104"/>
      <c r="AD205" s="104"/>
      <c r="AE205" s="105"/>
      <c r="AH205" s="106"/>
      <c r="AI205" s="106"/>
      <c r="AK205" s="104"/>
      <c r="AR205" s="104"/>
      <c r="AV205" s="104"/>
      <c r="AX205" s="104"/>
      <c r="AY205" s="93"/>
      <c r="AZ205" s="93"/>
      <c r="BA205" s="93"/>
      <c r="BB205" s="93"/>
      <c r="BC205" s="93"/>
      <c r="BD205" s="93"/>
      <c r="BE205" s="93"/>
      <c r="BF205" s="93"/>
      <c r="BG205" s="93"/>
      <c r="BH205" s="93"/>
      <c r="BI205" s="93"/>
      <c r="BJ205" s="93"/>
      <c r="BK205" s="93"/>
      <c r="BL205" s="93"/>
      <c r="BM205" s="93"/>
      <c r="BN205" s="93"/>
      <c r="BO205" s="93"/>
      <c r="BP205" s="93"/>
      <c r="BQ205" s="93"/>
      <c r="BR205" s="93"/>
      <c r="BS205" s="93"/>
      <c r="BT205" s="93"/>
      <c r="BU205" s="93"/>
      <c r="BV205" s="93"/>
      <c r="BW205" s="93"/>
      <c r="BX205" s="93"/>
      <c r="BY205" s="93"/>
      <c r="BZ205" s="93"/>
      <c r="CA205" s="93"/>
      <c r="CB205" s="180"/>
      <c r="CC205" s="178"/>
      <c r="CD205" s="178"/>
      <c r="CE205" s="180"/>
      <c r="CF205" s="180"/>
      <c r="CG205" s="180"/>
      <c r="CH205" s="180"/>
      <c r="CI205" s="178"/>
      <c r="CJ205" s="178"/>
      <c r="CK205" s="180"/>
      <c r="CL205" s="180"/>
      <c r="CM205" s="180"/>
      <c r="CN205" s="116"/>
      <c r="CO205" s="100">
        <v>0.01</v>
      </c>
      <c r="CP205" s="100">
        <f>(CO205+CQ205)/2</f>
        <v>0.255</v>
      </c>
      <c r="CQ205" s="100">
        <v>0.5</v>
      </c>
    </row>
    <row r="206" spans="1:97" s="101" customFormat="1" ht="15" hidden="1" customHeight="1" x14ac:dyDescent="0.25">
      <c r="A206" s="99"/>
      <c r="V206" s="103"/>
      <c r="AA206" s="104"/>
      <c r="AB206" s="104"/>
      <c r="AD206" s="104"/>
      <c r="AE206" s="105"/>
      <c r="AH206" s="106"/>
      <c r="AI206" s="106"/>
      <c r="AK206" s="104"/>
      <c r="AR206" s="104"/>
      <c r="AV206" s="104"/>
      <c r="AX206" s="104"/>
      <c r="AY206" s="93"/>
      <c r="AZ206" s="93"/>
      <c r="BA206" s="93"/>
      <c r="BB206" s="93"/>
      <c r="BC206" s="93"/>
      <c r="BD206" s="93"/>
      <c r="BE206" s="93"/>
      <c r="BF206" s="93"/>
      <c r="BG206" s="93"/>
      <c r="BH206" s="93"/>
      <c r="BI206" s="93"/>
      <c r="BJ206" s="93"/>
      <c r="BK206" s="93"/>
      <c r="BL206" s="93"/>
      <c r="BM206" s="93"/>
      <c r="BN206" s="93"/>
      <c r="BO206" s="93"/>
      <c r="BP206" s="93"/>
      <c r="BQ206" s="93"/>
      <c r="BR206" s="93"/>
      <c r="BS206" s="93"/>
      <c r="BT206" s="93"/>
      <c r="BU206" s="93"/>
      <c r="BV206" s="93"/>
      <c r="BW206" s="93"/>
      <c r="BX206" s="93"/>
      <c r="BY206" s="93"/>
      <c r="BZ206" s="93"/>
      <c r="CA206" s="93"/>
      <c r="CB206" s="180"/>
      <c r="CC206" s="178"/>
      <c r="CD206" s="178"/>
      <c r="CE206" s="180"/>
      <c r="CF206" s="180"/>
      <c r="CG206" s="180"/>
      <c r="CH206" s="180"/>
      <c r="CI206" s="178"/>
      <c r="CJ206" s="178"/>
      <c r="CK206" s="180"/>
      <c r="CL206" s="180"/>
      <c r="CM206" s="180"/>
      <c r="CN206" s="116"/>
      <c r="CO206" s="100"/>
      <c r="CP206" s="100"/>
      <c r="CQ206" s="100"/>
    </row>
    <row r="207" spans="1:97" s="101" customFormat="1" ht="27" hidden="1" customHeight="1" x14ac:dyDescent="0.25">
      <c r="A207" s="99"/>
      <c r="V207" s="103"/>
      <c r="AA207" s="104"/>
      <c r="AB207" s="104"/>
      <c r="AD207" s="104"/>
      <c r="AE207" s="105"/>
      <c r="AH207" s="106"/>
      <c r="AI207" s="106"/>
      <c r="AK207" s="104"/>
      <c r="AR207" s="104"/>
      <c r="AV207" s="104"/>
      <c r="AX207" s="104"/>
      <c r="AY207" s="93"/>
      <c r="AZ207" s="93"/>
      <c r="BA207" s="93"/>
      <c r="BB207" s="93"/>
      <c r="BC207" s="93"/>
      <c r="BD207" s="93"/>
      <c r="BE207" s="93"/>
      <c r="BF207" s="93"/>
      <c r="BG207" s="93"/>
      <c r="BH207" s="93"/>
      <c r="BI207" s="93" t="s">
        <v>260</v>
      </c>
      <c r="BJ207" s="93"/>
      <c r="BK207" s="93" t="s">
        <v>276</v>
      </c>
      <c r="BL207" s="93"/>
      <c r="BM207" s="93" t="s">
        <v>233</v>
      </c>
      <c r="BN207" s="93" t="s">
        <v>233</v>
      </c>
      <c r="BO207" s="93" t="s">
        <v>240</v>
      </c>
      <c r="BP207" s="93"/>
      <c r="BQ207" s="93"/>
      <c r="BR207" s="93"/>
      <c r="BS207" s="93"/>
      <c r="BT207" s="93"/>
      <c r="BU207" s="93"/>
      <c r="BV207" s="93"/>
      <c r="BW207" s="93"/>
      <c r="BX207" s="93"/>
      <c r="BY207" s="93"/>
      <c r="BZ207" s="93"/>
      <c r="CA207" s="93"/>
      <c r="CB207" s="180"/>
      <c r="CC207" s="178"/>
      <c r="CD207" s="178"/>
      <c r="CE207" s="180"/>
      <c r="CF207" s="180"/>
      <c r="CG207" s="180"/>
      <c r="CH207" s="180"/>
      <c r="CI207" s="178"/>
      <c r="CJ207" s="178"/>
      <c r="CK207" s="180"/>
      <c r="CL207" s="180"/>
      <c r="CM207" s="180"/>
      <c r="CN207" s="116"/>
      <c r="CO207" s="100"/>
      <c r="CP207" s="100"/>
      <c r="CQ207" s="100"/>
    </row>
    <row r="208" spans="1:97" s="101" customFormat="1" ht="34.5" hidden="1" customHeight="1" x14ac:dyDescent="0.25">
      <c r="A208" s="99"/>
      <c r="V208" s="103"/>
      <c r="AA208" s="104"/>
      <c r="AB208" s="104"/>
      <c r="AD208" s="104"/>
      <c r="AE208" s="105"/>
      <c r="AH208" s="106"/>
      <c r="AI208" s="106"/>
      <c r="AK208" s="104"/>
      <c r="AR208" s="104"/>
      <c r="AV208" s="104"/>
      <c r="AX208" s="104"/>
      <c r="AY208" s="93"/>
      <c r="AZ208" s="93"/>
      <c r="BA208" s="93"/>
      <c r="BB208" s="93"/>
      <c r="BC208" s="93"/>
      <c r="BD208" s="93"/>
      <c r="BE208" s="93"/>
      <c r="BF208" s="93"/>
      <c r="BG208" s="93"/>
      <c r="BH208" s="93"/>
      <c r="BI208" s="93"/>
      <c r="BJ208" s="93" t="s">
        <v>253</v>
      </c>
      <c r="BK208" s="93"/>
      <c r="BL208" s="93" t="s">
        <v>251</v>
      </c>
      <c r="BM208" s="93"/>
      <c r="BN208" s="93"/>
      <c r="BO208" s="93"/>
      <c r="BP208" s="93"/>
      <c r="BQ208" s="93"/>
      <c r="BR208" s="93"/>
      <c r="BS208" s="93"/>
      <c r="BT208" s="93"/>
      <c r="BU208" s="93"/>
      <c r="BV208" s="93"/>
      <c r="BW208" s="93"/>
      <c r="BX208" s="93"/>
      <c r="BY208" s="93"/>
      <c r="BZ208" s="93"/>
      <c r="CA208" s="93"/>
      <c r="CB208" s="180"/>
      <c r="CC208" s="178"/>
      <c r="CD208" s="178"/>
      <c r="CE208" s="180"/>
      <c r="CF208" s="180"/>
      <c r="CG208" s="180"/>
      <c r="CH208" s="180"/>
      <c r="CI208" s="178"/>
      <c r="CJ208" s="178"/>
      <c r="CK208" s="180"/>
      <c r="CL208" s="180"/>
      <c r="CM208" s="180"/>
      <c r="CN208" s="116"/>
      <c r="CO208" s="100"/>
      <c r="CP208" s="100"/>
      <c r="CQ208" s="100"/>
    </row>
    <row r="209" spans="1:97" s="101" customFormat="1" ht="102.75" hidden="1" customHeight="1" thickBot="1" x14ac:dyDescent="0.4">
      <c r="A209" s="99"/>
      <c r="V209" s="103"/>
      <c r="AA209" s="104"/>
      <c r="AB209" s="104"/>
      <c r="AD209" s="104"/>
      <c r="AE209" s="105"/>
      <c r="AH209" s="106"/>
      <c r="AI209" s="106"/>
      <c r="AK209" s="104"/>
      <c r="AR209" s="104"/>
      <c r="AV209" s="104"/>
      <c r="AX209" s="104"/>
      <c r="AY209" s="93"/>
      <c r="AZ209" s="93"/>
      <c r="BA209" s="93"/>
      <c r="BB209" s="93"/>
      <c r="BC209" s="93"/>
      <c r="BD209" s="93">
        <f>(10+0.9)*(0.67)</f>
        <v>7.3030000000000008</v>
      </c>
      <c r="BE209" s="93">
        <f>25*(0.67)</f>
        <v>16.75</v>
      </c>
      <c r="BF209" s="93">
        <f>(18+2.5)*(0.67)</f>
        <v>13.735000000000001</v>
      </c>
      <c r="BG209" s="93">
        <f>(25+4)*(0.67)</f>
        <v>19.43</v>
      </c>
      <c r="BH209" s="93" t="s">
        <v>52</v>
      </c>
      <c r="BI209" s="93" t="s">
        <v>10</v>
      </c>
      <c r="BJ209" s="93" t="s">
        <v>615</v>
      </c>
      <c r="BK209" s="93">
        <f>BG209</f>
        <v>19.43</v>
      </c>
      <c r="BL209" s="93" t="s">
        <v>634</v>
      </c>
      <c r="BM209" s="93">
        <v>0.5</v>
      </c>
      <c r="BN209" s="93">
        <v>3</v>
      </c>
      <c r="BO209" s="93" t="s">
        <v>429</v>
      </c>
      <c r="BP209" s="93"/>
      <c r="BQ209" s="93"/>
      <c r="BR209" s="93"/>
      <c r="BS209" s="93"/>
      <c r="BT209" s="93"/>
      <c r="BU209" s="93"/>
      <c r="BV209" s="93"/>
      <c r="BW209" s="93"/>
      <c r="BX209" s="93">
        <v>312.39</v>
      </c>
      <c r="BY209" s="93" t="s">
        <v>635</v>
      </c>
      <c r="BZ209" s="93"/>
      <c r="CA209" s="93"/>
      <c r="CB209" s="180"/>
      <c r="CC209" s="178"/>
      <c r="CD209" s="178"/>
      <c r="CE209" s="180"/>
      <c r="CF209" s="180"/>
      <c r="CG209" s="180"/>
      <c r="CH209" s="180"/>
      <c r="CI209" s="178"/>
      <c r="CJ209" s="178"/>
      <c r="CK209" s="180"/>
      <c r="CL209" s="180"/>
      <c r="CM209" s="180"/>
      <c r="CN209" s="116"/>
      <c r="CO209" s="100"/>
      <c r="CP209" s="100"/>
      <c r="CQ209" s="100"/>
      <c r="CR209" s="101">
        <v>0.05</v>
      </c>
      <c r="CS209" s="101">
        <v>0.3</v>
      </c>
    </row>
    <row r="210" spans="1:97" s="101" customFormat="1" ht="102.75" hidden="1" customHeight="1" thickBot="1" x14ac:dyDescent="0.4">
      <c r="A210" s="99"/>
      <c r="V210" s="103"/>
      <c r="AA210" s="104"/>
      <c r="AB210" s="104"/>
      <c r="AD210" s="104"/>
      <c r="AE210" s="105"/>
      <c r="AH210" s="106"/>
      <c r="AI210" s="106"/>
      <c r="AK210" s="104"/>
      <c r="AR210" s="104"/>
      <c r="AV210" s="104"/>
      <c r="AX210" s="104"/>
      <c r="AY210" s="93"/>
      <c r="AZ210" s="93"/>
      <c r="BA210" s="93"/>
      <c r="BB210" s="93"/>
      <c r="BC210" s="93"/>
      <c r="BD210" s="93">
        <f>(0.31+0)*(0.67)</f>
        <v>0.20770000000000002</v>
      </c>
      <c r="BE210" s="93">
        <f>25*(0.67)</f>
        <v>16.75</v>
      </c>
      <c r="BF210" s="93">
        <f>(1.2+0.1)*(0.67)</f>
        <v>0.87100000000000011</v>
      </c>
      <c r="BG210" s="93">
        <f>(2+0.2)*(0.67)</f>
        <v>1.4740000000000002</v>
      </c>
      <c r="BH210" s="93" t="s">
        <v>52</v>
      </c>
      <c r="BI210" s="93" t="s">
        <v>11</v>
      </c>
      <c r="BJ210" s="93" t="s">
        <v>615</v>
      </c>
      <c r="BK210" s="93">
        <f>BG210</f>
        <v>1.4740000000000002</v>
      </c>
      <c r="BL210" s="93" t="s">
        <v>634</v>
      </c>
      <c r="BM210" s="93">
        <v>0.5</v>
      </c>
      <c r="BN210" s="93">
        <v>3</v>
      </c>
      <c r="BO210" s="93" t="s">
        <v>430</v>
      </c>
      <c r="BP210" s="93"/>
      <c r="BQ210" s="93"/>
      <c r="BR210" s="93"/>
      <c r="BS210" s="93"/>
      <c r="BT210" s="93"/>
      <c r="BU210" s="93"/>
      <c r="BV210" s="93"/>
      <c r="BW210" s="93"/>
      <c r="BX210" s="93">
        <v>20.94</v>
      </c>
      <c r="BY210" s="93" t="s">
        <v>635</v>
      </c>
      <c r="BZ210" s="93"/>
      <c r="CA210" s="93"/>
      <c r="CB210" s="180"/>
      <c r="CC210" s="178"/>
      <c r="CD210" s="178"/>
      <c r="CE210" s="180"/>
      <c r="CF210" s="180"/>
      <c r="CG210" s="180"/>
      <c r="CH210" s="180"/>
      <c r="CI210" s="178"/>
      <c r="CJ210" s="178"/>
      <c r="CK210" s="180"/>
      <c r="CL210" s="180"/>
      <c r="CM210" s="180"/>
      <c r="CN210" s="116"/>
      <c r="CO210" s="100">
        <v>0.01</v>
      </c>
      <c r="CP210" s="100">
        <f>(CO210+CQ210)/2</f>
        <v>0.255</v>
      </c>
      <c r="CQ210" s="100">
        <v>0.5</v>
      </c>
      <c r="CR210" s="101">
        <v>0.05</v>
      </c>
      <c r="CS210" s="101">
        <v>0.3</v>
      </c>
    </row>
    <row r="211" spans="1:97" s="101" customFormat="1" ht="141" hidden="1" customHeight="1" thickBot="1" x14ac:dyDescent="0.4">
      <c r="A211" s="99"/>
      <c r="V211" s="103"/>
      <c r="AA211" s="104"/>
      <c r="AB211" s="104"/>
      <c r="AD211" s="104"/>
      <c r="AE211" s="105"/>
      <c r="AH211" s="106"/>
      <c r="AI211" s="106"/>
      <c r="AK211" s="104"/>
      <c r="AR211" s="104"/>
      <c r="AV211" s="104"/>
      <c r="AX211" s="104"/>
      <c r="AY211" s="93"/>
      <c r="AZ211" s="93"/>
      <c r="BA211" s="93"/>
      <c r="BB211" s="93"/>
      <c r="BC211" s="93"/>
      <c r="BD211" s="93"/>
      <c r="BE211" s="93"/>
      <c r="BF211" s="93"/>
      <c r="BG211" s="93"/>
      <c r="BH211" s="93" t="s">
        <v>347</v>
      </c>
      <c r="BI211" s="93" t="s">
        <v>345</v>
      </c>
      <c r="BJ211" s="93" t="s">
        <v>346</v>
      </c>
      <c r="BK211" s="93">
        <v>36.5</v>
      </c>
      <c r="BL211" s="93" t="s">
        <v>424</v>
      </c>
      <c r="BM211" s="93">
        <v>0.9</v>
      </c>
      <c r="BN211" s="93">
        <v>1.06</v>
      </c>
      <c r="BO211" s="93" t="s">
        <v>348</v>
      </c>
      <c r="BP211" s="93"/>
      <c r="BQ211" s="93"/>
      <c r="BR211" s="93"/>
      <c r="BS211" s="93"/>
      <c r="BT211" s="93"/>
      <c r="BU211" s="93"/>
      <c r="BV211" s="93"/>
      <c r="BW211" s="93"/>
      <c r="BX211" s="93">
        <v>20.94</v>
      </c>
      <c r="BY211" s="93" t="s">
        <v>635</v>
      </c>
      <c r="BZ211" s="93"/>
      <c r="CA211" s="93"/>
      <c r="CB211" s="180"/>
      <c r="CC211" s="178"/>
      <c r="CD211" s="178"/>
      <c r="CE211" s="180"/>
      <c r="CF211" s="180"/>
      <c r="CG211" s="180"/>
      <c r="CH211" s="180"/>
      <c r="CI211" s="178"/>
      <c r="CJ211" s="178"/>
      <c r="CK211" s="180"/>
      <c r="CL211" s="180"/>
      <c r="CM211" s="180"/>
      <c r="CN211" s="116"/>
      <c r="CO211" s="100"/>
      <c r="CP211" s="100"/>
      <c r="CQ211" s="100"/>
      <c r="CR211" s="101">
        <v>0.9</v>
      </c>
      <c r="CS211" s="101">
        <v>1.06</v>
      </c>
    </row>
    <row r="212" spans="1:97" s="101" customFormat="1" ht="18.75" hidden="1" customHeight="1" thickBot="1" x14ac:dyDescent="0.4">
      <c r="A212" s="99"/>
      <c r="V212" s="103"/>
      <c r="AA212" s="104"/>
      <c r="AB212" s="104"/>
      <c r="AD212" s="104"/>
      <c r="AE212" s="105"/>
      <c r="AH212" s="106"/>
      <c r="AI212" s="106"/>
      <c r="AK212" s="104"/>
      <c r="AR212" s="104"/>
      <c r="AV212" s="104"/>
      <c r="AX212" s="104"/>
      <c r="AY212" s="93"/>
      <c r="AZ212" s="93"/>
      <c r="BA212" s="93"/>
      <c r="BB212" s="93"/>
      <c r="BC212" s="93"/>
      <c r="BD212" s="93"/>
      <c r="BE212" s="93"/>
      <c r="BF212" s="93"/>
      <c r="BG212" s="93"/>
      <c r="BH212" s="93" t="s">
        <v>53</v>
      </c>
      <c r="BI212" s="93" t="s">
        <v>12</v>
      </c>
      <c r="BJ212" s="93" t="s">
        <v>615</v>
      </c>
      <c r="BK212" s="93">
        <v>1E-4</v>
      </c>
      <c r="BL212" s="93" t="s">
        <v>627</v>
      </c>
      <c r="BM212" s="93">
        <v>0.1</v>
      </c>
      <c r="BN212" s="93">
        <v>0.25</v>
      </c>
      <c r="BO212" s="93" t="s">
        <v>258</v>
      </c>
      <c r="BP212" s="93" t="s">
        <v>615</v>
      </c>
      <c r="BQ212" s="93">
        <v>560</v>
      </c>
      <c r="BR212" s="93" t="s">
        <v>637</v>
      </c>
      <c r="BS212" s="93">
        <v>0.1</v>
      </c>
      <c r="BT212" s="93">
        <v>0.25</v>
      </c>
      <c r="BU212" s="93" t="s">
        <v>258</v>
      </c>
      <c r="BV212" s="93"/>
      <c r="BW212" s="93"/>
      <c r="BX212" s="93">
        <v>12.5</v>
      </c>
      <c r="BY212" s="93" t="s">
        <v>635</v>
      </c>
      <c r="BZ212" s="93"/>
      <c r="CA212" s="93"/>
      <c r="CB212" s="180"/>
      <c r="CC212" s="178"/>
      <c r="CD212" s="178"/>
      <c r="CE212" s="180"/>
      <c r="CF212" s="180"/>
      <c r="CG212" s="180"/>
      <c r="CH212" s="180"/>
      <c r="CI212" s="178"/>
      <c r="CJ212" s="178"/>
      <c r="CK212" s="180"/>
      <c r="CL212" s="180"/>
      <c r="CM212" s="180"/>
      <c r="CN212" s="116"/>
      <c r="CO212" s="100"/>
      <c r="CP212" s="100"/>
      <c r="CQ212" s="100"/>
      <c r="CR212" s="101">
        <v>0.02</v>
      </c>
      <c r="CS212" s="101">
        <v>0.5</v>
      </c>
    </row>
    <row r="213" spans="1:97" s="101" customFormat="1" ht="26.25" hidden="1" customHeight="1" thickBot="1" x14ac:dyDescent="0.3">
      <c r="A213" s="99"/>
      <c r="V213" s="103"/>
      <c r="AA213" s="104"/>
      <c r="AB213" s="104"/>
      <c r="AD213" s="104"/>
      <c r="AE213" s="105"/>
      <c r="AH213" s="106"/>
      <c r="AI213" s="106"/>
      <c r="AK213" s="104"/>
      <c r="AR213" s="104"/>
      <c r="AV213" s="104"/>
      <c r="AX213" s="104"/>
      <c r="AY213" s="93"/>
      <c r="AZ213" s="93"/>
      <c r="BA213" s="93"/>
      <c r="BB213" s="93"/>
      <c r="BC213" s="93"/>
      <c r="BD213" s="93"/>
      <c r="BE213" s="93"/>
      <c r="BF213" s="93"/>
      <c r="BG213" s="93"/>
      <c r="BH213" s="93" t="s">
        <v>53</v>
      </c>
      <c r="BI213" s="93" t="s">
        <v>343</v>
      </c>
      <c r="BJ213" s="93" t="s">
        <v>615</v>
      </c>
      <c r="BK213" s="93">
        <v>1000</v>
      </c>
      <c r="BL213" s="93" t="s">
        <v>627</v>
      </c>
      <c r="BM213" s="93">
        <v>0.02</v>
      </c>
      <c r="BN213" s="93">
        <v>0.5</v>
      </c>
      <c r="BO213" s="93" t="s">
        <v>387</v>
      </c>
      <c r="BP213" s="93"/>
      <c r="BQ213" s="93"/>
      <c r="BR213" s="93"/>
      <c r="BS213" s="93"/>
      <c r="BT213" s="93"/>
      <c r="BU213" s="93"/>
      <c r="BV213" s="93"/>
      <c r="BW213" s="93"/>
      <c r="BX213" s="93"/>
      <c r="BY213" s="93"/>
      <c r="BZ213" s="93"/>
      <c r="CA213" s="93"/>
      <c r="CB213" s="180"/>
      <c r="CC213" s="178"/>
      <c r="CD213" s="178"/>
      <c r="CE213" s="180"/>
      <c r="CF213" s="180"/>
      <c r="CG213" s="180"/>
      <c r="CH213" s="180"/>
      <c r="CI213" s="178"/>
      <c r="CJ213" s="178"/>
      <c r="CK213" s="180"/>
      <c r="CL213" s="180"/>
      <c r="CM213" s="180"/>
      <c r="CN213" s="116"/>
      <c r="CO213" s="100"/>
      <c r="CP213" s="100"/>
      <c r="CQ213" s="100"/>
      <c r="CR213" s="101">
        <v>0.02</v>
      </c>
      <c r="CS213" s="101">
        <v>0.5</v>
      </c>
    </row>
    <row r="214" spans="1:97" s="101" customFormat="1" ht="16.5" hidden="1" customHeight="1" thickBot="1" x14ac:dyDescent="0.35">
      <c r="A214" s="99"/>
      <c r="V214" s="103"/>
      <c r="AA214" s="104"/>
      <c r="AB214" s="104"/>
      <c r="AD214" s="104"/>
      <c r="AE214" s="105"/>
      <c r="AH214" s="106"/>
      <c r="AI214" s="106"/>
      <c r="AK214" s="104"/>
      <c r="AR214" s="104"/>
      <c r="AV214" s="104"/>
      <c r="AX214" s="104"/>
      <c r="AY214" s="93"/>
      <c r="AZ214" s="93"/>
      <c r="BA214" s="93"/>
      <c r="BB214" s="93"/>
      <c r="BC214" s="93"/>
      <c r="BD214" s="93"/>
      <c r="BE214" s="93"/>
      <c r="BF214" s="93"/>
      <c r="BG214" s="93"/>
      <c r="BH214" s="93"/>
      <c r="BI214" s="93" t="s">
        <v>438</v>
      </c>
      <c r="BJ214" s="93" t="s">
        <v>626</v>
      </c>
      <c r="BK214" s="93">
        <v>520</v>
      </c>
      <c r="BL214" s="93" t="s">
        <v>628</v>
      </c>
      <c r="BM214" s="93">
        <v>0.01</v>
      </c>
      <c r="BN214" s="93">
        <v>0.35</v>
      </c>
      <c r="BO214" s="93" t="s">
        <v>258</v>
      </c>
      <c r="BP214" s="93"/>
      <c r="BQ214" s="93"/>
      <c r="BR214" s="93"/>
      <c r="BS214" s="93"/>
      <c r="BT214" s="93"/>
      <c r="BU214" s="93"/>
      <c r="BV214" s="93"/>
      <c r="BW214" s="93"/>
      <c r="BX214" s="93"/>
      <c r="BY214" s="93"/>
      <c r="BZ214" s="93"/>
      <c r="CA214" s="93"/>
      <c r="CB214" s="180"/>
      <c r="CC214" s="178"/>
      <c r="CD214" s="178"/>
      <c r="CE214" s="180"/>
      <c r="CF214" s="180"/>
      <c r="CG214" s="180"/>
      <c r="CH214" s="180"/>
      <c r="CI214" s="178"/>
      <c r="CJ214" s="178"/>
      <c r="CK214" s="180"/>
      <c r="CL214" s="180"/>
      <c r="CM214" s="180"/>
      <c r="CN214" s="116"/>
      <c r="CO214" s="100"/>
      <c r="CP214" s="100"/>
      <c r="CQ214" s="100"/>
    </row>
    <row r="215" spans="1:97" s="101" customFormat="1" ht="16.5" hidden="1" customHeight="1" thickBot="1" x14ac:dyDescent="0.35">
      <c r="A215" s="99"/>
      <c r="V215" s="103"/>
      <c r="AA215" s="104"/>
      <c r="AB215" s="104"/>
      <c r="AD215" s="104"/>
      <c r="AE215" s="105"/>
      <c r="AH215" s="106"/>
      <c r="AI215" s="106"/>
      <c r="AK215" s="104"/>
      <c r="AR215" s="104"/>
      <c r="AV215" s="104"/>
      <c r="AX215" s="104"/>
      <c r="AY215" s="93"/>
      <c r="AZ215" s="93"/>
      <c r="BA215" s="93"/>
      <c r="BB215" s="93"/>
      <c r="BC215" s="93"/>
      <c r="BD215" s="93"/>
      <c r="BE215" s="93"/>
      <c r="BF215" s="93"/>
      <c r="BG215" s="93"/>
      <c r="BH215" s="93" t="s">
        <v>53</v>
      </c>
      <c r="BI215" s="93" t="s">
        <v>13</v>
      </c>
      <c r="BJ215" s="93" t="s">
        <v>615</v>
      </c>
      <c r="BK215" s="93">
        <v>750</v>
      </c>
      <c r="BL215" s="93" t="s">
        <v>629</v>
      </c>
      <c r="BM215" s="93">
        <v>0.02</v>
      </c>
      <c r="BN215" s="93">
        <v>0.15</v>
      </c>
      <c r="BO215" s="93" t="s">
        <v>258</v>
      </c>
      <c r="BP215" s="93"/>
      <c r="BQ215" s="93"/>
      <c r="BR215" s="93"/>
      <c r="BS215" s="93"/>
      <c r="BT215" s="93"/>
      <c r="BU215" s="93"/>
      <c r="BV215" s="93"/>
      <c r="BW215" s="93"/>
      <c r="BX215" s="93">
        <v>790</v>
      </c>
      <c r="BY215" s="93" t="s">
        <v>635</v>
      </c>
      <c r="BZ215" s="93"/>
      <c r="CA215" s="93"/>
      <c r="CB215" s="180"/>
      <c r="CC215" s="178"/>
      <c r="CD215" s="178"/>
      <c r="CE215" s="180"/>
      <c r="CF215" s="180"/>
      <c r="CG215" s="180"/>
      <c r="CH215" s="180"/>
      <c r="CI215" s="178"/>
      <c r="CJ215" s="178"/>
      <c r="CK215" s="180"/>
      <c r="CL215" s="180"/>
      <c r="CM215" s="180"/>
      <c r="CN215" s="116"/>
      <c r="CO215" s="100"/>
      <c r="CP215" s="100"/>
      <c r="CQ215" s="100"/>
      <c r="CR215" s="101">
        <v>0.02</v>
      </c>
      <c r="CS215" s="101">
        <v>0.5</v>
      </c>
    </row>
    <row r="216" spans="1:97" s="101" customFormat="1" ht="16.5" hidden="1" customHeight="1" thickBot="1" x14ac:dyDescent="0.35">
      <c r="A216" s="99"/>
      <c r="V216" s="103"/>
      <c r="AA216" s="104"/>
      <c r="AB216" s="104"/>
      <c r="AD216" s="104"/>
      <c r="AE216" s="105"/>
      <c r="AH216" s="106"/>
      <c r="AI216" s="106"/>
      <c r="AK216" s="104"/>
      <c r="AR216" s="104"/>
      <c r="AV216" s="104"/>
      <c r="AX216" s="104"/>
      <c r="AY216" s="93"/>
      <c r="AZ216" s="93"/>
      <c r="BA216" s="93"/>
      <c r="BB216" s="93"/>
      <c r="BC216" s="93"/>
      <c r="BD216" s="93"/>
      <c r="BE216" s="93"/>
      <c r="BF216" s="93"/>
      <c r="BG216" s="93"/>
      <c r="BH216" s="93" t="s">
        <v>53</v>
      </c>
      <c r="BI216" s="93" t="s">
        <v>14</v>
      </c>
      <c r="BJ216" s="93" t="s">
        <v>615</v>
      </c>
      <c r="BK216" s="93">
        <v>860</v>
      </c>
      <c r="BL216" s="93" t="s">
        <v>629</v>
      </c>
      <c r="BM216" s="93">
        <v>0.02</v>
      </c>
      <c r="BN216" s="93">
        <v>0.15</v>
      </c>
      <c r="BO216" s="93" t="s">
        <v>258</v>
      </c>
      <c r="BP216" s="93"/>
      <c r="BQ216" s="93"/>
      <c r="BR216" s="93"/>
      <c r="BS216" s="93"/>
      <c r="BT216" s="93"/>
      <c r="BU216" s="93"/>
      <c r="BV216" s="93"/>
      <c r="BW216" s="93"/>
      <c r="BX216" s="93">
        <v>910</v>
      </c>
      <c r="BY216" s="93" t="s">
        <v>635</v>
      </c>
      <c r="BZ216" s="93"/>
      <c r="CA216" s="93"/>
      <c r="CB216" s="180"/>
      <c r="CC216" s="178"/>
      <c r="CD216" s="178"/>
      <c r="CE216" s="180"/>
      <c r="CF216" s="180"/>
      <c r="CG216" s="180"/>
      <c r="CH216" s="180"/>
      <c r="CI216" s="178"/>
      <c r="CJ216" s="178"/>
      <c r="CK216" s="180"/>
      <c r="CL216" s="180"/>
      <c r="CM216" s="180"/>
      <c r="CN216" s="116"/>
      <c r="CO216" s="100"/>
      <c r="CP216" s="100"/>
      <c r="CQ216" s="100"/>
      <c r="CR216" s="101">
        <v>0.02</v>
      </c>
      <c r="CS216" s="101">
        <v>0.5</v>
      </c>
    </row>
    <row r="217" spans="1:97" s="101" customFormat="1" ht="16.5" hidden="1" customHeight="1" thickBot="1" x14ac:dyDescent="0.35">
      <c r="A217" s="99"/>
      <c r="V217" s="103"/>
      <c r="AA217" s="104"/>
      <c r="AB217" s="104"/>
      <c r="AD217" s="104"/>
      <c r="AE217" s="105"/>
      <c r="AH217" s="106"/>
      <c r="AI217" s="106"/>
      <c r="AK217" s="104"/>
      <c r="AR217" s="104"/>
      <c r="AV217" s="104"/>
      <c r="AX217" s="104"/>
      <c r="AY217" s="93"/>
      <c r="AZ217" s="93"/>
      <c r="BA217" s="93"/>
      <c r="BB217" s="93"/>
      <c r="BC217" s="93"/>
      <c r="BD217" s="93"/>
      <c r="BE217" s="93"/>
      <c r="BF217" s="93"/>
      <c r="BG217" s="93"/>
      <c r="BH217" s="93"/>
      <c r="BI217" s="93" t="s">
        <v>431</v>
      </c>
      <c r="BJ217" s="93" t="s">
        <v>615</v>
      </c>
      <c r="BK217" s="93">
        <v>439.71</v>
      </c>
      <c r="BL217" s="93" t="s">
        <v>629</v>
      </c>
      <c r="BM217" s="93">
        <v>0.02</v>
      </c>
      <c r="BN217" s="93">
        <v>0.15</v>
      </c>
      <c r="BO217" s="93" t="s">
        <v>258</v>
      </c>
      <c r="BP217" s="93"/>
      <c r="BQ217" s="93"/>
      <c r="BR217" s="93"/>
      <c r="BS217" s="93"/>
      <c r="BT217" s="93"/>
      <c r="BU217" s="93"/>
      <c r="BV217" s="93"/>
      <c r="BW217" s="93"/>
      <c r="BX217" s="93"/>
      <c r="BY217" s="93"/>
      <c r="BZ217" s="93"/>
      <c r="CA217" s="93"/>
      <c r="CB217" s="180"/>
      <c r="CC217" s="178"/>
      <c r="CD217" s="178"/>
      <c r="CE217" s="180"/>
      <c r="CF217" s="180"/>
      <c r="CG217" s="180"/>
      <c r="CH217" s="180"/>
      <c r="CI217" s="178"/>
      <c r="CJ217" s="178"/>
      <c r="CK217" s="180"/>
      <c r="CL217" s="180"/>
      <c r="CM217" s="180"/>
      <c r="CN217" s="116"/>
      <c r="CO217" s="218">
        <f>BM217</f>
        <v>0.02</v>
      </c>
      <c r="CP217" s="100">
        <f>(CO217+CQ217)/2</f>
        <v>8.4999999999999992E-2</v>
      </c>
      <c r="CQ217" s="218">
        <f>BN217</f>
        <v>0.15</v>
      </c>
    </row>
    <row r="218" spans="1:97" s="101" customFormat="1" ht="16.5" hidden="1" customHeight="1" thickBot="1" x14ac:dyDescent="0.35">
      <c r="A218" s="99"/>
      <c r="V218" s="103"/>
      <c r="AA218" s="104"/>
      <c r="AB218" s="104"/>
      <c r="AD218" s="104"/>
      <c r="AE218" s="105"/>
      <c r="AH218" s="106"/>
      <c r="AI218" s="106"/>
      <c r="AK218" s="104"/>
      <c r="AR218" s="104"/>
      <c r="AV218" s="104"/>
      <c r="AX218" s="104"/>
      <c r="AY218" s="93"/>
      <c r="AZ218" s="93"/>
      <c r="BA218" s="93"/>
      <c r="BB218" s="93"/>
      <c r="BC218" s="93"/>
      <c r="BD218" s="93"/>
      <c r="BE218" s="93"/>
      <c r="BF218" s="93"/>
      <c r="BG218" s="93"/>
      <c r="BH218" s="93"/>
      <c r="BI218" s="93" t="s">
        <v>432</v>
      </c>
      <c r="BJ218" s="93" t="s">
        <v>615</v>
      </c>
      <c r="BK218" s="93">
        <v>521.97</v>
      </c>
      <c r="BL218" s="93" t="s">
        <v>629</v>
      </c>
      <c r="BM218" s="93">
        <v>0.02</v>
      </c>
      <c r="BN218" s="93">
        <v>0.15</v>
      </c>
      <c r="BO218" s="93" t="s">
        <v>258</v>
      </c>
      <c r="BP218" s="93"/>
      <c r="BQ218" s="93"/>
      <c r="BR218" s="93"/>
      <c r="BS218" s="93"/>
      <c r="BT218" s="93"/>
      <c r="BU218" s="93"/>
      <c r="BV218" s="93"/>
      <c r="BW218" s="93"/>
      <c r="BX218" s="93"/>
      <c r="BY218" s="93"/>
      <c r="BZ218" s="93"/>
      <c r="CA218" s="93"/>
      <c r="CB218" s="180"/>
      <c r="CC218" s="178"/>
      <c r="CD218" s="178"/>
      <c r="CE218" s="180"/>
      <c r="CF218" s="180"/>
      <c r="CG218" s="180"/>
      <c r="CH218" s="180"/>
      <c r="CI218" s="178"/>
      <c r="CJ218" s="178"/>
      <c r="CK218" s="180"/>
      <c r="CL218" s="180"/>
      <c r="CM218" s="180"/>
      <c r="CN218" s="116"/>
      <c r="CO218" s="218">
        <f t="shared" ref="CO218:CO281" si="136">BM218</f>
        <v>0.02</v>
      </c>
      <c r="CP218" s="100">
        <f t="shared" ref="CP218:CP281" si="137">(CO218+CQ218)/2</f>
        <v>8.4999999999999992E-2</v>
      </c>
      <c r="CQ218" s="218">
        <f t="shared" ref="CQ218:CQ281" si="138">BN218</f>
        <v>0.15</v>
      </c>
    </row>
    <row r="219" spans="1:97" s="101" customFormat="1" ht="16.5" hidden="1" customHeight="1" thickBot="1" x14ac:dyDescent="0.35">
      <c r="A219" s="99"/>
      <c r="V219" s="103"/>
      <c r="AA219" s="104"/>
      <c r="AB219" s="104"/>
      <c r="AD219" s="104"/>
      <c r="AE219" s="105"/>
      <c r="AH219" s="106"/>
      <c r="AI219" s="106"/>
      <c r="AK219" s="104"/>
      <c r="AR219" s="104"/>
      <c r="AV219" s="104"/>
      <c r="AX219" s="104"/>
      <c r="AY219" s="93"/>
      <c r="AZ219" s="93"/>
      <c r="BA219" s="93"/>
      <c r="BB219" s="93"/>
      <c r="BC219" s="93"/>
      <c r="BD219" s="93"/>
      <c r="BE219" s="93"/>
      <c r="BF219" s="93"/>
      <c r="BG219" s="93"/>
      <c r="BH219" s="93"/>
      <c r="BI219" s="93" t="s">
        <v>433</v>
      </c>
      <c r="BJ219" s="93" t="s">
        <v>615</v>
      </c>
      <c r="BK219" s="93">
        <v>477.32</v>
      </c>
      <c r="BL219" s="93" t="s">
        <v>629</v>
      </c>
      <c r="BM219" s="93">
        <v>0.02</v>
      </c>
      <c r="BN219" s="93">
        <v>0.15</v>
      </c>
      <c r="BO219" s="93" t="s">
        <v>258</v>
      </c>
      <c r="BP219" s="93"/>
      <c r="BQ219" s="93"/>
      <c r="BR219" s="93"/>
      <c r="BS219" s="93"/>
      <c r="BT219" s="93"/>
      <c r="BU219" s="93"/>
      <c r="BV219" s="93"/>
      <c r="BW219" s="93"/>
      <c r="BX219" s="93"/>
      <c r="BY219" s="93"/>
      <c r="BZ219" s="93"/>
      <c r="CA219" s="93"/>
      <c r="CB219" s="180"/>
      <c r="CC219" s="178"/>
      <c r="CD219" s="178"/>
      <c r="CE219" s="180"/>
      <c r="CF219" s="180"/>
      <c r="CG219" s="180"/>
      <c r="CH219" s="180"/>
      <c r="CI219" s="178"/>
      <c r="CJ219" s="178"/>
      <c r="CK219" s="180"/>
      <c r="CL219" s="180"/>
      <c r="CM219" s="180"/>
      <c r="CN219" s="116"/>
      <c r="CO219" s="218">
        <f t="shared" si="136"/>
        <v>0.02</v>
      </c>
      <c r="CP219" s="100">
        <f t="shared" si="137"/>
        <v>8.4999999999999992E-2</v>
      </c>
      <c r="CQ219" s="218">
        <f t="shared" si="138"/>
        <v>0.15</v>
      </c>
    </row>
    <row r="220" spans="1:97" s="101" customFormat="1" ht="16.5" hidden="1" customHeight="1" thickBot="1" x14ac:dyDescent="0.35">
      <c r="A220" s="99"/>
      <c r="V220" s="103"/>
      <c r="AA220" s="104"/>
      <c r="AB220" s="104"/>
      <c r="AD220" s="104"/>
      <c r="AE220" s="105"/>
      <c r="AH220" s="106"/>
      <c r="AI220" s="106"/>
      <c r="AK220" s="104"/>
      <c r="AR220" s="104"/>
      <c r="AV220" s="104"/>
      <c r="AX220" s="104"/>
      <c r="AY220" s="93"/>
      <c r="AZ220" s="93"/>
      <c r="BA220" s="93"/>
      <c r="BB220" s="93"/>
      <c r="BC220" s="93"/>
      <c r="BD220" s="93"/>
      <c r="BE220" s="93"/>
      <c r="BF220" s="93"/>
      <c r="BG220" s="93"/>
      <c r="BH220" s="93"/>
      <c r="BI220" s="93" t="s">
        <v>434</v>
      </c>
      <c r="BJ220" s="93" t="s">
        <v>615</v>
      </c>
      <c r="BK220" s="93">
        <v>379.87</v>
      </c>
      <c r="BL220" s="93" t="s">
        <v>629</v>
      </c>
      <c r="BM220" s="93">
        <v>0.02</v>
      </c>
      <c r="BN220" s="93">
        <v>0.15</v>
      </c>
      <c r="BO220" s="93" t="s">
        <v>258</v>
      </c>
      <c r="BP220" s="93"/>
      <c r="BQ220" s="93"/>
      <c r="BR220" s="93"/>
      <c r="BS220" s="93"/>
      <c r="BT220" s="93"/>
      <c r="BU220" s="93"/>
      <c r="BV220" s="93"/>
      <c r="BW220" s="93"/>
      <c r="BX220" s="93"/>
      <c r="BY220" s="93"/>
      <c r="BZ220" s="93"/>
      <c r="CA220" s="93"/>
      <c r="CB220" s="180"/>
      <c r="CC220" s="178"/>
      <c r="CD220" s="178"/>
      <c r="CE220" s="180"/>
      <c r="CF220" s="180"/>
      <c r="CG220" s="180"/>
      <c r="CH220" s="180"/>
      <c r="CI220" s="178"/>
      <c r="CJ220" s="178"/>
      <c r="CK220" s="180"/>
      <c r="CL220" s="180"/>
      <c r="CM220" s="180"/>
      <c r="CN220" s="116"/>
      <c r="CO220" s="218">
        <f t="shared" si="136"/>
        <v>0.02</v>
      </c>
      <c r="CP220" s="100">
        <f t="shared" si="137"/>
        <v>8.4999999999999992E-2</v>
      </c>
      <c r="CQ220" s="218">
        <f t="shared" si="138"/>
        <v>0.15</v>
      </c>
    </row>
    <row r="221" spans="1:97" s="101" customFormat="1" ht="16.5" hidden="1" customHeight="1" thickBot="1" x14ac:dyDescent="0.35">
      <c r="A221" s="99"/>
      <c r="V221" s="103"/>
      <c r="AA221" s="104"/>
      <c r="AB221" s="104"/>
      <c r="AD221" s="104"/>
      <c r="AE221" s="105"/>
      <c r="AH221" s="106"/>
      <c r="AI221" s="106"/>
      <c r="AK221" s="104"/>
      <c r="AR221" s="104"/>
      <c r="AV221" s="104"/>
      <c r="AX221" s="104"/>
      <c r="AY221" s="93"/>
      <c r="AZ221" s="93"/>
      <c r="BA221" s="93"/>
      <c r="BB221" s="93"/>
      <c r="BC221" s="93"/>
      <c r="BD221" s="93"/>
      <c r="BE221" s="93"/>
      <c r="BF221" s="93"/>
      <c r="BG221" s="93"/>
      <c r="BH221" s="93"/>
      <c r="BI221" s="93" t="s">
        <v>436</v>
      </c>
      <c r="BJ221" s="93" t="s">
        <v>615</v>
      </c>
      <c r="BK221" s="93">
        <v>382.86</v>
      </c>
      <c r="BL221" s="93" t="s">
        <v>629</v>
      </c>
      <c r="BM221" s="93">
        <v>0.02</v>
      </c>
      <c r="BN221" s="93">
        <v>0.15</v>
      </c>
      <c r="BO221" s="93" t="s">
        <v>258</v>
      </c>
      <c r="BP221" s="93"/>
      <c r="BQ221" s="93"/>
      <c r="BR221" s="93"/>
      <c r="BS221" s="93"/>
      <c r="BT221" s="93"/>
      <c r="BU221" s="93"/>
      <c r="BV221" s="93"/>
      <c r="BW221" s="93"/>
      <c r="BX221" s="93"/>
      <c r="BY221" s="93"/>
      <c r="BZ221" s="93"/>
      <c r="CA221" s="93"/>
      <c r="CB221" s="180"/>
      <c r="CC221" s="178"/>
      <c r="CD221" s="178"/>
      <c r="CE221" s="180"/>
      <c r="CF221" s="180"/>
      <c r="CG221" s="180"/>
      <c r="CH221" s="180"/>
      <c r="CI221" s="178"/>
      <c r="CJ221" s="178"/>
      <c r="CK221" s="180"/>
      <c r="CL221" s="180"/>
      <c r="CM221" s="180"/>
      <c r="CN221" s="116"/>
      <c r="CO221" s="218">
        <f t="shared" si="136"/>
        <v>0.02</v>
      </c>
      <c r="CP221" s="100">
        <f t="shared" si="137"/>
        <v>8.4999999999999992E-2</v>
      </c>
      <c r="CQ221" s="218">
        <f t="shared" si="138"/>
        <v>0.15</v>
      </c>
    </row>
    <row r="222" spans="1:97" s="101" customFormat="1" ht="16.5" hidden="1" customHeight="1" thickBot="1" x14ac:dyDescent="0.35">
      <c r="A222" s="99"/>
      <c r="V222" s="103"/>
      <c r="AA222" s="104"/>
      <c r="AB222" s="104"/>
      <c r="AD222" s="104"/>
      <c r="AE222" s="105"/>
      <c r="AH222" s="106"/>
      <c r="AI222" s="106"/>
      <c r="AK222" s="104"/>
      <c r="AR222" s="104"/>
      <c r="AV222" s="104"/>
      <c r="AX222" s="104"/>
      <c r="AY222" s="93"/>
      <c r="AZ222" s="93"/>
      <c r="BA222" s="93"/>
      <c r="BB222" s="93"/>
      <c r="BC222" s="93"/>
      <c r="BD222" s="93"/>
      <c r="BE222" s="93"/>
      <c r="BF222" s="93"/>
      <c r="BG222" s="93"/>
      <c r="BH222" s="93"/>
      <c r="BI222" s="93" t="s">
        <v>437</v>
      </c>
      <c r="BJ222" s="93" t="s">
        <v>615</v>
      </c>
      <c r="BK222" s="93">
        <v>414.92</v>
      </c>
      <c r="BL222" s="93" t="s">
        <v>629</v>
      </c>
      <c r="BM222" s="93">
        <v>0.02</v>
      </c>
      <c r="BN222" s="93">
        <v>0.15</v>
      </c>
      <c r="BO222" s="93" t="s">
        <v>258</v>
      </c>
      <c r="BP222" s="93"/>
      <c r="BQ222" s="93"/>
      <c r="BR222" s="93"/>
      <c r="BS222" s="93"/>
      <c r="BT222" s="93"/>
      <c r="BU222" s="93"/>
      <c r="BV222" s="93"/>
      <c r="BW222" s="93"/>
      <c r="BX222" s="93"/>
      <c r="BY222" s="93"/>
      <c r="BZ222" s="93"/>
      <c r="CA222" s="93"/>
      <c r="CB222" s="180"/>
      <c r="CC222" s="178"/>
      <c r="CD222" s="178"/>
      <c r="CE222" s="180"/>
      <c r="CF222" s="180"/>
      <c r="CG222" s="180"/>
      <c r="CH222" s="180"/>
      <c r="CI222" s="178"/>
      <c r="CJ222" s="178"/>
      <c r="CK222" s="180"/>
      <c r="CL222" s="180"/>
      <c r="CM222" s="180"/>
      <c r="CN222" s="116"/>
      <c r="CO222" s="218">
        <f t="shared" si="136"/>
        <v>0.02</v>
      </c>
      <c r="CP222" s="100">
        <f t="shared" si="137"/>
        <v>8.4999999999999992E-2</v>
      </c>
      <c r="CQ222" s="218">
        <f t="shared" si="138"/>
        <v>0.15</v>
      </c>
    </row>
    <row r="223" spans="1:97" s="101" customFormat="1" ht="16.5" hidden="1" customHeight="1" thickBot="1" x14ac:dyDescent="0.35">
      <c r="A223" s="99"/>
      <c r="V223" s="103"/>
      <c r="AA223" s="104"/>
      <c r="AB223" s="104"/>
      <c r="AD223" s="104"/>
      <c r="AE223" s="105"/>
      <c r="AH223" s="106"/>
      <c r="AI223" s="106"/>
      <c r="AK223" s="104"/>
      <c r="AR223" s="104"/>
      <c r="AV223" s="104"/>
      <c r="AX223" s="104"/>
      <c r="AY223" s="93"/>
      <c r="AZ223" s="93"/>
      <c r="BA223" s="93"/>
      <c r="BB223" s="93"/>
      <c r="BC223" s="93"/>
      <c r="BD223" s="93"/>
      <c r="BE223" s="93"/>
      <c r="BF223" s="93"/>
      <c r="BG223" s="93"/>
      <c r="BH223" s="93"/>
      <c r="BI223" s="93" t="s">
        <v>435</v>
      </c>
      <c r="BJ223" s="93" t="s">
        <v>615</v>
      </c>
      <c r="BK223" s="93">
        <v>475.72</v>
      </c>
      <c r="BL223" s="93" t="s">
        <v>629</v>
      </c>
      <c r="BM223" s="93">
        <v>0.02</v>
      </c>
      <c r="BN223" s="93">
        <v>0.15</v>
      </c>
      <c r="BO223" s="93" t="s">
        <v>258</v>
      </c>
      <c r="BP223" s="93"/>
      <c r="BQ223" s="93"/>
      <c r="BR223" s="93"/>
      <c r="BS223" s="93"/>
      <c r="BT223" s="93"/>
      <c r="BU223" s="93"/>
      <c r="BV223" s="93"/>
      <c r="BW223" s="93"/>
      <c r="BX223" s="93"/>
      <c r="BY223" s="93"/>
      <c r="BZ223" s="93"/>
      <c r="CA223" s="93"/>
      <c r="CB223" s="180"/>
      <c r="CC223" s="178"/>
      <c r="CD223" s="178"/>
      <c r="CE223" s="180"/>
      <c r="CF223" s="180"/>
      <c r="CG223" s="180"/>
      <c r="CH223" s="180"/>
      <c r="CI223" s="178"/>
      <c r="CJ223" s="178"/>
      <c r="CK223" s="180"/>
      <c r="CL223" s="180"/>
      <c r="CM223" s="180"/>
      <c r="CN223" s="116"/>
      <c r="CO223" s="218">
        <f t="shared" si="136"/>
        <v>0.02</v>
      </c>
      <c r="CP223" s="100">
        <f t="shared" si="137"/>
        <v>8.4999999999999992E-2</v>
      </c>
      <c r="CQ223" s="218">
        <f t="shared" si="138"/>
        <v>0.15</v>
      </c>
    </row>
    <row r="224" spans="1:97" s="101" customFormat="1" ht="16.5" hidden="1" customHeight="1" thickBot="1" x14ac:dyDescent="0.35">
      <c r="A224" s="99"/>
      <c r="V224" s="103"/>
      <c r="AA224" s="104"/>
      <c r="AB224" s="104"/>
      <c r="AD224" s="104"/>
      <c r="AE224" s="105"/>
      <c r="AH224" s="106"/>
      <c r="AI224" s="106"/>
      <c r="AK224" s="104"/>
      <c r="AR224" s="104"/>
      <c r="AV224" s="104"/>
      <c r="AX224" s="104"/>
      <c r="AY224" s="93"/>
      <c r="AZ224" s="93"/>
      <c r="BA224" s="93"/>
      <c r="BB224" s="93"/>
      <c r="BC224" s="93"/>
      <c r="BD224" s="93"/>
      <c r="BE224" s="93"/>
      <c r="BF224" s="93"/>
      <c r="BG224" s="93"/>
      <c r="BH224" s="93"/>
      <c r="BI224" s="93" t="s">
        <v>439</v>
      </c>
      <c r="BJ224" s="93" t="s">
        <v>49</v>
      </c>
      <c r="BK224" s="93">
        <v>0.21</v>
      </c>
      <c r="BL224" s="93" t="s">
        <v>629</v>
      </c>
      <c r="BM224" s="93">
        <v>0.1</v>
      </c>
      <c r="BN224" s="93">
        <v>0.6</v>
      </c>
      <c r="BO224" s="93" t="s">
        <v>258</v>
      </c>
      <c r="BP224" s="93"/>
      <c r="BQ224" s="93"/>
      <c r="BR224" s="93"/>
      <c r="BS224" s="93"/>
      <c r="BT224" s="93"/>
      <c r="BU224" s="93"/>
      <c r="BV224" s="93"/>
      <c r="BW224" s="93"/>
      <c r="BX224" s="93"/>
      <c r="BY224" s="93"/>
      <c r="BZ224" s="93"/>
      <c r="CA224" s="93"/>
      <c r="CB224" s="180"/>
      <c r="CC224" s="178"/>
      <c r="CD224" s="178"/>
      <c r="CE224" s="180"/>
      <c r="CF224" s="180"/>
      <c r="CG224" s="180"/>
      <c r="CH224" s="180"/>
      <c r="CI224" s="178"/>
      <c r="CJ224" s="178"/>
      <c r="CK224" s="180"/>
      <c r="CL224" s="180"/>
      <c r="CM224" s="180"/>
      <c r="CN224" s="116"/>
      <c r="CO224" s="218">
        <f t="shared" si="136"/>
        <v>0.1</v>
      </c>
      <c r="CP224" s="100">
        <f t="shared" si="137"/>
        <v>0.35</v>
      </c>
      <c r="CQ224" s="218">
        <f t="shared" si="138"/>
        <v>0.6</v>
      </c>
    </row>
    <row r="225" spans="1:97" s="101" customFormat="1" ht="16.5" hidden="1" customHeight="1" thickBot="1" x14ac:dyDescent="0.35">
      <c r="A225" s="99"/>
      <c r="V225" s="103"/>
      <c r="AA225" s="104"/>
      <c r="AB225" s="104"/>
      <c r="AD225" s="104"/>
      <c r="AE225" s="105"/>
      <c r="AH225" s="106"/>
      <c r="AI225" s="106"/>
      <c r="AK225" s="104"/>
      <c r="AR225" s="104"/>
      <c r="AV225" s="104"/>
      <c r="AX225" s="104"/>
      <c r="AY225" s="93"/>
      <c r="AZ225" s="93"/>
      <c r="BA225" s="93"/>
      <c r="BB225" s="93"/>
      <c r="BC225" s="93"/>
      <c r="BD225" s="93"/>
      <c r="BE225" s="93"/>
      <c r="BF225" s="93"/>
      <c r="BG225" s="93"/>
      <c r="BH225" s="93"/>
      <c r="BI225" s="93" t="s">
        <v>577</v>
      </c>
      <c r="BJ225" s="93" t="s">
        <v>49</v>
      </c>
      <c r="BK225" s="93">
        <v>0.25</v>
      </c>
      <c r="BL225" s="93" t="s">
        <v>629</v>
      </c>
      <c r="BM225" s="93">
        <v>0.1</v>
      </c>
      <c r="BN225" s="93">
        <v>0.6</v>
      </c>
      <c r="BO225" s="93" t="s">
        <v>258</v>
      </c>
      <c r="BP225" s="93"/>
      <c r="BQ225" s="93"/>
      <c r="BR225" s="93"/>
      <c r="BS225" s="93"/>
      <c r="BT225" s="93"/>
      <c r="BU225" s="93"/>
      <c r="BV225" s="93"/>
      <c r="BW225" s="93"/>
      <c r="BX225" s="93"/>
      <c r="BY225" s="93"/>
      <c r="BZ225" s="93"/>
      <c r="CA225" s="93"/>
      <c r="CB225" s="180"/>
      <c r="CC225" s="178"/>
      <c r="CD225" s="178"/>
      <c r="CE225" s="180"/>
      <c r="CF225" s="180"/>
      <c r="CG225" s="180"/>
      <c r="CH225" s="180"/>
      <c r="CI225" s="178"/>
      <c r="CJ225" s="178"/>
      <c r="CK225" s="180"/>
      <c r="CL225" s="180"/>
      <c r="CM225" s="180"/>
      <c r="CN225" s="116"/>
      <c r="CO225" s="218">
        <f t="shared" si="136"/>
        <v>0.1</v>
      </c>
      <c r="CP225" s="100">
        <f t="shared" si="137"/>
        <v>0.35</v>
      </c>
      <c r="CQ225" s="218">
        <f t="shared" si="138"/>
        <v>0.6</v>
      </c>
    </row>
    <row r="226" spans="1:97" s="101" customFormat="1" ht="16.5" hidden="1" customHeight="1" thickBot="1" x14ac:dyDescent="0.35">
      <c r="A226" s="99"/>
      <c r="V226" s="103"/>
      <c r="AA226" s="104"/>
      <c r="AB226" s="104"/>
      <c r="AD226" s="104"/>
      <c r="AE226" s="105"/>
      <c r="AH226" s="106"/>
      <c r="AI226" s="106"/>
      <c r="AK226" s="104"/>
      <c r="AR226" s="104"/>
      <c r="AV226" s="104"/>
      <c r="AX226" s="104"/>
      <c r="AY226" s="93"/>
      <c r="AZ226" s="93"/>
      <c r="BA226" s="93"/>
      <c r="BB226" s="93"/>
      <c r="BC226" s="93"/>
      <c r="BD226" s="93"/>
      <c r="BE226" s="93"/>
      <c r="BF226" s="93"/>
      <c r="BG226" s="93"/>
      <c r="BH226" s="93"/>
      <c r="BI226" s="93" t="s">
        <v>441</v>
      </c>
      <c r="BJ226" s="93" t="s">
        <v>49</v>
      </c>
      <c r="BK226" s="93">
        <v>0.1</v>
      </c>
      <c r="BL226" s="93" t="s">
        <v>629</v>
      </c>
      <c r="BM226" s="93">
        <v>0.1</v>
      </c>
      <c r="BN226" s="93">
        <v>0.6</v>
      </c>
      <c r="BO226" s="93" t="s">
        <v>258</v>
      </c>
      <c r="BP226" s="93"/>
      <c r="BQ226" s="93"/>
      <c r="BR226" s="93"/>
      <c r="BS226" s="93"/>
      <c r="BT226" s="93"/>
      <c r="BU226" s="93"/>
      <c r="BV226" s="93"/>
      <c r="BW226" s="93"/>
      <c r="BX226" s="93"/>
      <c r="BY226" s="93"/>
      <c r="BZ226" s="93"/>
      <c r="CA226" s="93"/>
      <c r="CB226" s="180"/>
      <c r="CC226" s="178"/>
      <c r="CD226" s="178"/>
      <c r="CE226" s="180"/>
      <c r="CF226" s="180"/>
      <c r="CG226" s="180"/>
      <c r="CH226" s="180"/>
      <c r="CI226" s="178"/>
      <c r="CJ226" s="178"/>
      <c r="CK226" s="180"/>
      <c r="CL226" s="180"/>
      <c r="CM226" s="180"/>
      <c r="CN226" s="116"/>
      <c r="CO226" s="218">
        <f t="shared" si="136"/>
        <v>0.1</v>
      </c>
      <c r="CP226" s="100">
        <f t="shared" si="137"/>
        <v>0.35</v>
      </c>
      <c r="CQ226" s="218">
        <f t="shared" si="138"/>
        <v>0.6</v>
      </c>
    </row>
    <row r="227" spans="1:97" s="101" customFormat="1" ht="16.5" hidden="1" customHeight="1" thickBot="1" x14ac:dyDescent="0.35">
      <c r="A227" s="99"/>
      <c r="V227" s="103"/>
      <c r="AA227" s="104"/>
      <c r="AB227" s="104"/>
      <c r="AD227" s="104"/>
      <c r="AE227" s="105"/>
      <c r="AH227" s="106"/>
      <c r="AI227" s="106"/>
      <c r="AK227" s="104"/>
      <c r="AR227" s="104"/>
      <c r="AV227" s="104"/>
      <c r="AX227" s="104"/>
      <c r="AY227" s="93"/>
      <c r="AZ227" s="93"/>
      <c r="BA227" s="93"/>
      <c r="BB227" s="93"/>
      <c r="BC227" s="93"/>
      <c r="BD227" s="93"/>
      <c r="BE227" s="93"/>
      <c r="BF227" s="93"/>
      <c r="BG227" s="93"/>
      <c r="BH227" s="93"/>
      <c r="BI227" s="93" t="s">
        <v>442</v>
      </c>
      <c r="BJ227" s="93" t="s">
        <v>49</v>
      </c>
      <c r="BK227" s="93">
        <v>0.2</v>
      </c>
      <c r="BL227" s="93" t="s">
        <v>629</v>
      </c>
      <c r="BM227" s="93">
        <v>0.1</v>
      </c>
      <c r="BN227" s="93">
        <v>0.6</v>
      </c>
      <c r="BO227" s="93" t="s">
        <v>258</v>
      </c>
      <c r="BP227" s="93"/>
      <c r="BQ227" s="93"/>
      <c r="BR227" s="93"/>
      <c r="BS227" s="93"/>
      <c r="BT227" s="93"/>
      <c r="BU227" s="93"/>
      <c r="BV227" s="93"/>
      <c r="BW227" s="93"/>
      <c r="BX227" s="93"/>
      <c r="BY227" s="93"/>
      <c r="BZ227" s="93"/>
      <c r="CA227" s="93"/>
      <c r="CB227" s="180"/>
      <c r="CC227" s="178"/>
      <c r="CD227" s="178"/>
      <c r="CE227" s="180"/>
      <c r="CF227" s="180"/>
      <c r="CG227" s="180"/>
      <c r="CH227" s="180"/>
      <c r="CI227" s="178"/>
      <c r="CJ227" s="178"/>
      <c r="CK227" s="180"/>
      <c r="CL227" s="180"/>
      <c r="CM227" s="180"/>
      <c r="CN227" s="116"/>
      <c r="CO227" s="218">
        <f t="shared" si="136"/>
        <v>0.1</v>
      </c>
      <c r="CP227" s="100">
        <f t="shared" si="137"/>
        <v>0.35</v>
      </c>
      <c r="CQ227" s="218">
        <f t="shared" si="138"/>
        <v>0.6</v>
      </c>
    </row>
    <row r="228" spans="1:97" s="101" customFormat="1" ht="16.5" hidden="1" customHeight="1" thickBot="1" x14ac:dyDescent="0.35">
      <c r="A228" s="99"/>
      <c r="V228" s="103"/>
      <c r="AA228" s="104"/>
      <c r="AB228" s="104"/>
      <c r="AD228" s="104"/>
      <c r="AE228" s="105"/>
      <c r="AH228" s="106"/>
      <c r="AI228" s="106"/>
      <c r="AK228" s="104"/>
      <c r="AR228" s="104"/>
      <c r="AV228" s="104"/>
      <c r="AX228" s="104"/>
      <c r="AY228" s="93"/>
      <c r="AZ228" s="93"/>
      <c r="BA228" s="93"/>
      <c r="BB228" s="93"/>
      <c r="BC228" s="93"/>
      <c r="BD228" s="93"/>
      <c r="BE228" s="93"/>
      <c r="BF228" s="93"/>
      <c r="BG228" s="93"/>
      <c r="BH228" s="93"/>
      <c r="BI228" s="93" t="s">
        <v>440</v>
      </c>
      <c r="BJ228" s="93" t="s">
        <v>49</v>
      </c>
      <c r="BK228" s="93">
        <v>0.03</v>
      </c>
      <c r="BL228" s="93" t="s">
        <v>629</v>
      </c>
      <c r="BM228" s="93">
        <v>0.1</v>
      </c>
      <c r="BN228" s="93">
        <v>0.6</v>
      </c>
      <c r="BO228" s="93" t="s">
        <v>258</v>
      </c>
      <c r="BP228" s="93"/>
      <c r="BQ228" s="93"/>
      <c r="BR228" s="93"/>
      <c r="BS228" s="93"/>
      <c r="BT228" s="93"/>
      <c r="BU228" s="93"/>
      <c r="BV228" s="93"/>
      <c r="BW228" s="93"/>
      <c r="BX228" s="93"/>
      <c r="BY228" s="93"/>
      <c r="BZ228" s="93"/>
      <c r="CA228" s="93"/>
      <c r="CB228" s="180"/>
      <c r="CC228" s="178"/>
      <c r="CD228" s="178"/>
      <c r="CE228" s="180"/>
      <c r="CF228" s="180"/>
      <c r="CG228" s="180"/>
      <c r="CH228" s="180"/>
      <c r="CI228" s="178"/>
      <c r="CJ228" s="178"/>
      <c r="CK228" s="180"/>
      <c r="CL228" s="180"/>
      <c r="CM228" s="180"/>
      <c r="CN228" s="116"/>
      <c r="CO228" s="218">
        <f t="shared" si="136"/>
        <v>0.1</v>
      </c>
      <c r="CP228" s="100">
        <f t="shared" si="137"/>
        <v>0.35</v>
      </c>
      <c r="CQ228" s="218">
        <f t="shared" si="138"/>
        <v>0.6</v>
      </c>
    </row>
    <row r="229" spans="1:97" s="101" customFormat="1" ht="15.75" hidden="1" customHeight="1" thickBot="1" x14ac:dyDescent="0.3">
      <c r="A229" s="99"/>
      <c r="V229" s="103"/>
      <c r="AA229" s="104"/>
      <c r="AB229" s="104"/>
      <c r="AD229" s="104"/>
      <c r="AE229" s="105"/>
      <c r="AH229" s="106"/>
      <c r="AI229" s="106"/>
      <c r="AK229" s="104"/>
      <c r="AR229" s="104"/>
      <c r="AV229" s="104"/>
      <c r="AX229" s="104"/>
      <c r="AY229" s="93"/>
      <c r="AZ229" s="93"/>
      <c r="BA229" s="93"/>
      <c r="BB229" s="93"/>
      <c r="BC229" s="93"/>
      <c r="BD229" s="93"/>
      <c r="BE229" s="93"/>
      <c r="BF229" s="93"/>
      <c r="BG229" s="93"/>
      <c r="BH229" s="93"/>
      <c r="BI229" s="93" t="s">
        <v>15</v>
      </c>
      <c r="BJ229" s="93" t="s">
        <v>636</v>
      </c>
      <c r="BK229" s="93">
        <v>3273</v>
      </c>
      <c r="BL229" s="93" t="s">
        <v>630</v>
      </c>
      <c r="BM229" s="93">
        <v>0.02</v>
      </c>
      <c r="BN229" s="93">
        <v>0.05</v>
      </c>
      <c r="BO229" s="93" t="s">
        <v>258</v>
      </c>
      <c r="BP229" s="93"/>
      <c r="BQ229" s="93"/>
      <c r="BR229" s="93"/>
      <c r="BS229" s="93"/>
      <c r="BT229" s="93"/>
      <c r="BU229" s="93"/>
      <c r="BV229" s="93"/>
      <c r="BW229" s="93"/>
      <c r="BX229" s="93"/>
      <c r="BY229" s="93"/>
      <c r="BZ229" s="93"/>
      <c r="CA229" s="93"/>
      <c r="CB229" s="180"/>
      <c r="CC229" s="178"/>
      <c r="CD229" s="178"/>
      <c r="CE229" s="180"/>
      <c r="CF229" s="180"/>
      <c r="CG229" s="180"/>
      <c r="CH229" s="180"/>
      <c r="CI229" s="178"/>
      <c r="CJ229" s="178"/>
      <c r="CK229" s="180"/>
      <c r="CL229" s="180"/>
      <c r="CM229" s="180"/>
      <c r="CN229" s="116"/>
      <c r="CO229" s="218">
        <f t="shared" si="136"/>
        <v>0.02</v>
      </c>
      <c r="CP229" s="100">
        <f t="shared" si="137"/>
        <v>3.5000000000000003E-2</v>
      </c>
      <c r="CQ229" s="218">
        <f t="shared" si="138"/>
        <v>0.05</v>
      </c>
    </row>
    <row r="230" spans="1:97" s="101" customFormat="1" ht="26.25" hidden="1" customHeight="1" thickBot="1" x14ac:dyDescent="0.35">
      <c r="A230" s="99"/>
      <c r="V230" s="103"/>
      <c r="AA230" s="104"/>
      <c r="AB230" s="104"/>
      <c r="AD230" s="104"/>
      <c r="AE230" s="105"/>
      <c r="AH230" s="106"/>
      <c r="AI230" s="106"/>
      <c r="AK230" s="104"/>
      <c r="AR230" s="104"/>
      <c r="AV230" s="104"/>
      <c r="AX230" s="104"/>
      <c r="AY230" s="93"/>
      <c r="AZ230" s="93"/>
      <c r="BA230" s="93"/>
      <c r="BB230" s="93"/>
      <c r="BC230" s="93"/>
      <c r="BD230" s="93"/>
      <c r="BE230" s="93"/>
      <c r="BF230" s="93"/>
      <c r="BG230" s="93"/>
      <c r="BH230" s="93" t="s">
        <v>53</v>
      </c>
      <c r="BI230" s="93" t="s">
        <v>344</v>
      </c>
      <c r="BJ230" s="93" t="s">
        <v>615</v>
      </c>
      <c r="BK230" s="93">
        <f>(3.13757879682717*1000)</f>
        <v>3137.5787968271702</v>
      </c>
      <c r="BL230" s="93" t="s">
        <v>629</v>
      </c>
      <c r="BM230" s="93">
        <v>0.02</v>
      </c>
      <c r="BN230" s="93">
        <v>0.5</v>
      </c>
      <c r="BO230" s="93" t="s">
        <v>382</v>
      </c>
      <c r="BP230" s="93"/>
      <c r="BQ230" s="93"/>
      <c r="BR230" s="93"/>
      <c r="BS230" s="93"/>
      <c r="BT230" s="93"/>
      <c r="BU230" s="93"/>
      <c r="BV230" s="93"/>
      <c r="BW230" s="93"/>
      <c r="BX230" s="93"/>
      <c r="BY230" s="93"/>
      <c r="BZ230" s="93"/>
      <c r="CA230" s="93"/>
      <c r="CB230" s="180"/>
      <c r="CC230" s="178"/>
      <c r="CD230" s="178"/>
      <c r="CE230" s="180"/>
      <c r="CF230" s="180"/>
      <c r="CG230" s="180"/>
      <c r="CH230" s="180"/>
      <c r="CI230" s="178"/>
      <c r="CJ230" s="178"/>
      <c r="CK230" s="180"/>
      <c r="CL230" s="180"/>
      <c r="CM230" s="180"/>
      <c r="CN230" s="116"/>
      <c r="CO230" s="218">
        <f t="shared" si="136"/>
        <v>0.02</v>
      </c>
      <c r="CP230" s="100">
        <f t="shared" si="137"/>
        <v>0.26</v>
      </c>
      <c r="CQ230" s="218">
        <f t="shared" si="138"/>
        <v>0.5</v>
      </c>
      <c r="CR230" s="101">
        <v>0.02</v>
      </c>
      <c r="CS230" s="101">
        <v>0.5</v>
      </c>
    </row>
    <row r="231" spans="1:97" s="101" customFormat="1" ht="16.5" hidden="1" customHeight="1" thickBot="1" x14ac:dyDescent="0.35">
      <c r="A231" s="99"/>
      <c r="V231" s="103"/>
      <c r="AA231" s="104"/>
      <c r="AB231" s="104"/>
      <c r="AD231" s="104"/>
      <c r="AE231" s="105"/>
      <c r="AH231" s="106"/>
      <c r="AI231" s="106"/>
      <c r="AK231" s="104"/>
      <c r="AR231" s="104"/>
      <c r="AV231" s="104"/>
      <c r="AX231" s="104"/>
      <c r="AY231" s="93"/>
      <c r="AZ231" s="93"/>
      <c r="BA231" s="93"/>
      <c r="BB231" s="93"/>
      <c r="BC231" s="93"/>
      <c r="BD231" s="93"/>
      <c r="BE231" s="93"/>
      <c r="BF231" s="93"/>
      <c r="BG231" s="93"/>
      <c r="BH231" s="93" t="s">
        <v>53</v>
      </c>
      <c r="BI231" s="93" t="s">
        <v>495</v>
      </c>
      <c r="BJ231" s="93" t="s">
        <v>615</v>
      </c>
      <c r="BK231" s="93">
        <v>9</v>
      </c>
      <c r="BL231" s="93" t="s">
        <v>631</v>
      </c>
      <c r="BM231" s="93">
        <v>0.1</v>
      </c>
      <c r="BN231" s="93">
        <v>0.4</v>
      </c>
      <c r="BO231" s="93" t="s">
        <v>258</v>
      </c>
      <c r="BP231" s="93"/>
      <c r="BQ231" s="93"/>
      <c r="BR231" s="93"/>
      <c r="BS231" s="93"/>
      <c r="BT231" s="93"/>
      <c r="BU231" s="93"/>
      <c r="BV231" s="93"/>
      <c r="BW231" s="93"/>
      <c r="BX231" s="93">
        <v>1500</v>
      </c>
      <c r="BY231" s="93" t="s">
        <v>635</v>
      </c>
      <c r="BZ231" s="93"/>
      <c r="CA231" s="93"/>
      <c r="CB231" s="180"/>
      <c r="CC231" s="178"/>
      <c r="CD231" s="178"/>
      <c r="CE231" s="180"/>
      <c r="CF231" s="180"/>
      <c r="CG231" s="180"/>
      <c r="CH231" s="180"/>
      <c r="CI231" s="178"/>
      <c r="CJ231" s="178"/>
      <c r="CK231" s="180"/>
      <c r="CL231" s="180"/>
      <c r="CM231" s="180"/>
      <c r="CN231" s="116"/>
      <c r="CO231" s="218">
        <f t="shared" si="136"/>
        <v>0.1</v>
      </c>
      <c r="CP231" s="100">
        <f t="shared" si="137"/>
        <v>0.25</v>
      </c>
      <c r="CQ231" s="218">
        <f t="shared" si="138"/>
        <v>0.4</v>
      </c>
      <c r="CR231" s="101">
        <v>0.02</v>
      </c>
      <c r="CS231" s="101">
        <v>0.5</v>
      </c>
    </row>
    <row r="232" spans="1:97" s="101" customFormat="1" ht="16.5" hidden="1" customHeight="1" thickBot="1" x14ac:dyDescent="0.35">
      <c r="A232" s="99"/>
      <c r="V232" s="103"/>
      <c r="AA232" s="104"/>
      <c r="AB232" s="104"/>
      <c r="AD232" s="104"/>
      <c r="AE232" s="105"/>
      <c r="AH232" s="106"/>
      <c r="AI232" s="106"/>
      <c r="AK232" s="104"/>
      <c r="AR232" s="104"/>
      <c r="AV232" s="104"/>
      <c r="AX232" s="104"/>
      <c r="AY232" s="93"/>
      <c r="AZ232" s="93"/>
      <c r="BA232" s="93"/>
      <c r="BB232" s="93"/>
      <c r="BC232" s="93"/>
      <c r="BD232" s="93"/>
      <c r="BE232" s="93"/>
      <c r="BF232" s="93"/>
      <c r="BG232" s="93"/>
      <c r="BH232" s="93" t="s">
        <v>97</v>
      </c>
      <c r="BI232" s="93" t="s">
        <v>517</v>
      </c>
      <c r="BJ232" s="93" t="s">
        <v>428</v>
      </c>
      <c r="BK232" s="93">
        <f>0.25*0.1</f>
        <v>2.5000000000000001E-2</v>
      </c>
      <c r="BL232" s="93" t="s">
        <v>412</v>
      </c>
      <c r="BM232" s="93">
        <v>0.05</v>
      </c>
      <c r="BN232" s="93">
        <v>1.04</v>
      </c>
      <c r="BO232" s="93" t="s">
        <v>258</v>
      </c>
      <c r="BP232" s="93"/>
      <c r="BQ232" s="93"/>
      <c r="BR232" s="93"/>
      <c r="BS232" s="93"/>
      <c r="BT232" s="93"/>
      <c r="BU232" s="93"/>
      <c r="BV232" s="93"/>
      <c r="BW232" s="93"/>
      <c r="BX232" s="93">
        <f>0.25*0.9*25</f>
        <v>5.625</v>
      </c>
      <c r="BY232" s="93" t="s">
        <v>298</v>
      </c>
      <c r="BZ232" s="93"/>
      <c r="CA232" s="93"/>
      <c r="CB232" s="180"/>
      <c r="CC232" s="178"/>
      <c r="CD232" s="178"/>
      <c r="CE232" s="180"/>
      <c r="CF232" s="180"/>
      <c r="CG232" s="180"/>
      <c r="CH232" s="180"/>
      <c r="CI232" s="178"/>
      <c r="CJ232" s="178"/>
      <c r="CK232" s="180"/>
      <c r="CL232" s="180"/>
      <c r="CM232" s="180"/>
      <c r="CN232" s="116"/>
      <c r="CO232" s="218">
        <f t="shared" si="136"/>
        <v>0.05</v>
      </c>
      <c r="CP232" s="100">
        <f t="shared" si="137"/>
        <v>0.54500000000000004</v>
      </c>
      <c r="CQ232" s="218">
        <f t="shared" si="138"/>
        <v>1.04</v>
      </c>
      <c r="CR232" s="101">
        <v>0.05</v>
      </c>
      <c r="CS232" s="101">
        <v>0.3</v>
      </c>
    </row>
    <row r="233" spans="1:97" s="101" customFormat="1" ht="16.5" hidden="1" customHeight="1" thickBot="1" x14ac:dyDescent="0.35">
      <c r="A233" s="99"/>
      <c r="V233" s="103"/>
      <c r="AA233" s="104"/>
      <c r="AB233" s="104"/>
      <c r="AD233" s="104"/>
      <c r="AE233" s="105"/>
      <c r="AH233" s="106"/>
      <c r="AI233" s="106"/>
      <c r="AK233" s="104"/>
      <c r="AR233" s="104"/>
      <c r="AV233" s="104"/>
      <c r="AX233" s="104"/>
      <c r="AY233" s="93"/>
      <c r="AZ233" s="93"/>
      <c r="BA233" s="93"/>
      <c r="BB233" s="93"/>
      <c r="BC233" s="93"/>
      <c r="BD233" s="93"/>
      <c r="BE233" s="93"/>
      <c r="BF233" s="93">
        <f t="shared" ref="BF233:BF248" si="139">BK233*25</f>
        <v>0</v>
      </c>
      <c r="BG233" s="93"/>
      <c r="BH233" s="93"/>
      <c r="BI233" s="93" t="s">
        <v>516</v>
      </c>
      <c r="BJ233" s="93" t="s">
        <v>428</v>
      </c>
      <c r="BK233" s="93">
        <f>0*0.25</f>
        <v>0</v>
      </c>
      <c r="BL233" s="93" t="s">
        <v>412</v>
      </c>
      <c r="BM233" s="93">
        <v>0.05</v>
      </c>
      <c r="BN233" s="93">
        <v>1</v>
      </c>
      <c r="BO233" s="93" t="s">
        <v>258</v>
      </c>
      <c r="BP233" s="93"/>
      <c r="BQ233" s="93"/>
      <c r="BR233" s="93"/>
      <c r="BS233" s="93"/>
      <c r="BT233" s="93"/>
      <c r="BU233" s="93"/>
      <c r="BV233" s="93"/>
      <c r="BW233" s="93"/>
      <c r="BX233" s="93"/>
      <c r="BY233" s="93"/>
      <c r="BZ233" s="93"/>
      <c r="CA233" s="93"/>
      <c r="CB233" s="180"/>
      <c r="CC233" s="178"/>
      <c r="CD233" s="178"/>
      <c r="CE233" s="180"/>
      <c r="CF233" s="180"/>
      <c r="CG233" s="180"/>
      <c r="CH233" s="180"/>
      <c r="CI233" s="178"/>
      <c r="CJ233" s="178"/>
      <c r="CK233" s="180"/>
      <c r="CL233" s="180"/>
      <c r="CM233" s="180"/>
      <c r="CN233" s="116"/>
      <c r="CO233" s="218">
        <f t="shared" si="136"/>
        <v>0.05</v>
      </c>
      <c r="CP233" s="100">
        <f t="shared" si="137"/>
        <v>0.52500000000000002</v>
      </c>
      <c r="CQ233" s="218">
        <f t="shared" si="138"/>
        <v>1</v>
      </c>
    </row>
    <row r="234" spans="1:97" s="101" customFormat="1" ht="16.5" hidden="1" customHeight="1" thickBot="1" x14ac:dyDescent="0.35">
      <c r="A234" s="99"/>
      <c r="V234" s="103"/>
      <c r="AA234" s="104"/>
      <c r="AB234" s="104"/>
      <c r="AD234" s="104"/>
      <c r="AE234" s="105"/>
      <c r="AH234" s="106"/>
      <c r="AI234" s="106"/>
      <c r="AK234" s="104"/>
      <c r="AR234" s="104"/>
      <c r="AV234" s="104"/>
      <c r="AX234" s="104"/>
      <c r="AY234" s="93"/>
      <c r="AZ234" s="93"/>
      <c r="BA234" s="93"/>
      <c r="BB234" s="93"/>
      <c r="BC234" s="93"/>
      <c r="BD234" s="93"/>
      <c r="BE234" s="93"/>
      <c r="BF234" s="93">
        <f t="shared" si="139"/>
        <v>1.875</v>
      </c>
      <c r="BG234" s="93"/>
      <c r="BH234" s="93"/>
      <c r="BI234" s="93" t="s">
        <v>518</v>
      </c>
      <c r="BJ234" s="93" t="s">
        <v>428</v>
      </c>
      <c r="BK234" s="93">
        <f>0.25*0.3</f>
        <v>7.4999999999999997E-2</v>
      </c>
      <c r="BL234" s="93" t="s">
        <v>412</v>
      </c>
      <c r="BM234" s="93">
        <f>0.2/0.3</f>
        <v>0.66666666666666674</v>
      </c>
      <c r="BN234" s="93">
        <f>0.4/0.3</f>
        <v>1.3333333333333335</v>
      </c>
      <c r="BO234" s="93" t="s">
        <v>258</v>
      </c>
      <c r="BP234" s="93"/>
      <c r="BQ234" s="93"/>
      <c r="BR234" s="93"/>
      <c r="BS234" s="93"/>
      <c r="BT234" s="93"/>
      <c r="BU234" s="93"/>
      <c r="BV234" s="93"/>
      <c r="BW234" s="93"/>
      <c r="BX234" s="93"/>
      <c r="BY234" s="93"/>
      <c r="BZ234" s="93"/>
      <c r="CA234" s="93"/>
      <c r="CB234" s="180"/>
      <c r="CC234" s="178"/>
      <c r="CD234" s="178"/>
      <c r="CE234" s="180"/>
      <c r="CF234" s="180"/>
      <c r="CG234" s="180"/>
      <c r="CH234" s="180"/>
      <c r="CI234" s="178"/>
      <c r="CJ234" s="178"/>
      <c r="CK234" s="180"/>
      <c r="CL234" s="180"/>
      <c r="CM234" s="180"/>
      <c r="CN234" s="116"/>
      <c r="CO234" s="218">
        <f t="shared" si="136"/>
        <v>0.66666666666666674</v>
      </c>
      <c r="CP234" s="100">
        <f t="shared" si="137"/>
        <v>1</v>
      </c>
      <c r="CQ234" s="218">
        <f t="shared" si="138"/>
        <v>1.3333333333333335</v>
      </c>
    </row>
    <row r="235" spans="1:97" s="101" customFormat="1" ht="16.5" hidden="1" customHeight="1" thickBot="1" x14ac:dyDescent="0.35">
      <c r="A235" s="99"/>
      <c r="V235" s="103"/>
      <c r="AA235" s="104"/>
      <c r="AB235" s="104"/>
      <c r="AD235" s="104"/>
      <c r="AE235" s="105"/>
      <c r="AH235" s="106"/>
      <c r="AI235" s="106"/>
      <c r="AK235" s="104"/>
      <c r="AR235" s="104"/>
      <c r="AV235" s="104"/>
      <c r="AX235" s="104"/>
      <c r="AY235" s="93"/>
      <c r="AZ235" s="93"/>
      <c r="BA235" s="93"/>
      <c r="BB235" s="93"/>
      <c r="BC235" s="93"/>
      <c r="BD235" s="93"/>
      <c r="BE235" s="93"/>
      <c r="BF235" s="93">
        <f t="shared" si="139"/>
        <v>5</v>
      </c>
      <c r="BG235" s="93">
        <f>0.4*21</f>
        <v>8.4</v>
      </c>
      <c r="BH235" s="93"/>
      <c r="BI235" s="93" t="s">
        <v>519</v>
      </c>
      <c r="BJ235" s="93" t="s">
        <v>428</v>
      </c>
      <c r="BK235" s="93">
        <f>0.25*0.8</f>
        <v>0.2</v>
      </c>
      <c r="BL235" s="93" t="s">
        <v>412</v>
      </c>
      <c r="BM235" s="93">
        <f>0.8/0.8</f>
        <v>1</v>
      </c>
      <c r="BN235" s="93">
        <f>1/0.8</f>
        <v>1.25</v>
      </c>
      <c r="BO235" s="93" t="s">
        <v>258</v>
      </c>
      <c r="BP235" s="93"/>
      <c r="BQ235" s="93"/>
      <c r="BR235" s="93"/>
      <c r="BS235" s="93"/>
      <c r="BT235" s="93"/>
      <c r="BU235" s="93"/>
      <c r="BV235" s="93"/>
      <c r="BW235" s="93"/>
      <c r="BX235" s="93"/>
      <c r="BY235" s="93"/>
      <c r="BZ235" s="93"/>
      <c r="CA235" s="93"/>
      <c r="CB235" s="180"/>
      <c r="CC235" s="178"/>
      <c r="CD235" s="178"/>
      <c r="CE235" s="180"/>
      <c r="CF235" s="180"/>
      <c r="CG235" s="180"/>
      <c r="CH235" s="180"/>
      <c r="CI235" s="178"/>
      <c r="CJ235" s="178"/>
      <c r="CK235" s="180"/>
      <c r="CL235" s="180"/>
      <c r="CM235" s="180"/>
      <c r="CN235" s="116"/>
      <c r="CO235" s="218">
        <f t="shared" si="136"/>
        <v>1</v>
      </c>
      <c r="CP235" s="100">
        <f t="shared" si="137"/>
        <v>1.125</v>
      </c>
      <c r="CQ235" s="218">
        <f t="shared" si="138"/>
        <v>1.25</v>
      </c>
    </row>
    <row r="236" spans="1:97" s="101" customFormat="1" ht="16.5" hidden="1" customHeight="1" thickBot="1" x14ac:dyDescent="0.35">
      <c r="A236" s="99"/>
      <c r="V236" s="103"/>
      <c r="AA236" s="104"/>
      <c r="AB236" s="104"/>
      <c r="AD236" s="104"/>
      <c r="AE236" s="105"/>
      <c r="AH236" s="106"/>
      <c r="AI236" s="106"/>
      <c r="AK236" s="104"/>
      <c r="AR236" s="104"/>
      <c r="AV236" s="104"/>
      <c r="AX236" s="104"/>
      <c r="AY236" s="93"/>
      <c r="AZ236" s="93"/>
      <c r="BA236" s="93"/>
      <c r="BB236" s="93"/>
      <c r="BC236" s="93"/>
      <c r="BD236" s="93"/>
      <c r="BE236" s="93"/>
      <c r="BF236" s="93">
        <f t="shared" si="139"/>
        <v>5</v>
      </c>
      <c r="BG236" s="93"/>
      <c r="BH236" s="93"/>
      <c r="BI236" s="93" t="s">
        <v>520</v>
      </c>
      <c r="BJ236" s="93" t="s">
        <v>428</v>
      </c>
      <c r="BK236" s="93">
        <f>0.25*0.8</f>
        <v>0.2</v>
      </c>
      <c r="BL236" s="93" t="s">
        <v>412</v>
      </c>
      <c r="BM236" s="93">
        <f>0.8/0.8</f>
        <v>1</v>
      </c>
      <c r="BN236" s="93">
        <f>1/0.8</f>
        <v>1.25</v>
      </c>
      <c r="BO236" s="93" t="s">
        <v>258</v>
      </c>
      <c r="BP236" s="93"/>
      <c r="BQ236" s="93"/>
      <c r="BR236" s="93"/>
      <c r="BS236" s="93"/>
      <c r="BT236" s="93"/>
      <c r="BU236" s="93"/>
      <c r="BV236" s="93"/>
      <c r="BW236" s="93"/>
      <c r="BX236" s="93"/>
      <c r="BY236" s="93"/>
      <c r="BZ236" s="93"/>
      <c r="CA236" s="93"/>
      <c r="CB236" s="180"/>
      <c r="CC236" s="178"/>
      <c r="CD236" s="178"/>
      <c r="CE236" s="180"/>
      <c r="CF236" s="180"/>
      <c r="CG236" s="180"/>
      <c r="CH236" s="180"/>
      <c r="CI236" s="178"/>
      <c r="CJ236" s="178"/>
      <c r="CK236" s="180"/>
      <c r="CL236" s="180"/>
      <c r="CM236" s="180"/>
      <c r="CN236" s="116"/>
      <c r="CO236" s="218">
        <f t="shared" si="136"/>
        <v>1</v>
      </c>
      <c r="CP236" s="100">
        <f t="shared" si="137"/>
        <v>1.125</v>
      </c>
      <c r="CQ236" s="218">
        <f t="shared" si="138"/>
        <v>1.25</v>
      </c>
    </row>
    <row r="237" spans="1:97" s="101" customFormat="1" ht="16.5" hidden="1" customHeight="1" thickBot="1" x14ac:dyDescent="0.35">
      <c r="A237" s="99"/>
      <c r="V237" s="103"/>
      <c r="AA237" s="104"/>
      <c r="AB237" s="104"/>
      <c r="AD237" s="104"/>
      <c r="AE237" s="105"/>
      <c r="AH237" s="106"/>
      <c r="AI237" s="106"/>
      <c r="AK237" s="104"/>
      <c r="AR237" s="104"/>
      <c r="AU237" s="233"/>
      <c r="AV237" s="104"/>
      <c r="AX237" s="104"/>
      <c r="AY237" s="93"/>
      <c r="AZ237" s="93"/>
      <c r="BA237" s="93"/>
      <c r="BB237" s="93"/>
      <c r="BC237" s="93"/>
      <c r="BD237" s="93"/>
      <c r="BE237" s="93"/>
      <c r="BF237" s="93">
        <f t="shared" si="139"/>
        <v>1.25</v>
      </c>
      <c r="BG237" s="93"/>
      <c r="BH237" s="93"/>
      <c r="BI237" s="93" t="s">
        <v>521</v>
      </c>
      <c r="BJ237" s="93" t="s">
        <v>428</v>
      </c>
      <c r="BK237" s="93">
        <f>0.25*0.2</f>
        <v>0.05</v>
      </c>
      <c r="BL237" s="93" t="s">
        <v>412</v>
      </c>
      <c r="BM237" s="93">
        <f>0/0.2</f>
        <v>0</v>
      </c>
      <c r="BN237" s="93">
        <f>0.3/0.2</f>
        <v>1.4999999999999998</v>
      </c>
      <c r="BO237" s="93" t="s">
        <v>258</v>
      </c>
      <c r="BP237" s="93"/>
      <c r="BQ237" s="93"/>
      <c r="BR237" s="93"/>
      <c r="BS237" s="93"/>
      <c r="BT237" s="93"/>
      <c r="BU237" s="93"/>
      <c r="BV237" s="93"/>
      <c r="BW237" s="93"/>
      <c r="BX237" s="93"/>
      <c r="BY237" s="93"/>
      <c r="BZ237" s="93"/>
      <c r="CA237" s="93"/>
      <c r="CB237" s="180"/>
      <c r="CC237" s="178"/>
      <c r="CD237" s="178"/>
      <c r="CE237" s="180"/>
      <c r="CF237" s="180"/>
      <c r="CG237" s="180"/>
      <c r="CH237" s="180"/>
      <c r="CI237" s="178"/>
      <c r="CJ237" s="178"/>
      <c r="CK237" s="180"/>
      <c r="CL237" s="180"/>
      <c r="CM237" s="180"/>
      <c r="CN237" s="116"/>
      <c r="CO237" s="218">
        <f t="shared" si="136"/>
        <v>0</v>
      </c>
      <c r="CP237" s="100">
        <f t="shared" si="137"/>
        <v>0.74999999999999989</v>
      </c>
      <c r="CQ237" s="218">
        <f t="shared" si="138"/>
        <v>1.4999999999999998</v>
      </c>
    </row>
    <row r="238" spans="1:97" s="101" customFormat="1" ht="16.5" hidden="1" customHeight="1" thickBot="1" x14ac:dyDescent="0.35">
      <c r="A238" s="99"/>
      <c r="V238" s="103"/>
      <c r="AA238" s="104"/>
      <c r="AB238" s="104"/>
      <c r="AD238" s="104"/>
      <c r="AE238" s="105"/>
      <c r="AH238" s="106"/>
      <c r="AI238" s="106"/>
      <c r="AK238" s="104"/>
      <c r="AR238" s="104"/>
      <c r="AV238" s="104"/>
      <c r="AX238" s="104"/>
      <c r="AY238" s="93"/>
      <c r="AZ238" s="93"/>
      <c r="BA238" s="93"/>
      <c r="BB238" s="93"/>
      <c r="BC238" s="93"/>
      <c r="BD238" s="93"/>
      <c r="BE238" s="93"/>
      <c r="BF238" s="93">
        <f t="shared" si="139"/>
        <v>5</v>
      </c>
      <c r="BG238" s="93"/>
      <c r="BH238" s="93"/>
      <c r="BI238" s="93" t="s">
        <v>522</v>
      </c>
      <c r="BJ238" s="93" t="s">
        <v>428</v>
      </c>
      <c r="BK238" s="93">
        <f>0.25*0.8</f>
        <v>0.2</v>
      </c>
      <c r="BL238" s="93" t="s">
        <v>412</v>
      </c>
      <c r="BM238" s="93">
        <f>0.8/0.8</f>
        <v>1</v>
      </c>
      <c r="BN238" s="93">
        <f>1/0.8</f>
        <v>1.25</v>
      </c>
      <c r="BO238" s="93" t="s">
        <v>258</v>
      </c>
      <c r="BP238" s="93"/>
      <c r="BQ238" s="93"/>
      <c r="BR238" s="93"/>
      <c r="BS238" s="93"/>
      <c r="BT238" s="93"/>
      <c r="BU238" s="93"/>
      <c r="BV238" s="93"/>
      <c r="BW238" s="93"/>
      <c r="BX238" s="93"/>
      <c r="BY238" s="93"/>
      <c r="BZ238" s="93"/>
      <c r="CA238" s="93"/>
      <c r="CB238" s="180"/>
      <c r="CC238" s="178"/>
      <c r="CD238" s="178"/>
      <c r="CE238" s="180"/>
      <c r="CF238" s="180"/>
      <c r="CG238" s="180"/>
      <c r="CH238" s="180"/>
      <c r="CI238" s="178"/>
      <c r="CJ238" s="178"/>
      <c r="CK238" s="180"/>
      <c r="CL238" s="180"/>
      <c r="CM238" s="180"/>
      <c r="CN238" s="116"/>
      <c r="CO238" s="218">
        <f t="shared" si="136"/>
        <v>1</v>
      </c>
      <c r="CP238" s="100">
        <f t="shared" si="137"/>
        <v>1.125</v>
      </c>
      <c r="CQ238" s="218">
        <f t="shared" si="138"/>
        <v>1.25</v>
      </c>
    </row>
    <row r="239" spans="1:97" s="101" customFormat="1" ht="16.5" hidden="1" customHeight="1" thickBot="1" x14ac:dyDescent="0.35">
      <c r="A239" s="99"/>
      <c r="V239" s="103"/>
      <c r="AA239" s="104"/>
      <c r="AB239" s="104"/>
      <c r="AD239" s="104"/>
      <c r="AE239" s="105"/>
      <c r="AH239" s="106"/>
      <c r="AI239" s="106"/>
      <c r="AK239" s="104"/>
      <c r="AR239" s="104"/>
      <c r="AV239" s="104"/>
      <c r="AX239" s="104"/>
      <c r="AY239" s="93"/>
      <c r="AZ239" s="93"/>
      <c r="BA239" s="93"/>
      <c r="BB239" s="93"/>
      <c r="BC239" s="93"/>
      <c r="BD239" s="93"/>
      <c r="BE239" s="93"/>
      <c r="BF239" s="93">
        <f t="shared" si="139"/>
        <v>1.5</v>
      </c>
      <c r="BG239" s="93"/>
      <c r="BH239" s="93"/>
      <c r="BI239" s="93" t="s">
        <v>578</v>
      </c>
      <c r="BJ239" s="93" t="s">
        <v>569</v>
      </c>
      <c r="BK239" s="93">
        <v>0.06</v>
      </c>
      <c r="BL239" s="93" t="s">
        <v>568</v>
      </c>
      <c r="BM239" s="93">
        <v>0.57999999999999996</v>
      </c>
      <c r="BN239" s="93">
        <v>1.04</v>
      </c>
      <c r="BO239" s="93" t="s">
        <v>258</v>
      </c>
      <c r="BP239" s="93"/>
      <c r="BQ239" s="93"/>
      <c r="BR239" s="93"/>
      <c r="BS239" s="93"/>
      <c r="BT239" s="93"/>
      <c r="BU239" s="93"/>
      <c r="BV239" s="93"/>
      <c r="BW239" s="93"/>
      <c r="BX239" s="93"/>
      <c r="BY239" s="93"/>
      <c r="BZ239" s="93"/>
      <c r="CA239" s="93"/>
      <c r="CB239" s="180"/>
      <c r="CC239" s="178"/>
      <c r="CD239" s="178"/>
      <c r="CE239" s="180"/>
      <c r="CF239" s="180"/>
      <c r="CG239" s="180"/>
      <c r="CH239" s="180"/>
      <c r="CI239" s="178"/>
      <c r="CJ239" s="178"/>
      <c r="CK239" s="180"/>
      <c r="CL239" s="180"/>
      <c r="CM239" s="180"/>
      <c r="CN239" s="116"/>
      <c r="CO239" s="218">
        <f t="shared" si="136"/>
        <v>0.57999999999999996</v>
      </c>
      <c r="CP239" s="100">
        <f t="shared" si="137"/>
        <v>0.81</v>
      </c>
      <c r="CQ239" s="218">
        <f t="shared" si="138"/>
        <v>1.04</v>
      </c>
    </row>
    <row r="240" spans="1:97" s="101" customFormat="1" ht="16.5" hidden="1" customHeight="1" thickBot="1" x14ac:dyDescent="0.35">
      <c r="A240" s="99"/>
      <c r="V240" s="103"/>
      <c r="AA240" s="104"/>
      <c r="AB240" s="104"/>
      <c r="AD240" s="104"/>
      <c r="AE240" s="105"/>
      <c r="AH240" s="106"/>
      <c r="AI240" s="106"/>
      <c r="AK240" s="104"/>
      <c r="AR240" s="104"/>
      <c r="AV240" s="104"/>
      <c r="AX240" s="104"/>
      <c r="AY240" s="93"/>
      <c r="AZ240" s="93"/>
      <c r="BA240" s="93"/>
      <c r="BB240" s="93"/>
      <c r="BC240" s="93"/>
      <c r="BD240" s="93"/>
      <c r="BE240" s="93"/>
      <c r="BF240" s="93">
        <f t="shared" si="139"/>
        <v>7.5</v>
      </c>
      <c r="BG240" s="93"/>
      <c r="BH240" s="93"/>
      <c r="BI240" s="93" t="s">
        <v>579</v>
      </c>
      <c r="BJ240" s="93" t="s">
        <v>569</v>
      </c>
      <c r="BK240" s="93">
        <v>0.3</v>
      </c>
      <c r="BL240" s="93" t="s">
        <v>568</v>
      </c>
      <c r="BM240" s="93">
        <v>0.57999999999999996</v>
      </c>
      <c r="BN240" s="93">
        <f>0.4/0.3</f>
        <v>1.3333333333333335</v>
      </c>
      <c r="BO240" s="93" t="s">
        <v>258</v>
      </c>
      <c r="BP240" s="93"/>
      <c r="BQ240" s="93"/>
      <c r="BR240" s="93"/>
      <c r="BS240" s="93"/>
      <c r="BT240" s="93"/>
      <c r="BU240" s="93"/>
      <c r="BV240" s="93"/>
      <c r="BW240" s="93"/>
      <c r="BX240" s="93"/>
      <c r="BY240" s="93"/>
      <c r="BZ240" s="93"/>
      <c r="CA240" s="93"/>
      <c r="CB240" s="180"/>
      <c r="CC240" s="178"/>
      <c r="CD240" s="178"/>
      <c r="CE240" s="180"/>
      <c r="CF240" s="180"/>
      <c r="CG240" s="180"/>
      <c r="CH240" s="180"/>
      <c r="CI240" s="178"/>
      <c r="CJ240" s="178"/>
      <c r="CK240" s="180"/>
      <c r="CL240" s="180"/>
      <c r="CM240" s="180"/>
      <c r="CN240" s="116"/>
      <c r="CO240" s="218">
        <f t="shared" si="136"/>
        <v>0.57999999999999996</v>
      </c>
      <c r="CP240" s="100">
        <f t="shared" si="137"/>
        <v>0.95666666666666678</v>
      </c>
      <c r="CQ240" s="218">
        <f t="shared" si="138"/>
        <v>1.3333333333333335</v>
      </c>
    </row>
    <row r="241" spans="1:97" s="101" customFormat="1" ht="26.25" hidden="1" customHeight="1" thickBot="1" x14ac:dyDescent="0.35">
      <c r="A241" s="99"/>
      <c r="V241" s="103"/>
      <c r="AA241" s="104"/>
      <c r="AB241" s="104"/>
      <c r="AD241" s="104"/>
      <c r="AE241" s="105"/>
      <c r="AH241" s="106"/>
      <c r="AI241" s="106"/>
      <c r="AK241" s="104"/>
      <c r="AR241" s="104"/>
      <c r="AV241" s="104"/>
      <c r="AX241" s="104"/>
      <c r="AY241" s="93"/>
      <c r="AZ241" s="93"/>
      <c r="BA241" s="93"/>
      <c r="BB241" s="93"/>
      <c r="BC241" s="93"/>
      <c r="BD241" s="93"/>
      <c r="BE241" s="93"/>
      <c r="BF241" s="93">
        <f t="shared" si="139"/>
        <v>0</v>
      </c>
      <c r="BG241" s="93">
        <f>0.4*21</f>
        <v>8.4</v>
      </c>
      <c r="BH241" s="93"/>
      <c r="BI241" s="93" t="s">
        <v>580</v>
      </c>
      <c r="BJ241" s="93" t="s">
        <v>569</v>
      </c>
      <c r="BK241" s="93">
        <v>0</v>
      </c>
      <c r="BL241" s="93" t="s">
        <v>568</v>
      </c>
      <c r="BM241" s="93">
        <f>0.8/0.8</f>
        <v>1</v>
      </c>
      <c r="BN241" s="93">
        <f>1/0.8</f>
        <v>1.25</v>
      </c>
      <c r="BO241" s="93" t="s">
        <v>258</v>
      </c>
      <c r="BP241" s="93"/>
      <c r="BQ241" s="93"/>
      <c r="BR241" s="93"/>
      <c r="BS241" s="93"/>
      <c r="BT241" s="93"/>
      <c r="BU241" s="93"/>
      <c r="BV241" s="93"/>
      <c r="BW241" s="93"/>
      <c r="BX241" s="93"/>
      <c r="BY241" s="93"/>
      <c r="BZ241" s="93"/>
      <c r="CA241" s="93"/>
      <c r="CB241" s="180"/>
      <c r="CC241" s="178"/>
      <c r="CD241" s="178"/>
      <c r="CE241" s="180"/>
      <c r="CF241" s="180"/>
      <c r="CG241" s="180"/>
      <c r="CH241" s="180"/>
      <c r="CI241" s="178"/>
      <c r="CJ241" s="178"/>
      <c r="CK241" s="180"/>
      <c r="CL241" s="180"/>
      <c r="CM241" s="180"/>
      <c r="CN241" s="116"/>
      <c r="CO241" s="218">
        <f t="shared" si="136"/>
        <v>1</v>
      </c>
      <c r="CP241" s="100">
        <f t="shared" si="137"/>
        <v>1.125</v>
      </c>
      <c r="CQ241" s="218">
        <f t="shared" si="138"/>
        <v>1.25</v>
      </c>
    </row>
    <row r="242" spans="1:97" s="101" customFormat="1" ht="16.5" hidden="1" customHeight="1" thickBot="1" x14ac:dyDescent="0.35">
      <c r="A242" s="99"/>
      <c r="V242" s="103"/>
      <c r="AA242" s="104"/>
      <c r="AB242" s="104"/>
      <c r="AD242" s="104"/>
      <c r="AE242" s="105"/>
      <c r="AH242" s="106"/>
      <c r="AI242" s="106"/>
      <c r="AK242" s="104"/>
      <c r="AR242" s="104"/>
      <c r="AV242" s="104"/>
      <c r="AX242" s="104"/>
      <c r="AY242" s="93"/>
      <c r="AZ242" s="93"/>
      <c r="BA242" s="93"/>
      <c r="BB242" s="93"/>
      <c r="BC242" s="93"/>
      <c r="BD242" s="93"/>
      <c r="BE242" s="93"/>
      <c r="BF242" s="93">
        <f t="shared" si="139"/>
        <v>0</v>
      </c>
      <c r="BG242" s="93"/>
      <c r="BH242" s="93"/>
      <c r="BI242" s="93" t="s">
        <v>581</v>
      </c>
      <c r="BJ242" s="93" t="s">
        <v>569</v>
      </c>
      <c r="BK242" s="93">
        <v>0</v>
      </c>
      <c r="BL242" s="93" t="s">
        <v>568</v>
      </c>
      <c r="BM242" s="93">
        <f>0.8/0.8</f>
        <v>1</v>
      </c>
      <c r="BN242" s="93">
        <f>1/0.8</f>
        <v>1.25</v>
      </c>
      <c r="BO242" s="93" t="s">
        <v>258</v>
      </c>
      <c r="BP242" s="93"/>
      <c r="BQ242" s="93"/>
      <c r="BR242" s="93"/>
      <c r="BS242" s="93"/>
      <c r="BT242" s="93"/>
      <c r="BU242" s="93"/>
      <c r="BV242" s="93"/>
      <c r="BW242" s="93"/>
      <c r="BX242" s="93"/>
      <c r="BY242" s="93"/>
      <c r="BZ242" s="93"/>
      <c r="CA242" s="93"/>
      <c r="CB242" s="180"/>
      <c r="CC242" s="178"/>
      <c r="CD242" s="178"/>
      <c r="CE242" s="180"/>
      <c r="CF242" s="180"/>
      <c r="CG242" s="180"/>
      <c r="CH242" s="180"/>
      <c r="CI242" s="178"/>
      <c r="CJ242" s="178"/>
      <c r="CK242" s="180"/>
      <c r="CL242" s="180"/>
      <c r="CM242" s="180"/>
      <c r="CN242" s="116"/>
      <c r="CO242" s="218">
        <f t="shared" si="136"/>
        <v>1</v>
      </c>
      <c r="CP242" s="100">
        <f t="shared" si="137"/>
        <v>1.125</v>
      </c>
      <c r="CQ242" s="218">
        <f t="shared" si="138"/>
        <v>1.25</v>
      </c>
    </row>
    <row r="243" spans="1:97" s="101" customFormat="1" ht="16.5" hidden="1" customHeight="1" thickBot="1" x14ac:dyDescent="0.35">
      <c r="A243" s="99"/>
      <c r="V243" s="103"/>
      <c r="AA243" s="104"/>
      <c r="AB243" s="104"/>
      <c r="AD243" s="104"/>
      <c r="AE243" s="105"/>
      <c r="AH243" s="106"/>
      <c r="AI243" s="106"/>
      <c r="AK243" s="104"/>
      <c r="AR243" s="104"/>
      <c r="AU243" s="233"/>
      <c r="AV243" s="104"/>
      <c r="AX243" s="104"/>
      <c r="AY243" s="93"/>
      <c r="AZ243" s="93"/>
      <c r="BA243" s="93"/>
      <c r="BB243" s="93"/>
      <c r="BC243" s="93"/>
      <c r="BD243" s="93"/>
      <c r="BE243" s="93"/>
      <c r="BF243" s="93">
        <f t="shared" si="139"/>
        <v>4.5</v>
      </c>
      <c r="BG243" s="93"/>
      <c r="BH243" s="93"/>
      <c r="BI243" s="93" t="s">
        <v>582</v>
      </c>
      <c r="BJ243" s="93" t="s">
        <v>569</v>
      </c>
      <c r="BK243" s="93">
        <v>0.18</v>
      </c>
      <c r="BL243" s="93" t="s">
        <v>568</v>
      </c>
      <c r="BM243" s="93">
        <v>0.42</v>
      </c>
      <c r="BN243" s="93">
        <f>0.3/0.2</f>
        <v>1.4999999999999998</v>
      </c>
      <c r="BO243" s="93" t="s">
        <v>258</v>
      </c>
      <c r="BP243" s="93"/>
      <c r="BQ243" s="93"/>
      <c r="BR243" s="93"/>
      <c r="BS243" s="93"/>
      <c r="BT243" s="93"/>
      <c r="BU243" s="93"/>
      <c r="BV243" s="93"/>
      <c r="BW243" s="93"/>
      <c r="BX243" s="93"/>
      <c r="BY243" s="93"/>
      <c r="BZ243" s="93"/>
      <c r="CA243" s="93"/>
      <c r="CB243" s="180"/>
      <c r="CC243" s="178"/>
      <c r="CD243" s="178"/>
      <c r="CE243" s="180"/>
      <c r="CF243" s="180"/>
      <c r="CG243" s="180"/>
      <c r="CH243" s="180"/>
      <c r="CI243" s="178"/>
      <c r="CJ243" s="178"/>
      <c r="CK243" s="180"/>
      <c r="CL243" s="180"/>
      <c r="CM243" s="180"/>
      <c r="CN243" s="116"/>
      <c r="CO243" s="218">
        <f t="shared" si="136"/>
        <v>0.42</v>
      </c>
      <c r="CP243" s="100">
        <f t="shared" si="137"/>
        <v>0.95999999999999985</v>
      </c>
      <c r="CQ243" s="218">
        <f t="shared" si="138"/>
        <v>1.4999999999999998</v>
      </c>
    </row>
    <row r="244" spans="1:97" s="101" customFormat="1" ht="16.5" hidden="1" customHeight="1" thickBot="1" x14ac:dyDescent="0.35">
      <c r="A244" s="99"/>
      <c r="V244" s="103"/>
      <c r="AA244" s="104"/>
      <c r="AB244" s="104"/>
      <c r="AD244" s="104"/>
      <c r="AE244" s="105"/>
      <c r="AH244" s="106"/>
      <c r="AI244" s="106"/>
      <c r="AK244" s="104"/>
      <c r="AR244" s="104"/>
      <c r="AV244" s="104"/>
      <c r="AX244" s="104"/>
      <c r="AY244" s="93"/>
      <c r="AZ244" s="93"/>
      <c r="BA244" s="93"/>
      <c r="BB244" s="93"/>
      <c r="BC244" s="93"/>
      <c r="BD244" s="93"/>
      <c r="BE244" s="93"/>
      <c r="BF244" s="93">
        <f t="shared" si="139"/>
        <v>12</v>
      </c>
      <c r="BG244" s="93"/>
      <c r="BH244" s="93"/>
      <c r="BI244" s="93" t="s">
        <v>583</v>
      </c>
      <c r="BJ244" s="93" t="s">
        <v>569</v>
      </c>
      <c r="BK244" s="93">
        <v>0.48</v>
      </c>
      <c r="BL244" s="93" t="s">
        <v>568</v>
      </c>
      <c r="BM244" s="93">
        <v>0.32</v>
      </c>
      <c r="BN244" s="93">
        <f>0.4/0.3</f>
        <v>1.3333333333333335</v>
      </c>
      <c r="BO244" s="93" t="s">
        <v>258</v>
      </c>
      <c r="BP244" s="93"/>
      <c r="BQ244" s="93"/>
      <c r="BR244" s="93"/>
      <c r="BS244" s="93"/>
      <c r="BT244" s="93"/>
      <c r="BU244" s="93"/>
      <c r="BV244" s="93"/>
      <c r="BW244" s="93"/>
      <c r="BX244" s="93"/>
      <c r="BY244" s="93"/>
      <c r="BZ244" s="93"/>
      <c r="CA244" s="93"/>
      <c r="CB244" s="180"/>
      <c r="CC244" s="178"/>
      <c r="CD244" s="178"/>
      <c r="CE244" s="180"/>
      <c r="CF244" s="180"/>
      <c r="CG244" s="180"/>
      <c r="CH244" s="180"/>
      <c r="CI244" s="178"/>
      <c r="CJ244" s="178"/>
      <c r="CK244" s="180"/>
      <c r="CL244" s="180"/>
      <c r="CM244" s="180"/>
      <c r="CN244" s="116"/>
      <c r="CO244" s="218">
        <f t="shared" si="136"/>
        <v>0.32</v>
      </c>
      <c r="CP244" s="100">
        <f t="shared" si="137"/>
        <v>0.82666666666666677</v>
      </c>
      <c r="CQ244" s="218">
        <f t="shared" si="138"/>
        <v>1.3333333333333335</v>
      </c>
    </row>
    <row r="245" spans="1:97" s="101" customFormat="1" ht="16.5" hidden="1" customHeight="1" thickBot="1" x14ac:dyDescent="0.35">
      <c r="A245" s="99"/>
      <c r="V245" s="103"/>
      <c r="AA245" s="104"/>
      <c r="AB245" s="104"/>
      <c r="AD245" s="104"/>
      <c r="AE245" s="105"/>
      <c r="AH245" s="106"/>
      <c r="AI245" s="106"/>
      <c r="AK245" s="104"/>
      <c r="AR245" s="104"/>
      <c r="AV245" s="104"/>
      <c r="AX245" s="104"/>
      <c r="AY245" s="93"/>
      <c r="AZ245" s="93"/>
      <c r="BA245" s="93"/>
      <c r="BB245" s="93"/>
      <c r="BC245" s="93"/>
      <c r="BD245" s="93"/>
      <c r="BE245" s="93"/>
      <c r="BF245" s="93">
        <f t="shared" si="139"/>
        <v>12</v>
      </c>
      <c r="BG245" s="93">
        <f>0.4*21</f>
        <v>8.4</v>
      </c>
      <c r="BH245" s="93"/>
      <c r="BI245" s="93" t="s">
        <v>584</v>
      </c>
      <c r="BJ245" s="93" t="s">
        <v>569</v>
      </c>
      <c r="BK245" s="93">
        <v>0.48</v>
      </c>
      <c r="BL245" s="93" t="s">
        <v>568</v>
      </c>
      <c r="BM245" s="93">
        <v>0.32</v>
      </c>
      <c r="BN245" s="93">
        <f>1/0.8</f>
        <v>1.25</v>
      </c>
      <c r="BO245" s="93" t="s">
        <v>258</v>
      </c>
      <c r="BP245" s="93"/>
      <c r="BQ245" s="93"/>
      <c r="BR245" s="93"/>
      <c r="BS245" s="93"/>
      <c r="BT245" s="93"/>
      <c r="BU245" s="93"/>
      <c r="BV245" s="93"/>
      <c r="BW245" s="93"/>
      <c r="BX245" s="93"/>
      <c r="BY245" s="93"/>
      <c r="BZ245" s="93"/>
      <c r="CA245" s="93"/>
      <c r="CB245" s="180"/>
      <c r="CC245" s="178"/>
      <c r="CD245" s="178"/>
      <c r="CE245" s="180"/>
      <c r="CF245" s="180"/>
      <c r="CG245" s="180"/>
      <c r="CH245" s="180"/>
      <c r="CI245" s="178"/>
      <c r="CJ245" s="178"/>
      <c r="CK245" s="180"/>
      <c r="CL245" s="180"/>
      <c r="CM245" s="180"/>
      <c r="CN245" s="116"/>
      <c r="CO245" s="218">
        <f t="shared" si="136"/>
        <v>0.32</v>
      </c>
      <c r="CP245" s="100">
        <f t="shared" si="137"/>
        <v>0.78500000000000003</v>
      </c>
      <c r="CQ245" s="218">
        <f t="shared" si="138"/>
        <v>1.25</v>
      </c>
    </row>
    <row r="246" spans="1:97" s="101" customFormat="1" ht="16.5" hidden="1" customHeight="1" thickBot="1" x14ac:dyDescent="0.35">
      <c r="A246" s="99"/>
      <c r="V246" s="103"/>
      <c r="AA246" s="104"/>
      <c r="AB246" s="104"/>
      <c r="AD246" s="104"/>
      <c r="AE246" s="105"/>
      <c r="AH246" s="106"/>
      <c r="AI246" s="106"/>
      <c r="AK246" s="104"/>
      <c r="AR246" s="104"/>
      <c r="AV246" s="104"/>
      <c r="AX246" s="104"/>
      <c r="AY246" s="93"/>
      <c r="AZ246" s="93"/>
      <c r="BA246" s="93"/>
      <c r="BB246" s="93"/>
      <c r="BC246" s="93"/>
      <c r="BD246" s="93"/>
      <c r="BE246" s="93"/>
      <c r="BF246" s="93">
        <f t="shared" si="139"/>
        <v>3</v>
      </c>
      <c r="BG246" s="93"/>
      <c r="BH246" s="93"/>
      <c r="BI246" s="93" t="s">
        <v>585</v>
      </c>
      <c r="BJ246" s="93" t="s">
        <v>569</v>
      </c>
      <c r="BK246" s="93">
        <v>0.12</v>
      </c>
      <c r="BL246" s="93" t="s">
        <v>568</v>
      </c>
      <c r="BM246" s="93">
        <v>0.42</v>
      </c>
      <c r="BN246" s="93">
        <f>1/0.8</f>
        <v>1.25</v>
      </c>
      <c r="BO246" s="93" t="s">
        <v>258</v>
      </c>
      <c r="BP246" s="93"/>
      <c r="BQ246" s="93"/>
      <c r="BR246" s="93"/>
      <c r="BS246" s="93"/>
      <c r="BT246" s="93"/>
      <c r="BU246" s="93"/>
      <c r="BV246" s="93"/>
      <c r="BW246" s="93"/>
      <c r="BX246" s="93"/>
      <c r="BY246" s="93"/>
      <c r="BZ246" s="93"/>
      <c r="CA246" s="93"/>
      <c r="CB246" s="180"/>
      <c r="CC246" s="178"/>
      <c r="CD246" s="178"/>
      <c r="CE246" s="180"/>
      <c r="CF246" s="180"/>
      <c r="CG246" s="180"/>
      <c r="CH246" s="180"/>
      <c r="CI246" s="178"/>
      <c r="CJ246" s="178"/>
      <c r="CK246" s="180"/>
      <c r="CL246" s="180"/>
      <c r="CM246" s="180"/>
      <c r="CN246" s="116"/>
      <c r="CO246" s="218">
        <f t="shared" si="136"/>
        <v>0.42</v>
      </c>
      <c r="CP246" s="100">
        <f t="shared" si="137"/>
        <v>0.83499999999999996</v>
      </c>
      <c r="CQ246" s="218">
        <f t="shared" si="138"/>
        <v>1.25</v>
      </c>
    </row>
    <row r="247" spans="1:97" s="101" customFormat="1" ht="16.5" hidden="1" customHeight="1" thickBot="1" x14ac:dyDescent="0.35">
      <c r="A247" s="99"/>
      <c r="V247" s="103"/>
      <c r="AA247" s="104"/>
      <c r="AB247" s="104"/>
      <c r="AD247" s="104"/>
      <c r="AE247" s="105"/>
      <c r="AH247" s="106"/>
      <c r="AI247" s="106"/>
      <c r="AK247" s="104"/>
      <c r="AR247" s="104"/>
      <c r="AU247" s="233"/>
      <c r="AV247" s="104"/>
      <c r="AX247" s="104"/>
      <c r="AY247" s="93"/>
      <c r="AZ247" s="93"/>
      <c r="BA247" s="93"/>
      <c r="BB247" s="93"/>
      <c r="BC247" s="93"/>
      <c r="BD247" s="93"/>
      <c r="BE247" s="93"/>
      <c r="BF247" s="93">
        <f t="shared" si="139"/>
        <v>12</v>
      </c>
      <c r="BG247" s="93"/>
      <c r="BH247" s="93"/>
      <c r="BI247" s="93" t="s">
        <v>586</v>
      </c>
      <c r="BJ247" s="93" t="s">
        <v>569</v>
      </c>
      <c r="BK247" s="93">
        <v>0.48</v>
      </c>
      <c r="BL247" s="93" t="s">
        <v>568</v>
      </c>
      <c r="BM247" s="93">
        <v>0.42</v>
      </c>
      <c r="BN247" s="93">
        <f>0.3/0.2</f>
        <v>1.4999999999999998</v>
      </c>
      <c r="BO247" s="93" t="s">
        <v>258</v>
      </c>
      <c r="BP247" s="93"/>
      <c r="BQ247" s="93"/>
      <c r="BR247" s="93"/>
      <c r="BS247" s="93"/>
      <c r="BT247" s="93"/>
      <c r="BU247" s="93"/>
      <c r="BV247" s="93"/>
      <c r="BW247" s="93"/>
      <c r="BX247" s="93"/>
      <c r="BY247" s="93"/>
      <c r="BZ247" s="93"/>
      <c r="CA247" s="93"/>
      <c r="CB247" s="180"/>
      <c r="CC247" s="178"/>
      <c r="CD247" s="178"/>
      <c r="CE247" s="180"/>
      <c r="CF247" s="180"/>
      <c r="CG247" s="180"/>
      <c r="CH247" s="180"/>
      <c r="CI247" s="178"/>
      <c r="CJ247" s="178"/>
      <c r="CK247" s="180"/>
      <c r="CL247" s="180"/>
      <c r="CM247" s="180"/>
      <c r="CN247" s="116"/>
      <c r="CO247" s="218">
        <f t="shared" si="136"/>
        <v>0.42</v>
      </c>
      <c r="CP247" s="100">
        <f t="shared" si="137"/>
        <v>0.95999999999999985</v>
      </c>
      <c r="CQ247" s="218">
        <f t="shared" si="138"/>
        <v>1.4999999999999998</v>
      </c>
    </row>
    <row r="248" spans="1:97" s="101" customFormat="1" ht="16.5" hidden="1" customHeight="1" thickBot="1" x14ac:dyDescent="0.35">
      <c r="A248" s="99"/>
      <c r="V248" s="103"/>
      <c r="AA248" s="104"/>
      <c r="AB248" s="104"/>
      <c r="AD248" s="104"/>
      <c r="AE248" s="105"/>
      <c r="AH248" s="106"/>
      <c r="AI248" s="106"/>
      <c r="AK248" s="104"/>
      <c r="AR248" s="104"/>
      <c r="AV248" s="104"/>
      <c r="AX248" s="104"/>
      <c r="AY248" s="93"/>
      <c r="AZ248" s="93"/>
      <c r="BA248" s="93"/>
      <c r="BB248" s="93"/>
      <c r="BC248" s="93"/>
      <c r="BD248" s="93"/>
      <c r="BE248" s="93"/>
      <c r="BF248" s="93">
        <f t="shared" si="139"/>
        <v>7.5</v>
      </c>
      <c r="BG248" s="93"/>
      <c r="BH248" s="93"/>
      <c r="BI248" s="93" t="s">
        <v>587</v>
      </c>
      <c r="BJ248" s="93" t="s">
        <v>569</v>
      </c>
      <c r="BK248" s="93">
        <v>0.3</v>
      </c>
      <c r="BL248" s="93" t="s">
        <v>568</v>
      </c>
      <c r="BM248" s="93">
        <v>0.3</v>
      </c>
      <c r="BN248" s="93">
        <f>1/0.8</f>
        <v>1.25</v>
      </c>
      <c r="BO248" s="93" t="s">
        <v>258</v>
      </c>
      <c r="BP248" s="93"/>
      <c r="BQ248" s="93"/>
      <c r="BR248" s="93"/>
      <c r="BS248" s="93"/>
      <c r="BT248" s="93"/>
      <c r="BU248" s="93"/>
      <c r="BV248" s="93"/>
      <c r="BW248" s="93"/>
      <c r="BX248" s="93"/>
      <c r="BY248" s="93"/>
      <c r="BZ248" s="93"/>
      <c r="CA248" s="93"/>
      <c r="CB248" s="180"/>
      <c r="CC248" s="178"/>
      <c r="CD248" s="178"/>
      <c r="CE248" s="180"/>
      <c r="CF248" s="180"/>
      <c r="CG248" s="180"/>
      <c r="CH248" s="180"/>
      <c r="CI248" s="178"/>
      <c r="CJ248" s="178"/>
      <c r="CK248" s="180"/>
      <c r="CL248" s="180"/>
      <c r="CM248" s="180"/>
      <c r="CN248" s="116"/>
      <c r="CO248" s="218">
        <f t="shared" si="136"/>
        <v>0.3</v>
      </c>
      <c r="CP248" s="100">
        <f t="shared" si="137"/>
        <v>0.77500000000000002</v>
      </c>
      <c r="CQ248" s="218">
        <f t="shared" si="138"/>
        <v>1.25</v>
      </c>
    </row>
    <row r="249" spans="1:97" s="100" customFormat="1" ht="16.5" hidden="1" customHeight="1" thickBot="1" x14ac:dyDescent="0.35">
      <c r="A249" s="147"/>
      <c r="V249" s="218"/>
      <c r="AA249" s="219"/>
      <c r="AB249" s="219"/>
      <c r="AD249" s="219"/>
      <c r="AE249" s="220"/>
      <c r="AH249" s="221"/>
      <c r="AI249" s="221"/>
      <c r="AK249" s="219"/>
      <c r="AR249" s="219"/>
      <c r="AY249" s="93"/>
      <c r="AZ249" s="93"/>
      <c r="BA249" s="93"/>
      <c r="BB249" s="93"/>
      <c r="BC249" s="93"/>
      <c r="BD249" s="93"/>
      <c r="BE249" s="93"/>
      <c r="BF249" s="93"/>
      <c r="BG249" s="93"/>
      <c r="BH249" s="93" t="s">
        <v>315</v>
      </c>
      <c r="BI249" s="93" t="s">
        <v>570</v>
      </c>
      <c r="BJ249" s="93" t="s">
        <v>428</v>
      </c>
      <c r="BK249" s="93">
        <v>0.2</v>
      </c>
      <c r="BL249" s="93" t="s">
        <v>412</v>
      </c>
      <c r="BM249" s="93">
        <v>0.05</v>
      </c>
      <c r="BN249" s="93">
        <v>0.39</v>
      </c>
      <c r="BO249" s="93" t="s">
        <v>258</v>
      </c>
      <c r="BP249" s="93"/>
      <c r="BQ249" s="93"/>
      <c r="BR249" s="93"/>
      <c r="BS249" s="93"/>
      <c r="BT249" s="93"/>
      <c r="BU249" s="93"/>
      <c r="BV249" s="93"/>
      <c r="BW249" s="93"/>
      <c r="BX249" s="93">
        <f>0.25*0.9*25</f>
        <v>5.625</v>
      </c>
      <c r="BY249" s="93" t="s">
        <v>298</v>
      </c>
      <c r="BZ249" s="93"/>
      <c r="CA249" s="93"/>
      <c r="CB249" s="225"/>
      <c r="CC249" s="224"/>
      <c r="CD249" s="224"/>
      <c r="CE249" s="225"/>
      <c r="CF249" s="225"/>
      <c r="CG249" s="225"/>
      <c r="CH249" s="225"/>
      <c r="CI249" s="224"/>
      <c r="CJ249" s="224"/>
      <c r="CK249" s="225"/>
      <c r="CL249" s="225"/>
      <c r="CM249" s="225"/>
      <c r="CN249" s="225"/>
      <c r="CO249" s="218">
        <f t="shared" si="136"/>
        <v>0.05</v>
      </c>
      <c r="CP249" s="100">
        <f t="shared" si="137"/>
        <v>0.22</v>
      </c>
      <c r="CQ249" s="218">
        <f t="shared" si="138"/>
        <v>0.39</v>
      </c>
      <c r="CR249" s="100">
        <v>0.05</v>
      </c>
      <c r="CS249" s="100">
        <v>0.3</v>
      </c>
    </row>
    <row r="250" spans="1:97" s="100" customFormat="1" ht="16.5" hidden="1" customHeight="1" thickBot="1" x14ac:dyDescent="0.35">
      <c r="A250" s="147"/>
      <c r="V250" s="218"/>
      <c r="AA250" s="219"/>
      <c r="AB250" s="219"/>
      <c r="AD250" s="219"/>
      <c r="AE250" s="220"/>
      <c r="AH250" s="221"/>
      <c r="AI250" s="221"/>
      <c r="AK250" s="219"/>
      <c r="AR250" s="219"/>
      <c r="AY250" s="93"/>
      <c r="AZ250" s="93"/>
      <c r="BA250" s="93"/>
      <c r="BB250" s="93"/>
      <c r="BC250" s="93"/>
      <c r="BD250" s="93"/>
      <c r="BE250" s="93"/>
      <c r="BF250" s="93"/>
      <c r="BG250" s="93"/>
      <c r="BH250" s="93" t="s">
        <v>315</v>
      </c>
      <c r="BI250" s="93" t="s">
        <v>588</v>
      </c>
      <c r="BJ250" s="93" t="s">
        <v>569</v>
      </c>
      <c r="BK250" s="93">
        <v>0.48</v>
      </c>
      <c r="BL250" s="93" t="s">
        <v>568</v>
      </c>
      <c r="BM250" s="93">
        <v>0.05</v>
      </c>
      <c r="BN250" s="93">
        <v>0.32</v>
      </c>
      <c r="BO250" s="93" t="s">
        <v>258</v>
      </c>
      <c r="BP250" s="93"/>
      <c r="BQ250" s="93"/>
      <c r="BR250" s="93"/>
      <c r="BS250" s="93"/>
      <c r="BT250" s="93"/>
      <c r="BU250" s="93"/>
      <c r="BV250" s="93"/>
      <c r="BW250" s="93"/>
      <c r="BX250" s="93">
        <f>0.25*0.9*25</f>
        <v>5.625</v>
      </c>
      <c r="BY250" s="93" t="s">
        <v>298</v>
      </c>
      <c r="BZ250" s="93"/>
      <c r="CA250" s="93"/>
      <c r="CB250" s="225"/>
      <c r="CC250" s="224"/>
      <c r="CD250" s="224"/>
      <c r="CE250" s="225"/>
      <c r="CF250" s="225"/>
      <c r="CG250" s="225"/>
      <c r="CH250" s="225"/>
      <c r="CI250" s="224"/>
      <c r="CJ250" s="224"/>
      <c r="CK250" s="225"/>
      <c r="CL250" s="225"/>
      <c r="CM250" s="225"/>
      <c r="CN250" s="225"/>
      <c r="CO250" s="218">
        <f t="shared" si="136"/>
        <v>0.05</v>
      </c>
      <c r="CP250" s="100">
        <f t="shared" si="137"/>
        <v>0.185</v>
      </c>
      <c r="CQ250" s="218">
        <f t="shared" si="138"/>
        <v>0.32</v>
      </c>
      <c r="CR250" s="100">
        <v>0.05</v>
      </c>
      <c r="CS250" s="100">
        <v>0.3</v>
      </c>
    </row>
    <row r="251" spans="1:97" s="100" customFormat="1" ht="16.5" hidden="1" customHeight="1" thickBot="1" x14ac:dyDescent="0.35">
      <c r="A251" s="147"/>
      <c r="V251" s="218"/>
      <c r="AA251" s="219"/>
      <c r="AB251" s="219"/>
      <c r="AD251" s="219"/>
      <c r="AE251" s="220"/>
      <c r="AH251" s="221"/>
      <c r="AI251" s="221"/>
      <c r="AK251" s="219"/>
      <c r="AR251" s="219"/>
      <c r="AY251" s="93"/>
      <c r="AZ251" s="93"/>
      <c r="BA251" s="93"/>
      <c r="BB251" s="93"/>
      <c r="BC251" s="93"/>
      <c r="BD251" s="93"/>
      <c r="BE251" s="93"/>
      <c r="BF251" s="93" t="s">
        <v>497</v>
      </c>
      <c r="BG251" s="93">
        <f>AV266</f>
        <v>5.497666666666666E-2</v>
      </c>
      <c r="BH251" s="93" t="s">
        <v>97</v>
      </c>
      <c r="BI251" s="93" t="s">
        <v>589</v>
      </c>
      <c r="BJ251" s="93" t="s">
        <v>333</v>
      </c>
      <c r="BK251" s="93">
        <f>AV266</f>
        <v>5.497666666666666E-2</v>
      </c>
      <c r="BL251" s="93" t="s">
        <v>425</v>
      </c>
      <c r="BM251" s="93">
        <v>0.05</v>
      </c>
      <c r="BN251" s="93">
        <v>0.3</v>
      </c>
      <c r="BO251" s="93" t="s">
        <v>258</v>
      </c>
      <c r="BP251" s="93"/>
      <c r="BQ251" s="93"/>
      <c r="BR251" s="93"/>
      <c r="BS251" s="93"/>
      <c r="BT251" s="93"/>
      <c r="BU251" s="93"/>
      <c r="BV251" s="93"/>
      <c r="BW251" s="93"/>
      <c r="BX251" s="93"/>
      <c r="BY251" s="93"/>
      <c r="BZ251" s="93"/>
      <c r="CA251" s="93"/>
      <c r="CB251" s="225"/>
      <c r="CC251" s="224"/>
      <c r="CD251" s="224"/>
      <c r="CE251" s="225"/>
      <c r="CF251" s="225"/>
      <c r="CG251" s="225"/>
      <c r="CH251" s="225"/>
      <c r="CI251" s="224"/>
      <c r="CJ251" s="224"/>
      <c r="CK251" s="225"/>
      <c r="CL251" s="225"/>
      <c r="CM251" s="225"/>
      <c r="CN251" s="225"/>
      <c r="CO251" s="218">
        <f t="shared" si="136"/>
        <v>0.05</v>
      </c>
      <c r="CP251" s="100">
        <f t="shared" si="137"/>
        <v>0.17499999999999999</v>
      </c>
      <c r="CQ251" s="218">
        <f t="shared" si="138"/>
        <v>0.3</v>
      </c>
      <c r="CR251" s="100">
        <v>0.28999999999999998</v>
      </c>
      <c r="CS251" s="100">
        <v>0.28999999999999998</v>
      </c>
    </row>
    <row r="252" spans="1:97" s="100" customFormat="1" ht="16.5" hidden="1" customHeight="1" thickBot="1" x14ac:dyDescent="0.35">
      <c r="A252" s="147"/>
      <c r="V252" s="218"/>
      <c r="AA252" s="219"/>
      <c r="AB252" s="219"/>
      <c r="AD252" s="219"/>
      <c r="AE252" s="220"/>
      <c r="AH252" s="221"/>
      <c r="AI252" s="221"/>
      <c r="AK252" s="219"/>
      <c r="AR252" s="219"/>
      <c r="AY252" s="93"/>
      <c r="AZ252" s="93"/>
      <c r="BA252" s="93"/>
      <c r="BB252" s="93"/>
      <c r="BC252" s="93"/>
      <c r="BD252" s="93"/>
      <c r="BE252" s="93"/>
      <c r="BF252" s="93"/>
      <c r="BG252" s="93"/>
      <c r="BH252" s="93"/>
      <c r="BI252" s="93" t="s">
        <v>564</v>
      </c>
      <c r="BJ252" s="93" t="s">
        <v>333</v>
      </c>
      <c r="BK252" s="93">
        <f>AW266</f>
        <v>2.748833333333333E-2</v>
      </c>
      <c r="BL252" s="93" t="s">
        <v>425</v>
      </c>
      <c r="BM252" s="93">
        <v>0.05</v>
      </c>
      <c r="BN252" s="93">
        <v>0.3</v>
      </c>
      <c r="BO252" s="93" t="s">
        <v>258</v>
      </c>
      <c r="BP252" s="93"/>
      <c r="BQ252" s="93"/>
      <c r="BR252" s="93"/>
      <c r="BS252" s="93"/>
      <c r="BT252" s="93"/>
      <c r="BU252" s="93"/>
      <c r="BV252" s="93"/>
      <c r="BW252" s="93"/>
      <c r="BX252" s="93"/>
      <c r="BY252" s="93"/>
      <c r="BZ252" s="93"/>
      <c r="CA252" s="93"/>
      <c r="CB252" s="225"/>
      <c r="CC252" s="224"/>
      <c r="CD252" s="224"/>
      <c r="CE252" s="225"/>
      <c r="CF252" s="225"/>
      <c r="CG252" s="225"/>
      <c r="CH252" s="225"/>
      <c r="CI252" s="224"/>
      <c r="CJ252" s="224"/>
      <c r="CK252" s="225"/>
      <c r="CL252" s="225"/>
      <c r="CM252" s="225"/>
      <c r="CN252" s="225"/>
      <c r="CO252" s="218">
        <f t="shared" si="136"/>
        <v>0.05</v>
      </c>
      <c r="CP252" s="100">
        <f t="shared" si="137"/>
        <v>0.17499999999999999</v>
      </c>
      <c r="CQ252" s="218">
        <f t="shared" si="138"/>
        <v>0.3</v>
      </c>
    </row>
    <row r="253" spans="1:97" s="100" customFormat="1" ht="16.5" hidden="1" customHeight="1" thickBot="1" x14ac:dyDescent="0.35">
      <c r="A253" s="147"/>
      <c r="V253" s="218"/>
      <c r="AA253" s="219"/>
      <c r="AB253" s="219"/>
      <c r="AD253" s="219"/>
      <c r="AE253" s="220"/>
      <c r="AH253" s="221"/>
      <c r="AI253" s="221"/>
      <c r="AK253" s="219"/>
      <c r="AR253" s="219"/>
      <c r="AY253" s="93"/>
      <c r="AZ253" s="93"/>
      <c r="BA253" s="93"/>
      <c r="BB253" s="93"/>
      <c r="BC253" s="93"/>
      <c r="BD253" s="93"/>
      <c r="BE253" s="93"/>
      <c r="BF253" s="93"/>
      <c r="BG253" s="93"/>
      <c r="BH253" s="93"/>
      <c r="BI253" s="93" t="s">
        <v>565</v>
      </c>
      <c r="BJ253" s="93" t="s">
        <v>333</v>
      </c>
      <c r="BK253" s="93">
        <f>AX266</f>
        <v>3.9583199999999999E-2</v>
      </c>
      <c r="BL253" s="93" t="s">
        <v>425</v>
      </c>
      <c r="BM253" s="93">
        <v>0.05</v>
      </c>
      <c r="BN253" s="93">
        <v>0.3</v>
      </c>
      <c r="BO253" s="93" t="s">
        <v>258</v>
      </c>
      <c r="BP253" s="93"/>
      <c r="BQ253" s="93"/>
      <c r="BR253" s="93"/>
      <c r="BS253" s="93"/>
      <c r="BT253" s="93"/>
      <c r="BU253" s="93"/>
      <c r="BV253" s="93"/>
      <c r="BW253" s="93"/>
      <c r="BX253" s="93"/>
      <c r="BY253" s="93"/>
      <c r="BZ253" s="93"/>
      <c r="CA253" s="93"/>
      <c r="CB253" s="225"/>
      <c r="CC253" s="224"/>
      <c r="CD253" s="224"/>
      <c r="CE253" s="225"/>
      <c r="CF253" s="225"/>
      <c r="CG253" s="225"/>
      <c r="CH253" s="225"/>
      <c r="CI253" s="224"/>
      <c r="CJ253" s="224"/>
      <c r="CK253" s="225"/>
      <c r="CL253" s="225"/>
      <c r="CM253" s="225"/>
      <c r="CN253" s="225"/>
      <c r="CO253" s="218">
        <f t="shared" si="136"/>
        <v>0.05</v>
      </c>
      <c r="CP253" s="100">
        <f t="shared" si="137"/>
        <v>0.17499999999999999</v>
      </c>
      <c r="CQ253" s="218">
        <f t="shared" si="138"/>
        <v>0.3</v>
      </c>
    </row>
    <row r="254" spans="1:97" s="100" customFormat="1" ht="16.5" hidden="1" customHeight="1" thickBot="1" x14ac:dyDescent="0.35">
      <c r="A254" s="147"/>
      <c r="V254" s="218"/>
      <c r="AA254" s="219"/>
      <c r="AB254" s="219"/>
      <c r="AD254" s="219"/>
      <c r="AE254" s="220"/>
      <c r="AH254" s="221"/>
      <c r="AI254" s="221"/>
      <c r="AK254" s="219"/>
      <c r="AR254" s="219"/>
      <c r="AY254" s="93"/>
      <c r="AZ254" s="93"/>
      <c r="BA254" s="93"/>
      <c r="BB254" s="93"/>
      <c r="BC254" s="93"/>
      <c r="BD254" s="93"/>
      <c r="BE254" s="93"/>
      <c r="BF254" s="93"/>
      <c r="BG254" s="93"/>
      <c r="BH254" s="93"/>
      <c r="BI254" s="93" t="s">
        <v>566</v>
      </c>
      <c r="BJ254" s="93" t="s">
        <v>333</v>
      </c>
      <c r="BK254" s="93">
        <f>AY266</f>
        <v>1.9791599999999999E-2</v>
      </c>
      <c r="BL254" s="93" t="s">
        <v>425</v>
      </c>
      <c r="BM254" s="93">
        <v>0.05</v>
      </c>
      <c r="BN254" s="93">
        <v>0.3</v>
      </c>
      <c r="BO254" s="93" t="s">
        <v>258</v>
      </c>
      <c r="BP254" s="93"/>
      <c r="BQ254" s="93"/>
      <c r="BR254" s="93"/>
      <c r="BS254" s="93"/>
      <c r="BT254" s="93"/>
      <c r="BU254" s="93"/>
      <c r="BV254" s="93"/>
      <c r="BW254" s="93"/>
      <c r="BX254" s="93"/>
      <c r="BY254" s="93"/>
      <c r="BZ254" s="93"/>
      <c r="CA254" s="93"/>
      <c r="CB254" s="225"/>
      <c r="CC254" s="224"/>
      <c r="CD254" s="224"/>
      <c r="CE254" s="225"/>
      <c r="CF254" s="225"/>
      <c r="CG254" s="225"/>
      <c r="CH254" s="225"/>
      <c r="CI254" s="224"/>
      <c r="CJ254" s="224"/>
      <c r="CK254" s="225"/>
      <c r="CL254" s="225"/>
      <c r="CM254" s="225"/>
      <c r="CN254" s="225"/>
      <c r="CO254" s="218">
        <f t="shared" si="136"/>
        <v>0.05</v>
      </c>
      <c r="CP254" s="100">
        <f t="shared" si="137"/>
        <v>0.17499999999999999</v>
      </c>
      <c r="CQ254" s="218">
        <f t="shared" si="138"/>
        <v>0.3</v>
      </c>
    </row>
    <row r="255" spans="1:97" s="100" customFormat="1" ht="16.5" hidden="1" customHeight="1" thickBot="1" x14ac:dyDescent="0.35">
      <c r="A255" s="147"/>
      <c r="V255" s="218"/>
      <c r="AA255" s="219"/>
      <c r="AB255" s="219"/>
      <c r="AD255" s="219"/>
      <c r="AE255" s="220"/>
      <c r="AH255" s="221"/>
      <c r="AI255" s="221"/>
      <c r="AK255" s="219"/>
      <c r="AR255" s="219"/>
      <c r="AY255" s="93"/>
      <c r="AZ255" s="93"/>
      <c r="BA255" s="93"/>
      <c r="BB255" s="93"/>
      <c r="BC255" s="93"/>
      <c r="BD255" s="93"/>
      <c r="BE255" s="93"/>
      <c r="BF255" s="93"/>
      <c r="BG255" s="93"/>
      <c r="BH255" s="93"/>
      <c r="BI255" s="93" t="s">
        <v>589</v>
      </c>
      <c r="BJ255" s="93" t="s">
        <v>333</v>
      </c>
      <c r="BK255" s="93">
        <f>AZ266</f>
        <v>2.9687399999999996E-2</v>
      </c>
      <c r="BL255" s="93" t="s">
        <v>425</v>
      </c>
      <c r="BM255" s="93">
        <v>0.05</v>
      </c>
      <c r="BN255" s="93">
        <v>0.3</v>
      </c>
      <c r="BO255" s="93" t="s">
        <v>258</v>
      </c>
      <c r="BP255" s="93"/>
      <c r="BQ255" s="93"/>
      <c r="BR255" s="93"/>
      <c r="BS255" s="93"/>
      <c r="BT255" s="93"/>
      <c r="BU255" s="93"/>
      <c r="BV255" s="93"/>
      <c r="BW255" s="93"/>
      <c r="BX255" s="93"/>
      <c r="BY255" s="93"/>
      <c r="BZ255" s="93"/>
      <c r="CA255" s="93"/>
      <c r="CB255" s="225"/>
      <c r="CC255" s="224"/>
      <c r="CD255" s="224"/>
      <c r="CE255" s="225"/>
      <c r="CF255" s="225"/>
      <c r="CG255" s="225"/>
      <c r="CH255" s="225"/>
      <c r="CI255" s="224"/>
      <c r="CJ255" s="224"/>
      <c r="CK255" s="225"/>
      <c r="CL255" s="225"/>
      <c r="CM255" s="225"/>
      <c r="CN255" s="225"/>
      <c r="CO255" s="218">
        <f t="shared" si="136"/>
        <v>0.05</v>
      </c>
      <c r="CP255" s="100">
        <f t="shared" si="137"/>
        <v>0.17499999999999999</v>
      </c>
      <c r="CQ255" s="218">
        <f t="shared" si="138"/>
        <v>0.3</v>
      </c>
    </row>
    <row r="256" spans="1:97" s="100" customFormat="1" ht="16.5" hidden="1" customHeight="1" thickBot="1" x14ac:dyDescent="0.35">
      <c r="A256" s="147"/>
      <c r="V256" s="218"/>
      <c r="AA256" s="219"/>
      <c r="AB256" s="219"/>
      <c r="AD256" s="219"/>
      <c r="AE256" s="220"/>
      <c r="AH256" s="221"/>
      <c r="AI256" s="221"/>
      <c r="AK256" s="219"/>
      <c r="AR256" s="219"/>
      <c r="AY256" s="93"/>
      <c r="AZ256" s="93"/>
      <c r="BA256" s="93"/>
      <c r="BB256" s="93"/>
      <c r="BC256" s="93"/>
      <c r="BD256" s="93"/>
      <c r="BE256" s="93"/>
      <c r="BF256" s="93"/>
      <c r="BG256" s="93"/>
      <c r="BH256" s="93"/>
      <c r="BI256" s="93" t="s">
        <v>590</v>
      </c>
      <c r="BJ256" s="93" t="s">
        <v>333</v>
      </c>
      <c r="BK256" s="93">
        <f>AV267</f>
        <v>1.6666666666666666E-2</v>
      </c>
      <c r="BL256" s="93" t="s">
        <v>425</v>
      </c>
      <c r="BM256" s="93">
        <v>0.05</v>
      </c>
      <c r="BN256" s="93">
        <v>0.3</v>
      </c>
      <c r="BO256" s="93" t="s">
        <v>258</v>
      </c>
      <c r="BP256" s="93"/>
      <c r="BQ256" s="93"/>
      <c r="BR256" s="93"/>
      <c r="BS256" s="93"/>
      <c r="BT256" s="93"/>
      <c r="BU256" s="93"/>
      <c r="BV256" s="93"/>
      <c r="BW256" s="93"/>
      <c r="BX256" s="93"/>
      <c r="BY256" s="93"/>
      <c r="BZ256" s="93"/>
      <c r="CA256" s="93"/>
      <c r="CB256" s="225"/>
      <c r="CC256" s="224"/>
      <c r="CD256" s="224"/>
      <c r="CE256" s="225"/>
      <c r="CF256" s="225"/>
      <c r="CG256" s="225"/>
      <c r="CH256" s="225"/>
      <c r="CI256" s="224"/>
      <c r="CJ256" s="224"/>
      <c r="CK256" s="225"/>
      <c r="CL256" s="225"/>
      <c r="CM256" s="225"/>
      <c r="CN256" s="225"/>
      <c r="CO256" s="218">
        <f t="shared" si="136"/>
        <v>0.05</v>
      </c>
      <c r="CP256" s="100">
        <f t="shared" si="137"/>
        <v>0.17499999999999999</v>
      </c>
      <c r="CQ256" s="218">
        <f t="shared" si="138"/>
        <v>0.3</v>
      </c>
    </row>
    <row r="257" spans="1:97" s="100" customFormat="1" ht="16.5" hidden="1" customHeight="1" thickBot="1" x14ac:dyDescent="0.35">
      <c r="A257" s="147"/>
      <c r="V257" s="218"/>
      <c r="AA257" s="219"/>
      <c r="AB257" s="219"/>
      <c r="AD257" s="219"/>
      <c r="AE257" s="220"/>
      <c r="AH257" s="221"/>
      <c r="AI257" s="221"/>
      <c r="AK257" s="219"/>
      <c r="AR257" s="219"/>
      <c r="AY257" s="93"/>
      <c r="AZ257" s="93"/>
      <c r="BA257" s="93"/>
      <c r="BB257" s="93"/>
      <c r="BC257" s="93"/>
      <c r="BD257" s="93"/>
      <c r="BE257" s="93"/>
      <c r="BF257" s="93"/>
      <c r="BG257" s="93"/>
      <c r="BH257" s="93"/>
      <c r="BI257" s="93" t="s">
        <v>591</v>
      </c>
      <c r="BJ257" s="93" t="s">
        <v>333</v>
      </c>
      <c r="BK257" s="93">
        <f>AV268</f>
        <v>4.9999999999999996E-2</v>
      </c>
      <c r="BL257" s="93" t="s">
        <v>425</v>
      </c>
      <c r="BM257" s="93">
        <v>0.05</v>
      </c>
      <c r="BN257" s="93">
        <v>0.3</v>
      </c>
      <c r="BO257" s="93" t="s">
        <v>258</v>
      </c>
      <c r="BP257" s="93"/>
      <c r="BQ257" s="93"/>
      <c r="BR257" s="93"/>
      <c r="BS257" s="93"/>
      <c r="BT257" s="93"/>
      <c r="BU257" s="93"/>
      <c r="BV257" s="93"/>
      <c r="BW257" s="93"/>
      <c r="BX257" s="93"/>
      <c r="BY257" s="93"/>
      <c r="BZ257" s="93"/>
      <c r="CA257" s="93"/>
      <c r="CB257" s="225"/>
      <c r="CC257" s="224"/>
      <c r="CD257" s="224"/>
      <c r="CE257" s="225"/>
      <c r="CF257" s="225"/>
      <c r="CG257" s="225"/>
      <c r="CH257" s="225"/>
      <c r="CI257" s="224"/>
      <c r="CJ257" s="224"/>
      <c r="CK257" s="225"/>
      <c r="CL257" s="225"/>
      <c r="CM257" s="225"/>
      <c r="CN257" s="225"/>
      <c r="CO257" s="218">
        <f t="shared" si="136"/>
        <v>0.05</v>
      </c>
      <c r="CP257" s="100">
        <f t="shared" si="137"/>
        <v>0.17499999999999999</v>
      </c>
      <c r="CQ257" s="218">
        <f t="shared" si="138"/>
        <v>0.3</v>
      </c>
    </row>
    <row r="258" spans="1:97" s="100" customFormat="1" ht="16.5" hidden="1" customHeight="1" thickBot="1" x14ac:dyDescent="0.35">
      <c r="A258" s="147"/>
      <c r="V258" s="218"/>
      <c r="AA258" s="219"/>
      <c r="AB258" s="219"/>
      <c r="AD258" s="219"/>
      <c r="AE258" s="220"/>
      <c r="AH258" s="221"/>
      <c r="AI258" s="221"/>
      <c r="AK258" s="219"/>
      <c r="AR258" s="219"/>
      <c r="AV258" s="100">
        <f>(0.449*0.15)+(0.171*0.4)+(0.047*0.43)+(0.026*0.24)+(0.007*0.39)</f>
        <v>0.16492999999999999</v>
      </c>
      <c r="AY258" s="93"/>
      <c r="AZ258" s="93"/>
      <c r="BA258" s="93"/>
      <c r="BB258" s="93"/>
      <c r="BC258" s="93"/>
      <c r="BD258" s="93"/>
      <c r="BE258" s="93"/>
      <c r="BF258" s="93"/>
      <c r="BG258" s="93"/>
      <c r="BH258" s="93"/>
      <c r="BI258" s="93" t="s">
        <v>592</v>
      </c>
      <c r="BJ258" s="93" t="s">
        <v>333</v>
      </c>
      <c r="BK258" s="93">
        <f>AV268</f>
        <v>4.9999999999999996E-2</v>
      </c>
      <c r="BL258" s="93" t="s">
        <v>425</v>
      </c>
      <c r="BM258" s="93">
        <v>0.05</v>
      </c>
      <c r="BN258" s="93">
        <v>0.3</v>
      </c>
      <c r="BO258" s="93" t="s">
        <v>258</v>
      </c>
      <c r="BP258" s="93"/>
      <c r="BQ258" s="93"/>
      <c r="BR258" s="93"/>
      <c r="BS258" s="93"/>
      <c r="BT258" s="93"/>
      <c r="BU258" s="93"/>
      <c r="BV258" s="93"/>
      <c r="BW258" s="93"/>
      <c r="BX258" s="93"/>
      <c r="BY258" s="93"/>
      <c r="BZ258" s="93"/>
      <c r="CA258" s="93"/>
      <c r="CB258" s="225"/>
      <c r="CC258" s="224"/>
      <c r="CD258" s="224"/>
      <c r="CE258" s="225"/>
      <c r="CF258" s="225"/>
      <c r="CG258" s="225"/>
      <c r="CH258" s="225"/>
      <c r="CI258" s="224"/>
      <c r="CJ258" s="224"/>
      <c r="CK258" s="225"/>
      <c r="CL258" s="225"/>
      <c r="CM258" s="225"/>
      <c r="CN258" s="225"/>
      <c r="CO258" s="218">
        <f t="shared" si="136"/>
        <v>0.05</v>
      </c>
      <c r="CP258" s="100">
        <f t="shared" si="137"/>
        <v>0.17499999999999999</v>
      </c>
      <c r="CQ258" s="218">
        <f t="shared" si="138"/>
        <v>0.3</v>
      </c>
    </row>
    <row r="259" spans="1:97" s="100" customFormat="1" ht="16.5" hidden="1" customHeight="1" thickBot="1" x14ac:dyDescent="0.35">
      <c r="A259" s="147"/>
      <c r="V259" s="218"/>
      <c r="AA259" s="219"/>
      <c r="AB259" s="219"/>
      <c r="AD259" s="219"/>
      <c r="AE259" s="220"/>
      <c r="AH259" s="221"/>
      <c r="AI259" s="221"/>
      <c r="AK259" s="219"/>
      <c r="AR259" s="219"/>
      <c r="AY259" s="93"/>
      <c r="AZ259" s="93"/>
      <c r="BA259" s="93"/>
      <c r="BB259" s="93"/>
      <c r="BC259" s="93"/>
      <c r="BD259" s="93"/>
      <c r="BE259" s="93"/>
      <c r="BF259" s="93"/>
      <c r="BG259" s="93"/>
      <c r="BH259" s="93"/>
      <c r="BI259" s="93" t="s">
        <v>593</v>
      </c>
      <c r="BJ259" s="93" t="s">
        <v>333</v>
      </c>
      <c r="BK259" s="93">
        <f t="shared" ref="BK259:BK264" si="140">AV270</f>
        <v>7.9999999999999988E-2</v>
      </c>
      <c r="BL259" s="93" t="s">
        <v>425</v>
      </c>
      <c r="BM259" s="93">
        <v>0.05</v>
      </c>
      <c r="BN259" s="93">
        <v>0.3</v>
      </c>
      <c r="BO259" s="93" t="s">
        <v>258</v>
      </c>
      <c r="BP259" s="93"/>
      <c r="BQ259" s="93"/>
      <c r="BR259" s="93"/>
      <c r="BS259" s="93"/>
      <c r="BT259" s="93"/>
      <c r="BU259" s="93"/>
      <c r="BV259" s="93"/>
      <c r="BW259" s="93"/>
      <c r="BX259" s="93"/>
      <c r="BY259" s="93"/>
      <c r="BZ259" s="93"/>
      <c r="CA259" s="93"/>
      <c r="CB259" s="225"/>
      <c r="CC259" s="224"/>
      <c r="CD259" s="224"/>
      <c r="CE259" s="225"/>
      <c r="CF259" s="225"/>
      <c r="CG259" s="225"/>
      <c r="CH259" s="225"/>
      <c r="CI259" s="224"/>
      <c r="CJ259" s="224"/>
      <c r="CK259" s="225"/>
      <c r="CL259" s="225"/>
      <c r="CM259" s="225"/>
      <c r="CN259" s="225"/>
      <c r="CO259" s="218">
        <f t="shared" si="136"/>
        <v>0.05</v>
      </c>
      <c r="CP259" s="100">
        <f t="shared" si="137"/>
        <v>0.17499999999999999</v>
      </c>
      <c r="CQ259" s="218">
        <f t="shared" si="138"/>
        <v>0.3</v>
      </c>
    </row>
    <row r="260" spans="1:97" s="100" customFormat="1" ht="16.5" hidden="1" customHeight="1" thickBot="1" x14ac:dyDescent="0.35">
      <c r="A260" s="147"/>
      <c r="V260" s="218"/>
      <c r="AA260" s="219"/>
      <c r="AB260" s="219"/>
      <c r="AD260" s="219"/>
      <c r="AE260" s="220"/>
      <c r="AH260" s="221"/>
      <c r="AI260" s="221"/>
      <c r="AK260" s="219"/>
      <c r="AR260" s="219"/>
      <c r="AY260" s="93"/>
      <c r="AZ260" s="93"/>
      <c r="BA260" s="93"/>
      <c r="BB260" s="93"/>
      <c r="BC260" s="93"/>
      <c r="BD260" s="93"/>
      <c r="BE260" s="93"/>
      <c r="BF260" s="93"/>
      <c r="BG260" s="93"/>
      <c r="BH260" s="93"/>
      <c r="BI260" s="93" t="s">
        <v>594</v>
      </c>
      <c r="BJ260" s="93" t="s">
        <v>333</v>
      </c>
      <c r="BK260" s="93">
        <f t="shared" si="140"/>
        <v>0.14333333333333331</v>
      </c>
      <c r="BL260" s="93" t="s">
        <v>425</v>
      </c>
      <c r="BM260" s="93">
        <v>0.05</v>
      </c>
      <c r="BN260" s="93">
        <v>0.3</v>
      </c>
      <c r="BO260" s="93" t="s">
        <v>258</v>
      </c>
      <c r="BP260" s="93"/>
      <c r="BQ260" s="93"/>
      <c r="BR260" s="93"/>
      <c r="BS260" s="93"/>
      <c r="BT260" s="93"/>
      <c r="BU260" s="93"/>
      <c r="BV260" s="93"/>
      <c r="BW260" s="93"/>
      <c r="BX260" s="93"/>
      <c r="BY260" s="93"/>
      <c r="BZ260" s="93"/>
      <c r="CA260" s="93"/>
      <c r="CB260" s="225"/>
      <c r="CC260" s="224"/>
      <c r="CD260" s="224"/>
      <c r="CE260" s="225"/>
      <c r="CF260" s="225"/>
      <c r="CG260" s="225"/>
      <c r="CH260" s="225"/>
      <c r="CI260" s="224"/>
      <c r="CJ260" s="224"/>
      <c r="CK260" s="225"/>
      <c r="CL260" s="225"/>
      <c r="CM260" s="225"/>
      <c r="CN260" s="225"/>
      <c r="CO260" s="218">
        <f t="shared" si="136"/>
        <v>0.05</v>
      </c>
      <c r="CP260" s="100">
        <f t="shared" si="137"/>
        <v>0.17499999999999999</v>
      </c>
      <c r="CQ260" s="218">
        <f t="shared" si="138"/>
        <v>0.3</v>
      </c>
    </row>
    <row r="261" spans="1:97" s="100" customFormat="1" ht="16.5" hidden="1" customHeight="1" thickBot="1" x14ac:dyDescent="0.35">
      <c r="A261" s="147"/>
      <c r="V261" s="218"/>
      <c r="AA261" s="219"/>
      <c r="AB261" s="219"/>
      <c r="AD261" s="219"/>
      <c r="AE261" s="220"/>
      <c r="AH261" s="221"/>
      <c r="AI261" s="221"/>
      <c r="AK261" s="219"/>
      <c r="AR261" s="219"/>
      <c r="AY261" s="93"/>
      <c r="AZ261" s="93"/>
      <c r="BA261" s="93"/>
      <c r="BB261" s="93"/>
      <c r="BC261" s="93"/>
      <c r="BD261" s="93"/>
      <c r="BE261" s="93"/>
      <c r="BF261" s="93"/>
      <c r="BG261" s="93"/>
      <c r="BH261" s="93"/>
      <c r="BI261" s="93" t="s">
        <v>595</v>
      </c>
      <c r="BJ261" s="93" t="s">
        <v>333</v>
      </c>
      <c r="BK261" s="93">
        <f t="shared" si="140"/>
        <v>0.13333333333333333</v>
      </c>
      <c r="BL261" s="93" t="s">
        <v>425</v>
      </c>
      <c r="BM261" s="93">
        <v>0.05</v>
      </c>
      <c r="BN261" s="93">
        <v>0.3</v>
      </c>
      <c r="BO261" s="93" t="s">
        <v>258</v>
      </c>
      <c r="BP261" s="93"/>
      <c r="BQ261" s="93"/>
      <c r="BR261" s="93"/>
      <c r="BS261" s="93"/>
      <c r="BT261" s="93"/>
      <c r="BU261" s="93"/>
      <c r="BV261" s="93"/>
      <c r="BW261" s="93"/>
      <c r="BX261" s="93"/>
      <c r="BY261" s="93"/>
      <c r="BZ261" s="93"/>
      <c r="CA261" s="93"/>
      <c r="CB261" s="225"/>
      <c r="CC261" s="224"/>
      <c r="CD261" s="224"/>
      <c r="CE261" s="225"/>
      <c r="CF261" s="225"/>
      <c r="CG261" s="225"/>
      <c r="CH261" s="225"/>
      <c r="CI261" s="224"/>
      <c r="CJ261" s="224"/>
      <c r="CK261" s="225"/>
      <c r="CL261" s="225"/>
      <c r="CM261" s="225"/>
      <c r="CN261" s="225"/>
      <c r="CO261" s="218">
        <f t="shared" si="136"/>
        <v>0.05</v>
      </c>
      <c r="CP261" s="100">
        <f t="shared" si="137"/>
        <v>0.17499999999999999</v>
      </c>
      <c r="CQ261" s="218">
        <f t="shared" si="138"/>
        <v>0.3</v>
      </c>
    </row>
    <row r="262" spans="1:97" s="100" customFormat="1" ht="16.5" hidden="1" customHeight="1" thickBot="1" x14ac:dyDescent="0.35">
      <c r="A262" s="147"/>
      <c r="V262" s="218"/>
      <c r="AA262" s="219"/>
      <c r="AB262" s="219"/>
      <c r="AD262" s="219"/>
      <c r="AE262" s="220"/>
      <c r="AH262" s="221"/>
      <c r="AI262" s="221"/>
      <c r="AK262" s="219"/>
      <c r="AR262" s="219"/>
      <c r="AY262" s="93"/>
      <c r="AZ262" s="93"/>
      <c r="BA262" s="93"/>
      <c r="BB262" s="93"/>
      <c r="BC262" s="93"/>
      <c r="BD262" s="93"/>
      <c r="BE262" s="93"/>
      <c r="BF262" s="93"/>
      <c r="BG262" s="93"/>
      <c r="BH262" s="93"/>
      <c r="BI262" s="93" t="s">
        <v>596</v>
      </c>
      <c r="BJ262" s="93" t="s">
        <v>333</v>
      </c>
      <c r="BK262" s="93">
        <f t="shared" si="140"/>
        <v>0.13</v>
      </c>
      <c r="BL262" s="93" t="s">
        <v>425</v>
      </c>
      <c r="BM262" s="93">
        <v>0.05</v>
      </c>
      <c r="BN262" s="93">
        <v>0.3</v>
      </c>
      <c r="BO262" s="93" t="s">
        <v>258</v>
      </c>
      <c r="BP262" s="93"/>
      <c r="BQ262" s="93"/>
      <c r="BR262" s="93"/>
      <c r="BS262" s="93"/>
      <c r="BT262" s="93"/>
      <c r="BU262" s="93"/>
      <c r="BV262" s="93"/>
      <c r="BW262" s="93"/>
      <c r="BX262" s="93"/>
      <c r="BY262" s="93"/>
      <c r="BZ262" s="93"/>
      <c r="CA262" s="93"/>
      <c r="CB262" s="225"/>
      <c r="CC262" s="224"/>
      <c r="CD262" s="224"/>
      <c r="CE262" s="225"/>
      <c r="CF262" s="225"/>
      <c r="CG262" s="225"/>
      <c r="CH262" s="225"/>
      <c r="CI262" s="224"/>
      <c r="CJ262" s="224"/>
      <c r="CK262" s="225"/>
      <c r="CL262" s="225"/>
      <c r="CM262" s="225"/>
      <c r="CN262" s="225"/>
      <c r="CO262" s="218">
        <f t="shared" si="136"/>
        <v>0.05</v>
      </c>
      <c r="CP262" s="100">
        <f t="shared" si="137"/>
        <v>0.17499999999999999</v>
      </c>
      <c r="CQ262" s="218">
        <f t="shared" si="138"/>
        <v>0.3</v>
      </c>
    </row>
    <row r="263" spans="1:97" s="100" customFormat="1" ht="16.5" hidden="1" customHeight="1" thickBot="1" x14ac:dyDescent="0.35">
      <c r="A263" s="147"/>
      <c r="V263" s="218"/>
      <c r="AA263" s="219"/>
      <c r="AB263" s="219"/>
      <c r="AD263" s="219"/>
      <c r="AE263" s="220"/>
      <c r="AH263" s="221"/>
      <c r="AI263" s="221"/>
      <c r="AK263" s="219"/>
      <c r="AR263" s="219"/>
      <c r="AY263" s="93"/>
      <c r="AZ263" s="93"/>
      <c r="BA263" s="93"/>
      <c r="BB263" s="93"/>
      <c r="BC263" s="93"/>
      <c r="BD263" s="93"/>
      <c r="BE263" s="93"/>
      <c r="BF263" s="93"/>
      <c r="BG263" s="93"/>
      <c r="BH263" s="93"/>
      <c r="BI263" s="93" t="s">
        <v>597</v>
      </c>
      <c r="BJ263" s="93" t="s">
        <v>333</v>
      </c>
      <c r="BK263" s="93">
        <f t="shared" si="140"/>
        <v>1.3333333333333332E-2</v>
      </c>
      <c r="BL263" s="93" t="s">
        <v>425</v>
      </c>
      <c r="BM263" s="93">
        <v>0.05</v>
      </c>
      <c r="BN263" s="93">
        <v>0.3</v>
      </c>
      <c r="BO263" s="93" t="s">
        <v>258</v>
      </c>
      <c r="BP263" s="93"/>
      <c r="BQ263" s="93"/>
      <c r="BR263" s="93"/>
      <c r="BS263" s="93"/>
      <c r="BT263" s="93"/>
      <c r="BU263" s="93"/>
      <c r="BV263" s="93"/>
      <c r="BW263" s="93"/>
      <c r="BX263" s="93"/>
      <c r="BY263" s="93"/>
      <c r="BZ263" s="93"/>
      <c r="CA263" s="93"/>
      <c r="CB263" s="225"/>
      <c r="CC263" s="224"/>
      <c r="CD263" s="224"/>
      <c r="CE263" s="225"/>
      <c r="CF263" s="225"/>
      <c r="CG263" s="225"/>
      <c r="CH263" s="225"/>
      <c r="CI263" s="224"/>
      <c r="CJ263" s="224"/>
      <c r="CK263" s="225"/>
      <c r="CL263" s="225"/>
      <c r="CM263" s="225"/>
      <c r="CN263" s="225"/>
      <c r="CO263" s="218">
        <f t="shared" si="136"/>
        <v>0.05</v>
      </c>
      <c r="CP263" s="100">
        <f t="shared" si="137"/>
        <v>0.17499999999999999</v>
      </c>
      <c r="CQ263" s="218">
        <f t="shared" si="138"/>
        <v>0.3</v>
      </c>
    </row>
    <row r="264" spans="1:97" s="100" customFormat="1" ht="16.5" hidden="1" customHeight="1" thickBot="1" x14ac:dyDescent="0.35">
      <c r="A264" s="147"/>
      <c r="V264" s="218"/>
      <c r="AA264" s="219"/>
      <c r="AB264" s="219"/>
      <c r="AD264" s="219"/>
      <c r="AE264" s="220"/>
      <c r="AH264" s="221"/>
      <c r="AI264" s="221"/>
      <c r="AK264" s="219"/>
      <c r="AR264" s="219"/>
      <c r="AV264" s="236" t="s">
        <v>504</v>
      </c>
      <c r="AY264" s="93"/>
      <c r="AZ264" s="93"/>
      <c r="BA264" s="93"/>
      <c r="BB264" s="93"/>
      <c r="BC264" s="93"/>
      <c r="BD264" s="93"/>
      <c r="BE264" s="93"/>
      <c r="BF264" s="93" t="s">
        <v>477</v>
      </c>
      <c r="BG264" s="93">
        <f>AW266</f>
        <v>2.748833333333333E-2</v>
      </c>
      <c r="BH264" s="93"/>
      <c r="BI264" s="93" t="s">
        <v>598</v>
      </c>
      <c r="BJ264" s="93" t="s">
        <v>333</v>
      </c>
      <c r="BK264" s="93">
        <f t="shared" si="140"/>
        <v>3.3333333333333331E-3</v>
      </c>
      <c r="BL264" s="93" t="s">
        <v>425</v>
      </c>
      <c r="BM264" s="93">
        <v>0.05</v>
      </c>
      <c r="BN264" s="93">
        <v>0.3</v>
      </c>
      <c r="BO264" s="93" t="s">
        <v>258</v>
      </c>
      <c r="BP264" s="93"/>
      <c r="BQ264" s="93"/>
      <c r="BR264" s="93"/>
      <c r="BS264" s="93"/>
      <c r="BT264" s="93"/>
      <c r="BU264" s="93"/>
      <c r="BV264" s="93"/>
      <c r="BW264" s="93"/>
      <c r="BX264" s="93"/>
      <c r="BY264" s="93"/>
      <c r="BZ264" s="93"/>
      <c r="CA264" s="93"/>
      <c r="CB264" s="225"/>
      <c r="CC264" s="224"/>
      <c r="CD264" s="224"/>
      <c r="CE264" s="225"/>
      <c r="CF264" s="225"/>
      <c r="CG264" s="225"/>
      <c r="CH264" s="225"/>
      <c r="CI264" s="224"/>
      <c r="CJ264" s="224"/>
      <c r="CK264" s="225"/>
      <c r="CL264" s="225"/>
      <c r="CM264" s="225"/>
      <c r="CN264" s="225"/>
      <c r="CO264" s="218">
        <f t="shared" si="136"/>
        <v>0.05</v>
      </c>
      <c r="CP264" s="100">
        <f t="shared" si="137"/>
        <v>0.17499999999999999</v>
      </c>
      <c r="CQ264" s="218">
        <f t="shared" si="138"/>
        <v>0.3</v>
      </c>
    </row>
    <row r="265" spans="1:97" s="101" customFormat="1" ht="29.25" hidden="1" customHeight="1" thickBot="1" x14ac:dyDescent="0.35">
      <c r="A265" s="99"/>
      <c r="V265" s="103"/>
      <c r="AA265" s="104"/>
      <c r="AB265" s="104"/>
      <c r="AD265" s="104"/>
      <c r="AE265" s="105"/>
      <c r="AH265" s="106"/>
      <c r="AI265" s="106"/>
      <c r="AK265" s="104"/>
      <c r="AR265" s="104"/>
      <c r="AT265" s="227"/>
      <c r="AU265" s="228" t="s">
        <v>484</v>
      </c>
      <c r="AV265" s="227" t="s">
        <v>496</v>
      </c>
      <c r="AW265" s="227" t="s">
        <v>479</v>
      </c>
      <c r="AX265" s="227" t="s">
        <v>561</v>
      </c>
      <c r="AY265" s="93" t="s">
        <v>480</v>
      </c>
      <c r="AZ265" s="93" t="s">
        <v>483</v>
      </c>
      <c r="BA265" s="93" t="s">
        <v>119</v>
      </c>
      <c r="BB265" s="93" t="s">
        <v>503</v>
      </c>
      <c r="BC265" s="93" t="s">
        <v>120</v>
      </c>
      <c r="BD265" s="93"/>
      <c r="BE265" s="93"/>
      <c r="BF265" s="93" t="s">
        <v>482</v>
      </c>
      <c r="BG265" s="93">
        <f>AX266</f>
        <v>3.9583199999999999E-2</v>
      </c>
      <c r="BH265" s="93" t="s">
        <v>97</v>
      </c>
      <c r="BI265" s="93" t="s">
        <v>573</v>
      </c>
      <c r="BJ265" s="93" t="s">
        <v>476</v>
      </c>
      <c r="BK265" s="93">
        <v>5.6000000000000004E-7</v>
      </c>
      <c r="BL265" s="93" t="s">
        <v>425</v>
      </c>
      <c r="BM265" s="93">
        <v>0.1</v>
      </c>
      <c r="BN265" s="93">
        <v>1</v>
      </c>
      <c r="BO265" s="93" t="s">
        <v>258</v>
      </c>
      <c r="BP265" s="93" t="s">
        <v>476</v>
      </c>
      <c r="BQ265" s="93">
        <v>9.7999999999999993E-6</v>
      </c>
      <c r="BR265" s="93" t="s">
        <v>426</v>
      </c>
      <c r="BS265" s="93">
        <v>0.1</v>
      </c>
      <c r="BT265" s="93">
        <v>1</v>
      </c>
      <c r="BU265" s="93" t="s">
        <v>258</v>
      </c>
      <c r="BV265" s="93" t="s">
        <v>476</v>
      </c>
      <c r="BW265" s="93">
        <v>0.14000000000000001</v>
      </c>
      <c r="BX265" s="93" t="s">
        <v>571</v>
      </c>
      <c r="BY265" s="93">
        <v>0.1</v>
      </c>
      <c r="BZ265" s="93">
        <v>1</v>
      </c>
      <c r="CA265" s="93" t="s">
        <v>258</v>
      </c>
      <c r="CB265" s="180"/>
      <c r="CC265" s="178"/>
      <c r="CD265" s="178"/>
      <c r="CE265" s="180"/>
      <c r="CF265" s="180"/>
      <c r="CG265" s="180"/>
      <c r="CH265" s="180"/>
      <c r="CI265" s="178"/>
      <c r="CJ265" s="178"/>
      <c r="CK265" s="180"/>
      <c r="CL265" s="180"/>
      <c r="CM265" s="180"/>
      <c r="CN265" s="116"/>
      <c r="CO265" s="218">
        <f t="shared" si="136"/>
        <v>0.1</v>
      </c>
      <c r="CP265" s="100">
        <f t="shared" si="137"/>
        <v>0.55000000000000004</v>
      </c>
      <c r="CQ265" s="218">
        <f t="shared" si="138"/>
        <v>1</v>
      </c>
      <c r="CR265" s="101">
        <v>0.4</v>
      </c>
      <c r="CS265" s="101">
        <v>1</v>
      </c>
    </row>
    <row r="266" spans="1:97" s="101" customFormat="1" ht="29.25" hidden="1" customHeight="1" thickBot="1" x14ac:dyDescent="0.35">
      <c r="A266" s="99"/>
      <c r="V266" s="103"/>
      <c r="AA266" s="104"/>
      <c r="AB266" s="104"/>
      <c r="AD266" s="104"/>
      <c r="AE266" s="105"/>
      <c r="AH266" s="106"/>
      <c r="AI266" s="106"/>
      <c r="AK266" s="104"/>
      <c r="AR266" s="104"/>
      <c r="AT266" s="227" t="s">
        <v>486</v>
      </c>
      <c r="AU266" s="226" t="s">
        <v>498</v>
      </c>
      <c r="AV266" s="221">
        <f>((((0.449*0.15)+(0.171*0.4)+(0.047*0.43)+(0.026*0.24)+(0.007*0.39))*0.5*1)*0.5*(16/12))*(1-0)</f>
        <v>5.497666666666666E-2</v>
      </c>
      <c r="AW266" s="221">
        <f>((((0.449*0.15)+(0.171*0.4)+(0.047*0.43)+(0.026*0.24)+(0.007*0.39))*0.5*0.5)*0.5*(16/12))*(1-0)</f>
        <v>2.748833333333333E-2</v>
      </c>
      <c r="AX266" s="221">
        <f>((((0.449*0.15)+(0.171*0.4)+(0.047*0.43)+(0.026*0.24)+(0.007*0.39))*0.5*0.8)*0.5*(16/12))*(1-0.1)</f>
        <v>3.9583199999999999E-2</v>
      </c>
      <c r="AY266" s="93">
        <f>((((0.449*0.15)+(0.171*0.4)+(0.047*0.43)+(0.026*0.24)+(0.007*0.39))*0.5*0.4)*0.5*(16/12))*(1-0.1)</f>
        <v>1.9791599999999999E-2</v>
      </c>
      <c r="AZ266" s="93">
        <f>((((0.449*0.15)+(0.171*0.4)+(0.047*0.43)+(0.026*0.24)+(0.007*0.39))*0.5*0.6)*0.5*(16/12))*(1-0.1)</f>
        <v>2.9687399999999996E-2</v>
      </c>
      <c r="BA266" s="93">
        <f t="shared" ref="BA266:BA275" si="141">AVERAGE(AV266:AZ266)</f>
        <v>3.430544E-2</v>
      </c>
      <c r="BB266" s="93">
        <f t="shared" ref="BB266:BB275" si="142">STDEV(AV266:AZ266)</f>
        <v>1.3542573156662487E-2</v>
      </c>
      <c r="BC266" s="93">
        <f>1-((BA266-((BB266*2.78)/(SQRT(5))))/BA266)</f>
        <v>0.49079258210126564</v>
      </c>
      <c r="BD266" s="93"/>
      <c r="BE266" s="93"/>
      <c r="BF266" s="93" t="s">
        <v>481</v>
      </c>
      <c r="BG266" s="93">
        <f>AY266</f>
        <v>1.9791599999999999E-2</v>
      </c>
      <c r="BH266" s="93" t="s">
        <v>97</v>
      </c>
      <c r="BI266" s="93" t="s">
        <v>572</v>
      </c>
      <c r="BJ266" s="93" t="s">
        <v>476</v>
      </c>
      <c r="BK266" s="93">
        <v>2.3699999999999999E-4</v>
      </c>
      <c r="BL266" s="93" t="s">
        <v>425</v>
      </c>
      <c r="BM266" s="93">
        <v>0.1</v>
      </c>
      <c r="BN266" s="93">
        <v>1</v>
      </c>
      <c r="BO266" s="93" t="s">
        <v>258</v>
      </c>
      <c r="BP266" s="93" t="s">
        <v>476</v>
      </c>
      <c r="BQ266" s="93">
        <v>6.0000000000000002E-5</v>
      </c>
      <c r="BR266" s="93" t="s">
        <v>426</v>
      </c>
      <c r="BS266" s="93">
        <v>0.1</v>
      </c>
      <c r="BT266" s="93">
        <v>1</v>
      </c>
      <c r="BU266" s="93" t="s">
        <v>258</v>
      </c>
      <c r="BV266" s="93" t="s">
        <v>476</v>
      </c>
      <c r="BW266" s="93">
        <v>0.23</v>
      </c>
      <c r="BX266" s="93" t="s">
        <v>571</v>
      </c>
      <c r="BY266" s="93">
        <v>0.1</v>
      </c>
      <c r="BZ266" s="93">
        <v>1</v>
      </c>
      <c r="CA266" s="93" t="s">
        <v>258</v>
      </c>
      <c r="CB266" s="180"/>
      <c r="CC266" s="178"/>
      <c r="CD266" s="178"/>
      <c r="CE266" s="180"/>
      <c r="CF266" s="180"/>
      <c r="CG266" s="180"/>
      <c r="CH266" s="180"/>
      <c r="CI266" s="178"/>
      <c r="CJ266" s="178"/>
      <c r="CK266" s="180"/>
      <c r="CL266" s="180"/>
      <c r="CM266" s="180"/>
      <c r="CN266" s="116"/>
      <c r="CO266" s="218">
        <f t="shared" si="136"/>
        <v>0.1</v>
      </c>
      <c r="CP266" s="100">
        <f t="shared" si="137"/>
        <v>0.55000000000000004</v>
      </c>
      <c r="CQ266" s="218">
        <f t="shared" si="138"/>
        <v>1</v>
      </c>
      <c r="CR266" s="101">
        <v>0.4</v>
      </c>
      <c r="CS266" s="101">
        <v>1</v>
      </c>
    </row>
    <row r="267" spans="1:97" s="101" customFormat="1" ht="29.25" hidden="1" customHeight="1" thickBot="1" x14ac:dyDescent="0.35">
      <c r="A267" s="99"/>
      <c r="V267" s="103"/>
      <c r="AA267" s="104"/>
      <c r="AB267" s="104"/>
      <c r="AD267" s="104"/>
      <c r="AE267" s="105"/>
      <c r="AH267" s="106"/>
      <c r="AI267" s="106"/>
      <c r="AK267" s="104"/>
      <c r="AR267" s="104"/>
      <c r="AT267" s="227" t="s">
        <v>562</v>
      </c>
      <c r="AU267" s="226">
        <v>0.05</v>
      </c>
      <c r="AV267" s="221">
        <f>((AU267*0.5*1)*0.5*(16/12))*(1-0)</f>
        <v>1.6666666666666666E-2</v>
      </c>
      <c r="AW267" s="221">
        <f>((AU267*0.5*0.5)*0.5*(16/12))*(1-0)</f>
        <v>8.3333333333333332E-3</v>
      </c>
      <c r="AX267" s="221">
        <f>((AU267*0.5*0.8)*0.5*(16/12))*(1-0.1)</f>
        <v>1.2000000000000002E-2</v>
      </c>
      <c r="AY267" s="93">
        <f t="shared" ref="AY267:AY275" si="143">((AU267*0.5*0.4)*0.5*(16/12))*(1-0.1)</f>
        <v>6.000000000000001E-3</v>
      </c>
      <c r="AZ267" s="93">
        <f t="shared" ref="AZ267:AZ275" si="144">((AU267*0.5*0.6)*0.5*(16/12))*(1-0.1)</f>
        <v>8.9999999999999993E-3</v>
      </c>
      <c r="BA267" s="93">
        <f t="shared" si="141"/>
        <v>1.0400000000000001E-2</v>
      </c>
      <c r="BB267" s="93">
        <f t="shared" si="142"/>
        <v>4.1055517967205765E-3</v>
      </c>
      <c r="BC267" s="93">
        <f>1-((BA267-((BB267*2.78)/(SQRT(5))))/BA267)</f>
        <v>0.49079258210126586</v>
      </c>
      <c r="BD267" s="93"/>
      <c r="BE267" s="93"/>
      <c r="BF267" s="93" t="s">
        <v>478</v>
      </c>
      <c r="BG267" s="93">
        <f>AZ266</f>
        <v>2.9687399999999996E-2</v>
      </c>
      <c r="BH267" s="93" t="s">
        <v>97</v>
      </c>
      <c r="BI267" s="93" t="s">
        <v>574</v>
      </c>
      <c r="BJ267" s="93" t="s">
        <v>476</v>
      </c>
      <c r="BK267" s="93">
        <v>6.4999999999999997E-3</v>
      </c>
      <c r="BL267" s="93" t="s">
        <v>425</v>
      </c>
      <c r="BM267" s="93">
        <v>0.1</v>
      </c>
      <c r="BN267" s="93">
        <v>1</v>
      </c>
      <c r="BO267" s="93" t="s">
        <v>258</v>
      </c>
      <c r="BP267" s="93" t="s">
        <v>476</v>
      </c>
      <c r="BQ267" s="93">
        <v>1.4999999999999999E-4</v>
      </c>
      <c r="BR267" s="93" t="s">
        <v>426</v>
      </c>
      <c r="BS267" s="93">
        <v>0.1</v>
      </c>
      <c r="BT267" s="93">
        <v>1</v>
      </c>
      <c r="BU267" s="93" t="s">
        <v>258</v>
      </c>
      <c r="BV267" s="93" t="s">
        <v>476</v>
      </c>
      <c r="BW267" s="93">
        <v>1.38</v>
      </c>
      <c r="BX267" s="93" t="s">
        <v>571</v>
      </c>
      <c r="BY267" s="93">
        <v>0.1</v>
      </c>
      <c r="BZ267" s="93">
        <v>1</v>
      </c>
      <c r="CA267" s="93" t="s">
        <v>258</v>
      </c>
      <c r="CB267" s="180"/>
      <c r="CC267" s="178"/>
      <c r="CD267" s="178"/>
      <c r="CE267" s="180"/>
      <c r="CF267" s="180"/>
      <c r="CG267" s="180"/>
      <c r="CH267" s="180"/>
      <c r="CI267" s="178"/>
      <c r="CJ267" s="178"/>
      <c r="CK267" s="180"/>
      <c r="CL267" s="180"/>
      <c r="CM267" s="180"/>
      <c r="CN267" s="116"/>
      <c r="CO267" s="218">
        <f t="shared" si="136"/>
        <v>0.1</v>
      </c>
      <c r="CP267" s="100">
        <f t="shared" si="137"/>
        <v>0.55000000000000004</v>
      </c>
      <c r="CQ267" s="218">
        <f t="shared" si="138"/>
        <v>1</v>
      </c>
      <c r="CR267" s="101">
        <v>0.4</v>
      </c>
      <c r="CS267" s="101">
        <v>1</v>
      </c>
    </row>
    <row r="268" spans="1:97" s="101" customFormat="1" ht="29.25" hidden="1" customHeight="1" thickBot="1" x14ac:dyDescent="0.35">
      <c r="A268" s="99"/>
      <c r="V268" s="103"/>
      <c r="AA268" s="104"/>
      <c r="AB268" s="104"/>
      <c r="AD268" s="104"/>
      <c r="AE268" s="105"/>
      <c r="AH268" s="106"/>
      <c r="AI268" s="106"/>
      <c r="AK268" s="104"/>
      <c r="AR268" s="104"/>
      <c r="AT268" s="227" t="s">
        <v>485</v>
      </c>
      <c r="AU268" s="226">
        <v>0.15</v>
      </c>
      <c r="AV268" s="221">
        <f>((AU268*0.5*1)*0.5*(16/12))*(1-0)</f>
        <v>4.9999999999999996E-2</v>
      </c>
      <c r="AW268" s="221">
        <f>((AU268*0.5*0.5)*0.5*(16/12))*(1-0)</f>
        <v>2.4999999999999998E-2</v>
      </c>
      <c r="AX268" s="221">
        <f>((AU268*0.5*0.8)*0.5*(16/12))*(1-0.1)</f>
        <v>3.5999999999999997E-2</v>
      </c>
      <c r="AY268" s="93">
        <f t="shared" si="143"/>
        <v>1.7999999999999999E-2</v>
      </c>
      <c r="AZ268" s="93">
        <f t="shared" si="144"/>
        <v>2.7E-2</v>
      </c>
      <c r="BA268" s="93">
        <f t="shared" si="141"/>
        <v>3.1199999999999995E-2</v>
      </c>
      <c r="BB268" s="93">
        <f t="shared" si="142"/>
        <v>1.2316655390161741E-2</v>
      </c>
      <c r="BC268" s="93">
        <f t="shared" ref="BC268:BC275" si="145">1-((BA268-((BB268*2.78)/(SQRT(5))))/BA268)</f>
        <v>0.49079258210126642</v>
      </c>
      <c r="BD268" s="93"/>
      <c r="BE268" s="93"/>
      <c r="BF268" s="93"/>
      <c r="BG268" s="93"/>
      <c r="BH268" s="93" t="s">
        <v>97</v>
      </c>
      <c r="BI268" s="93" t="s">
        <v>575</v>
      </c>
      <c r="BJ268" s="93" t="s">
        <v>476</v>
      </c>
      <c r="BK268" s="93">
        <v>5.6000000000000004E-7</v>
      </c>
      <c r="BL268" s="93" t="s">
        <v>425</v>
      </c>
      <c r="BM268" s="93">
        <v>0.1</v>
      </c>
      <c r="BN268" s="93">
        <v>1</v>
      </c>
      <c r="BO268" s="93" t="s">
        <v>258</v>
      </c>
      <c r="BP268" s="93" t="s">
        <v>476</v>
      </c>
      <c r="BQ268" s="93">
        <v>1E-4</v>
      </c>
      <c r="BR268" s="93" t="s">
        <v>426</v>
      </c>
      <c r="BS268" s="93">
        <v>0.1</v>
      </c>
      <c r="BT268" s="93">
        <v>1</v>
      </c>
      <c r="BU268" s="93" t="s">
        <v>258</v>
      </c>
      <c r="BV268" s="93" t="s">
        <v>476</v>
      </c>
      <c r="BW268" s="93">
        <v>0.56999999999999995</v>
      </c>
      <c r="BX268" s="93" t="s">
        <v>571</v>
      </c>
      <c r="BY268" s="93">
        <v>0.1</v>
      </c>
      <c r="BZ268" s="93">
        <v>1</v>
      </c>
      <c r="CA268" s="93" t="s">
        <v>258</v>
      </c>
      <c r="CB268" s="180"/>
      <c r="CC268" s="178"/>
      <c r="CD268" s="178"/>
      <c r="CE268" s="180"/>
      <c r="CF268" s="180"/>
      <c r="CG268" s="180"/>
      <c r="CH268" s="180"/>
      <c r="CI268" s="178"/>
      <c r="CJ268" s="178"/>
      <c r="CK268" s="180"/>
      <c r="CL268" s="180"/>
      <c r="CM268" s="180"/>
      <c r="CN268" s="116"/>
      <c r="CO268" s="218">
        <f t="shared" si="136"/>
        <v>0.1</v>
      </c>
      <c r="CP268" s="100">
        <f t="shared" si="137"/>
        <v>0.55000000000000004</v>
      </c>
      <c r="CQ268" s="218">
        <f t="shared" si="138"/>
        <v>1</v>
      </c>
      <c r="CR268" s="101">
        <v>0.4</v>
      </c>
      <c r="CS268" s="101">
        <v>1</v>
      </c>
    </row>
    <row r="269" spans="1:97" s="101" customFormat="1" ht="29.25" hidden="1" customHeight="1" thickBot="1" x14ac:dyDescent="0.35">
      <c r="A269" s="99"/>
      <c r="V269" s="103"/>
      <c r="AA269" s="104"/>
      <c r="AB269" s="104"/>
      <c r="AD269" s="104"/>
      <c r="AE269" s="105"/>
      <c r="AH269" s="106"/>
      <c r="AI269" s="106"/>
      <c r="AK269" s="104"/>
      <c r="AR269" s="104"/>
      <c r="AT269" s="227" t="s">
        <v>488</v>
      </c>
      <c r="AU269" s="226">
        <v>0.15</v>
      </c>
      <c r="AV269" s="221">
        <f t="shared" ref="AV269:AV275" si="146">((AU269*0.5*1)*0.5*(16/12))*(1-0)</f>
        <v>4.9999999999999996E-2</v>
      </c>
      <c r="AW269" s="221">
        <f t="shared" ref="AW269:AW275" si="147">((AU269*0.5*0.5)*0.5*(16/12))*(1-0)</f>
        <v>2.4999999999999998E-2</v>
      </c>
      <c r="AX269" s="221">
        <f t="shared" ref="AX269:AX275" si="148">((AU269*0.5*0.8)*0.5*(16/12))*(1-0.1)</f>
        <v>3.5999999999999997E-2</v>
      </c>
      <c r="AY269" s="93">
        <f t="shared" si="143"/>
        <v>1.7999999999999999E-2</v>
      </c>
      <c r="AZ269" s="93">
        <f t="shared" si="144"/>
        <v>2.7E-2</v>
      </c>
      <c r="BA269" s="93">
        <f t="shared" si="141"/>
        <v>3.1199999999999995E-2</v>
      </c>
      <c r="BB269" s="93">
        <f t="shared" si="142"/>
        <v>1.2316655390161741E-2</v>
      </c>
      <c r="BC269" s="93">
        <f t="shared" si="145"/>
        <v>0.49079258210126642</v>
      </c>
      <c r="BD269" s="93"/>
      <c r="BE269" s="93"/>
      <c r="BF269" s="93"/>
      <c r="BG269" s="93"/>
      <c r="BH269" s="93" t="s">
        <v>97</v>
      </c>
      <c r="BI269" s="93" t="s">
        <v>599</v>
      </c>
      <c r="BJ269" s="93" t="s">
        <v>476</v>
      </c>
      <c r="BK269" s="93">
        <v>5.6000000000000004E-7</v>
      </c>
      <c r="BL269" s="93" t="s">
        <v>425</v>
      </c>
      <c r="BM269" s="93">
        <v>0.1</v>
      </c>
      <c r="BN269" s="93">
        <v>1</v>
      </c>
      <c r="BO269" s="93" t="s">
        <v>258</v>
      </c>
      <c r="BP269" s="93" t="s">
        <v>476</v>
      </c>
      <c r="BQ269" s="93">
        <v>4.2000000000000002E-4</v>
      </c>
      <c r="BR269" s="93" t="s">
        <v>426</v>
      </c>
      <c r="BS269" s="93">
        <v>0.1</v>
      </c>
      <c r="BT269" s="93">
        <v>1</v>
      </c>
      <c r="BU269" s="93" t="s">
        <v>258</v>
      </c>
      <c r="BV269" s="93" t="s">
        <v>476</v>
      </c>
      <c r="BW269" s="93">
        <v>0.17</v>
      </c>
      <c r="BX269" s="93" t="s">
        <v>571</v>
      </c>
      <c r="BY269" s="93">
        <v>0.1</v>
      </c>
      <c r="BZ269" s="93">
        <v>1</v>
      </c>
      <c r="CA269" s="93" t="s">
        <v>258</v>
      </c>
      <c r="CB269" s="180"/>
      <c r="CC269" s="178"/>
      <c r="CD269" s="178"/>
      <c r="CE269" s="180"/>
      <c r="CF269" s="180"/>
      <c r="CG269" s="180"/>
      <c r="CH269" s="180"/>
      <c r="CI269" s="178"/>
      <c r="CJ269" s="178"/>
      <c r="CK269" s="180"/>
      <c r="CL269" s="180"/>
      <c r="CM269" s="180"/>
      <c r="CN269" s="116"/>
      <c r="CO269" s="218">
        <f t="shared" si="136"/>
        <v>0.1</v>
      </c>
      <c r="CP269" s="100">
        <f t="shared" si="137"/>
        <v>0.55000000000000004</v>
      </c>
      <c r="CQ269" s="218">
        <f t="shared" si="138"/>
        <v>1</v>
      </c>
      <c r="CR269" s="101">
        <v>0.4</v>
      </c>
      <c r="CS269" s="101">
        <v>1</v>
      </c>
    </row>
    <row r="270" spans="1:97" s="101" customFormat="1" ht="29.25" hidden="1" customHeight="1" thickBot="1" x14ac:dyDescent="0.35">
      <c r="A270" s="99"/>
      <c r="V270" s="103"/>
      <c r="AA270" s="104"/>
      <c r="AB270" s="104"/>
      <c r="AD270" s="104"/>
      <c r="AE270" s="105"/>
      <c r="AH270" s="106"/>
      <c r="AI270" s="106"/>
      <c r="AK270" s="104"/>
      <c r="AR270" s="104"/>
      <c r="AT270" s="227" t="s">
        <v>487</v>
      </c>
      <c r="AU270" s="226">
        <v>0.24</v>
      </c>
      <c r="AV270" s="221">
        <f t="shared" si="146"/>
        <v>7.9999999999999988E-2</v>
      </c>
      <c r="AW270" s="221">
        <f t="shared" si="147"/>
        <v>3.9999999999999994E-2</v>
      </c>
      <c r="AX270" s="221">
        <f t="shared" si="148"/>
        <v>5.7600000000000005E-2</v>
      </c>
      <c r="AY270" s="93">
        <f t="shared" si="143"/>
        <v>2.8800000000000003E-2</v>
      </c>
      <c r="AZ270" s="93">
        <f t="shared" si="144"/>
        <v>4.3199999999999995E-2</v>
      </c>
      <c r="BA270" s="93">
        <f t="shared" si="141"/>
        <v>4.9919999999999992E-2</v>
      </c>
      <c r="BB270" s="93">
        <f t="shared" si="142"/>
        <v>1.9706648624258784E-2</v>
      </c>
      <c r="BC270" s="93">
        <f t="shared" si="145"/>
        <v>0.49079258210126631</v>
      </c>
      <c r="BD270" s="93"/>
      <c r="BE270" s="93"/>
      <c r="BF270" s="93"/>
      <c r="BG270" s="93"/>
      <c r="BH270" s="93" t="s">
        <v>97</v>
      </c>
      <c r="BI270" s="93" t="s">
        <v>600</v>
      </c>
      <c r="BJ270" s="93" t="s">
        <v>476</v>
      </c>
      <c r="BK270" s="93">
        <v>9.7000000000000003E-6</v>
      </c>
      <c r="BL270" s="93" t="s">
        <v>425</v>
      </c>
      <c r="BM270" s="93">
        <v>0.1</v>
      </c>
      <c r="BN270" s="93">
        <v>1</v>
      </c>
      <c r="BO270" s="93" t="s">
        <v>258</v>
      </c>
      <c r="BP270" s="93" t="s">
        <v>476</v>
      </c>
      <c r="BQ270" s="93">
        <v>8.9999999999999998E-4</v>
      </c>
      <c r="BR270" s="93" t="s">
        <v>426</v>
      </c>
      <c r="BS270" s="93">
        <v>0.1</v>
      </c>
      <c r="BT270" s="93">
        <v>1</v>
      </c>
      <c r="BU270" s="93" t="s">
        <v>258</v>
      </c>
      <c r="BV270" s="93" t="s">
        <v>476</v>
      </c>
      <c r="BW270" s="93">
        <v>0.57999999999999996</v>
      </c>
      <c r="BX270" s="93" t="s">
        <v>571</v>
      </c>
      <c r="BY270" s="93">
        <v>0.1</v>
      </c>
      <c r="BZ270" s="93">
        <v>1</v>
      </c>
      <c r="CA270" s="93" t="s">
        <v>258</v>
      </c>
      <c r="CB270" s="180"/>
      <c r="CC270" s="178"/>
      <c r="CD270" s="178"/>
      <c r="CE270" s="180"/>
      <c r="CF270" s="180"/>
      <c r="CG270" s="180"/>
      <c r="CH270" s="180"/>
      <c r="CI270" s="178"/>
      <c r="CJ270" s="178"/>
      <c r="CK270" s="180"/>
      <c r="CL270" s="180"/>
      <c r="CM270" s="180"/>
      <c r="CN270" s="116"/>
      <c r="CO270" s="218">
        <f t="shared" si="136"/>
        <v>0.1</v>
      </c>
      <c r="CP270" s="100">
        <f t="shared" si="137"/>
        <v>0.55000000000000004</v>
      </c>
      <c r="CQ270" s="218">
        <f t="shared" si="138"/>
        <v>1</v>
      </c>
      <c r="CR270" s="101">
        <v>0.4</v>
      </c>
      <c r="CS270" s="101">
        <v>1</v>
      </c>
    </row>
    <row r="271" spans="1:97" s="101" customFormat="1" ht="29.25" hidden="1" customHeight="1" thickBot="1" x14ac:dyDescent="0.35">
      <c r="A271" s="99"/>
      <c r="V271" s="103"/>
      <c r="AA271" s="104"/>
      <c r="AB271" s="104"/>
      <c r="AD271" s="104"/>
      <c r="AE271" s="105"/>
      <c r="AH271" s="106"/>
      <c r="AI271" s="106"/>
      <c r="AK271" s="104"/>
      <c r="AR271" s="104"/>
      <c r="AT271" s="227" t="s">
        <v>489</v>
      </c>
      <c r="AU271" s="226">
        <v>0.43</v>
      </c>
      <c r="AV271" s="221">
        <f t="shared" si="146"/>
        <v>0.14333333333333331</v>
      </c>
      <c r="AW271" s="221">
        <f t="shared" si="147"/>
        <v>7.1666666666666656E-2</v>
      </c>
      <c r="AX271" s="221">
        <f t="shared" si="148"/>
        <v>0.1032</v>
      </c>
      <c r="AY271" s="93">
        <f t="shared" si="143"/>
        <v>5.16E-2</v>
      </c>
      <c r="AZ271" s="93">
        <f t="shared" si="144"/>
        <v>7.7399999999999997E-2</v>
      </c>
      <c r="BA271" s="93">
        <f t="shared" si="141"/>
        <v>8.9439999999999992E-2</v>
      </c>
      <c r="BB271" s="93">
        <f t="shared" si="142"/>
        <v>3.5307745451796956E-2</v>
      </c>
      <c r="BC271" s="93">
        <f t="shared" si="145"/>
        <v>0.49079258210126586</v>
      </c>
      <c r="BD271" s="93"/>
      <c r="BE271" s="93"/>
      <c r="BF271" s="93"/>
      <c r="BG271" s="93"/>
      <c r="BH271" s="93" t="s">
        <v>97</v>
      </c>
      <c r="BI271" s="93" t="s">
        <v>576</v>
      </c>
      <c r="BJ271" s="93" t="s">
        <v>476</v>
      </c>
      <c r="BK271" s="93">
        <v>9.7000000000000003E-6</v>
      </c>
      <c r="BL271" s="93" t="s">
        <v>425</v>
      </c>
      <c r="BM271" s="93">
        <v>0.1</v>
      </c>
      <c r="BN271" s="93">
        <v>1</v>
      </c>
      <c r="BO271" s="93" t="s">
        <v>258</v>
      </c>
      <c r="BP271" s="93" t="s">
        <v>476</v>
      </c>
      <c r="BQ271" s="93">
        <v>4.4999999999999999E-4</v>
      </c>
      <c r="BR271" s="93" t="s">
        <v>426</v>
      </c>
      <c r="BS271" s="93">
        <v>0.1</v>
      </c>
      <c r="BT271" s="93">
        <v>1</v>
      </c>
      <c r="BU271" s="93" t="s">
        <v>258</v>
      </c>
      <c r="BV271" s="93" t="s">
        <v>476</v>
      </c>
      <c r="BW271" s="93">
        <v>1.47</v>
      </c>
      <c r="BX271" s="93" t="s">
        <v>571</v>
      </c>
      <c r="BY271" s="93">
        <v>0.1</v>
      </c>
      <c r="BZ271" s="93">
        <v>1</v>
      </c>
      <c r="CA271" s="93" t="s">
        <v>258</v>
      </c>
      <c r="CB271" s="180"/>
      <c r="CC271" s="178"/>
      <c r="CD271" s="178"/>
      <c r="CE271" s="180"/>
      <c r="CF271" s="180"/>
      <c r="CG271" s="180"/>
      <c r="CH271" s="180"/>
      <c r="CI271" s="178"/>
      <c r="CJ271" s="178"/>
      <c r="CK271" s="180"/>
      <c r="CL271" s="180"/>
      <c r="CM271" s="180"/>
      <c r="CN271" s="116"/>
      <c r="CO271" s="218">
        <f t="shared" si="136"/>
        <v>0.1</v>
      </c>
      <c r="CP271" s="100">
        <f t="shared" si="137"/>
        <v>0.55000000000000004</v>
      </c>
      <c r="CQ271" s="218">
        <f t="shared" si="138"/>
        <v>1</v>
      </c>
      <c r="CR271" s="101">
        <v>0.4</v>
      </c>
      <c r="CS271" s="101">
        <v>1</v>
      </c>
    </row>
    <row r="272" spans="1:97" s="101" customFormat="1" ht="15" hidden="1" customHeight="1" x14ac:dyDescent="0.25">
      <c r="A272" s="99"/>
      <c r="V272" s="103"/>
      <c r="AA272" s="104"/>
      <c r="AB272" s="104"/>
      <c r="AD272" s="104"/>
      <c r="AE272" s="105"/>
      <c r="AH272" s="106"/>
      <c r="AI272" s="106"/>
      <c r="AK272" s="104"/>
      <c r="AR272" s="104"/>
      <c r="AT272" s="227" t="s">
        <v>490</v>
      </c>
      <c r="AU272" s="226">
        <v>0.4</v>
      </c>
      <c r="AV272" s="221">
        <f t="shared" si="146"/>
        <v>0.13333333333333333</v>
      </c>
      <c r="AW272" s="221">
        <f t="shared" si="147"/>
        <v>6.6666666666666666E-2</v>
      </c>
      <c r="AX272" s="221">
        <f t="shared" si="148"/>
        <v>9.6000000000000016E-2</v>
      </c>
      <c r="AY272" s="93">
        <f t="shared" si="143"/>
        <v>4.8000000000000008E-2</v>
      </c>
      <c r="AZ272" s="93">
        <f t="shared" si="144"/>
        <v>7.1999999999999995E-2</v>
      </c>
      <c r="BA272" s="93">
        <f t="shared" si="141"/>
        <v>8.320000000000001E-2</v>
      </c>
      <c r="BB272" s="93">
        <f t="shared" si="142"/>
        <v>3.2844414373764612E-2</v>
      </c>
      <c r="BC272" s="93">
        <f t="shared" si="145"/>
        <v>0.49079258210126586</v>
      </c>
      <c r="BD272" s="93"/>
      <c r="BE272" s="93"/>
      <c r="BF272" s="93"/>
      <c r="BG272" s="93"/>
      <c r="BH272" s="93"/>
      <c r="BI272" s="93"/>
      <c r="BJ272" s="93"/>
      <c r="BK272" s="93"/>
      <c r="BL272" s="93"/>
      <c r="BM272" s="93"/>
      <c r="BN272" s="93"/>
      <c r="BO272" s="93"/>
      <c r="BP272" s="93"/>
      <c r="BQ272" s="93"/>
      <c r="BR272" s="93"/>
      <c r="BS272" s="93"/>
      <c r="BT272" s="93"/>
      <c r="BU272" s="93"/>
      <c r="BV272" s="93"/>
      <c r="BW272" s="93"/>
      <c r="BX272" s="93"/>
      <c r="BY272" s="93"/>
      <c r="BZ272" s="93"/>
      <c r="CA272" s="93"/>
      <c r="CB272" s="180"/>
      <c r="CC272" s="178"/>
      <c r="CD272" s="178"/>
      <c r="CE272" s="180"/>
      <c r="CF272" s="180"/>
      <c r="CG272" s="180"/>
      <c r="CH272" s="180"/>
      <c r="CI272" s="178"/>
      <c r="CJ272" s="178"/>
      <c r="CK272" s="180"/>
      <c r="CL272" s="180"/>
      <c r="CM272" s="180"/>
      <c r="CN272" s="116"/>
      <c r="CO272" s="218">
        <f t="shared" si="136"/>
        <v>0</v>
      </c>
      <c r="CP272" s="100">
        <f t="shared" si="137"/>
        <v>0</v>
      </c>
      <c r="CQ272" s="218">
        <f t="shared" si="138"/>
        <v>0</v>
      </c>
    </row>
    <row r="273" spans="1:113" s="101" customFormat="1" ht="18" hidden="1" customHeight="1" x14ac:dyDescent="0.25">
      <c r="A273" s="99"/>
      <c r="V273" s="103"/>
      <c r="AA273" s="104"/>
      <c r="AB273" s="104"/>
      <c r="AD273" s="104"/>
      <c r="AE273" s="105"/>
      <c r="AH273" s="106"/>
      <c r="AI273" s="106"/>
      <c r="AK273" s="104"/>
      <c r="AR273" s="104"/>
      <c r="AT273" s="227" t="s">
        <v>491</v>
      </c>
      <c r="AU273" s="226">
        <v>0.39</v>
      </c>
      <c r="AV273" s="221">
        <f t="shared" si="146"/>
        <v>0.13</v>
      </c>
      <c r="AW273" s="221">
        <f t="shared" si="147"/>
        <v>6.5000000000000002E-2</v>
      </c>
      <c r="AX273" s="221">
        <f t="shared" si="148"/>
        <v>9.3600000000000017E-2</v>
      </c>
      <c r="AY273" s="93">
        <f t="shared" si="143"/>
        <v>4.6800000000000008E-2</v>
      </c>
      <c r="AZ273" s="93">
        <f t="shared" si="144"/>
        <v>7.0199999999999985E-2</v>
      </c>
      <c r="BA273" s="93">
        <f t="shared" si="141"/>
        <v>8.1119999999999998E-2</v>
      </c>
      <c r="BB273" s="93">
        <f t="shared" si="142"/>
        <v>3.2023304014420516E-2</v>
      </c>
      <c r="BC273" s="93">
        <f t="shared" si="145"/>
        <v>0.49079258210126619</v>
      </c>
      <c r="BD273" s="93"/>
      <c r="BE273" s="93"/>
      <c r="BF273" s="93"/>
      <c r="BG273" s="93"/>
      <c r="BH273" s="93"/>
      <c r="BI273" s="93"/>
      <c r="BJ273" s="93"/>
      <c r="BK273" s="93"/>
      <c r="BL273" s="93"/>
      <c r="BM273" s="93"/>
      <c r="BN273" s="93"/>
      <c r="BO273" s="93"/>
      <c r="BP273" s="93"/>
      <c r="BQ273" s="93"/>
      <c r="BR273" s="93"/>
      <c r="BS273" s="93"/>
      <c r="BT273" s="93"/>
      <c r="BU273" s="93"/>
      <c r="BV273" s="93"/>
      <c r="BW273" s="93"/>
      <c r="BX273" s="93"/>
      <c r="BY273" s="93"/>
      <c r="BZ273" s="93"/>
      <c r="CA273" s="93"/>
      <c r="CB273" s="102"/>
      <c r="CC273" s="102"/>
      <c r="CD273" s="102"/>
      <c r="CE273" s="102"/>
      <c r="CF273" s="102"/>
      <c r="CG273" s="102"/>
      <c r="CH273" s="102"/>
      <c r="CI273" s="102"/>
      <c r="CJ273" s="102"/>
      <c r="CK273" s="102"/>
      <c r="CL273" s="102"/>
      <c r="CM273" s="102"/>
      <c r="CO273" s="218">
        <f t="shared" si="136"/>
        <v>0</v>
      </c>
      <c r="CP273" s="100">
        <f t="shared" si="137"/>
        <v>0</v>
      </c>
      <c r="CQ273" s="218">
        <f t="shared" si="138"/>
        <v>0</v>
      </c>
      <c r="DC273" s="116" t="s">
        <v>377</v>
      </c>
      <c r="DD273" s="116" t="s">
        <v>378</v>
      </c>
      <c r="DF273" s="116" t="s">
        <v>388</v>
      </c>
      <c r="DG273" s="116"/>
      <c r="DH273" s="116"/>
      <c r="DI273" s="116"/>
    </row>
    <row r="274" spans="1:113" s="101" customFormat="1" ht="33" hidden="1" customHeight="1" x14ac:dyDescent="0.25">
      <c r="A274" s="99"/>
      <c r="V274" s="103"/>
      <c r="AA274" s="104"/>
      <c r="AB274" s="104"/>
      <c r="AD274" s="104"/>
      <c r="AE274" s="105"/>
      <c r="AH274" s="106"/>
      <c r="AI274" s="106"/>
      <c r="AK274" s="104"/>
      <c r="AR274" s="104"/>
      <c r="AT274" s="227" t="s">
        <v>499</v>
      </c>
      <c r="AU274" s="226">
        <v>0.04</v>
      </c>
      <c r="AV274" s="221">
        <f t="shared" si="146"/>
        <v>1.3333333333333332E-2</v>
      </c>
      <c r="AW274" s="221">
        <f t="shared" si="147"/>
        <v>6.6666666666666662E-3</v>
      </c>
      <c r="AX274" s="221">
        <f t="shared" si="148"/>
        <v>9.5999999999999992E-3</v>
      </c>
      <c r="AY274" s="93">
        <f t="shared" si="143"/>
        <v>4.7999999999999996E-3</v>
      </c>
      <c r="AZ274" s="93">
        <f t="shared" si="144"/>
        <v>7.2000000000000007E-3</v>
      </c>
      <c r="BA274" s="93">
        <f t="shared" si="141"/>
        <v>8.3199999999999975E-3</v>
      </c>
      <c r="BB274" s="93">
        <f t="shared" si="142"/>
        <v>3.2844414373764635E-3</v>
      </c>
      <c r="BC274" s="93">
        <f t="shared" si="145"/>
        <v>0.49079258210126642</v>
      </c>
      <c r="BD274" s="93"/>
      <c r="BE274" s="93"/>
      <c r="BF274" s="93"/>
      <c r="BG274" s="93"/>
      <c r="BH274" s="93"/>
      <c r="BI274" s="93" t="s">
        <v>334</v>
      </c>
      <c r="BJ274" s="93" t="s">
        <v>253</v>
      </c>
      <c r="BK274" s="93" t="s">
        <v>279</v>
      </c>
      <c r="BL274" s="93"/>
      <c r="BM274" s="93" t="s">
        <v>233</v>
      </c>
      <c r="BN274" s="93" t="s">
        <v>233</v>
      </c>
      <c r="BO274" s="93" t="s">
        <v>240</v>
      </c>
      <c r="BP274" s="93"/>
      <c r="BQ274" s="93"/>
      <c r="BR274" s="93"/>
      <c r="BS274" s="93"/>
      <c r="BT274" s="93"/>
      <c r="BU274" s="93"/>
      <c r="BV274" s="93"/>
      <c r="BW274" s="93"/>
      <c r="BX274" s="93"/>
      <c r="BY274" s="93"/>
      <c r="BZ274" s="93"/>
      <c r="CA274" s="93"/>
      <c r="CB274" s="102"/>
      <c r="CC274" s="102"/>
      <c r="CD274" s="102"/>
      <c r="CE274" s="102"/>
      <c r="CF274" s="102"/>
      <c r="CG274" s="102"/>
      <c r="CH274" s="102"/>
      <c r="CI274" s="102"/>
      <c r="CJ274" s="102"/>
      <c r="CK274" s="102"/>
      <c r="CL274" s="102"/>
      <c r="CM274" s="102"/>
      <c r="CO274" s="218" t="str">
        <f t="shared" si="136"/>
        <v>Incertidumbre (+/- %)</v>
      </c>
      <c r="CP274" s="100" t="e">
        <f t="shared" si="137"/>
        <v>#VALUE!</v>
      </c>
      <c r="CQ274" s="218" t="str">
        <f t="shared" si="138"/>
        <v>Incertidumbre (+/- %)</v>
      </c>
      <c r="DA274" s="101">
        <v>0</v>
      </c>
      <c r="DC274" s="116" t="s">
        <v>99</v>
      </c>
      <c r="DD274" s="116" t="s">
        <v>98</v>
      </c>
      <c r="DF274" s="116" t="s">
        <v>98</v>
      </c>
      <c r="DG274" s="116"/>
      <c r="DH274" s="116"/>
      <c r="DI274" s="116"/>
    </row>
    <row r="275" spans="1:113" s="101" customFormat="1" ht="15.75" hidden="1" customHeight="1" thickBot="1" x14ac:dyDescent="0.3">
      <c r="A275" s="99"/>
      <c r="V275" s="103"/>
      <c r="AA275" s="104"/>
      <c r="AB275" s="104"/>
      <c r="AD275" s="104"/>
      <c r="AE275" s="105"/>
      <c r="AH275" s="106"/>
      <c r="AI275" s="106"/>
      <c r="AK275" s="104"/>
      <c r="AR275" s="104"/>
      <c r="AT275" s="227" t="s">
        <v>492</v>
      </c>
      <c r="AU275" s="226">
        <v>0.01</v>
      </c>
      <c r="AV275" s="221">
        <f t="shared" si="146"/>
        <v>3.3333333333333331E-3</v>
      </c>
      <c r="AW275" s="221">
        <f t="shared" si="147"/>
        <v>1.6666666666666666E-3</v>
      </c>
      <c r="AX275" s="221">
        <f t="shared" si="148"/>
        <v>2.3999999999999998E-3</v>
      </c>
      <c r="AY275" s="93">
        <f t="shared" si="143"/>
        <v>1.1999999999999999E-3</v>
      </c>
      <c r="AZ275" s="93">
        <f t="shared" si="144"/>
        <v>1.8000000000000002E-3</v>
      </c>
      <c r="BA275" s="93">
        <f t="shared" si="141"/>
        <v>2.0799999999999994E-3</v>
      </c>
      <c r="BB275" s="93">
        <f t="shared" si="142"/>
        <v>8.2111035934411534E-4</v>
      </c>
      <c r="BC275" s="93">
        <f t="shared" si="145"/>
        <v>0.49079258210126597</v>
      </c>
      <c r="BD275" s="93"/>
      <c r="BE275" s="93"/>
      <c r="BF275" s="93"/>
      <c r="BG275" s="93"/>
      <c r="BH275" s="93"/>
      <c r="BI275" s="93"/>
      <c r="BJ275" s="93"/>
      <c r="BK275" s="93"/>
      <c r="BL275" s="93" t="s">
        <v>251</v>
      </c>
      <c r="BM275" s="93"/>
      <c r="BN275" s="93"/>
      <c r="BO275" s="93"/>
      <c r="BP275" s="93"/>
      <c r="BQ275" s="93"/>
      <c r="BR275" s="93"/>
      <c r="BS275" s="93"/>
      <c r="BT275" s="93"/>
      <c r="BU275" s="93"/>
      <c r="BV275" s="93"/>
      <c r="BW275" s="93"/>
      <c r="BX275" s="93"/>
      <c r="BY275" s="93"/>
      <c r="BZ275" s="93"/>
      <c r="CA275" s="93"/>
      <c r="CB275" s="102"/>
      <c r="CC275" s="102"/>
      <c r="CD275" s="102"/>
      <c r="CE275" s="102"/>
      <c r="CF275" s="102"/>
      <c r="CG275" s="102"/>
      <c r="CH275" s="102"/>
      <c r="CI275" s="102"/>
      <c r="CJ275" s="102"/>
      <c r="CK275" s="102"/>
      <c r="CL275" s="102"/>
      <c r="CM275" s="102"/>
      <c r="CO275" s="218">
        <f t="shared" si="136"/>
        <v>0</v>
      </c>
      <c r="CP275" s="100">
        <f t="shared" si="137"/>
        <v>0</v>
      </c>
      <c r="CQ275" s="218">
        <f t="shared" si="138"/>
        <v>0</v>
      </c>
      <c r="DA275" s="101">
        <v>0</v>
      </c>
      <c r="DC275" s="116">
        <v>0</v>
      </c>
      <c r="DD275" s="116">
        <v>0</v>
      </c>
      <c r="DF275" s="116">
        <v>0</v>
      </c>
      <c r="DG275" s="116"/>
      <c r="DH275" s="116"/>
      <c r="DI275" s="116"/>
    </row>
    <row r="276" spans="1:113" s="101" customFormat="1" ht="39" hidden="1" customHeight="1" x14ac:dyDescent="0.35">
      <c r="A276" s="99"/>
      <c r="V276" s="103"/>
      <c r="AA276" s="104"/>
      <c r="AB276" s="104"/>
      <c r="AD276" s="104"/>
      <c r="AE276" s="105"/>
      <c r="AH276" s="106"/>
      <c r="AI276" s="106"/>
      <c r="AK276" s="104"/>
      <c r="AR276" s="104"/>
      <c r="AT276" s="100"/>
      <c r="AU276" s="233" t="s">
        <v>119</v>
      </c>
      <c r="AV276" s="234">
        <f>AVERAGE(AV266:AV275)</f>
        <v>6.749766666666665E-2</v>
      </c>
      <c r="AW276" s="234">
        <f>AVERAGE(AW266:AW275)</f>
        <v>3.3748833333333325E-2</v>
      </c>
      <c r="AX276" s="234">
        <f>AVERAGE(AX266:AX275)</f>
        <v>4.8598320000000007E-2</v>
      </c>
      <c r="AY276" s="93">
        <f>AVERAGE(AY266:AY275)</f>
        <v>2.4299160000000004E-2</v>
      </c>
      <c r="AZ276" s="93">
        <f>AVERAGE(AZ266:AZ275)</f>
        <v>3.6448739999999993E-2</v>
      </c>
      <c r="BA276" s="93"/>
      <c r="BB276" s="93"/>
      <c r="BC276" s="93"/>
      <c r="BD276" s="93"/>
      <c r="BE276" s="93"/>
      <c r="BF276" s="93"/>
      <c r="BG276" s="93"/>
      <c r="BH276" s="93" t="s">
        <v>54</v>
      </c>
      <c r="BI276" s="93" t="s">
        <v>500</v>
      </c>
      <c r="BJ276" s="93" t="s">
        <v>100</v>
      </c>
      <c r="BK276" s="93">
        <v>84.62</v>
      </c>
      <c r="BL276" s="93" t="s">
        <v>413</v>
      </c>
      <c r="BM276" s="93">
        <v>0.2</v>
      </c>
      <c r="BN276" s="93">
        <v>0.5</v>
      </c>
      <c r="BO276" s="93" t="s">
        <v>462</v>
      </c>
      <c r="BP276" s="93"/>
      <c r="BQ276" s="93">
        <v>1425</v>
      </c>
      <c r="BR276" s="93" t="s">
        <v>414</v>
      </c>
      <c r="BS276" s="93"/>
      <c r="BT276" s="93"/>
      <c r="BU276" s="93"/>
      <c r="BV276" s="93"/>
      <c r="BW276" s="93"/>
      <c r="BX276" s="93"/>
      <c r="BY276" s="93"/>
      <c r="BZ276" s="93"/>
      <c r="CA276" s="93"/>
      <c r="CB276" s="102"/>
      <c r="CC276" s="102"/>
      <c r="CD276" s="102"/>
      <c r="CE276" s="102"/>
      <c r="CF276" s="102"/>
      <c r="CG276" s="102"/>
      <c r="CH276" s="102"/>
      <c r="CI276" s="102"/>
      <c r="CJ276" s="102"/>
      <c r="CK276" s="102"/>
      <c r="CL276" s="102"/>
      <c r="CM276" s="102"/>
      <c r="CO276" s="218">
        <f t="shared" si="136"/>
        <v>0.2</v>
      </c>
      <c r="CP276" s="100">
        <f t="shared" si="137"/>
        <v>0.35</v>
      </c>
      <c r="CQ276" s="218">
        <f t="shared" si="138"/>
        <v>0.5</v>
      </c>
      <c r="CR276" s="101">
        <v>0.2</v>
      </c>
      <c r="CS276" s="101">
        <v>0.5</v>
      </c>
      <c r="CZ276" s="101" t="s">
        <v>54</v>
      </c>
      <c r="DA276" s="101" t="s">
        <v>57</v>
      </c>
      <c r="DB276" s="101" t="s">
        <v>100</v>
      </c>
      <c r="DC276" s="116">
        <v>57</v>
      </c>
      <c r="DD276" s="141">
        <f>+DC276*21</f>
        <v>1197</v>
      </c>
      <c r="DE276" s="116" t="s">
        <v>375</v>
      </c>
      <c r="DF276" s="116">
        <f t="shared" ref="DF276:DF292" si="149">+DC276*25</f>
        <v>1425</v>
      </c>
      <c r="DG276" s="116"/>
      <c r="DH276" s="116"/>
      <c r="DI276" s="116"/>
    </row>
    <row r="277" spans="1:113" s="101" customFormat="1" ht="39" hidden="1" customHeight="1" x14ac:dyDescent="0.35">
      <c r="A277" s="99"/>
      <c r="V277" s="103"/>
      <c r="AA277" s="104"/>
      <c r="AB277" s="104"/>
      <c r="AD277" s="104"/>
      <c r="AE277" s="105"/>
      <c r="AH277" s="106"/>
      <c r="AI277" s="106"/>
      <c r="AK277" s="104"/>
      <c r="AR277" s="104"/>
      <c r="AT277" s="100"/>
      <c r="AU277" s="233" t="s">
        <v>503</v>
      </c>
      <c r="AV277" s="233">
        <f>STDEV(AV266:AV275)</f>
        <v>5.2230230403710561E-2</v>
      </c>
      <c r="AW277" s="233">
        <f>STDEV(AW266:AW275)</f>
        <v>2.611511520185528E-2</v>
      </c>
      <c r="AX277" s="233">
        <f>STDEV(AX266:AX275)</f>
        <v>3.7605765890671605E-2</v>
      </c>
      <c r="AY277" s="93">
        <f>STDEV(AY266:AY275)</f>
        <v>1.8802882945335803E-2</v>
      </c>
      <c r="AZ277" s="93">
        <f>STDEV(AZ266:AZ275)</f>
        <v>2.8204324418003707E-2</v>
      </c>
      <c r="BA277" s="93"/>
      <c r="BB277" s="93"/>
      <c r="BC277" s="93"/>
      <c r="BD277" s="93"/>
      <c r="BE277" s="93"/>
      <c r="BF277" s="93"/>
      <c r="BG277" s="93"/>
      <c r="BH277" s="93"/>
      <c r="BI277" s="93" t="s">
        <v>501</v>
      </c>
      <c r="BJ277" s="93" t="s">
        <v>100</v>
      </c>
      <c r="BK277" s="93">
        <v>60.44</v>
      </c>
      <c r="BL277" s="93" t="s">
        <v>413</v>
      </c>
      <c r="BM277" s="93">
        <v>0.2</v>
      </c>
      <c r="BN277" s="93">
        <v>0.5</v>
      </c>
      <c r="BO277" s="93" t="s">
        <v>462</v>
      </c>
      <c r="BP277" s="93"/>
      <c r="BQ277" s="93"/>
      <c r="BR277" s="93"/>
      <c r="BS277" s="93"/>
      <c r="BT277" s="93"/>
      <c r="BU277" s="93"/>
      <c r="BV277" s="93"/>
      <c r="BW277" s="93"/>
      <c r="BX277" s="93"/>
      <c r="BY277" s="93"/>
      <c r="BZ277" s="93"/>
      <c r="CA277" s="93"/>
      <c r="CB277" s="102"/>
      <c r="CC277" s="102"/>
      <c r="CD277" s="102"/>
      <c r="CE277" s="102"/>
      <c r="CF277" s="102"/>
      <c r="CG277" s="102"/>
      <c r="CH277" s="102"/>
      <c r="CI277" s="102"/>
      <c r="CJ277" s="102"/>
      <c r="CK277" s="102"/>
      <c r="CL277" s="102"/>
      <c r="CM277" s="102"/>
      <c r="CO277" s="218">
        <f t="shared" si="136"/>
        <v>0.2</v>
      </c>
      <c r="CP277" s="100">
        <f t="shared" si="137"/>
        <v>0.35</v>
      </c>
      <c r="CQ277" s="218">
        <f t="shared" si="138"/>
        <v>0.5</v>
      </c>
      <c r="DC277" s="116"/>
      <c r="DD277" s="141"/>
      <c r="DE277" s="116"/>
      <c r="DF277" s="116"/>
      <c r="DG277" s="116"/>
      <c r="DH277" s="116"/>
      <c r="DI277" s="116"/>
    </row>
    <row r="278" spans="1:113" s="101" customFormat="1" ht="39" hidden="1" customHeight="1" x14ac:dyDescent="0.35">
      <c r="A278" s="99"/>
      <c r="V278" s="103"/>
      <c r="AA278" s="104"/>
      <c r="AB278" s="104"/>
      <c r="AD278" s="104"/>
      <c r="AE278" s="105"/>
      <c r="AH278" s="106"/>
      <c r="AI278" s="106"/>
      <c r="AK278" s="104"/>
      <c r="AR278" s="104"/>
      <c r="AU278" s="233" t="s">
        <v>117</v>
      </c>
      <c r="AV278" s="233">
        <f>BJ433</f>
        <v>2.31</v>
      </c>
      <c r="AW278" s="235">
        <f>AV278</f>
        <v>2.31</v>
      </c>
      <c r="AX278" s="235">
        <f>AW278</f>
        <v>2.31</v>
      </c>
      <c r="AY278" s="93">
        <f>AX278</f>
        <v>2.31</v>
      </c>
      <c r="AZ278" s="93">
        <f>AY278</f>
        <v>2.31</v>
      </c>
      <c r="BA278" s="93"/>
      <c r="BB278" s="93"/>
      <c r="BC278" s="93"/>
      <c r="BD278" s="93"/>
      <c r="BE278" s="93"/>
      <c r="BF278" s="93"/>
      <c r="BG278" s="93"/>
      <c r="BH278" s="93"/>
      <c r="BI278" s="93" t="s">
        <v>502</v>
      </c>
      <c r="BJ278" s="93" t="s">
        <v>100</v>
      </c>
      <c r="BK278" s="93">
        <v>53.05</v>
      </c>
      <c r="BL278" s="93" t="s">
        <v>413</v>
      </c>
      <c r="BM278" s="93">
        <v>0.2</v>
      </c>
      <c r="BN278" s="93">
        <v>0.5</v>
      </c>
      <c r="BO278" s="93" t="s">
        <v>462</v>
      </c>
      <c r="BP278" s="93"/>
      <c r="BQ278" s="93"/>
      <c r="BR278" s="93"/>
      <c r="BS278" s="93"/>
      <c r="BT278" s="93"/>
      <c r="BU278" s="93"/>
      <c r="BV278" s="93"/>
      <c r="BW278" s="93"/>
      <c r="BX278" s="93"/>
      <c r="BY278" s="93"/>
      <c r="BZ278" s="93"/>
      <c r="CA278" s="93"/>
      <c r="CB278" s="102"/>
      <c r="CC278" s="102"/>
      <c r="CD278" s="102"/>
      <c r="CE278" s="102"/>
      <c r="CF278" s="102"/>
      <c r="CG278" s="102"/>
      <c r="CH278" s="102"/>
      <c r="CI278" s="102"/>
      <c r="CJ278" s="102"/>
      <c r="CK278" s="102"/>
      <c r="CL278" s="102"/>
      <c r="CM278" s="102"/>
      <c r="CO278" s="218">
        <f t="shared" si="136"/>
        <v>0.2</v>
      </c>
      <c r="CP278" s="100">
        <f t="shared" si="137"/>
        <v>0.35</v>
      </c>
      <c r="CQ278" s="218">
        <f t="shared" si="138"/>
        <v>0.5</v>
      </c>
      <c r="DC278" s="116"/>
      <c r="DD278" s="141"/>
      <c r="DE278" s="116"/>
      <c r="DF278" s="116"/>
      <c r="DG278" s="116"/>
      <c r="DH278" s="116"/>
      <c r="DI278" s="116"/>
    </row>
    <row r="279" spans="1:113" s="101" customFormat="1" ht="15" hidden="1" customHeight="1" x14ac:dyDescent="0.35">
      <c r="A279" s="99"/>
      <c r="V279" s="103"/>
      <c r="AA279" s="104"/>
      <c r="AB279" s="104"/>
      <c r="AD279" s="104"/>
      <c r="AE279" s="105"/>
      <c r="AH279" s="106"/>
      <c r="AI279" s="106"/>
      <c r="AK279" s="104"/>
      <c r="AR279" s="104"/>
      <c r="AU279" s="233" t="s">
        <v>120</v>
      </c>
      <c r="AV279" s="232">
        <f>1-((AV276-((AV277*AV278)/(SQRT(9))))/AV276)</f>
        <v>0.59583211386354795</v>
      </c>
      <c r="AW279" s="232">
        <f>1-((AW276-((AW277*AW278)/(SQRT(9))))/AW276)</f>
        <v>0.59583211386354795</v>
      </c>
      <c r="AX279" s="232">
        <f>1-((AX276-((AX277*AX278)/(SQRT(9))))/AX276)</f>
        <v>0.59583211386354773</v>
      </c>
      <c r="AY279" s="93">
        <f>1-((AY276-((AY277*AY278)/(SQRT(9))))/AY276)</f>
        <v>0.59583211386354773</v>
      </c>
      <c r="AZ279" s="93">
        <f>1-((AZ276-((AZ277*AZ278)/(SQRT(9))))/AZ276)</f>
        <v>0.59583211386354806</v>
      </c>
      <c r="BA279" s="93"/>
      <c r="BB279" s="93"/>
      <c r="BC279" s="93"/>
      <c r="BD279" s="93"/>
      <c r="BE279" s="93"/>
      <c r="BF279" s="93"/>
      <c r="BG279" s="93"/>
      <c r="BH279" s="93"/>
      <c r="BI279" s="93" t="s">
        <v>463</v>
      </c>
      <c r="BJ279" s="93" t="s">
        <v>100</v>
      </c>
      <c r="BK279" s="93">
        <v>57.53</v>
      </c>
      <c r="BL279" s="93" t="s">
        <v>413</v>
      </c>
      <c r="BM279" s="93">
        <v>0.2</v>
      </c>
      <c r="BN279" s="93">
        <v>0.5</v>
      </c>
      <c r="BO279" s="93" t="s">
        <v>462</v>
      </c>
      <c r="BP279" s="93"/>
      <c r="BQ279" s="93"/>
      <c r="BR279" s="93"/>
      <c r="BS279" s="93"/>
      <c r="BT279" s="93"/>
      <c r="BU279" s="93"/>
      <c r="BV279" s="93"/>
      <c r="BW279" s="93"/>
      <c r="BX279" s="93"/>
      <c r="BY279" s="93"/>
      <c r="BZ279" s="93"/>
      <c r="CA279" s="93"/>
      <c r="CB279" s="102"/>
      <c r="CC279" s="102"/>
      <c r="CD279" s="102"/>
      <c r="CE279" s="102"/>
      <c r="CF279" s="102"/>
      <c r="CG279" s="102"/>
      <c r="CH279" s="102"/>
      <c r="CI279" s="102"/>
      <c r="CJ279" s="102"/>
      <c r="CK279" s="102"/>
      <c r="CL279" s="102"/>
      <c r="CM279" s="102"/>
      <c r="CO279" s="218">
        <f t="shared" si="136"/>
        <v>0.2</v>
      </c>
      <c r="CP279" s="100">
        <f t="shared" si="137"/>
        <v>0.35</v>
      </c>
      <c r="CQ279" s="218">
        <f t="shared" si="138"/>
        <v>0.5</v>
      </c>
      <c r="DC279" s="116"/>
      <c r="DD279" s="141"/>
      <c r="DE279" s="116"/>
      <c r="DF279" s="116"/>
      <c r="DG279" s="116"/>
      <c r="DH279" s="116"/>
      <c r="DI279" s="116"/>
    </row>
    <row r="280" spans="1:113" s="101" customFormat="1" ht="15" hidden="1" customHeight="1" x14ac:dyDescent="0.35">
      <c r="A280" s="99"/>
      <c r="V280" s="103"/>
      <c r="AA280" s="104"/>
      <c r="AB280" s="104"/>
      <c r="AD280" s="104"/>
      <c r="AE280" s="105"/>
      <c r="AH280" s="106"/>
      <c r="AI280" s="106"/>
      <c r="AK280" s="104"/>
      <c r="AR280" s="104"/>
      <c r="AV280" s="104"/>
      <c r="AX280" s="104"/>
      <c r="AY280" s="93"/>
      <c r="AZ280" s="93"/>
      <c r="BA280" s="93"/>
      <c r="BB280" s="93"/>
      <c r="BC280" s="93"/>
      <c r="BD280" s="93"/>
      <c r="BE280" s="93"/>
      <c r="BF280" s="93"/>
      <c r="BG280" s="93"/>
      <c r="BH280" s="93"/>
      <c r="BI280" s="93" t="s">
        <v>464</v>
      </c>
      <c r="BJ280" s="93" t="s">
        <v>100</v>
      </c>
      <c r="BK280" s="93">
        <v>20.14</v>
      </c>
      <c r="BL280" s="93" t="s">
        <v>413</v>
      </c>
      <c r="BM280" s="93">
        <v>0.2</v>
      </c>
      <c r="BN280" s="93">
        <v>0.5</v>
      </c>
      <c r="BO280" s="93" t="s">
        <v>462</v>
      </c>
      <c r="BP280" s="93"/>
      <c r="BQ280" s="93"/>
      <c r="BR280" s="93"/>
      <c r="BS280" s="93"/>
      <c r="BT280" s="93"/>
      <c r="BU280" s="93"/>
      <c r="BV280" s="93"/>
      <c r="BW280" s="93"/>
      <c r="BX280" s="93"/>
      <c r="BY280" s="93"/>
      <c r="BZ280" s="93"/>
      <c r="CA280" s="93"/>
      <c r="CB280" s="102"/>
      <c r="CC280" s="102"/>
      <c r="CD280" s="102"/>
      <c r="CE280" s="102"/>
      <c r="CF280" s="102"/>
      <c r="CG280" s="102"/>
      <c r="CH280" s="102"/>
      <c r="CI280" s="102"/>
      <c r="CJ280" s="102"/>
      <c r="CK280" s="102"/>
      <c r="CL280" s="102"/>
      <c r="CM280" s="102"/>
      <c r="CO280" s="218">
        <f t="shared" si="136"/>
        <v>0.2</v>
      </c>
      <c r="CP280" s="100">
        <f t="shared" si="137"/>
        <v>0.35</v>
      </c>
      <c r="CQ280" s="218">
        <f t="shared" si="138"/>
        <v>0.5</v>
      </c>
      <c r="DC280" s="116"/>
      <c r="DD280" s="141"/>
      <c r="DE280" s="116"/>
      <c r="DF280" s="116"/>
      <c r="DG280" s="116"/>
      <c r="DH280" s="116"/>
      <c r="DI280" s="116"/>
    </row>
    <row r="281" spans="1:113" s="101" customFormat="1" ht="15" hidden="1" customHeight="1" x14ac:dyDescent="0.35">
      <c r="A281" s="99"/>
      <c r="V281" s="103"/>
      <c r="AA281" s="104"/>
      <c r="AB281" s="104"/>
      <c r="AD281" s="104"/>
      <c r="AE281" s="105"/>
      <c r="AH281" s="106"/>
      <c r="AI281" s="106"/>
      <c r="AK281" s="104"/>
      <c r="AR281" s="104"/>
      <c r="AV281" s="104"/>
      <c r="AX281" s="104"/>
      <c r="AY281" s="93"/>
      <c r="AZ281" s="93"/>
      <c r="BA281" s="93"/>
      <c r="BB281" s="93"/>
      <c r="BC281" s="93"/>
      <c r="BD281" s="93"/>
      <c r="BE281" s="93"/>
      <c r="BF281" s="93"/>
      <c r="BG281" s="93"/>
      <c r="BH281" s="93"/>
      <c r="BI281" s="93" t="s">
        <v>465</v>
      </c>
      <c r="BJ281" s="93" t="s">
        <v>100</v>
      </c>
      <c r="BK281" s="93">
        <v>30.91</v>
      </c>
      <c r="BL281" s="93" t="s">
        <v>413</v>
      </c>
      <c r="BM281" s="93">
        <v>0.2</v>
      </c>
      <c r="BN281" s="93">
        <v>0.5</v>
      </c>
      <c r="BO281" s="93" t="s">
        <v>462</v>
      </c>
      <c r="BP281" s="93"/>
      <c r="BQ281" s="93"/>
      <c r="BR281" s="93"/>
      <c r="BS281" s="93"/>
      <c r="BT281" s="93"/>
      <c r="BU281" s="93"/>
      <c r="BV281" s="93"/>
      <c r="BW281" s="93"/>
      <c r="BX281" s="93"/>
      <c r="BY281" s="93"/>
      <c r="BZ281" s="93"/>
      <c r="CA281" s="93"/>
      <c r="CB281" s="102"/>
      <c r="CC281" s="102"/>
      <c r="CD281" s="102"/>
      <c r="CE281" s="102"/>
      <c r="CF281" s="102"/>
      <c r="CG281" s="102"/>
      <c r="CH281" s="102"/>
      <c r="CI281" s="102"/>
      <c r="CJ281" s="102"/>
      <c r="CK281" s="102"/>
      <c r="CL281" s="102"/>
      <c r="CM281" s="102"/>
      <c r="CO281" s="218">
        <f t="shared" si="136"/>
        <v>0.2</v>
      </c>
      <c r="CP281" s="100">
        <f t="shared" si="137"/>
        <v>0.35</v>
      </c>
      <c r="CQ281" s="218">
        <f t="shared" si="138"/>
        <v>0.5</v>
      </c>
      <c r="DC281" s="116"/>
      <c r="DD281" s="141"/>
      <c r="DE281" s="116"/>
      <c r="DF281" s="116"/>
      <c r="DG281" s="116"/>
      <c r="DH281" s="116"/>
      <c r="DI281" s="116"/>
    </row>
    <row r="282" spans="1:113" s="101" customFormat="1" ht="15" hidden="1" customHeight="1" x14ac:dyDescent="0.35">
      <c r="A282" s="99"/>
      <c r="V282" s="103"/>
      <c r="AA282" s="104"/>
      <c r="AB282" s="104"/>
      <c r="AD282" s="104"/>
      <c r="AE282" s="105"/>
      <c r="AH282" s="106"/>
      <c r="AI282" s="106"/>
      <c r="AK282" s="104"/>
      <c r="AR282" s="104"/>
      <c r="AV282" s="104"/>
      <c r="AX282" s="104"/>
      <c r="AY282" s="93"/>
      <c r="AZ282" s="93"/>
      <c r="BA282" s="93"/>
      <c r="BB282" s="93"/>
      <c r="BC282" s="93"/>
      <c r="BD282" s="93"/>
      <c r="BE282" s="93"/>
      <c r="BF282" s="93"/>
      <c r="BG282" s="93"/>
      <c r="BH282" s="93"/>
      <c r="BI282" s="93" t="s">
        <v>466</v>
      </c>
      <c r="BJ282" s="93" t="s">
        <v>100</v>
      </c>
      <c r="BK282" s="93">
        <v>36.97</v>
      </c>
      <c r="BL282" s="93" t="s">
        <v>413</v>
      </c>
      <c r="BM282" s="93">
        <v>0.2</v>
      </c>
      <c r="BN282" s="93">
        <v>0.5</v>
      </c>
      <c r="BO282" s="93" t="s">
        <v>462</v>
      </c>
      <c r="BP282" s="93"/>
      <c r="BQ282" s="93"/>
      <c r="BR282" s="93"/>
      <c r="BS282" s="93"/>
      <c r="BT282" s="93"/>
      <c r="BU282" s="93"/>
      <c r="BV282" s="93"/>
      <c r="BW282" s="93"/>
      <c r="BX282" s="93"/>
      <c r="BY282" s="93"/>
      <c r="BZ282" s="93"/>
      <c r="CA282" s="93"/>
      <c r="CB282" s="102"/>
      <c r="CC282" s="102"/>
      <c r="CD282" s="102"/>
      <c r="CE282" s="102"/>
      <c r="CF282" s="102"/>
      <c r="CG282" s="102"/>
      <c r="CH282" s="102"/>
      <c r="CI282" s="102"/>
      <c r="CJ282" s="102"/>
      <c r="CK282" s="102"/>
      <c r="CL282" s="102"/>
      <c r="CM282" s="102"/>
      <c r="CO282" s="218">
        <f t="shared" ref="CO282:CO345" si="150">BM282</f>
        <v>0.2</v>
      </c>
      <c r="CP282" s="100">
        <f t="shared" ref="CP282:CP345" si="151">(CO282+CQ282)/2</f>
        <v>0.35</v>
      </c>
      <c r="CQ282" s="218">
        <f t="shared" ref="CQ282:CQ345" si="152">BN282</f>
        <v>0.5</v>
      </c>
      <c r="DC282" s="116"/>
      <c r="DD282" s="141"/>
      <c r="DE282" s="116"/>
      <c r="DF282" s="116"/>
      <c r="DG282" s="116"/>
      <c r="DH282" s="116"/>
      <c r="DI282" s="116"/>
    </row>
    <row r="283" spans="1:113" s="101" customFormat="1" ht="15" hidden="1" customHeight="1" x14ac:dyDescent="0.35">
      <c r="A283" s="99"/>
      <c r="V283" s="103"/>
      <c r="AA283" s="104"/>
      <c r="AB283" s="104"/>
      <c r="AD283" s="104"/>
      <c r="AE283" s="105"/>
      <c r="AH283" s="106"/>
      <c r="AI283" s="106"/>
      <c r="AK283" s="104"/>
      <c r="AR283" s="104"/>
      <c r="AV283" s="104"/>
      <c r="AX283" s="104"/>
      <c r="AY283" s="93"/>
      <c r="AZ283" s="93"/>
      <c r="BA283" s="93"/>
      <c r="BB283" s="93"/>
      <c r="BC283" s="93"/>
      <c r="BD283" s="93"/>
      <c r="BE283" s="93"/>
      <c r="BF283" s="93"/>
      <c r="BG283" s="93"/>
      <c r="BH283" s="93"/>
      <c r="BI283" s="93" t="s">
        <v>57</v>
      </c>
      <c r="BJ283" s="93" t="s">
        <v>100</v>
      </c>
      <c r="BK283" s="93">
        <v>63</v>
      </c>
      <c r="BL283" s="93" t="s">
        <v>413</v>
      </c>
      <c r="BM283" s="93">
        <v>0.3</v>
      </c>
      <c r="BN283" s="93">
        <v>0.5</v>
      </c>
      <c r="BO283" s="93" t="s">
        <v>258</v>
      </c>
      <c r="BP283" s="93"/>
      <c r="BQ283" s="93"/>
      <c r="BR283" s="93"/>
      <c r="BS283" s="93"/>
      <c r="BT283" s="93"/>
      <c r="BU283" s="93"/>
      <c r="BV283" s="93"/>
      <c r="BW283" s="93"/>
      <c r="BX283" s="93"/>
      <c r="BY283" s="93"/>
      <c r="BZ283" s="93"/>
      <c r="CA283" s="93"/>
      <c r="CB283" s="102"/>
      <c r="CC283" s="102"/>
      <c r="CD283" s="102"/>
      <c r="CE283" s="102"/>
      <c r="CF283" s="102"/>
      <c r="CG283" s="102"/>
      <c r="CH283" s="102"/>
      <c r="CI283" s="102"/>
      <c r="CJ283" s="102"/>
      <c r="CK283" s="102"/>
      <c r="CL283" s="102"/>
      <c r="CM283" s="102"/>
      <c r="CO283" s="218">
        <f t="shared" si="150"/>
        <v>0.3</v>
      </c>
      <c r="CP283" s="100">
        <f t="shared" si="151"/>
        <v>0.4</v>
      </c>
      <c r="CQ283" s="218">
        <f t="shared" si="152"/>
        <v>0.5</v>
      </c>
      <c r="DC283" s="116"/>
      <c r="DD283" s="141"/>
      <c r="DE283" s="116"/>
      <c r="DF283" s="116"/>
      <c r="DG283" s="116"/>
      <c r="DH283" s="116"/>
      <c r="DI283" s="116"/>
    </row>
    <row r="284" spans="1:113" s="101" customFormat="1" ht="15" hidden="1" customHeight="1" x14ac:dyDescent="0.35">
      <c r="A284" s="99"/>
      <c r="V284" s="103"/>
      <c r="AA284" s="104"/>
      <c r="AB284" s="104"/>
      <c r="AD284" s="104"/>
      <c r="AE284" s="105"/>
      <c r="AH284" s="106"/>
      <c r="AI284" s="106"/>
      <c r="AK284" s="104"/>
      <c r="AR284" s="104"/>
      <c r="AV284" s="104"/>
      <c r="AX284" s="104"/>
      <c r="AY284" s="93"/>
      <c r="AZ284" s="93"/>
      <c r="BA284" s="93"/>
      <c r="BB284" s="93"/>
      <c r="BC284" s="93"/>
      <c r="BD284" s="93"/>
      <c r="BE284" s="93"/>
      <c r="BF284" s="93"/>
      <c r="BG284" s="93"/>
      <c r="BH284" s="93"/>
      <c r="BI284" s="93" t="s">
        <v>59</v>
      </c>
      <c r="BJ284" s="93" t="s">
        <v>100</v>
      </c>
      <c r="BK284" s="93">
        <v>56</v>
      </c>
      <c r="BL284" s="93" t="s">
        <v>413</v>
      </c>
      <c r="BM284" s="93">
        <v>0.3</v>
      </c>
      <c r="BN284" s="93">
        <v>0.5</v>
      </c>
      <c r="BO284" s="93" t="s">
        <v>258</v>
      </c>
      <c r="BP284" s="93"/>
      <c r="BQ284" s="93">
        <v>1225</v>
      </c>
      <c r="BR284" s="93" t="s">
        <v>414</v>
      </c>
      <c r="BS284" s="93"/>
      <c r="BT284" s="93"/>
      <c r="BU284" s="93"/>
      <c r="BV284" s="93"/>
      <c r="BW284" s="93"/>
      <c r="BX284" s="93"/>
      <c r="BY284" s="93"/>
      <c r="BZ284" s="93"/>
      <c r="CA284" s="93"/>
      <c r="CB284" s="102"/>
      <c r="CC284" s="102"/>
      <c r="CD284" s="102"/>
      <c r="CE284" s="102"/>
      <c r="CF284" s="102"/>
      <c r="CG284" s="102"/>
      <c r="CH284" s="102"/>
      <c r="CI284" s="102"/>
      <c r="CJ284" s="102"/>
      <c r="CK284" s="102"/>
      <c r="CL284" s="102"/>
      <c r="CM284" s="102"/>
      <c r="CO284" s="218">
        <f t="shared" si="150"/>
        <v>0.3</v>
      </c>
      <c r="CP284" s="100">
        <f t="shared" si="151"/>
        <v>0.4</v>
      </c>
      <c r="CQ284" s="218">
        <f t="shared" si="152"/>
        <v>0.5</v>
      </c>
      <c r="CR284" s="101">
        <v>0.2</v>
      </c>
      <c r="CS284" s="101">
        <v>0.5</v>
      </c>
      <c r="DA284" s="101" t="s">
        <v>59</v>
      </c>
      <c r="DB284" s="101" t="s">
        <v>100</v>
      </c>
      <c r="DC284" s="116">
        <v>49</v>
      </c>
      <c r="DD284" s="141">
        <f t="shared" ref="DD284:DD292" si="153">+DC284*21</f>
        <v>1029</v>
      </c>
      <c r="DE284" s="116" t="s">
        <v>375</v>
      </c>
      <c r="DF284" s="116">
        <f t="shared" si="149"/>
        <v>1225</v>
      </c>
      <c r="DG284" s="116"/>
      <c r="DH284" s="116"/>
      <c r="DI284" s="116"/>
    </row>
    <row r="285" spans="1:113" s="101" customFormat="1" ht="15" hidden="1" customHeight="1" x14ac:dyDescent="0.35">
      <c r="A285" s="99"/>
      <c r="V285" s="103"/>
      <c r="AA285" s="104"/>
      <c r="AB285" s="104"/>
      <c r="AD285" s="104"/>
      <c r="AE285" s="105"/>
      <c r="AH285" s="106"/>
      <c r="AI285" s="106"/>
      <c r="AK285" s="104"/>
      <c r="AR285" s="104"/>
      <c r="AV285" s="104"/>
      <c r="AX285" s="104"/>
      <c r="AY285" s="93"/>
      <c r="AZ285" s="93"/>
      <c r="BA285" s="93"/>
      <c r="BB285" s="93"/>
      <c r="BC285" s="93"/>
      <c r="BD285" s="93"/>
      <c r="BE285" s="93"/>
      <c r="BF285" s="93"/>
      <c r="BG285" s="93"/>
      <c r="BH285" s="93"/>
      <c r="BI285" s="93" t="s">
        <v>56</v>
      </c>
      <c r="BJ285" s="93" t="s">
        <v>100</v>
      </c>
      <c r="BK285" s="93">
        <v>55</v>
      </c>
      <c r="BL285" s="93" t="s">
        <v>413</v>
      </c>
      <c r="BM285" s="93">
        <v>0.3</v>
      </c>
      <c r="BN285" s="93">
        <v>0.5</v>
      </c>
      <c r="BO285" s="93" t="s">
        <v>258</v>
      </c>
      <c r="BP285" s="93"/>
      <c r="BQ285" s="93">
        <v>1375</v>
      </c>
      <c r="BR285" s="93" t="s">
        <v>414</v>
      </c>
      <c r="BS285" s="93"/>
      <c r="BT285" s="93"/>
      <c r="BU285" s="93"/>
      <c r="BV285" s="93"/>
      <c r="BW285" s="93"/>
      <c r="BX285" s="93"/>
      <c r="BY285" s="93"/>
      <c r="BZ285" s="93"/>
      <c r="CA285" s="93"/>
      <c r="CB285" s="102"/>
      <c r="CC285" s="102"/>
      <c r="CD285" s="102"/>
      <c r="CE285" s="102"/>
      <c r="CF285" s="102"/>
      <c r="CG285" s="102"/>
      <c r="CH285" s="102"/>
      <c r="CI285" s="102"/>
      <c r="CJ285" s="102"/>
      <c r="CK285" s="102"/>
      <c r="CL285" s="102"/>
      <c r="CM285" s="102"/>
      <c r="CO285" s="218">
        <f t="shared" si="150"/>
        <v>0.3</v>
      </c>
      <c r="CP285" s="100">
        <f t="shared" si="151"/>
        <v>0.4</v>
      </c>
      <c r="CQ285" s="218">
        <f t="shared" si="152"/>
        <v>0.5</v>
      </c>
      <c r="CR285" s="101">
        <v>0.2</v>
      </c>
      <c r="CS285" s="101">
        <v>0.5</v>
      </c>
      <c r="DA285" s="101" t="s">
        <v>56</v>
      </c>
      <c r="DB285" s="101" t="s">
        <v>100</v>
      </c>
      <c r="DC285" s="116">
        <v>55</v>
      </c>
      <c r="DD285" s="141">
        <f t="shared" si="153"/>
        <v>1155</v>
      </c>
      <c r="DE285" s="116" t="s">
        <v>375</v>
      </c>
      <c r="DF285" s="116">
        <f t="shared" si="149"/>
        <v>1375</v>
      </c>
      <c r="DG285" s="116"/>
      <c r="DH285" s="116"/>
      <c r="DI285" s="116"/>
    </row>
    <row r="286" spans="1:113" s="101" customFormat="1" ht="15" hidden="1" customHeight="1" x14ac:dyDescent="0.35">
      <c r="A286" s="99"/>
      <c r="V286" s="103"/>
      <c r="AA286" s="104"/>
      <c r="AB286" s="104"/>
      <c r="AD286" s="104"/>
      <c r="AE286" s="105"/>
      <c r="AH286" s="106"/>
      <c r="AI286" s="106"/>
      <c r="AK286" s="104"/>
      <c r="AR286" s="104"/>
      <c r="AV286" s="104"/>
      <c r="AX286" s="104"/>
      <c r="AY286" s="93"/>
      <c r="AZ286" s="93"/>
      <c r="BA286" s="93"/>
      <c r="BB286" s="93"/>
      <c r="BC286" s="93"/>
      <c r="BD286" s="93"/>
      <c r="BE286" s="93"/>
      <c r="BF286" s="93"/>
      <c r="BG286" s="93"/>
      <c r="BH286" s="93"/>
      <c r="BI286" s="93" t="s">
        <v>101</v>
      </c>
      <c r="BJ286" s="93" t="s">
        <v>100</v>
      </c>
      <c r="BK286" s="93">
        <v>5</v>
      </c>
      <c r="BL286" s="93" t="s">
        <v>413</v>
      </c>
      <c r="BM286" s="93">
        <v>0.3</v>
      </c>
      <c r="BN286" s="93">
        <v>0.5</v>
      </c>
      <c r="BO286" s="93" t="s">
        <v>258</v>
      </c>
      <c r="BP286" s="93"/>
      <c r="BQ286" s="93">
        <v>125</v>
      </c>
      <c r="BR286" s="93" t="s">
        <v>414</v>
      </c>
      <c r="BS286" s="93"/>
      <c r="BT286" s="93"/>
      <c r="BU286" s="93"/>
      <c r="BV286" s="93"/>
      <c r="BW286" s="93"/>
      <c r="BX286" s="93"/>
      <c r="BY286" s="93"/>
      <c r="BZ286" s="93"/>
      <c r="CA286" s="93"/>
      <c r="CB286" s="102"/>
      <c r="CC286" s="102"/>
      <c r="CD286" s="102"/>
      <c r="CE286" s="102"/>
      <c r="CF286" s="102"/>
      <c r="CG286" s="102"/>
      <c r="CH286" s="102"/>
      <c r="CI286" s="102"/>
      <c r="CJ286" s="102"/>
      <c r="CK286" s="102"/>
      <c r="CL286" s="102"/>
      <c r="CM286" s="102"/>
      <c r="CO286" s="218">
        <f t="shared" si="150"/>
        <v>0.3</v>
      </c>
      <c r="CP286" s="100">
        <f t="shared" si="151"/>
        <v>0.4</v>
      </c>
      <c r="CQ286" s="218">
        <f t="shared" si="152"/>
        <v>0.5</v>
      </c>
      <c r="CR286" s="101">
        <v>0.2</v>
      </c>
      <c r="CS286" s="101">
        <v>0.5</v>
      </c>
      <c r="DA286" s="101" t="s">
        <v>101</v>
      </c>
      <c r="DB286" s="101" t="s">
        <v>100</v>
      </c>
      <c r="DC286" s="116">
        <v>5</v>
      </c>
      <c r="DD286" s="141">
        <f t="shared" si="153"/>
        <v>105</v>
      </c>
      <c r="DE286" s="116" t="s">
        <v>375</v>
      </c>
      <c r="DF286" s="116">
        <f t="shared" si="149"/>
        <v>125</v>
      </c>
      <c r="DG286" s="116"/>
      <c r="DH286" s="116"/>
      <c r="DI286" s="116"/>
    </row>
    <row r="287" spans="1:113" s="101" customFormat="1" ht="15" hidden="1" customHeight="1" x14ac:dyDescent="0.35">
      <c r="A287" s="99"/>
      <c r="V287" s="103"/>
      <c r="AA287" s="104"/>
      <c r="AB287" s="104"/>
      <c r="AD287" s="104"/>
      <c r="AE287" s="105"/>
      <c r="AH287" s="106"/>
      <c r="AI287" s="106"/>
      <c r="AK287" s="104"/>
      <c r="AR287" s="104"/>
      <c r="AV287" s="104"/>
      <c r="AX287" s="104"/>
      <c r="AY287" s="93"/>
      <c r="AZ287" s="93"/>
      <c r="BA287" s="93"/>
      <c r="BB287" s="93"/>
      <c r="BC287" s="93"/>
      <c r="BD287" s="93"/>
      <c r="BE287" s="93"/>
      <c r="BF287" s="93"/>
      <c r="BG287" s="93"/>
      <c r="BH287" s="93"/>
      <c r="BI287" s="93" t="s">
        <v>55</v>
      </c>
      <c r="BJ287" s="93" t="s">
        <v>100</v>
      </c>
      <c r="BK287" s="93">
        <v>5</v>
      </c>
      <c r="BL287" s="93" t="s">
        <v>413</v>
      </c>
      <c r="BM287" s="93">
        <v>0.3</v>
      </c>
      <c r="BN287" s="93">
        <v>0.5</v>
      </c>
      <c r="BO287" s="93" t="s">
        <v>258</v>
      </c>
      <c r="BP287" s="93"/>
      <c r="BQ287" s="93">
        <v>125</v>
      </c>
      <c r="BR287" s="93" t="s">
        <v>414</v>
      </c>
      <c r="BS287" s="93"/>
      <c r="BT287" s="93"/>
      <c r="BU287" s="93"/>
      <c r="BV287" s="93"/>
      <c r="BW287" s="93"/>
      <c r="BX287" s="93"/>
      <c r="BY287" s="93"/>
      <c r="BZ287" s="93"/>
      <c r="CA287" s="93"/>
      <c r="CB287" s="102"/>
      <c r="CC287" s="102"/>
      <c r="CD287" s="102"/>
      <c r="CE287" s="102"/>
      <c r="CF287" s="102"/>
      <c r="CG287" s="102"/>
      <c r="CH287" s="102"/>
      <c r="CI287" s="102"/>
      <c r="CJ287" s="102"/>
      <c r="CK287" s="102"/>
      <c r="CL287" s="102"/>
      <c r="CM287" s="102"/>
      <c r="CO287" s="218">
        <f t="shared" si="150"/>
        <v>0.3</v>
      </c>
      <c r="CP287" s="100">
        <f t="shared" si="151"/>
        <v>0.4</v>
      </c>
      <c r="CQ287" s="218">
        <f t="shared" si="152"/>
        <v>0.5</v>
      </c>
      <c r="CR287" s="101">
        <v>0.2</v>
      </c>
      <c r="CS287" s="101">
        <v>0.5</v>
      </c>
      <c r="DA287" s="101" t="s">
        <v>55</v>
      </c>
      <c r="DB287" s="101" t="s">
        <v>100</v>
      </c>
      <c r="DC287" s="116">
        <v>5</v>
      </c>
      <c r="DD287" s="141">
        <f t="shared" si="153"/>
        <v>105</v>
      </c>
      <c r="DE287" s="116" t="s">
        <v>375</v>
      </c>
      <c r="DF287" s="116">
        <f t="shared" si="149"/>
        <v>125</v>
      </c>
      <c r="DG287" s="116"/>
      <c r="DH287" s="116"/>
      <c r="DI287" s="116"/>
    </row>
    <row r="288" spans="1:113" s="101" customFormat="1" ht="15" hidden="1" customHeight="1" x14ac:dyDescent="0.35">
      <c r="A288" s="99"/>
      <c r="V288" s="103"/>
      <c r="AA288" s="104"/>
      <c r="AB288" s="104"/>
      <c r="AD288" s="104"/>
      <c r="AE288" s="105"/>
      <c r="AH288" s="106"/>
      <c r="AI288" s="106"/>
      <c r="AK288" s="104"/>
      <c r="AR288" s="104"/>
      <c r="AV288" s="104"/>
      <c r="AX288" s="104"/>
      <c r="AY288" s="93"/>
      <c r="AZ288" s="93"/>
      <c r="BA288" s="93"/>
      <c r="BB288" s="93"/>
      <c r="BC288" s="93"/>
      <c r="BD288" s="93"/>
      <c r="BE288" s="93"/>
      <c r="BF288" s="93"/>
      <c r="BG288" s="93"/>
      <c r="BH288" s="93"/>
      <c r="BI288" s="93" t="s">
        <v>60</v>
      </c>
      <c r="BJ288" s="93" t="s">
        <v>100</v>
      </c>
      <c r="BK288" s="93">
        <v>18</v>
      </c>
      <c r="BL288" s="93" t="s">
        <v>413</v>
      </c>
      <c r="BM288" s="93">
        <v>0.3</v>
      </c>
      <c r="BN288" s="93">
        <v>0.5</v>
      </c>
      <c r="BO288" s="93" t="s">
        <v>258</v>
      </c>
      <c r="BP288" s="93"/>
      <c r="BQ288" s="93">
        <v>450</v>
      </c>
      <c r="BR288" s="93" t="s">
        <v>414</v>
      </c>
      <c r="BS288" s="93"/>
      <c r="BT288" s="93"/>
      <c r="BU288" s="93"/>
      <c r="BV288" s="93"/>
      <c r="BW288" s="93"/>
      <c r="BX288" s="93"/>
      <c r="BY288" s="93"/>
      <c r="BZ288" s="93"/>
      <c r="CA288" s="93"/>
      <c r="CB288" s="102"/>
      <c r="CC288" s="102"/>
      <c r="CD288" s="102"/>
      <c r="CE288" s="102"/>
      <c r="CF288" s="102"/>
      <c r="CG288" s="102"/>
      <c r="CH288" s="102"/>
      <c r="CI288" s="102"/>
      <c r="CJ288" s="102"/>
      <c r="CK288" s="102"/>
      <c r="CL288" s="102"/>
      <c r="CM288" s="102"/>
      <c r="CO288" s="218">
        <f t="shared" si="150"/>
        <v>0.3</v>
      </c>
      <c r="CP288" s="100">
        <f t="shared" si="151"/>
        <v>0.4</v>
      </c>
      <c r="CQ288" s="218">
        <f t="shared" si="152"/>
        <v>0.5</v>
      </c>
      <c r="CR288" s="101">
        <v>0.2</v>
      </c>
      <c r="CS288" s="101">
        <v>0.5</v>
      </c>
      <c r="DA288" s="101" t="s">
        <v>60</v>
      </c>
      <c r="DB288" s="101" t="s">
        <v>100</v>
      </c>
      <c r="DC288" s="116">
        <v>18</v>
      </c>
      <c r="DD288" s="141">
        <f t="shared" si="153"/>
        <v>378</v>
      </c>
      <c r="DE288" s="116" t="s">
        <v>375</v>
      </c>
      <c r="DF288" s="116">
        <f t="shared" si="149"/>
        <v>450</v>
      </c>
      <c r="DG288" s="116"/>
      <c r="DH288" s="116"/>
      <c r="DI288" s="116"/>
    </row>
    <row r="289" spans="1:119" s="101" customFormat="1" ht="15" hidden="1" customHeight="1" x14ac:dyDescent="0.35">
      <c r="A289" s="99"/>
      <c r="V289" s="103"/>
      <c r="AA289" s="104"/>
      <c r="AB289" s="104"/>
      <c r="AD289" s="104"/>
      <c r="AE289" s="105"/>
      <c r="AH289" s="106"/>
      <c r="AI289" s="106"/>
      <c r="AK289" s="104"/>
      <c r="AR289" s="104"/>
      <c r="AV289" s="104"/>
      <c r="AX289" s="104"/>
      <c r="AY289" s="93"/>
      <c r="AZ289" s="93"/>
      <c r="BA289" s="93"/>
      <c r="BB289" s="93"/>
      <c r="BC289" s="93"/>
      <c r="BD289" s="93"/>
      <c r="BE289" s="93"/>
      <c r="BF289" s="93"/>
      <c r="BG289" s="93"/>
      <c r="BH289" s="93"/>
      <c r="BI289" s="93" t="s">
        <v>61</v>
      </c>
      <c r="BJ289" s="93" t="s">
        <v>100</v>
      </c>
      <c r="BK289" s="93">
        <f>BQ289/25</f>
        <v>10</v>
      </c>
      <c r="BL289" s="93" t="s">
        <v>413</v>
      </c>
      <c r="BM289" s="93">
        <v>0.3</v>
      </c>
      <c r="BN289" s="93">
        <v>0.5</v>
      </c>
      <c r="BO289" s="93" t="s">
        <v>258</v>
      </c>
      <c r="BP289" s="93"/>
      <c r="BQ289" s="93">
        <v>250</v>
      </c>
      <c r="BR289" s="93" t="s">
        <v>414</v>
      </c>
      <c r="BS289" s="93"/>
      <c r="BT289" s="93"/>
      <c r="BU289" s="93"/>
      <c r="BV289" s="93"/>
      <c r="BW289" s="93"/>
      <c r="BX289" s="93"/>
      <c r="BY289" s="93"/>
      <c r="BZ289" s="93"/>
      <c r="CA289" s="93"/>
      <c r="CB289" s="102"/>
      <c r="CC289" s="102"/>
      <c r="CD289" s="102"/>
      <c r="CE289" s="102"/>
      <c r="CF289" s="102"/>
      <c r="CG289" s="102"/>
      <c r="CH289" s="102"/>
      <c r="CI289" s="102"/>
      <c r="CJ289" s="102"/>
      <c r="CK289" s="102"/>
      <c r="CL289" s="102"/>
      <c r="CM289" s="102"/>
      <c r="CO289" s="218">
        <f t="shared" si="150"/>
        <v>0.3</v>
      </c>
      <c r="CP289" s="100">
        <f t="shared" si="151"/>
        <v>0.4</v>
      </c>
      <c r="CQ289" s="218">
        <f t="shared" si="152"/>
        <v>0.5</v>
      </c>
      <c r="CR289" s="101">
        <v>0.2</v>
      </c>
      <c r="CS289" s="101">
        <v>0.5</v>
      </c>
      <c r="DA289" s="101" t="s">
        <v>61</v>
      </c>
      <c r="DB289" s="101" t="s">
        <v>100</v>
      </c>
      <c r="DC289" s="116">
        <v>10</v>
      </c>
      <c r="DD289" s="141">
        <f t="shared" si="153"/>
        <v>210</v>
      </c>
      <c r="DE289" s="116" t="s">
        <v>375</v>
      </c>
      <c r="DF289" s="116">
        <f t="shared" si="149"/>
        <v>250</v>
      </c>
      <c r="DG289" s="116"/>
      <c r="DH289" s="116"/>
      <c r="DI289" s="116"/>
    </row>
    <row r="290" spans="1:119" s="101" customFormat="1" ht="15" hidden="1" customHeight="1" x14ac:dyDescent="0.35">
      <c r="A290" s="99"/>
      <c r="V290" s="103"/>
      <c r="AA290" s="104"/>
      <c r="AB290" s="104"/>
      <c r="AD290" s="104"/>
      <c r="AE290" s="105"/>
      <c r="AH290" s="106"/>
      <c r="AI290" s="106"/>
      <c r="AK290" s="104"/>
      <c r="AR290" s="104"/>
      <c r="AV290" s="104"/>
      <c r="AX290" s="104"/>
      <c r="AY290" s="93"/>
      <c r="AZ290" s="93"/>
      <c r="BA290" s="93"/>
      <c r="BB290" s="93"/>
      <c r="BC290" s="93"/>
      <c r="BD290" s="93"/>
      <c r="BE290" s="93"/>
      <c r="BF290" s="93"/>
      <c r="BG290" s="93"/>
      <c r="BH290" s="93"/>
      <c r="BI290" s="93" t="s">
        <v>102</v>
      </c>
      <c r="BJ290" s="93" t="s">
        <v>100</v>
      </c>
      <c r="BK290" s="93">
        <f>BQ290/25</f>
        <v>1</v>
      </c>
      <c r="BL290" s="93" t="s">
        <v>413</v>
      </c>
      <c r="BM290" s="93">
        <v>0.3</v>
      </c>
      <c r="BN290" s="93">
        <v>0.5</v>
      </c>
      <c r="BO290" s="93" t="s">
        <v>258</v>
      </c>
      <c r="BP290" s="93"/>
      <c r="BQ290" s="93">
        <v>25</v>
      </c>
      <c r="BR290" s="93" t="s">
        <v>414</v>
      </c>
      <c r="BS290" s="93"/>
      <c r="BT290" s="93"/>
      <c r="BU290" s="93"/>
      <c r="BV290" s="93"/>
      <c r="BW290" s="93"/>
      <c r="BX290" s="93"/>
      <c r="BY290" s="93"/>
      <c r="BZ290" s="93"/>
      <c r="CA290" s="93"/>
      <c r="CB290" s="102"/>
      <c r="CC290" s="102"/>
      <c r="CD290" s="102"/>
      <c r="CE290" s="102"/>
      <c r="CF290" s="102"/>
      <c r="CG290" s="102"/>
      <c r="CH290" s="102"/>
      <c r="CI290" s="102"/>
      <c r="CJ290" s="102"/>
      <c r="CK290" s="102"/>
      <c r="CL290" s="102"/>
      <c r="CM290" s="102"/>
      <c r="CO290" s="218">
        <f t="shared" si="150"/>
        <v>0.3</v>
      </c>
      <c r="CP290" s="100">
        <f t="shared" si="151"/>
        <v>0.4</v>
      </c>
      <c r="CQ290" s="218">
        <f t="shared" si="152"/>
        <v>0.5</v>
      </c>
      <c r="DC290" s="116"/>
      <c r="DD290" s="141"/>
      <c r="DE290" s="116"/>
      <c r="DF290" s="116"/>
      <c r="DG290" s="116"/>
      <c r="DH290" s="116"/>
      <c r="DI290" s="116"/>
    </row>
    <row r="291" spans="1:119" s="101" customFormat="1" ht="15" hidden="1" customHeight="1" x14ac:dyDescent="0.35">
      <c r="A291" s="99"/>
      <c r="V291" s="103"/>
      <c r="AA291" s="104"/>
      <c r="AB291" s="104"/>
      <c r="AD291" s="104"/>
      <c r="AE291" s="105"/>
      <c r="AH291" s="106"/>
      <c r="AI291" s="106"/>
      <c r="AK291" s="104"/>
      <c r="AR291" s="104"/>
      <c r="AV291" s="104"/>
      <c r="AX291" s="104"/>
      <c r="AY291" s="93"/>
      <c r="AZ291" s="93"/>
      <c r="BA291" s="93"/>
      <c r="BB291" s="93"/>
      <c r="BC291" s="93"/>
      <c r="BD291" s="93"/>
      <c r="BE291" s="93"/>
      <c r="BF291" s="93"/>
      <c r="BG291" s="93"/>
      <c r="BH291" s="93"/>
      <c r="BI291" s="93" t="s">
        <v>467</v>
      </c>
      <c r="BJ291" s="93" t="s">
        <v>100</v>
      </c>
      <c r="BK291" s="93">
        <v>5.4199999999999998E-2</v>
      </c>
      <c r="BL291" s="93" t="s">
        <v>413</v>
      </c>
      <c r="BM291" s="93">
        <v>0.3</v>
      </c>
      <c r="BN291" s="93">
        <v>0.5</v>
      </c>
      <c r="BO291" s="93" t="s">
        <v>258</v>
      </c>
      <c r="BP291" s="93"/>
      <c r="BQ291" s="93">
        <f>BK291*25</f>
        <v>1.355</v>
      </c>
      <c r="BR291" s="93" t="s">
        <v>414</v>
      </c>
      <c r="BS291" s="93"/>
      <c r="BT291" s="93"/>
      <c r="BU291" s="93"/>
      <c r="BV291" s="93"/>
      <c r="BW291" s="93"/>
      <c r="BX291" s="93"/>
      <c r="BY291" s="93"/>
      <c r="BZ291" s="93"/>
      <c r="CA291" s="93"/>
      <c r="CB291" s="102"/>
      <c r="CC291" s="102"/>
      <c r="CD291" s="102"/>
      <c r="CE291" s="102"/>
      <c r="CF291" s="102"/>
      <c r="CG291" s="102"/>
      <c r="CH291" s="102"/>
      <c r="CI291" s="102"/>
      <c r="CJ291" s="102"/>
      <c r="CK291" s="102"/>
      <c r="CL291" s="102"/>
      <c r="CM291" s="102"/>
      <c r="CO291" s="218">
        <f t="shared" si="150"/>
        <v>0.3</v>
      </c>
      <c r="CP291" s="100">
        <f t="shared" si="151"/>
        <v>0.4</v>
      </c>
      <c r="CQ291" s="218">
        <f t="shared" si="152"/>
        <v>0.5</v>
      </c>
      <c r="DC291" s="116"/>
      <c r="DD291" s="141"/>
      <c r="DE291" s="116"/>
      <c r="DF291" s="116"/>
      <c r="DG291" s="116"/>
      <c r="DH291" s="116"/>
      <c r="DI291" s="116"/>
    </row>
    <row r="292" spans="1:119" s="101" customFormat="1" ht="15" hidden="1" customHeight="1" x14ac:dyDescent="0.35">
      <c r="A292" s="99"/>
      <c r="V292" s="103"/>
      <c r="AA292" s="104"/>
      <c r="AB292" s="104"/>
      <c r="AD292" s="104"/>
      <c r="AE292" s="105"/>
      <c r="AH292" s="106"/>
      <c r="AI292" s="106"/>
      <c r="AK292" s="104"/>
      <c r="AR292" s="104"/>
      <c r="AV292" s="104"/>
      <c r="AX292" s="104"/>
      <c r="AY292" s="93"/>
      <c r="AZ292" s="93"/>
      <c r="BA292" s="93"/>
      <c r="BB292" s="93"/>
      <c r="BC292" s="93"/>
      <c r="BD292" s="93"/>
      <c r="BE292" s="93"/>
      <c r="BF292" s="93"/>
      <c r="BG292" s="93"/>
      <c r="BH292" s="93"/>
      <c r="BI292" s="93" t="s">
        <v>468</v>
      </c>
      <c r="BJ292" s="93" t="s">
        <v>100</v>
      </c>
      <c r="BK292" s="93">
        <v>9.522E-5</v>
      </c>
      <c r="BL292" s="93" t="s">
        <v>413</v>
      </c>
      <c r="BM292" s="93">
        <v>0.3</v>
      </c>
      <c r="BN292" s="93">
        <v>0.5</v>
      </c>
      <c r="BO292" s="93" t="s">
        <v>469</v>
      </c>
      <c r="BP292" s="93"/>
      <c r="BQ292" s="93">
        <f>BK292*25</f>
        <v>2.3804999999999998E-3</v>
      </c>
      <c r="BR292" s="93" t="s">
        <v>414</v>
      </c>
      <c r="BS292" s="93"/>
      <c r="BT292" s="93"/>
      <c r="BU292" s="93"/>
      <c r="BV292" s="93"/>
      <c r="BW292" s="93"/>
      <c r="BX292" s="93"/>
      <c r="BY292" s="93"/>
      <c r="BZ292" s="93"/>
      <c r="CA292" s="93"/>
      <c r="CB292" s="180"/>
      <c r="CC292" s="178"/>
      <c r="CD292" s="178"/>
      <c r="CE292" s="180"/>
      <c r="CF292" s="180"/>
      <c r="CG292" s="180"/>
      <c r="CH292" s="180"/>
      <c r="CI292" s="178"/>
      <c r="CJ292" s="178"/>
      <c r="CK292" s="180"/>
      <c r="CL292" s="180"/>
      <c r="CM292" s="180"/>
      <c r="CN292" s="116"/>
      <c r="CO292" s="218">
        <f t="shared" si="150"/>
        <v>0.3</v>
      </c>
      <c r="CP292" s="100">
        <f t="shared" si="151"/>
        <v>0.4</v>
      </c>
      <c r="CQ292" s="218">
        <f t="shared" si="152"/>
        <v>0.5</v>
      </c>
      <c r="CR292" s="101">
        <v>0.2</v>
      </c>
      <c r="CS292" s="101">
        <v>0.5</v>
      </c>
      <c r="DA292" s="101" t="s">
        <v>102</v>
      </c>
      <c r="DB292" s="101" t="s">
        <v>100</v>
      </c>
      <c r="DC292" s="116">
        <v>1</v>
      </c>
      <c r="DD292" s="141">
        <f t="shared" si="153"/>
        <v>21</v>
      </c>
      <c r="DE292" s="116" t="s">
        <v>375</v>
      </c>
      <c r="DF292" s="116">
        <f t="shared" si="149"/>
        <v>25</v>
      </c>
      <c r="DG292" s="116"/>
      <c r="DH292" s="116"/>
      <c r="DI292" s="116"/>
    </row>
    <row r="293" spans="1:119" s="101" customFormat="1" ht="15" hidden="1" customHeight="1" x14ac:dyDescent="0.25">
      <c r="A293" s="99"/>
      <c r="V293" s="103"/>
      <c r="AA293" s="104"/>
      <c r="AB293" s="104"/>
      <c r="AD293" s="104"/>
      <c r="AE293" s="105"/>
      <c r="AH293" s="106"/>
      <c r="AI293" s="106"/>
      <c r="AK293" s="104"/>
      <c r="AR293" s="104"/>
      <c r="AV293" s="104"/>
      <c r="AX293" s="104"/>
      <c r="AY293" s="93"/>
      <c r="AZ293" s="93"/>
      <c r="BA293" s="93"/>
      <c r="BB293" s="93"/>
      <c r="BC293" s="93"/>
      <c r="BD293" s="93"/>
      <c r="BE293" s="93"/>
      <c r="BF293" s="93"/>
      <c r="BG293" s="93"/>
      <c r="BH293" s="93"/>
      <c r="BI293" s="93"/>
      <c r="BJ293" s="93"/>
      <c r="BK293" s="93"/>
      <c r="BL293" s="93"/>
      <c r="BM293" s="93"/>
      <c r="BN293" s="93"/>
      <c r="BO293" s="93"/>
      <c r="BP293" s="93"/>
      <c r="BQ293" s="93"/>
      <c r="BR293" s="93"/>
      <c r="BS293" s="93"/>
      <c r="BT293" s="93"/>
      <c r="BU293" s="93"/>
      <c r="BV293" s="93"/>
      <c r="BW293" s="93"/>
      <c r="BX293" s="93"/>
      <c r="BY293" s="93"/>
      <c r="BZ293" s="93"/>
      <c r="CA293" s="93"/>
      <c r="CB293" s="180"/>
      <c r="CC293" s="178"/>
      <c r="CD293" s="178"/>
      <c r="CE293" s="180"/>
      <c r="CF293" s="180"/>
      <c r="CG293" s="180"/>
      <c r="CH293" s="180"/>
      <c r="CI293" s="178"/>
      <c r="CJ293" s="178"/>
      <c r="CK293" s="180"/>
      <c r="CL293" s="180"/>
      <c r="CM293" s="180"/>
      <c r="CN293" s="116"/>
      <c r="CO293" s="218">
        <f t="shared" si="150"/>
        <v>0</v>
      </c>
      <c r="CP293" s="100">
        <f t="shared" si="151"/>
        <v>0</v>
      </c>
      <c r="CQ293" s="218">
        <f t="shared" si="152"/>
        <v>0</v>
      </c>
      <c r="DA293" s="101">
        <v>0</v>
      </c>
      <c r="DB293" s="101">
        <v>0</v>
      </c>
      <c r="DC293" s="116">
        <v>0</v>
      </c>
      <c r="DD293" s="101">
        <v>0</v>
      </c>
      <c r="DF293" s="116">
        <f>+DC318*25</f>
        <v>1050</v>
      </c>
      <c r="DG293" s="116"/>
      <c r="DH293" s="116"/>
      <c r="DI293" s="116"/>
    </row>
    <row r="294" spans="1:119" s="101" customFormat="1" ht="15.75" hidden="1" customHeight="1" x14ac:dyDescent="0.25">
      <c r="A294" s="99"/>
      <c r="V294" s="103"/>
      <c r="AA294" s="104"/>
      <c r="AB294" s="104"/>
      <c r="AD294" s="104"/>
      <c r="AE294" s="105"/>
      <c r="AH294" s="106"/>
      <c r="AI294" s="106"/>
      <c r="AK294" s="104"/>
      <c r="AR294" s="104"/>
      <c r="AV294" s="104"/>
      <c r="AX294" s="104"/>
      <c r="AY294" s="93"/>
      <c r="AZ294" s="93"/>
      <c r="BA294" s="93"/>
      <c r="BB294" s="93"/>
      <c r="BC294" s="93"/>
      <c r="BD294" s="93"/>
      <c r="BE294" s="93"/>
      <c r="BF294" s="93"/>
      <c r="BG294" s="93"/>
      <c r="BH294" s="93"/>
      <c r="BI294" s="93"/>
      <c r="BJ294" s="93"/>
      <c r="BK294" s="93"/>
      <c r="BL294" s="93"/>
      <c r="BM294" s="93"/>
      <c r="BN294" s="93"/>
      <c r="BO294" s="93"/>
      <c r="BP294" s="93"/>
      <c r="BQ294" s="93"/>
      <c r="BR294" s="93"/>
      <c r="BS294" s="93"/>
      <c r="BT294" s="93"/>
      <c r="BU294" s="93"/>
      <c r="BV294" s="93"/>
      <c r="BW294" s="93"/>
      <c r="BX294" s="93"/>
      <c r="BY294" s="93"/>
      <c r="BZ294" s="93"/>
      <c r="CA294" s="93"/>
      <c r="CB294" s="180"/>
      <c r="CC294" s="178"/>
      <c r="CD294" s="178"/>
      <c r="CE294" s="180"/>
      <c r="CF294" s="180"/>
      <c r="CG294" s="180"/>
      <c r="CH294" s="180"/>
      <c r="CI294" s="178"/>
      <c r="CJ294" s="178"/>
      <c r="CK294" s="180"/>
      <c r="CL294" s="180"/>
      <c r="CM294" s="180"/>
      <c r="CN294" s="116"/>
      <c r="CO294" s="218">
        <f t="shared" si="150"/>
        <v>0</v>
      </c>
      <c r="CP294" s="100">
        <f t="shared" si="151"/>
        <v>0</v>
      </c>
      <c r="CQ294" s="218">
        <f t="shared" si="152"/>
        <v>0</v>
      </c>
      <c r="DC294" s="116"/>
      <c r="DF294" s="116"/>
      <c r="DG294" s="116"/>
      <c r="DH294" s="116"/>
      <c r="DI294" s="116"/>
    </row>
    <row r="295" spans="1:119" s="101" customFormat="1" ht="15.75" hidden="1" customHeight="1" thickBot="1" x14ac:dyDescent="0.3">
      <c r="A295" s="99"/>
      <c r="S295" s="244" t="s">
        <v>558</v>
      </c>
      <c r="V295" s="103"/>
      <c r="AA295" s="104"/>
      <c r="AB295" s="104"/>
      <c r="AD295" s="104"/>
      <c r="AF295" s="104"/>
      <c r="AI295" s="238" t="s">
        <v>555</v>
      </c>
      <c r="AJ295" s="238"/>
      <c r="AK295" s="238"/>
      <c r="AL295" s="238"/>
      <c r="AM295" s="238"/>
      <c r="AO295" s="238"/>
      <c r="AP295" s="238"/>
      <c r="AQ295" s="238"/>
      <c r="AR295" s="238"/>
      <c r="AS295" s="238"/>
      <c r="AT295" s="238"/>
      <c r="AU295" s="238"/>
      <c r="AV295" s="238"/>
      <c r="AW295" s="238"/>
      <c r="AX295" s="238"/>
      <c r="AY295" s="93"/>
      <c r="AZ295" s="93"/>
      <c r="BA295" s="93"/>
      <c r="BB295" s="93"/>
      <c r="BC295" s="93"/>
      <c r="BD295" s="93"/>
      <c r="BE295" s="93"/>
      <c r="BF295" s="93"/>
      <c r="BG295" s="93"/>
      <c r="BH295" s="93"/>
      <c r="BI295" s="93"/>
      <c r="BJ295" s="93"/>
      <c r="BK295" s="93" t="s">
        <v>106</v>
      </c>
      <c r="BL295" s="93"/>
      <c r="BM295" s="93"/>
      <c r="BN295" s="93"/>
      <c r="BO295" s="93"/>
      <c r="BP295" s="93" t="s">
        <v>110</v>
      </c>
      <c r="BQ295" s="93"/>
      <c r="BR295" s="93"/>
      <c r="BS295" s="93"/>
      <c r="BT295" s="93"/>
      <c r="BU295" s="93"/>
      <c r="BV295" s="93"/>
      <c r="BW295" s="93"/>
      <c r="BX295" s="93"/>
      <c r="BY295" s="93"/>
      <c r="BZ295" s="93"/>
      <c r="CA295" s="93"/>
      <c r="CB295" s="180"/>
      <c r="CC295" s="178"/>
      <c r="CD295" s="178"/>
      <c r="CE295" s="180"/>
      <c r="CF295" s="180"/>
      <c r="CG295" s="180"/>
      <c r="CH295" s="180"/>
      <c r="CI295" s="178"/>
      <c r="CJ295" s="178"/>
      <c r="CK295" s="180"/>
      <c r="CL295" s="180"/>
      <c r="CM295" s="180"/>
      <c r="CN295" s="116"/>
      <c r="CO295" s="218">
        <f t="shared" si="150"/>
        <v>0</v>
      </c>
      <c r="CP295" s="100">
        <f t="shared" si="151"/>
        <v>0</v>
      </c>
      <c r="CQ295" s="218">
        <f t="shared" si="152"/>
        <v>0</v>
      </c>
      <c r="DA295" s="254" t="s">
        <v>155</v>
      </c>
      <c r="DB295" s="1618" t="s">
        <v>379</v>
      </c>
      <c r="DC295" s="1618" t="s">
        <v>380</v>
      </c>
      <c r="DD295" s="1618"/>
      <c r="DE295" s="1619" t="s">
        <v>159</v>
      </c>
      <c r="DF295" s="1618" t="s">
        <v>160</v>
      </c>
      <c r="DG295" s="1618" t="s">
        <v>162</v>
      </c>
      <c r="DH295" s="1618" t="s">
        <v>389</v>
      </c>
      <c r="DI295" s="1618" t="s">
        <v>390</v>
      </c>
      <c r="DJ295" s="1618" t="s">
        <v>380</v>
      </c>
      <c r="DK295" s="1618"/>
      <c r="DL295" s="1618" t="s">
        <v>391</v>
      </c>
      <c r="DM295" s="1618"/>
    </row>
    <row r="296" spans="1:119" s="101" customFormat="1" ht="21.75" hidden="1" customHeight="1" x14ac:dyDescent="0.25">
      <c r="A296" s="99"/>
      <c r="S296" s="243">
        <v>0</v>
      </c>
      <c r="T296" s="243">
        <v>0</v>
      </c>
      <c r="U296" s="243">
        <v>5.0000000000000001E-3</v>
      </c>
      <c r="V296" s="243">
        <v>0.02</v>
      </c>
      <c r="W296" s="243">
        <v>5.0000000000000001E-3</v>
      </c>
      <c r="X296" s="243">
        <v>0</v>
      </c>
      <c r="Y296" s="243">
        <v>0.01</v>
      </c>
      <c r="Z296" s="243">
        <v>7.0000000000000007E-2</v>
      </c>
      <c r="AA296" s="245">
        <v>0</v>
      </c>
      <c r="AB296" s="245">
        <v>0</v>
      </c>
      <c r="AC296" s="243">
        <v>6.0000000000000001E-3</v>
      </c>
      <c r="AD296" s="245"/>
      <c r="AE296" s="243">
        <v>0.1</v>
      </c>
      <c r="AF296" s="245">
        <v>0.01</v>
      </c>
      <c r="AG296" s="243">
        <v>0.01</v>
      </c>
      <c r="AH296" s="100"/>
      <c r="AI296" s="1611" t="s">
        <v>556</v>
      </c>
      <c r="AJ296" s="1611"/>
      <c r="AK296" s="1611"/>
      <c r="AL296" s="1611"/>
      <c r="AM296" s="1611"/>
      <c r="AN296" s="238" t="s">
        <v>554</v>
      </c>
      <c r="AO296" s="238"/>
      <c r="AP296" s="238"/>
      <c r="AQ296" s="238"/>
      <c r="AR296" s="238"/>
      <c r="AS296" s="238"/>
      <c r="AT296" s="238"/>
      <c r="AU296" s="238"/>
      <c r="AV296" s="238"/>
      <c r="AW296" s="238"/>
      <c r="AX296" s="238"/>
      <c r="AY296" s="93"/>
      <c r="AZ296" s="93"/>
      <c r="BA296" s="93"/>
      <c r="BB296" s="93"/>
      <c r="BC296" s="93"/>
      <c r="BD296" s="93"/>
      <c r="BE296" s="93"/>
      <c r="BF296" s="93"/>
      <c r="BG296" s="93"/>
      <c r="BH296" s="93"/>
      <c r="BI296" s="93" t="s">
        <v>58</v>
      </c>
      <c r="BJ296" s="93"/>
      <c r="BK296" s="93" t="s">
        <v>280</v>
      </c>
      <c r="BL296" s="93"/>
      <c r="BM296" s="93" t="s">
        <v>233</v>
      </c>
      <c r="BN296" s="93" t="s">
        <v>233</v>
      </c>
      <c r="BO296" s="93" t="s">
        <v>240</v>
      </c>
      <c r="BP296" s="93" t="s">
        <v>281</v>
      </c>
      <c r="BQ296" s="93"/>
      <c r="BR296" s="93" t="s">
        <v>233</v>
      </c>
      <c r="BS296" s="93" t="s">
        <v>233</v>
      </c>
      <c r="BT296" s="93" t="s">
        <v>240</v>
      </c>
      <c r="BU296" s="93"/>
      <c r="BV296" s="93"/>
      <c r="BW296" s="93"/>
      <c r="BX296" s="93"/>
      <c r="BY296" s="93"/>
      <c r="BZ296" s="93"/>
      <c r="CA296" s="93"/>
      <c r="CB296" s="180"/>
      <c r="CC296" s="178"/>
      <c r="CD296" s="178"/>
      <c r="CE296" s="180"/>
      <c r="CF296" s="180"/>
      <c r="CG296" s="180"/>
      <c r="CH296" s="180"/>
      <c r="CI296" s="178"/>
      <c r="CJ296" s="178"/>
      <c r="CK296" s="180"/>
      <c r="CL296" s="180"/>
      <c r="CM296" s="180"/>
      <c r="CN296" s="116"/>
      <c r="CO296" s="218" t="str">
        <f t="shared" si="150"/>
        <v>Incertidumbre (+/- %)</v>
      </c>
      <c r="CP296" s="100" t="e">
        <f t="shared" si="151"/>
        <v>#VALUE!</v>
      </c>
      <c r="CQ296" s="218" t="str">
        <f t="shared" si="152"/>
        <v>Incertidumbre (+/- %)</v>
      </c>
      <c r="DA296" s="254"/>
      <c r="DB296" s="1618"/>
      <c r="DC296" s="253">
        <v>1995</v>
      </c>
      <c r="DD296" s="254">
        <v>2007</v>
      </c>
      <c r="DE296" s="1619"/>
      <c r="DF296" s="1618"/>
      <c r="DG296" s="1618"/>
      <c r="DH296" s="1618"/>
      <c r="DI296" s="1618"/>
      <c r="DJ296" s="254">
        <v>1995</v>
      </c>
      <c r="DK296" s="254">
        <v>2007</v>
      </c>
      <c r="DL296" s="254">
        <v>1995</v>
      </c>
      <c r="DM296" s="254">
        <v>2007</v>
      </c>
    </row>
    <row r="297" spans="1:119" s="101" customFormat="1" ht="34.5" hidden="1" customHeight="1" x14ac:dyDescent="0.25">
      <c r="Q297" s="242" t="s">
        <v>557</v>
      </c>
      <c r="R297" s="242" t="s">
        <v>559</v>
      </c>
      <c r="S297" s="242" t="s">
        <v>532</v>
      </c>
      <c r="T297" s="242" t="s">
        <v>533</v>
      </c>
      <c r="U297" s="242" t="s">
        <v>530</v>
      </c>
      <c r="V297" s="242" t="s">
        <v>531</v>
      </c>
      <c r="W297" s="242" t="s">
        <v>529</v>
      </c>
      <c r="X297" s="242" t="s">
        <v>528</v>
      </c>
      <c r="Y297" s="242" t="s">
        <v>537</v>
      </c>
      <c r="Z297" s="242" t="s">
        <v>538</v>
      </c>
      <c r="AA297" s="242" t="s">
        <v>544</v>
      </c>
      <c r="AB297" s="242" t="s">
        <v>534</v>
      </c>
      <c r="AC297" s="242" t="s">
        <v>539</v>
      </c>
      <c r="AD297" s="243"/>
      <c r="AE297" s="242" t="s">
        <v>540</v>
      </c>
      <c r="AF297" s="242" t="s">
        <v>535</v>
      </c>
      <c r="AG297" s="242" t="s">
        <v>536</v>
      </c>
      <c r="AH297" s="242" t="s">
        <v>560</v>
      </c>
      <c r="AI297" s="239" t="s">
        <v>513</v>
      </c>
      <c r="AJ297" s="239" t="s">
        <v>527</v>
      </c>
      <c r="AK297" s="102"/>
      <c r="AL297" s="239" t="s">
        <v>514</v>
      </c>
      <c r="AM297" s="239" t="s">
        <v>526</v>
      </c>
      <c r="AN297" s="241" t="s">
        <v>543</v>
      </c>
      <c r="AO297" s="241" t="s">
        <v>542</v>
      </c>
      <c r="AP297" s="240" t="s">
        <v>532</v>
      </c>
      <c r="AQ297" s="240" t="s">
        <v>533</v>
      </c>
      <c r="AS297" s="240" t="s">
        <v>530</v>
      </c>
      <c r="AT297" s="240" t="s">
        <v>531</v>
      </c>
      <c r="AU297" s="240" t="s">
        <v>529</v>
      </c>
      <c r="AV297" s="240" t="s">
        <v>528</v>
      </c>
      <c r="AW297" s="240" t="s">
        <v>537</v>
      </c>
      <c r="AY297" s="93" t="s">
        <v>538</v>
      </c>
      <c r="AZ297" s="93" t="s">
        <v>544</v>
      </c>
      <c r="BA297" s="93" t="s">
        <v>534</v>
      </c>
      <c r="BB297" s="93" t="s">
        <v>539</v>
      </c>
      <c r="BC297" s="93" t="s">
        <v>540</v>
      </c>
      <c r="BD297" s="93" t="s">
        <v>535</v>
      </c>
      <c r="BE297" s="93" t="s">
        <v>536</v>
      </c>
      <c r="BF297" s="93"/>
      <c r="BG297" s="93"/>
      <c r="BH297" s="93"/>
      <c r="BI297" s="93"/>
      <c r="BJ297" s="93" t="s">
        <v>253</v>
      </c>
      <c r="BK297" s="93"/>
      <c r="BL297" s="93" t="s">
        <v>251</v>
      </c>
      <c r="BM297" s="93"/>
      <c r="BN297" s="93"/>
      <c r="BO297" s="93"/>
      <c r="BP297" s="93"/>
      <c r="BQ297" s="93" t="s">
        <v>251</v>
      </c>
      <c r="BR297" s="93"/>
      <c r="BS297" s="93"/>
      <c r="BT297" s="93"/>
      <c r="BU297" s="93"/>
      <c r="BV297" s="93"/>
      <c r="BW297" s="93"/>
      <c r="BX297" s="93"/>
      <c r="BY297" s="93"/>
      <c r="BZ297" s="93"/>
      <c r="CA297" s="93"/>
      <c r="CB297" s="180"/>
      <c r="CC297" s="178"/>
      <c r="CD297" s="178"/>
      <c r="CE297" s="180"/>
      <c r="CF297" s="180"/>
      <c r="CG297" s="180"/>
      <c r="CH297" s="180"/>
      <c r="CI297" s="178"/>
      <c r="CJ297" s="178"/>
      <c r="CK297" s="180"/>
      <c r="CL297" s="180"/>
      <c r="CM297" s="180"/>
      <c r="CN297" s="116"/>
      <c r="CO297" s="218">
        <f t="shared" si="150"/>
        <v>0</v>
      </c>
      <c r="CP297" s="100">
        <f t="shared" si="151"/>
        <v>0</v>
      </c>
      <c r="CQ297" s="218">
        <f t="shared" si="152"/>
        <v>0</v>
      </c>
      <c r="CZ297" s="101" t="s">
        <v>58</v>
      </c>
      <c r="DA297" s="254">
        <v>0</v>
      </c>
      <c r="DB297" s="253">
        <v>0</v>
      </c>
      <c r="DC297" s="253">
        <v>0</v>
      </c>
      <c r="DD297" s="254">
        <v>0</v>
      </c>
      <c r="DE297" s="254">
        <v>0</v>
      </c>
      <c r="DF297" s="253">
        <v>0</v>
      </c>
      <c r="DG297" s="253">
        <v>0</v>
      </c>
      <c r="DH297" s="253">
        <v>0</v>
      </c>
      <c r="DI297" s="253">
        <v>0</v>
      </c>
      <c r="DJ297" s="254">
        <v>0</v>
      </c>
      <c r="DK297" s="254">
        <v>0</v>
      </c>
      <c r="DL297" s="254">
        <v>0</v>
      </c>
      <c r="DM297" s="254">
        <v>0</v>
      </c>
      <c r="DN297" s="101">
        <v>0</v>
      </c>
    </row>
    <row r="298" spans="1:119" s="101" customFormat="1" ht="33.75" hidden="1" customHeight="1" thickBot="1" x14ac:dyDescent="0.4">
      <c r="O298" s="227" t="s">
        <v>128</v>
      </c>
      <c r="Q298" s="243">
        <v>0.48</v>
      </c>
      <c r="R298" s="243">
        <v>400</v>
      </c>
      <c r="S298" s="246">
        <f t="shared" ref="S298:AG316" si="154">((($Q298*($R298/1000)*365)*1)*S$296)*(44/28)</f>
        <v>0</v>
      </c>
      <c r="T298" s="246">
        <f t="shared" si="154"/>
        <v>0</v>
      </c>
      <c r="U298" s="246">
        <f t="shared" si="154"/>
        <v>0.55062857142857136</v>
      </c>
      <c r="V298" s="246">
        <f t="shared" si="154"/>
        <v>2.2025142857142854</v>
      </c>
      <c r="W298" s="246">
        <f t="shared" si="154"/>
        <v>0.55062857142857136</v>
      </c>
      <c r="X298" s="246">
        <f t="shared" si="154"/>
        <v>0</v>
      </c>
      <c r="Y298" s="246">
        <f t="shared" si="154"/>
        <v>1.1012571428571427</v>
      </c>
      <c r="Z298" s="246">
        <f t="shared" si="154"/>
        <v>7.708800000000001</v>
      </c>
      <c r="AA298" s="246">
        <f t="shared" si="154"/>
        <v>0</v>
      </c>
      <c r="AB298" s="246">
        <f t="shared" si="154"/>
        <v>0</v>
      </c>
      <c r="AC298" s="246">
        <f t="shared" si="154"/>
        <v>0.66075428571428574</v>
      </c>
      <c r="AD298" s="246">
        <f t="shared" si="154"/>
        <v>0</v>
      </c>
      <c r="AE298" s="246">
        <f t="shared" si="154"/>
        <v>11.012571428571428</v>
      </c>
      <c r="AF298" s="246">
        <v>0</v>
      </c>
      <c r="AG298" s="246">
        <f t="shared" si="154"/>
        <v>1.1012571428571427</v>
      </c>
      <c r="AH298" s="243"/>
      <c r="AI298" s="102">
        <v>1</v>
      </c>
      <c r="AJ298" s="102">
        <v>58</v>
      </c>
      <c r="AL298" s="102">
        <v>29</v>
      </c>
      <c r="AM298" s="237">
        <v>0.3</v>
      </c>
      <c r="AN298" s="241">
        <v>2.9</v>
      </c>
      <c r="AO298" s="241">
        <v>0.13</v>
      </c>
      <c r="AP298" s="247">
        <f>(AN298*365)*(AO298*0.67*0.01*1)</f>
        <v>0.92195350000000009</v>
      </c>
      <c r="AQ298" s="247">
        <f>(AN298*365)*(AO298*0.67*0.001*1)</f>
        <v>9.2195350000000023E-2</v>
      </c>
      <c r="AR298" s="248"/>
      <c r="AS298" s="247">
        <f>(AN298*365)*(AO298*0.67*0.02*1)</f>
        <v>1.8439070000000002</v>
      </c>
      <c r="AT298" s="247">
        <f>(AN298*365)*(AO298*0.67*0.01*1)</f>
        <v>0.92195350000000009</v>
      </c>
      <c r="AU298" s="247">
        <f>(AN298*365)*(AO298*0.67*0.25*1)</f>
        <v>23.048837500000001</v>
      </c>
      <c r="AV298" s="247">
        <f>(AN298*365)*(AO298*0.67*0.73*1)</f>
        <v>67.302605499999999</v>
      </c>
      <c r="AW298" s="247">
        <f>(AN298*365)*(AO298*0.67*0.03*1)</f>
        <v>2.7658605000000005</v>
      </c>
      <c r="AX298" s="248"/>
      <c r="AY298" s="93">
        <f>(AN298*365)*(AO298*0.67*0.25*1)</f>
        <v>23.048837500000001</v>
      </c>
      <c r="AZ298" s="93">
        <f t="shared" ref="AZ298:AZ333" si="155">(AN298*365)*(AO298*0.67*1*1)</f>
        <v>92.195350000000005</v>
      </c>
      <c r="BA298" s="93">
        <f t="shared" ref="BA298:BA333" si="156">(AN298*365)*(AO298*0.67*0.1*1)</f>
        <v>9.2195350000000005</v>
      </c>
      <c r="BB298" s="93">
        <f t="shared" ref="BB298:BB333" si="157">(AN298*365)*(AO298*0.67*0.005*1)</f>
        <v>0.46097675000000005</v>
      </c>
      <c r="BC298" s="93">
        <f>(AN298*365)*(AO298*0.67*0.005*1)</f>
        <v>0.46097675000000005</v>
      </c>
      <c r="BD298" s="93">
        <v>0</v>
      </c>
      <c r="BE298" s="93">
        <v>0</v>
      </c>
      <c r="BF298" s="93"/>
      <c r="BG298" s="93"/>
      <c r="BH298" s="93" t="s">
        <v>58</v>
      </c>
      <c r="BI298" s="93" t="s">
        <v>601</v>
      </c>
      <c r="BJ298" s="93" t="s">
        <v>168</v>
      </c>
      <c r="BK298" s="93">
        <f>BV298/25</f>
        <v>1</v>
      </c>
      <c r="BL298" s="93" t="s">
        <v>413</v>
      </c>
      <c r="BM298" s="93">
        <v>0.2</v>
      </c>
      <c r="BN298" s="93">
        <v>0.5</v>
      </c>
      <c r="BO298" s="93" t="s">
        <v>258</v>
      </c>
      <c r="BP298" s="93">
        <f>BY298/298</f>
        <v>1.2445714285714284</v>
      </c>
      <c r="BQ298" s="93" t="s">
        <v>415</v>
      </c>
      <c r="BR298" s="93">
        <v>0.2</v>
      </c>
      <c r="BS298" s="93">
        <v>0.5</v>
      </c>
      <c r="BT298" s="93" t="s">
        <v>258</v>
      </c>
      <c r="BU298" s="93"/>
      <c r="BV298" s="93">
        <v>25</v>
      </c>
      <c r="BW298" s="93" t="s">
        <v>414</v>
      </c>
      <c r="BX298" s="93"/>
      <c r="BY298" s="93">
        <v>370.88228571428567</v>
      </c>
      <c r="BZ298" s="93" t="s">
        <v>414</v>
      </c>
      <c r="CA298" s="93"/>
      <c r="CB298" s="180"/>
      <c r="CC298" s="178"/>
      <c r="CD298" s="178"/>
      <c r="CE298" s="180"/>
      <c r="CF298" s="180"/>
      <c r="CG298" s="180"/>
      <c r="CH298" s="180"/>
      <c r="CI298" s="178"/>
      <c r="CJ298" s="178"/>
      <c r="CK298" s="180"/>
      <c r="CL298" s="180"/>
      <c r="CM298" s="180"/>
      <c r="CN298" s="116"/>
      <c r="CO298" s="218">
        <f t="shared" si="150"/>
        <v>0.2</v>
      </c>
      <c r="CP298" s="100">
        <f t="shared" si="151"/>
        <v>0.35</v>
      </c>
      <c r="CQ298" s="218">
        <f t="shared" si="152"/>
        <v>0.5</v>
      </c>
      <c r="CR298" s="101">
        <v>0.2</v>
      </c>
      <c r="CS298" s="101">
        <v>0.5</v>
      </c>
      <c r="CZ298" s="101" t="s">
        <v>58</v>
      </c>
      <c r="DA298" s="23" t="s">
        <v>125</v>
      </c>
      <c r="DB298" s="23">
        <v>1</v>
      </c>
      <c r="DC298" s="142">
        <f>+DB298*21</f>
        <v>21</v>
      </c>
      <c r="DD298" s="142">
        <f>+DB298*25</f>
        <v>25</v>
      </c>
      <c r="DE298" s="23">
        <v>40</v>
      </c>
      <c r="DF298" s="23">
        <v>0.99</v>
      </c>
      <c r="DG298" s="142">
        <f>+DE298*DF298</f>
        <v>39.6</v>
      </c>
      <c r="DH298" s="23">
        <v>0.02</v>
      </c>
      <c r="DI298" s="149">
        <f>+DG298*DH298*44/28</f>
        <v>1.2445714285714284</v>
      </c>
      <c r="DJ298" s="149">
        <f>+DI298*310</f>
        <v>385.81714285714281</v>
      </c>
      <c r="DK298" s="149">
        <f>+DI298*298</f>
        <v>370.88228571428567</v>
      </c>
      <c r="DL298" s="150">
        <f>+DC298+DJ298</f>
        <v>406.81714285714281</v>
      </c>
      <c r="DM298" s="150">
        <f>+DD298+DK298</f>
        <v>395.88228571428567</v>
      </c>
      <c r="DN298" s="116" t="s">
        <v>168</v>
      </c>
      <c r="DO298" s="101" t="s">
        <v>392</v>
      </c>
    </row>
    <row r="299" spans="1:119" s="101" customFormat="1" ht="33.75" hidden="1" customHeight="1" thickBot="1" x14ac:dyDescent="0.4">
      <c r="O299" s="227" t="s">
        <v>129</v>
      </c>
      <c r="Q299" s="243">
        <v>0.48</v>
      </c>
      <c r="R299" s="243">
        <v>400</v>
      </c>
      <c r="S299" s="246">
        <f t="shared" si="154"/>
        <v>0</v>
      </c>
      <c r="T299" s="246">
        <f t="shared" si="154"/>
        <v>0</v>
      </c>
      <c r="U299" s="246">
        <f t="shared" si="154"/>
        <v>0.55062857142857136</v>
      </c>
      <c r="V299" s="246">
        <f t="shared" si="154"/>
        <v>2.2025142857142854</v>
      </c>
      <c r="W299" s="246">
        <f t="shared" si="154"/>
        <v>0.55062857142857136</v>
      </c>
      <c r="X299" s="246">
        <f t="shared" si="154"/>
        <v>0</v>
      </c>
      <c r="Y299" s="246">
        <f t="shared" si="154"/>
        <v>1.1012571428571427</v>
      </c>
      <c r="Z299" s="246">
        <f t="shared" si="154"/>
        <v>7.708800000000001</v>
      </c>
      <c r="AA299" s="246">
        <f t="shared" si="154"/>
        <v>0</v>
      </c>
      <c r="AB299" s="246">
        <f t="shared" si="154"/>
        <v>0</v>
      </c>
      <c r="AC299" s="246">
        <f t="shared" si="154"/>
        <v>0.66075428571428574</v>
      </c>
      <c r="AD299" s="246">
        <f t="shared" si="154"/>
        <v>0</v>
      </c>
      <c r="AE299" s="246">
        <f t="shared" si="154"/>
        <v>11.012571428571428</v>
      </c>
      <c r="AF299" s="246">
        <v>0</v>
      </c>
      <c r="AG299" s="246">
        <f t="shared" si="154"/>
        <v>1.1012571428571427</v>
      </c>
      <c r="AH299" s="243"/>
      <c r="AI299" s="102">
        <v>1</v>
      </c>
      <c r="AJ299" s="102">
        <v>98</v>
      </c>
      <c r="AL299" s="102">
        <v>75</v>
      </c>
      <c r="AM299" s="237">
        <v>0.3</v>
      </c>
      <c r="AN299" s="241">
        <v>2.9</v>
      </c>
      <c r="AO299" s="241">
        <v>0.13</v>
      </c>
      <c r="AP299" s="247">
        <f>(AN299*365)*(AO299*0.67*0.015*1)</f>
        <v>1.3829302500000002</v>
      </c>
      <c r="AQ299" s="247">
        <f>(AN299*365)*(AO299*0.67*0.005*1)</f>
        <v>0.46097675000000005</v>
      </c>
      <c r="AR299" s="248"/>
      <c r="AS299" s="247">
        <f>(AN299*365)*(AO299*0.67*0.04*1)</f>
        <v>3.6878140000000004</v>
      </c>
      <c r="AT299" s="247">
        <f>(AN299*365)*(AO299*0.67*0.015*1)</f>
        <v>1.3829302500000002</v>
      </c>
      <c r="AU299" s="247">
        <f>(AN299*365)*(AO299*0.67*0.65*1)</f>
        <v>59.926977500000007</v>
      </c>
      <c r="AV299" s="247">
        <f>(AN299*365)*(AO299*0.67*0.79*1)</f>
        <v>72.834326500000003</v>
      </c>
      <c r="AW299" s="247">
        <f>(AN299*365)*(AO299*0.67*0.03*1)</f>
        <v>2.7658605000000005</v>
      </c>
      <c r="AX299" s="248"/>
      <c r="AY299" s="93">
        <f>(AN299*365)*(AO299*0.67*0.65*1)</f>
        <v>59.926977500000007</v>
      </c>
      <c r="AZ299" s="93">
        <f t="shared" si="155"/>
        <v>92.195350000000005</v>
      </c>
      <c r="BA299" s="93">
        <f t="shared" si="156"/>
        <v>9.2195350000000005</v>
      </c>
      <c r="BB299" s="93">
        <f t="shared" si="157"/>
        <v>0.46097675000000005</v>
      </c>
      <c r="BC299" s="93">
        <f>(AN299*365)*(AO299*0.67*0.01*1)</f>
        <v>0.92195350000000009</v>
      </c>
      <c r="BD299" s="93">
        <v>0</v>
      </c>
      <c r="BE299" s="93">
        <v>0</v>
      </c>
      <c r="BF299" s="93"/>
      <c r="BG299" s="93"/>
      <c r="BH299" s="93"/>
      <c r="BI299" s="93" t="s">
        <v>126</v>
      </c>
      <c r="BJ299" s="93" t="s">
        <v>168</v>
      </c>
      <c r="BK299" s="93">
        <f t="shared" ref="BK299:BK327" si="158">BV299/25</f>
        <v>1</v>
      </c>
      <c r="BL299" s="93" t="s">
        <v>413</v>
      </c>
      <c r="BM299" s="93">
        <v>0.2</v>
      </c>
      <c r="BN299" s="93">
        <v>0.5</v>
      </c>
      <c r="BO299" s="93" t="s">
        <v>258</v>
      </c>
      <c r="BP299" s="93">
        <f t="shared" ref="BP299:BP327" si="159">BY299/298</f>
        <v>1.2445714285714284</v>
      </c>
      <c r="BQ299" s="93" t="s">
        <v>415</v>
      </c>
      <c r="BR299" s="93">
        <v>0.2</v>
      </c>
      <c r="BS299" s="93">
        <v>0.5</v>
      </c>
      <c r="BT299" s="93" t="s">
        <v>258</v>
      </c>
      <c r="BU299" s="93"/>
      <c r="BV299" s="93">
        <v>25</v>
      </c>
      <c r="BW299" s="93" t="s">
        <v>414</v>
      </c>
      <c r="BX299" s="93"/>
      <c r="BY299" s="93">
        <v>370.88228571428567</v>
      </c>
      <c r="BZ299" s="93" t="s">
        <v>414</v>
      </c>
      <c r="CA299" s="93"/>
      <c r="CB299" s="180"/>
      <c r="CC299" s="178"/>
      <c r="CD299" s="178"/>
      <c r="CE299" s="180"/>
      <c r="CF299" s="180"/>
      <c r="CG299" s="180"/>
      <c r="CH299" s="180"/>
      <c r="CI299" s="178"/>
      <c r="CJ299" s="178"/>
      <c r="CK299" s="180"/>
      <c r="CL299" s="180"/>
      <c r="CM299" s="180"/>
      <c r="CN299" s="116"/>
      <c r="CO299" s="218">
        <f t="shared" si="150"/>
        <v>0.2</v>
      </c>
      <c r="CP299" s="100">
        <f t="shared" si="151"/>
        <v>0.35</v>
      </c>
      <c r="CQ299" s="218">
        <f t="shared" si="152"/>
        <v>0.5</v>
      </c>
      <c r="CR299" s="101">
        <v>0.2</v>
      </c>
      <c r="CS299" s="101">
        <v>0.5</v>
      </c>
      <c r="DA299" s="23" t="s">
        <v>126</v>
      </c>
      <c r="DB299" s="23">
        <v>1</v>
      </c>
      <c r="DC299" s="142">
        <f t="shared" ref="DC299:DC327" si="160">+DB299*21</f>
        <v>21</v>
      </c>
      <c r="DD299" s="142">
        <f t="shared" ref="DD299:DD327" si="161">+DB299*25</f>
        <v>25</v>
      </c>
      <c r="DE299" s="23">
        <v>40</v>
      </c>
      <c r="DF299" s="23">
        <v>0.99</v>
      </c>
      <c r="DG299" s="142">
        <f t="shared" ref="DG299:DG327" si="162">+DE299*DF299</f>
        <v>39.6</v>
      </c>
      <c r="DH299" s="23">
        <v>0.02</v>
      </c>
      <c r="DI299" s="149">
        <f t="shared" ref="DI299:DI327" si="163">+DG299*DH299*44/28</f>
        <v>1.2445714285714284</v>
      </c>
      <c r="DJ299" s="149">
        <f t="shared" ref="DJ299:DJ327" si="164">+DI299*310</f>
        <v>385.81714285714281</v>
      </c>
      <c r="DK299" s="149">
        <f t="shared" ref="DK299:DK327" si="165">+DI299*298</f>
        <v>370.88228571428567</v>
      </c>
      <c r="DL299" s="150">
        <f t="shared" ref="DL299:DM327" si="166">+DC299+DJ299</f>
        <v>406.81714285714281</v>
      </c>
      <c r="DM299" s="150">
        <f t="shared" si="166"/>
        <v>395.88228571428567</v>
      </c>
      <c r="DN299" s="116" t="s">
        <v>168</v>
      </c>
      <c r="DO299" s="101" t="s">
        <v>392</v>
      </c>
    </row>
    <row r="300" spans="1:119" s="101" customFormat="1" ht="33.75" hidden="1" customHeight="1" thickBot="1" x14ac:dyDescent="0.4">
      <c r="O300" s="227" t="s">
        <v>130</v>
      </c>
      <c r="Q300" s="243">
        <v>0.48</v>
      </c>
      <c r="R300" s="243">
        <v>400</v>
      </c>
      <c r="S300" s="246">
        <f t="shared" si="154"/>
        <v>0</v>
      </c>
      <c r="T300" s="246">
        <f t="shared" si="154"/>
        <v>0</v>
      </c>
      <c r="U300" s="246">
        <f t="shared" si="154"/>
        <v>0.55062857142857136</v>
      </c>
      <c r="V300" s="246">
        <f t="shared" si="154"/>
        <v>2.2025142857142854</v>
      </c>
      <c r="W300" s="246">
        <f t="shared" si="154"/>
        <v>0.55062857142857136</v>
      </c>
      <c r="X300" s="246">
        <f t="shared" si="154"/>
        <v>0</v>
      </c>
      <c r="Y300" s="246">
        <f t="shared" si="154"/>
        <v>1.1012571428571427</v>
      </c>
      <c r="Z300" s="246">
        <f t="shared" si="154"/>
        <v>7.708800000000001</v>
      </c>
      <c r="AA300" s="246">
        <f t="shared" si="154"/>
        <v>0</v>
      </c>
      <c r="AB300" s="246">
        <f t="shared" si="154"/>
        <v>0</v>
      </c>
      <c r="AC300" s="246">
        <f t="shared" si="154"/>
        <v>0.66075428571428574</v>
      </c>
      <c r="AD300" s="246">
        <f t="shared" si="154"/>
        <v>0</v>
      </c>
      <c r="AE300" s="246">
        <f t="shared" si="154"/>
        <v>11.012571428571428</v>
      </c>
      <c r="AF300" s="246">
        <v>0</v>
      </c>
      <c r="AG300" s="246">
        <f t="shared" si="154"/>
        <v>1.1012571428571427</v>
      </c>
      <c r="AH300" s="243"/>
      <c r="AI300" s="102">
        <v>1</v>
      </c>
      <c r="AJ300" s="102">
        <v>112</v>
      </c>
      <c r="AL300" s="102">
        <v>92</v>
      </c>
      <c r="AM300" s="237">
        <v>0.3</v>
      </c>
      <c r="AN300" s="241">
        <v>2.9</v>
      </c>
      <c r="AO300" s="241">
        <v>0.13</v>
      </c>
      <c r="AP300" s="247">
        <f>(AN300*365)*(AO300*0.67*0.02*1)</f>
        <v>1.8439070000000002</v>
      </c>
      <c r="AQ300" s="247">
        <f>(AN300*365)*(AO300*0.67*0.01*1)</f>
        <v>0.92195350000000009</v>
      </c>
      <c r="AR300" s="248"/>
      <c r="AS300" s="247">
        <f>(AN300*365)*(AO300*0.67*0.05*1)</f>
        <v>4.6097675000000002</v>
      </c>
      <c r="AT300" s="247">
        <f>(AN300*365)*(AO300*0.67*0.02*1)</f>
        <v>1.8439070000000002</v>
      </c>
      <c r="AU300" s="247">
        <f>(AN300*365)*(AO300*0.67*0.8*1)</f>
        <v>73.756280000000004</v>
      </c>
      <c r="AV300" s="247">
        <f>(AN300*365)*(AO300*0.67*0.8*1)</f>
        <v>73.756280000000004</v>
      </c>
      <c r="AW300" s="247">
        <f>(AN300*365)*(AO300*0.67*0.3*1)</f>
        <v>27.658605000000005</v>
      </c>
      <c r="AX300" s="248"/>
      <c r="AY300" s="93">
        <f>(AN300*365)*(AO300*0.67*0.8*1)</f>
        <v>73.756280000000004</v>
      </c>
      <c r="AZ300" s="93">
        <f t="shared" si="155"/>
        <v>92.195350000000005</v>
      </c>
      <c r="BA300" s="93">
        <f t="shared" si="156"/>
        <v>9.2195350000000005</v>
      </c>
      <c r="BB300" s="93">
        <f t="shared" si="157"/>
        <v>0.46097675000000005</v>
      </c>
      <c r="BC300" s="93">
        <f>(AN300*365)*(AO300*0.67*0.015*1)</f>
        <v>1.3829302500000002</v>
      </c>
      <c r="BD300" s="93">
        <v>0</v>
      </c>
      <c r="BE300" s="93">
        <v>0</v>
      </c>
      <c r="BF300" s="93"/>
      <c r="BG300" s="93"/>
      <c r="BH300" s="93"/>
      <c r="BI300" s="93" t="s">
        <v>127</v>
      </c>
      <c r="BJ300" s="93" t="s">
        <v>168</v>
      </c>
      <c r="BK300" s="93">
        <f t="shared" si="158"/>
        <v>1</v>
      </c>
      <c r="BL300" s="93" t="s">
        <v>413</v>
      </c>
      <c r="BM300" s="93">
        <v>0.2</v>
      </c>
      <c r="BN300" s="93">
        <v>0.5</v>
      </c>
      <c r="BO300" s="93" t="s">
        <v>258</v>
      </c>
      <c r="BP300" s="93">
        <f t="shared" si="159"/>
        <v>1.2445714285714284</v>
      </c>
      <c r="BQ300" s="93" t="s">
        <v>415</v>
      </c>
      <c r="BR300" s="93">
        <v>0.2</v>
      </c>
      <c r="BS300" s="93">
        <v>0.5</v>
      </c>
      <c r="BT300" s="93" t="s">
        <v>258</v>
      </c>
      <c r="BU300" s="93"/>
      <c r="BV300" s="93">
        <v>25</v>
      </c>
      <c r="BW300" s="93" t="s">
        <v>414</v>
      </c>
      <c r="BX300" s="93"/>
      <c r="BY300" s="93">
        <v>370.88228571428567</v>
      </c>
      <c r="BZ300" s="93" t="s">
        <v>414</v>
      </c>
      <c r="CA300" s="93"/>
      <c r="CB300" s="180"/>
      <c r="CC300" s="178"/>
      <c r="CD300" s="178"/>
      <c r="CE300" s="180"/>
      <c r="CF300" s="180"/>
      <c r="CG300" s="180"/>
      <c r="CH300" s="180"/>
      <c r="CI300" s="178"/>
      <c r="CJ300" s="178"/>
      <c r="CK300" s="180"/>
      <c r="CL300" s="180"/>
      <c r="CM300" s="180"/>
      <c r="CN300" s="116"/>
      <c r="CO300" s="218">
        <f t="shared" si="150"/>
        <v>0.2</v>
      </c>
      <c r="CP300" s="100">
        <f t="shared" si="151"/>
        <v>0.35</v>
      </c>
      <c r="CQ300" s="218">
        <f t="shared" si="152"/>
        <v>0.5</v>
      </c>
      <c r="CR300" s="101">
        <v>0.2</v>
      </c>
      <c r="CS300" s="101">
        <v>0.5</v>
      </c>
      <c r="DA300" s="23" t="s">
        <v>127</v>
      </c>
      <c r="DB300" s="23">
        <v>1</v>
      </c>
      <c r="DC300" s="142">
        <f t="shared" si="160"/>
        <v>21</v>
      </c>
      <c r="DD300" s="142">
        <f t="shared" si="161"/>
        <v>25</v>
      </c>
      <c r="DE300" s="23">
        <v>40</v>
      </c>
      <c r="DF300" s="23">
        <v>0.99</v>
      </c>
      <c r="DG300" s="142">
        <f t="shared" si="162"/>
        <v>39.6</v>
      </c>
      <c r="DH300" s="23">
        <v>0.02</v>
      </c>
      <c r="DI300" s="149">
        <f t="shared" si="163"/>
        <v>1.2445714285714284</v>
      </c>
      <c r="DJ300" s="149">
        <f t="shared" si="164"/>
        <v>385.81714285714281</v>
      </c>
      <c r="DK300" s="149">
        <f t="shared" si="165"/>
        <v>370.88228571428567</v>
      </c>
      <c r="DL300" s="150">
        <f t="shared" si="166"/>
        <v>406.81714285714281</v>
      </c>
      <c r="DM300" s="150">
        <f t="shared" si="166"/>
        <v>395.88228571428567</v>
      </c>
      <c r="DN300" s="116" t="s">
        <v>168</v>
      </c>
      <c r="DO300" s="101" t="s">
        <v>392</v>
      </c>
    </row>
    <row r="301" spans="1:119" s="101" customFormat="1" ht="33.75" hidden="1" customHeight="1" thickBot="1" x14ac:dyDescent="0.4">
      <c r="O301" s="227" t="s">
        <v>125</v>
      </c>
      <c r="Q301" s="243">
        <v>0.36</v>
      </c>
      <c r="R301" s="243">
        <v>305</v>
      </c>
      <c r="S301" s="246">
        <f t="shared" si="154"/>
        <v>0</v>
      </c>
      <c r="T301" s="246">
        <f t="shared" si="154"/>
        <v>0</v>
      </c>
      <c r="U301" s="246">
        <f t="shared" si="154"/>
        <v>0.3148907142857143</v>
      </c>
      <c r="V301" s="246">
        <f t="shared" si="154"/>
        <v>1.2595628571428572</v>
      </c>
      <c r="W301" s="246">
        <f t="shared" si="154"/>
        <v>0.3148907142857143</v>
      </c>
      <c r="X301" s="246">
        <f t="shared" si="154"/>
        <v>0</v>
      </c>
      <c r="Y301" s="246">
        <f t="shared" si="154"/>
        <v>0.6297814285714286</v>
      </c>
      <c r="Z301" s="246">
        <f t="shared" si="154"/>
        <v>4.4084700000000003</v>
      </c>
      <c r="AA301" s="246">
        <f t="shared" si="154"/>
        <v>0</v>
      </c>
      <c r="AB301" s="246">
        <f t="shared" si="154"/>
        <v>0</v>
      </c>
      <c r="AC301" s="246">
        <f t="shared" si="154"/>
        <v>0.37786885714285712</v>
      </c>
      <c r="AD301" s="246">
        <f t="shared" si="154"/>
        <v>0</v>
      </c>
      <c r="AE301" s="246">
        <f t="shared" si="154"/>
        <v>6.2978142857142849</v>
      </c>
      <c r="AF301" s="246">
        <v>0</v>
      </c>
      <c r="AG301" s="246">
        <f t="shared" si="154"/>
        <v>0.6297814285714286</v>
      </c>
      <c r="AH301" s="243"/>
      <c r="AI301" s="102">
        <v>1</v>
      </c>
      <c r="AJ301" s="100">
        <v>0</v>
      </c>
      <c r="AL301" s="102">
        <v>8</v>
      </c>
      <c r="AM301" s="237">
        <v>0.3</v>
      </c>
      <c r="AN301" s="241">
        <v>2.5</v>
      </c>
      <c r="AO301" s="241">
        <v>0.1</v>
      </c>
      <c r="AP301" s="247">
        <f>(AN301*365)*(AO301*0.67*0.01*1)</f>
        <v>0.611375</v>
      </c>
      <c r="AQ301" s="247">
        <f>(AN301*365)*(AO301*0.67*0.001*1)</f>
        <v>6.1137500000000004E-2</v>
      </c>
      <c r="AR301" s="248"/>
      <c r="AS301" s="247">
        <f>(AN301*365)*(AO301*0.67*0.02*1)</f>
        <v>1.22275</v>
      </c>
      <c r="AT301" s="247">
        <f>(AN301*365)*(AO301*0.67*0.01*1)</f>
        <v>0.611375</v>
      </c>
      <c r="AU301" s="247">
        <f>(AN301*365)*(AO301*0.67*0.25*1)</f>
        <v>15.284375000000001</v>
      </c>
      <c r="AV301" s="247">
        <f>(AN301*365)*(AO301*0.67*0.73*1)</f>
        <v>44.630375000000001</v>
      </c>
      <c r="AW301" s="247">
        <f>(AN301*365)*(AO301*0.67*0.03*1)</f>
        <v>1.834125</v>
      </c>
      <c r="AX301" s="248"/>
      <c r="AY301" s="93">
        <f>(AN301*365)*(AO301*0.67*0.25*1)</f>
        <v>15.284375000000001</v>
      </c>
      <c r="AZ301" s="93">
        <f t="shared" si="155"/>
        <v>61.137500000000003</v>
      </c>
      <c r="BA301" s="93">
        <f t="shared" si="156"/>
        <v>6.1137500000000014</v>
      </c>
      <c r="BB301" s="93">
        <f t="shared" si="157"/>
        <v>0.3056875</v>
      </c>
      <c r="BC301" s="93">
        <f>(AN301*365)*(AO301*0.67*0.005*1)</f>
        <v>0.3056875</v>
      </c>
      <c r="BD301" s="93">
        <v>0</v>
      </c>
      <c r="BE301" s="93">
        <v>0</v>
      </c>
      <c r="BF301" s="93"/>
      <c r="BG301" s="93"/>
      <c r="BH301" s="93"/>
      <c r="BI301" s="93" t="s">
        <v>128</v>
      </c>
      <c r="BJ301" s="93" t="s">
        <v>168</v>
      </c>
      <c r="BK301" s="93">
        <f t="shared" si="158"/>
        <v>0</v>
      </c>
      <c r="BL301" s="93" t="s">
        <v>413</v>
      </c>
      <c r="BM301" s="93">
        <v>0.2</v>
      </c>
      <c r="BN301" s="93">
        <v>0.5</v>
      </c>
      <c r="BO301" s="93" t="s">
        <v>258</v>
      </c>
      <c r="BP301" s="93">
        <f t="shared" si="159"/>
        <v>0.79200000000000004</v>
      </c>
      <c r="BQ301" s="93" t="s">
        <v>415</v>
      </c>
      <c r="BR301" s="93">
        <v>0.2</v>
      </c>
      <c r="BS301" s="93">
        <v>0.5</v>
      </c>
      <c r="BT301" s="93" t="s">
        <v>258</v>
      </c>
      <c r="BU301" s="93"/>
      <c r="BV301" s="93">
        <v>0</v>
      </c>
      <c r="BW301" s="93" t="s">
        <v>414</v>
      </c>
      <c r="BX301" s="93"/>
      <c r="BY301" s="93">
        <v>236.01600000000002</v>
      </c>
      <c r="BZ301" s="93" t="s">
        <v>414</v>
      </c>
      <c r="CA301" s="93"/>
      <c r="CB301" s="180"/>
      <c r="CC301" s="178"/>
      <c r="CD301" s="178"/>
      <c r="CE301" s="180"/>
      <c r="CF301" s="180"/>
      <c r="CG301" s="180"/>
      <c r="CH301" s="180"/>
      <c r="CI301" s="178"/>
      <c r="CJ301" s="178"/>
      <c r="CK301" s="180"/>
      <c r="CL301" s="180"/>
      <c r="CM301" s="180"/>
      <c r="CN301" s="116"/>
      <c r="CO301" s="218">
        <f t="shared" si="150"/>
        <v>0.2</v>
      </c>
      <c r="CP301" s="100">
        <f t="shared" si="151"/>
        <v>0.35</v>
      </c>
      <c r="CQ301" s="218">
        <f t="shared" si="152"/>
        <v>0.5</v>
      </c>
      <c r="CR301" s="101">
        <v>0.2</v>
      </c>
      <c r="CS301" s="101">
        <v>0.5</v>
      </c>
      <c r="DA301" s="23" t="s">
        <v>128</v>
      </c>
      <c r="DB301" s="23">
        <v>0</v>
      </c>
      <c r="DC301" s="142">
        <f t="shared" si="160"/>
        <v>0</v>
      </c>
      <c r="DD301" s="142">
        <f t="shared" si="161"/>
        <v>0</v>
      </c>
      <c r="DE301" s="23">
        <v>70</v>
      </c>
      <c r="DF301" s="23">
        <v>0.36</v>
      </c>
      <c r="DG301" s="142">
        <f t="shared" si="162"/>
        <v>25.2</v>
      </c>
      <c r="DH301" s="23">
        <v>0.02</v>
      </c>
      <c r="DI301" s="149">
        <f t="shared" si="163"/>
        <v>0.79200000000000004</v>
      </c>
      <c r="DJ301" s="149">
        <f t="shared" si="164"/>
        <v>245.52</v>
      </c>
      <c r="DK301" s="149">
        <f t="shared" si="165"/>
        <v>236.01600000000002</v>
      </c>
      <c r="DL301" s="150">
        <f t="shared" si="166"/>
        <v>245.52</v>
      </c>
      <c r="DM301" s="150">
        <f t="shared" si="166"/>
        <v>236.01600000000002</v>
      </c>
      <c r="DN301" s="116" t="s">
        <v>168</v>
      </c>
      <c r="DO301" s="101" t="s">
        <v>392</v>
      </c>
    </row>
    <row r="302" spans="1:119" s="101" customFormat="1" ht="33.75" hidden="1" customHeight="1" thickBot="1" x14ac:dyDescent="0.4">
      <c r="O302" s="227" t="s">
        <v>126</v>
      </c>
      <c r="Q302" s="243">
        <v>0.36</v>
      </c>
      <c r="R302" s="243">
        <v>305</v>
      </c>
      <c r="S302" s="246">
        <f t="shared" si="154"/>
        <v>0</v>
      </c>
      <c r="T302" s="246">
        <f t="shared" si="154"/>
        <v>0</v>
      </c>
      <c r="U302" s="246">
        <f t="shared" si="154"/>
        <v>0.3148907142857143</v>
      </c>
      <c r="V302" s="246">
        <f t="shared" si="154"/>
        <v>1.2595628571428572</v>
      </c>
      <c r="W302" s="246">
        <f t="shared" si="154"/>
        <v>0.3148907142857143</v>
      </c>
      <c r="X302" s="246">
        <f t="shared" si="154"/>
        <v>0</v>
      </c>
      <c r="Y302" s="246">
        <f t="shared" si="154"/>
        <v>0.6297814285714286</v>
      </c>
      <c r="Z302" s="246">
        <f t="shared" si="154"/>
        <v>4.4084700000000003</v>
      </c>
      <c r="AA302" s="246">
        <f t="shared" si="154"/>
        <v>0</v>
      </c>
      <c r="AB302" s="246">
        <f t="shared" si="154"/>
        <v>0</v>
      </c>
      <c r="AC302" s="246">
        <f t="shared" si="154"/>
        <v>0.37786885714285712</v>
      </c>
      <c r="AD302" s="246">
        <f t="shared" si="154"/>
        <v>0</v>
      </c>
      <c r="AE302" s="246">
        <f t="shared" si="154"/>
        <v>6.2978142857142849</v>
      </c>
      <c r="AF302" s="246">
        <v>0</v>
      </c>
      <c r="AG302" s="246">
        <f t="shared" si="154"/>
        <v>0.6297814285714286</v>
      </c>
      <c r="AH302" s="243"/>
      <c r="AI302" s="102">
        <v>1</v>
      </c>
      <c r="AJ302" s="100">
        <v>0</v>
      </c>
      <c r="AL302" s="102">
        <v>21</v>
      </c>
      <c r="AM302" s="237">
        <v>0.3</v>
      </c>
      <c r="AN302" s="241">
        <v>2.5</v>
      </c>
      <c r="AO302" s="241">
        <v>0.1</v>
      </c>
      <c r="AP302" s="247">
        <f>(AN302*365)*(AO302*0.67*0.015*1)</f>
        <v>0.9170625</v>
      </c>
      <c r="AQ302" s="247">
        <f>(AN302*365)*(AO302*0.67*0.005*1)</f>
        <v>0.3056875</v>
      </c>
      <c r="AR302" s="248"/>
      <c r="AS302" s="247">
        <f>(AN302*365)*(AO302*0.67*0.04*1)</f>
        <v>2.4455</v>
      </c>
      <c r="AT302" s="247">
        <f>(AN302*365)*(AO302*0.67*0.015*1)</f>
        <v>0.9170625</v>
      </c>
      <c r="AU302" s="247">
        <f>(AN302*365)*(AO302*0.67*0.65*1)</f>
        <v>39.739375000000003</v>
      </c>
      <c r="AV302" s="247">
        <f>(AN302*365)*(AO302*0.67*0.79*1)</f>
        <v>48.298625000000001</v>
      </c>
      <c r="AW302" s="247">
        <f>(AN302*365)*(AO302*0.67*0.03*1)</f>
        <v>1.834125</v>
      </c>
      <c r="AX302" s="248"/>
      <c r="AY302" s="93">
        <f>(AN302*365)*(AO302*0.67*0.65*1)</f>
        <v>39.739375000000003</v>
      </c>
      <c r="AZ302" s="93">
        <f t="shared" si="155"/>
        <v>61.137500000000003</v>
      </c>
      <c r="BA302" s="93">
        <f t="shared" si="156"/>
        <v>6.1137500000000014</v>
      </c>
      <c r="BB302" s="93">
        <f t="shared" si="157"/>
        <v>0.3056875</v>
      </c>
      <c r="BC302" s="93">
        <f>(AN302*365)*(AO302*0.67*0.01*1)</f>
        <v>0.611375</v>
      </c>
      <c r="BD302" s="93">
        <v>0</v>
      </c>
      <c r="BE302" s="93">
        <v>0</v>
      </c>
      <c r="BF302" s="93"/>
      <c r="BG302" s="93"/>
      <c r="BH302" s="93"/>
      <c r="BI302" s="93" t="s">
        <v>129</v>
      </c>
      <c r="BJ302" s="93" t="s">
        <v>168</v>
      </c>
      <c r="BK302" s="93">
        <f t="shared" si="158"/>
        <v>1</v>
      </c>
      <c r="BL302" s="93" t="s">
        <v>413</v>
      </c>
      <c r="BM302" s="93">
        <v>0.2</v>
      </c>
      <c r="BN302" s="93">
        <v>0.5</v>
      </c>
      <c r="BO302" s="93" t="s">
        <v>258</v>
      </c>
      <c r="BP302" s="93">
        <f t="shared" si="159"/>
        <v>0.79200000000000004</v>
      </c>
      <c r="BQ302" s="93" t="s">
        <v>415</v>
      </c>
      <c r="BR302" s="93">
        <v>0.2</v>
      </c>
      <c r="BS302" s="93">
        <v>0.5</v>
      </c>
      <c r="BT302" s="93" t="s">
        <v>258</v>
      </c>
      <c r="BU302" s="93"/>
      <c r="BV302" s="93">
        <v>25</v>
      </c>
      <c r="BW302" s="93" t="s">
        <v>414</v>
      </c>
      <c r="BX302" s="93"/>
      <c r="BY302" s="93">
        <v>236.01600000000002</v>
      </c>
      <c r="BZ302" s="93" t="s">
        <v>414</v>
      </c>
      <c r="CA302" s="93"/>
      <c r="CB302" s="180"/>
      <c r="CC302" s="178"/>
      <c r="CD302" s="178"/>
      <c r="CE302" s="180"/>
      <c r="CF302" s="180"/>
      <c r="CG302" s="180"/>
      <c r="CH302" s="180"/>
      <c r="CI302" s="178"/>
      <c r="CJ302" s="178"/>
      <c r="CK302" s="180"/>
      <c r="CL302" s="180"/>
      <c r="CM302" s="180"/>
      <c r="CN302" s="116"/>
      <c r="CO302" s="218">
        <f t="shared" si="150"/>
        <v>0.2</v>
      </c>
      <c r="CP302" s="100">
        <f t="shared" si="151"/>
        <v>0.35</v>
      </c>
      <c r="CQ302" s="218">
        <f t="shared" si="152"/>
        <v>0.5</v>
      </c>
      <c r="CR302" s="101">
        <v>0.2</v>
      </c>
      <c r="CS302" s="101">
        <v>0.5</v>
      </c>
      <c r="DA302" s="23" t="s">
        <v>129</v>
      </c>
      <c r="DB302" s="23">
        <v>1</v>
      </c>
      <c r="DC302" s="142">
        <f t="shared" si="160"/>
        <v>21</v>
      </c>
      <c r="DD302" s="142">
        <f t="shared" si="161"/>
        <v>25</v>
      </c>
      <c r="DE302" s="23">
        <v>70</v>
      </c>
      <c r="DF302" s="23">
        <v>0.36</v>
      </c>
      <c r="DG302" s="142">
        <f t="shared" si="162"/>
        <v>25.2</v>
      </c>
      <c r="DH302" s="23">
        <v>0.02</v>
      </c>
      <c r="DI302" s="149">
        <f t="shared" si="163"/>
        <v>0.79200000000000004</v>
      </c>
      <c r="DJ302" s="149">
        <f t="shared" si="164"/>
        <v>245.52</v>
      </c>
      <c r="DK302" s="149">
        <f t="shared" si="165"/>
        <v>236.01600000000002</v>
      </c>
      <c r="DL302" s="150">
        <f t="shared" si="166"/>
        <v>266.52</v>
      </c>
      <c r="DM302" s="150">
        <f t="shared" si="166"/>
        <v>261.01600000000002</v>
      </c>
      <c r="DN302" s="116" t="s">
        <v>168</v>
      </c>
      <c r="DO302" s="101" t="s">
        <v>392</v>
      </c>
    </row>
    <row r="303" spans="1:119" s="101" customFormat="1" ht="33.75" hidden="1" customHeight="1" thickBot="1" x14ac:dyDescent="0.4">
      <c r="O303" s="227" t="s">
        <v>127</v>
      </c>
      <c r="Q303" s="243">
        <v>0.36</v>
      </c>
      <c r="R303" s="243">
        <v>305</v>
      </c>
      <c r="S303" s="246">
        <f t="shared" si="154"/>
        <v>0</v>
      </c>
      <c r="T303" s="246">
        <f t="shared" si="154"/>
        <v>0</v>
      </c>
      <c r="U303" s="246">
        <f t="shared" si="154"/>
        <v>0.3148907142857143</v>
      </c>
      <c r="V303" s="246">
        <f t="shared" si="154"/>
        <v>1.2595628571428572</v>
      </c>
      <c r="W303" s="246">
        <f t="shared" si="154"/>
        <v>0.3148907142857143</v>
      </c>
      <c r="X303" s="246">
        <f t="shared" si="154"/>
        <v>0</v>
      </c>
      <c r="Y303" s="246">
        <f t="shared" si="154"/>
        <v>0.6297814285714286</v>
      </c>
      <c r="Z303" s="246">
        <f t="shared" si="154"/>
        <v>4.4084700000000003</v>
      </c>
      <c r="AA303" s="246">
        <f t="shared" si="154"/>
        <v>0</v>
      </c>
      <c r="AB303" s="246">
        <f t="shared" si="154"/>
        <v>0</v>
      </c>
      <c r="AC303" s="246">
        <f t="shared" si="154"/>
        <v>0.37786885714285712</v>
      </c>
      <c r="AD303" s="246">
        <f t="shared" si="154"/>
        <v>0</v>
      </c>
      <c r="AE303" s="246">
        <f t="shared" si="154"/>
        <v>6.2978142857142849</v>
      </c>
      <c r="AF303" s="246">
        <v>0</v>
      </c>
      <c r="AG303" s="246">
        <f t="shared" si="154"/>
        <v>0.6297814285714286</v>
      </c>
      <c r="AH303" s="243"/>
      <c r="AI303" s="102">
        <v>2</v>
      </c>
      <c r="AJ303" s="100">
        <v>0</v>
      </c>
      <c r="AL303" s="102">
        <v>26</v>
      </c>
      <c r="AM303" s="237">
        <v>0.3</v>
      </c>
      <c r="AN303" s="241">
        <v>2.5</v>
      </c>
      <c r="AO303" s="241">
        <v>0.1</v>
      </c>
      <c r="AP303" s="247">
        <f>(AN303*365)*(AO303*0.67*0.02*1)</f>
        <v>1.22275</v>
      </c>
      <c r="AQ303" s="247">
        <f>(AN303*365)*(AO303*0.67*0.01*1)</f>
        <v>0.611375</v>
      </c>
      <c r="AR303" s="248"/>
      <c r="AS303" s="247">
        <f>(AN303*365)*(AO303*0.67*0.05*1)</f>
        <v>3.0568750000000007</v>
      </c>
      <c r="AT303" s="247">
        <f>(AN303*365)*(AO303*0.67*0.02*1)</f>
        <v>1.22275</v>
      </c>
      <c r="AU303" s="247">
        <f>(AN303*365)*(AO303*0.67*0.8*1)</f>
        <v>48.910000000000011</v>
      </c>
      <c r="AV303" s="247">
        <f>(AN303*365)*(AO303*0.67*0.8*1)</f>
        <v>48.910000000000011</v>
      </c>
      <c r="AW303" s="247">
        <f>(AN303*365)*(AO303*0.67*0.3*1)</f>
        <v>18.341249999999999</v>
      </c>
      <c r="AX303" s="248"/>
      <c r="AY303" s="93">
        <f>(AN303*365)*(AO303*0.67*0.8*1)</f>
        <v>48.910000000000011</v>
      </c>
      <c r="AZ303" s="93">
        <f t="shared" si="155"/>
        <v>61.137500000000003</v>
      </c>
      <c r="BA303" s="93">
        <f t="shared" si="156"/>
        <v>6.1137500000000014</v>
      </c>
      <c r="BB303" s="93">
        <f t="shared" si="157"/>
        <v>0.3056875</v>
      </c>
      <c r="BC303" s="93">
        <f>(AN303*365)*(AO303*0.67*0.015*1)</f>
        <v>0.9170625</v>
      </c>
      <c r="BD303" s="93">
        <v>0</v>
      </c>
      <c r="BE303" s="93">
        <v>0</v>
      </c>
      <c r="BF303" s="93"/>
      <c r="BG303" s="93"/>
      <c r="BH303" s="93"/>
      <c r="BI303" s="93" t="s">
        <v>130</v>
      </c>
      <c r="BJ303" s="93" t="s">
        <v>168</v>
      </c>
      <c r="BK303" s="93">
        <f t="shared" si="158"/>
        <v>2</v>
      </c>
      <c r="BL303" s="93" t="s">
        <v>413</v>
      </c>
      <c r="BM303" s="93">
        <v>0.2</v>
      </c>
      <c r="BN303" s="93">
        <v>0.5</v>
      </c>
      <c r="BO303" s="93" t="s">
        <v>258</v>
      </c>
      <c r="BP303" s="93">
        <f t="shared" si="159"/>
        <v>0.79200000000000004</v>
      </c>
      <c r="BQ303" s="93" t="s">
        <v>415</v>
      </c>
      <c r="BR303" s="93">
        <v>0.2</v>
      </c>
      <c r="BS303" s="93">
        <v>0.5</v>
      </c>
      <c r="BT303" s="93" t="s">
        <v>258</v>
      </c>
      <c r="BU303" s="93"/>
      <c r="BV303" s="93">
        <v>50</v>
      </c>
      <c r="BW303" s="93" t="s">
        <v>414</v>
      </c>
      <c r="BX303" s="93"/>
      <c r="BY303" s="93">
        <v>236.01600000000002</v>
      </c>
      <c r="BZ303" s="93" t="s">
        <v>414</v>
      </c>
      <c r="CA303" s="93"/>
      <c r="CB303" s="180"/>
      <c r="CC303" s="178"/>
      <c r="CD303" s="178"/>
      <c r="CE303" s="180"/>
      <c r="CF303" s="180"/>
      <c r="CG303" s="180"/>
      <c r="CH303" s="180"/>
      <c r="CI303" s="178"/>
      <c r="CJ303" s="178"/>
      <c r="CK303" s="180"/>
      <c r="CL303" s="180"/>
      <c r="CM303" s="180"/>
      <c r="CN303" s="116"/>
      <c r="CO303" s="218">
        <f t="shared" si="150"/>
        <v>0.2</v>
      </c>
      <c r="CP303" s="100">
        <f t="shared" si="151"/>
        <v>0.35</v>
      </c>
      <c r="CQ303" s="218">
        <f t="shared" si="152"/>
        <v>0.5</v>
      </c>
      <c r="CR303" s="101">
        <v>0.2</v>
      </c>
      <c r="CS303" s="101">
        <v>0.5</v>
      </c>
      <c r="DA303" s="23" t="s">
        <v>130</v>
      </c>
      <c r="DB303" s="23">
        <v>2</v>
      </c>
      <c r="DC303" s="142">
        <f t="shared" si="160"/>
        <v>42</v>
      </c>
      <c r="DD303" s="142">
        <f t="shared" si="161"/>
        <v>50</v>
      </c>
      <c r="DE303" s="23">
        <v>70</v>
      </c>
      <c r="DF303" s="23">
        <v>0.36</v>
      </c>
      <c r="DG303" s="142">
        <f t="shared" si="162"/>
        <v>25.2</v>
      </c>
      <c r="DH303" s="23">
        <v>0.02</v>
      </c>
      <c r="DI303" s="149">
        <f t="shared" si="163"/>
        <v>0.79200000000000004</v>
      </c>
      <c r="DJ303" s="149">
        <f t="shared" si="164"/>
        <v>245.52</v>
      </c>
      <c r="DK303" s="149">
        <f t="shared" si="165"/>
        <v>236.01600000000002</v>
      </c>
      <c r="DL303" s="150">
        <f t="shared" si="166"/>
        <v>287.52</v>
      </c>
      <c r="DM303" s="150">
        <f t="shared" si="166"/>
        <v>286.01600000000002</v>
      </c>
      <c r="DN303" s="116" t="s">
        <v>168</v>
      </c>
      <c r="DO303" s="101" t="s">
        <v>392</v>
      </c>
    </row>
    <row r="304" spans="1:119" s="101" customFormat="1" ht="33.75" hidden="1" customHeight="1" thickBot="1" x14ac:dyDescent="0.4">
      <c r="O304" s="227" t="s">
        <v>131</v>
      </c>
      <c r="Q304" s="243">
        <v>0.82</v>
      </c>
      <c r="R304" s="243">
        <v>1.8</v>
      </c>
      <c r="S304" s="246">
        <f t="shared" si="154"/>
        <v>0</v>
      </c>
      <c r="T304" s="246">
        <f t="shared" si="154"/>
        <v>0</v>
      </c>
      <c r="U304" s="246">
        <f t="shared" si="154"/>
        <v>4.2329571428571426E-3</v>
      </c>
      <c r="V304" s="246">
        <f t="shared" si="154"/>
        <v>1.6931828571428571E-2</v>
      </c>
      <c r="W304" s="246">
        <f t="shared" si="154"/>
        <v>4.2329571428571426E-3</v>
      </c>
      <c r="X304" s="246">
        <f t="shared" si="154"/>
        <v>0</v>
      </c>
      <c r="Y304" s="246">
        <v>0</v>
      </c>
      <c r="Z304" s="246">
        <v>0</v>
      </c>
      <c r="AA304" s="246">
        <f t="shared" si="154"/>
        <v>0</v>
      </c>
      <c r="AB304" s="246">
        <f t="shared" si="154"/>
        <v>0</v>
      </c>
      <c r="AC304" s="246">
        <f t="shared" si="154"/>
        <v>5.0795485714285717E-3</v>
      </c>
      <c r="AD304" s="246">
        <f t="shared" si="154"/>
        <v>0</v>
      </c>
      <c r="AE304" s="246">
        <f t="shared" si="154"/>
        <v>8.4659142857142863E-2</v>
      </c>
      <c r="AF304" s="246">
        <f t="shared" si="154"/>
        <v>8.4659142857142853E-3</v>
      </c>
      <c r="AG304" s="246">
        <f t="shared" si="154"/>
        <v>8.4659142857142853E-3</v>
      </c>
      <c r="AH304" s="243"/>
      <c r="AI304" s="102">
        <v>0.01</v>
      </c>
      <c r="AJ304" s="102">
        <v>1.2</v>
      </c>
      <c r="AL304" s="100">
        <v>0</v>
      </c>
      <c r="AM304" s="237">
        <v>0.3</v>
      </c>
      <c r="AN304" s="241">
        <v>0.1</v>
      </c>
      <c r="AO304" s="241">
        <v>0.24</v>
      </c>
      <c r="AP304" s="247">
        <f>(AN304*365)*(AO304*0.67*0.01*1)</f>
        <v>5.8692000000000001E-2</v>
      </c>
      <c r="AQ304" s="247">
        <f>(AN304*365)*(AO304*0.67*0.001*1)</f>
        <v>5.8691999999999998E-3</v>
      </c>
      <c r="AR304" s="248"/>
      <c r="AS304" s="247">
        <f>(AN304*365)*(AO304*0.67*0.02*1)</f>
        <v>0.117384</v>
      </c>
      <c r="AT304" s="247">
        <f>(AN304*365)*(AO304*0.67*0.01*1)</f>
        <v>5.8692000000000001E-2</v>
      </c>
      <c r="AU304" s="247">
        <f>(AN304*365)*(AO304*0.67*0.25*1)</f>
        <v>1.4673</v>
      </c>
      <c r="AV304" s="247">
        <f>(AN304*365)*(AO304*0.67*0.73*1)</f>
        <v>4.284516</v>
      </c>
      <c r="AW304" s="247">
        <v>0</v>
      </c>
      <c r="AX304" s="247" t="s">
        <v>541</v>
      </c>
      <c r="AY304" s="93">
        <v>0</v>
      </c>
      <c r="AZ304" s="93">
        <f t="shared" si="155"/>
        <v>5.8692000000000002</v>
      </c>
      <c r="BA304" s="93">
        <f t="shared" si="156"/>
        <v>0.58692</v>
      </c>
      <c r="BB304" s="93">
        <f t="shared" si="157"/>
        <v>2.9346000000000001E-2</v>
      </c>
      <c r="BC304" s="93">
        <f>(AN304*365)*(AO304*0.67*0.005*1)</f>
        <v>2.9346000000000001E-2</v>
      </c>
      <c r="BD304" s="93">
        <f>(AN304*365)*(AO304*0.67*0.0015*1)</f>
        <v>8.8038000000000005E-3</v>
      </c>
      <c r="BE304" s="93">
        <v>0</v>
      </c>
      <c r="BF304" s="93"/>
      <c r="BG304" s="93"/>
      <c r="BH304" s="93"/>
      <c r="BI304" s="93" t="s">
        <v>131</v>
      </c>
      <c r="BJ304" s="93" t="s">
        <v>169</v>
      </c>
      <c r="BK304" s="93">
        <f t="shared" si="158"/>
        <v>1.2E-2</v>
      </c>
      <c r="BL304" s="93" t="s">
        <v>413</v>
      </c>
      <c r="BM304" s="93">
        <v>0.2</v>
      </c>
      <c r="BN304" s="93">
        <v>0.5</v>
      </c>
      <c r="BO304" s="93" t="s">
        <v>258</v>
      </c>
      <c r="BP304" s="93">
        <f t="shared" si="159"/>
        <v>7.92E-3</v>
      </c>
      <c r="BQ304" s="93" t="s">
        <v>415</v>
      </c>
      <c r="BR304" s="93">
        <v>0.2</v>
      </c>
      <c r="BS304" s="93">
        <v>0.5</v>
      </c>
      <c r="BT304" s="93" t="s">
        <v>258</v>
      </c>
      <c r="BU304" s="93"/>
      <c r="BV304" s="93">
        <v>0.3</v>
      </c>
      <c r="BW304" s="93" t="s">
        <v>414</v>
      </c>
      <c r="BX304" s="93"/>
      <c r="BY304" s="93">
        <v>2.36016</v>
      </c>
      <c r="BZ304" s="93" t="s">
        <v>414</v>
      </c>
      <c r="CA304" s="93"/>
      <c r="CB304" s="180"/>
      <c r="CC304" s="178"/>
      <c r="CD304" s="178"/>
      <c r="CE304" s="180"/>
      <c r="CF304" s="180"/>
      <c r="CG304" s="180"/>
      <c r="CH304" s="180"/>
      <c r="CI304" s="178"/>
      <c r="CJ304" s="178"/>
      <c r="CK304" s="180"/>
      <c r="CL304" s="180"/>
      <c r="CM304" s="180"/>
      <c r="CN304" s="116"/>
      <c r="CO304" s="218">
        <f t="shared" si="150"/>
        <v>0.2</v>
      </c>
      <c r="CP304" s="100">
        <f t="shared" si="151"/>
        <v>0.35</v>
      </c>
      <c r="CQ304" s="218">
        <f t="shared" si="152"/>
        <v>0.5</v>
      </c>
      <c r="CR304" s="101">
        <v>0.2</v>
      </c>
      <c r="CS304" s="101">
        <v>0.5</v>
      </c>
      <c r="DA304" s="23" t="s">
        <v>131</v>
      </c>
      <c r="DB304" s="23">
        <v>1.2E-2</v>
      </c>
      <c r="DC304" s="142">
        <f t="shared" si="160"/>
        <v>0.252</v>
      </c>
      <c r="DD304" s="142">
        <f t="shared" si="161"/>
        <v>0.3</v>
      </c>
      <c r="DE304" s="23">
        <v>0.6</v>
      </c>
      <c r="DF304" s="23">
        <v>0.42</v>
      </c>
      <c r="DG304" s="142">
        <f t="shared" si="162"/>
        <v>0.252</v>
      </c>
      <c r="DH304" s="23">
        <v>0.02</v>
      </c>
      <c r="DI304" s="149">
        <f t="shared" si="163"/>
        <v>7.92E-3</v>
      </c>
      <c r="DJ304" s="149">
        <f t="shared" si="164"/>
        <v>2.4552</v>
      </c>
      <c r="DK304" s="149">
        <f t="shared" si="165"/>
        <v>2.36016</v>
      </c>
      <c r="DL304" s="150">
        <f t="shared" si="166"/>
        <v>2.7072000000000003</v>
      </c>
      <c r="DM304" s="150">
        <f t="shared" si="166"/>
        <v>2.6601599999999999</v>
      </c>
      <c r="DN304" s="116" t="s">
        <v>169</v>
      </c>
      <c r="DO304" s="101" t="s">
        <v>393</v>
      </c>
    </row>
    <row r="305" spans="15:119" s="101" customFormat="1" ht="33.75" hidden="1" customHeight="1" thickBot="1" x14ac:dyDescent="0.4">
      <c r="O305" s="227" t="s">
        <v>132</v>
      </c>
      <c r="Q305" s="243">
        <v>0.82</v>
      </c>
      <c r="R305" s="243">
        <v>1.8</v>
      </c>
      <c r="S305" s="246">
        <f t="shared" si="154"/>
        <v>0</v>
      </c>
      <c r="T305" s="246">
        <f t="shared" si="154"/>
        <v>0</v>
      </c>
      <c r="U305" s="246">
        <f t="shared" si="154"/>
        <v>4.2329571428571426E-3</v>
      </c>
      <c r="V305" s="246">
        <f t="shared" si="154"/>
        <v>1.6931828571428571E-2</v>
      </c>
      <c r="W305" s="246">
        <f t="shared" si="154"/>
        <v>4.2329571428571426E-3</v>
      </c>
      <c r="X305" s="246">
        <f t="shared" si="154"/>
        <v>0</v>
      </c>
      <c r="Y305" s="246">
        <v>0</v>
      </c>
      <c r="Z305" s="246">
        <v>0</v>
      </c>
      <c r="AA305" s="246">
        <f t="shared" si="154"/>
        <v>0</v>
      </c>
      <c r="AB305" s="246">
        <f t="shared" si="154"/>
        <v>0</v>
      </c>
      <c r="AC305" s="246">
        <f t="shared" si="154"/>
        <v>5.0795485714285717E-3</v>
      </c>
      <c r="AD305" s="246">
        <f t="shared" si="154"/>
        <v>0</v>
      </c>
      <c r="AE305" s="246">
        <f t="shared" si="154"/>
        <v>8.4659142857142863E-2</v>
      </c>
      <c r="AF305" s="246">
        <f t="shared" si="154"/>
        <v>8.4659142857142853E-3</v>
      </c>
      <c r="AG305" s="246">
        <f t="shared" si="154"/>
        <v>8.4659142857142853E-3</v>
      </c>
      <c r="AH305" s="243"/>
      <c r="AI305" s="102">
        <v>0.02</v>
      </c>
      <c r="AJ305" s="102">
        <v>1.4</v>
      </c>
      <c r="AL305" s="100">
        <v>0</v>
      </c>
      <c r="AM305" s="237">
        <v>0.3</v>
      </c>
      <c r="AN305" s="241">
        <v>0.1</v>
      </c>
      <c r="AO305" s="241">
        <v>0.24</v>
      </c>
      <c r="AP305" s="247">
        <f>(AN305*365)*(AO305*0.67*0.015*1)</f>
        <v>8.8038000000000005E-2</v>
      </c>
      <c r="AQ305" s="247">
        <f>(AN305*365)*(AO305*0.67*0.005*1)</f>
        <v>2.9346000000000001E-2</v>
      </c>
      <c r="AR305" s="248"/>
      <c r="AS305" s="247">
        <f>(AN305*365)*(AO305*0.67*0.04*1)</f>
        <v>0.234768</v>
      </c>
      <c r="AT305" s="247">
        <f>(AN305*365)*(AO305*0.67*0.015*1)</f>
        <v>8.8038000000000005E-2</v>
      </c>
      <c r="AU305" s="247">
        <f>(AN305*365)*(AO305*0.67*0.65*1)</f>
        <v>3.8149800000000003</v>
      </c>
      <c r="AV305" s="247">
        <f>(AN305*365)*(AO305*0.67*0.79*1)</f>
        <v>4.6366680000000002</v>
      </c>
      <c r="AW305" s="247">
        <v>0</v>
      </c>
      <c r="AX305" s="247" t="s">
        <v>541</v>
      </c>
      <c r="AY305" s="93">
        <v>0</v>
      </c>
      <c r="AZ305" s="93">
        <f t="shared" si="155"/>
        <v>5.8692000000000002</v>
      </c>
      <c r="BA305" s="93">
        <f t="shared" si="156"/>
        <v>0.58692</v>
      </c>
      <c r="BB305" s="93">
        <f t="shared" si="157"/>
        <v>2.9346000000000001E-2</v>
      </c>
      <c r="BC305" s="93">
        <f>(AN305*365)*(AO305*0.67*0.01*1)</f>
        <v>5.8692000000000001E-2</v>
      </c>
      <c r="BD305" s="93">
        <f>(AN305*365)*(AO305*0.67*0.0015*1)</f>
        <v>8.8038000000000005E-3</v>
      </c>
      <c r="BE305" s="93">
        <v>0</v>
      </c>
      <c r="BF305" s="93"/>
      <c r="BG305" s="93"/>
      <c r="BH305" s="93"/>
      <c r="BI305" s="93" t="s">
        <v>132</v>
      </c>
      <c r="BJ305" s="93" t="s">
        <v>169</v>
      </c>
      <c r="BK305" s="93">
        <f t="shared" si="158"/>
        <v>1.7999999999999999E-2</v>
      </c>
      <c r="BL305" s="93" t="s">
        <v>413</v>
      </c>
      <c r="BM305" s="93">
        <v>0.2</v>
      </c>
      <c r="BN305" s="93">
        <v>0.5</v>
      </c>
      <c r="BO305" s="93" t="s">
        <v>258</v>
      </c>
      <c r="BP305" s="93">
        <f t="shared" si="159"/>
        <v>7.92E-3</v>
      </c>
      <c r="BQ305" s="93" t="s">
        <v>415</v>
      </c>
      <c r="BR305" s="93">
        <v>0.2</v>
      </c>
      <c r="BS305" s="93">
        <v>0.5</v>
      </c>
      <c r="BT305" s="93" t="s">
        <v>258</v>
      </c>
      <c r="BU305" s="93"/>
      <c r="BV305" s="93">
        <v>0.44999999999999996</v>
      </c>
      <c r="BW305" s="93" t="s">
        <v>414</v>
      </c>
      <c r="BX305" s="93"/>
      <c r="BY305" s="93">
        <v>2.36016</v>
      </c>
      <c r="BZ305" s="93" t="s">
        <v>414</v>
      </c>
      <c r="CA305" s="93"/>
      <c r="CB305" s="180"/>
      <c r="CC305" s="178"/>
      <c r="CD305" s="178"/>
      <c r="CE305" s="180"/>
      <c r="CF305" s="180"/>
      <c r="CG305" s="180"/>
      <c r="CH305" s="180"/>
      <c r="CI305" s="178"/>
      <c r="CJ305" s="178"/>
      <c r="CK305" s="180"/>
      <c r="CL305" s="180"/>
      <c r="CM305" s="180"/>
      <c r="CN305" s="116"/>
      <c r="CO305" s="218">
        <f t="shared" si="150"/>
        <v>0.2</v>
      </c>
      <c r="CP305" s="100">
        <f t="shared" si="151"/>
        <v>0.35</v>
      </c>
      <c r="CQ305" s="218">
        <f t="shared" si="152"/>
        <v>0.5</v>
      </c>
      <c r="CR305" s="101">
        <v>0.2</v>
      </c>
      <c r="CS305" s="101">
        <v>0.5</v>
      </c>
      <c r="DA305" s="23" t="s">
        <v>132</v>
      </c>
      <c r="DB305" s="23">
        <v>1.7999999999999999E-2</v>
      </c>
      <c r="DC305" s="142">
        <f t="shared" si="160"/>
        <v>0.37799999999999995</v>
      </c>
      <c r="DD305" s="142">
        <f t="shared" si="161"/>
        <v>0.44999999999999996</v>
      </c>
      <c r="DE305" s="23">
        <v>0.6</v>
      </c>
      <c r="DF305" s="23">
        <v>0.42</v>
      </c>
      <c r="DG305" s="142">
        <f t="shared" si="162"/>
        <v>0.252</v>
      </c>
      <c r="DH305" s="23">
        <v>0.02</v>
      </c>
      <c r="DI305" s="149">
        <f t="shared" si="163"/>
        <v>7.92E-3</v>
      </c>
      <c r="DJ305" s="149">
        <f t="shared" si="164"/>
        <v>2.4552</v>
      </c>
      <c r="DK305" s="149">
        <f t="shared" si="165"/>
        <v>2.36016</v>
      </c>
      <c r="DL305" s="150">
        <f t="shared" si="166"/>
        <v>2.8332000000000002</v>
      </c>
      <c r="DM305" s="150">
        <f t="shared" si="166"/>
        <v>2.8101599999999998</v>
      </c>
      <c r="DN305" s="116" t="s">
        <v>169</v>
      </c>
      <c r="DO305" s="101" t="s">
        <v>393</v>
      </c>
    </row>
    <row r="306" spans="15:119" s="101" customFormat="1" ht="33.75" hidden="1" customHeight="1" thickBot="1" x14ac:dyDescent="0.4">
      <c r="O306" s="227" t="s">
        <v>133</v>
      </c>
      <c r="Q306" s="243">
        <v>0.82</v>
      </c>
      <c r="R306" s="243">
        <v>1.8</v>
      </c>
      <c r="S306" s="246">
        <f t="shared" si="154"/>
        <v>0</v>
      </c>
      <c r="T306" s="246">
        <f t="shared" si="154"/>
        <v>0</v>
      </c>
      <c r="U306" s="246">
        <f t="shared" si="154"/>
        <v>4.2329571428571426E-3</v>
      </c>
      <c r="V306" s="246">
        <f t="shared" si="154"/>
        <v>1.6931828571428571E-2</v>
      </c>
      <c r="W306" s="246">
        <f t="shared" si="154"/>
        <v>4.2329571428571426E-3</v>
      </c>
      <c r="X306" s="246">
        <f t="shared" si="154"/>
        <v>0</v>
      </c>
      <c r="Y306" s="246">
        <v>0</v>
      </c>
      <c r="Z306" s="246">
        <v>0</v>
      </c>
      <c r="AA306" s="246">
        <f t="shared" si="154"/>
        <v>0</v>
      </c>
      <c r="AB306" s="246">
        <f t="shared" si="154"/>
        <v>0</v>
      </c>
      <c r="AC306" s="246">
        <f t="shared" si="154"/>
        <v>5.0795485714285717E-3</v>
      </c>
      <c r="AD306" s="246">
        <f t="shared" si="154"/>
        <v>0</v>
      </c>
      <c r="AE306" s="246">
        <f t="shared" si="154"/>
        <v>8.4659142857142863E-2</v>
      </c>
      <c r="AF306" s="246">
        <f t="shared" si="154"/>
        <v>8.4659142857142853E-3</v>
      </c>
      <c r="AG306" s="246">
        <f t="shared" si="154"/>
        <v>8.4659142857142853E-3</v>
      </c>
      <c r="AH306" s="243"/>
      <c r="AI306" s="102">
        <v>0.02</v>
      </c>
      <c r="AJ306" s="102">
        <v>1.4</v>
      </c>
      <c r="AL306" s="100">
        <v>0</v>
      </c>
      <c r="AM306" s="237">
        <v>0.3</v>
      </c>
      <c r="AN306" s="241">
        <v>0.1</v>
      </c>
      <c r="AO306" s="241">
        <v>0.24</v>
      </c>
      <c r="AP306" s="247">
        <f>(AN306*365)*(AO306*0.67*0.02*1)</f>
        <v>0.117384</v>
      </c>
      <c r="AQ306" s="247">
        <f>(AN306*365)*(AO306*0.67*0.01*1)</f>
        <v>5.8692000000000001E-2</v>
      </c>
      <c r="AR306" s="248"/>
      <c r="AS306" s="247">
        <f>(AN306*365)*(AO306*0.67*0.05*1)</f>
        <v>0.29346</v>
      </c>
      <c r="AT306" s="247">
        <f>(AN306*365)*(AO306*0.67*0.02*1)</f>
        <v>0.117384</v>
      </c>
      <c r="AU306" s="247">
        <f>(AN306*365)*(AO306*0.67*0.8*1)</f>
        <v>4.69536</v>
      </c>
      <c r="AV306" s="247">
        <f>(AN306*365)*(AO306*0.67*0.8*1)</f>
        <v>4.69536</v>
      </c>
      <c r="AW306" s="247">
        <v>0</v>
      </c>
      <c r="AX306" s="247" t="s">
        <v>541</v>
      </c>
      <c r="AY306" s="93">
        <v>0</v>
      </c>
      <c r="AZ306" s="93">
        <f t="shared" si="155"/>
        <v>5.8692000000000002</v>
      </c>
      <c r="BA306" s="93">
        <f t="shared" si="156"/>
        <v>0.58692</v>
      </c>
      <c r="BB306" s="93">
        <f t="shared" si="157"/>
        <v>2.9346000000000001E-2</v>
      </c>
      <c r="BC306" s="93">
        <f>(AN306*365)*(AO306*0.67*0.015*1)</f>
        <v>8.8038000000000005E-2</v>
      </c>
      <c r="BD306" s="93">
        <f>(AN306*365)*(AO306*0.67*0.0015*1)</f>
        <v>8.8038000000000005E-3</v>
      </c>
      <c r="BE306" s="93">
        <v>0</v>
      </c>
      <c r="BF306" s="93"/>
      <c r="BG306" s="93"/>
      <c r="BH306" s="93"/>
      <c r="BI306" s="93" t="s">
        <v>133</v>
      </c>
      <c r="BJ306" s="93" t="s">
        <v>169</v>
      </c>
      <c r="BK306" s="93">
        <f t="shared" si="158"/>
        <v>2.3E-2</v>
      </c>
      <c r="BL306" s="93" t="s">
        <v>413</v>
      </c>
      <c r="BM306" s="93">
        <v>0.2</v>
      </c>
      <c r="BN306" s="93">
        <v>0.5</v>
      </c>
      <c r="BO306" s="93" t="s">
        <v>258</v>
      </c>
      <c r="BP306" s="93">
        <f t="shared" si="159"/>
        <v>7.92E-3</v>
      </c>
      <c r="BQ306" s="93" t="s">
        <v>415</v>
      </c>
      <c r="BR306" s="93">
        <v>0.2</v>
      </c>
      <c r="BS306" s="93">
        <v>0.5</v>
      </c>
      <c r="BT306" s="93" t="s">
        <v>258</v>
      </c>
      <c r="BU306" s="93"/>
      <c r="BV306" s="93">
        <v>0.57499999999999996</v>
      </c>
      <c r="BW306" s="93" t="s">
        <v>414</v>
      </c>
      <c r="BX306" s="93"/>
      <c r="BY306" s="93">
        <v>2.36016</v>
      </c>
      <c r="BZ306" s="93" t="s">
        <v>414</v>
      </c>
      <c r="CA306" s="93"/>
      <c r="CB306" s="180"/>
      <c r="CC306" s="178"/>
      <c r="CD306" s="178"/>
      <c r="CE306" s="180"/>
      <c r="CF306" s="180"/>
      <c r="CG306" s="180"/>
      <c r="CH306" s="180"/>
      <c r="CI306" s="178"/>
      <c r="CJ306" s="178"/>
      <c r="CK306" s="180"/>
      <c r="CL306" s="180"/>
      <c r="CM306" s="180"/>
      <c r="CN306" s="116"/>
      <c r="CO306" s="218">
        <f t="shared" si="150"/>
        <v>0.2</v>
      </c>
      <c r="CP306" s="100">
        <f t="shared" si="151"/>
        <v>0.35</v>
      </c>
      <c r="CQ306" s="218">
        <f t="shared" si="152"/>
        <v>0.5</v>
      </c>
      <c r="CR306" s="101">
        <v>0.2</v>
      </c>
      <c r="CS306" s="101">
        <v>0.5</v>
      </c>
      <c r="DA306" s="23" t="s">
        <v>133</v>
      </c>
      <c r="DB306" s="23">
        <v>2.3E-2</v>
      </c>
      <c r="DC306" s="142">
        <f t="shared" si="160"/>
        <v>0.48299999999999998</v>
      </c>
      <c r="DD306" s="142">
        <f t="shared" si="161"/>
        <v>0.57499999999999996</v>
      </c>
      <c r="DE306" s="23">
        <v>0.6</v>
      </c>
      <c r="DF306" s="23">
        <v>0.42</v>
      </c>
      <c r="DG306" s="142">
        <f t="shared" si="162"/>
        <v>0.252</v>
      </c>
      <c r="DH306" s="23">
        <v>0.02</v>
      </c>
      <c r="DI306" s="149">
        <f t="shared" si="163"/>
        <v>7.92E-3</v>
      </c>
      <c r="DJ306" s="149">
        <f t="shared" si="164"/>
        <v>2.4552</v>
      </c>
      <c r="DK306" s="149">
        <f t="shared" si="165"/>
        <v>2.36016</v>
      </c>
      <c r="DL306" s="150">
        <f t="shared" si="166"/>
        <v>2.9382000000000001</v>
      </c>
      <c r="DM306" s="150">
        <f t="shared" si="166"/>
        <v>2.9351599999999998</v>
      </c>
      <c r="DN306" s="116" t="s">
        <v>169</v>
      </c>
      <c r="DO306" s="101" t="s">
        <v>393</v>
      </c>
    </row>
    <row r="307" spans="15:119" s="101" customFormat="1" ht="33.75" hidden="1" customHeight="1" thickBot="1" x14ac:dyDescent="0.4">
      <c r="O307" s="227" t="s">
        <v>134</v>
      </c>
      <c r="Q307" s="243">
        <v>1.17</v>
      </c>
      <c r="R307" s="243">
        <v>28</v>
      </c>
      <c r="S307" s="246">
        <f t="shared" si="154"/>
        <v>0</v>
      </c>
      <c r="T307" s="246">
        <f t="shared" si="154"/>
        <v>0</v>
      </c>
      <c r="U307" s="246">
        <f t="shared" si="154"/>
        <v>9.3950999999999993E-2</v>
      </c>
      <c r="V307" s="246">
        <f t="shared" si="154"/>
        <v>0.37580399999999997</v>
      </c>
      <c r="W307" s="246">
        <f t="shared" si="154"/>
        <v>9.3950999999999993E-2</v>
      </c>
      <c r="X307" s="246">
        <f t="shared" si="154"/>
        <v>0</v>
      </c>
      <c r="Y307" s="246">
        <f t="shared" si="154"/>
        <v>0.18790199999999999</v>
      </c>
      <c r="Z307" s="246">
        <f t="shared" si="154"/>
        <v>1.3153140000000001</v>
      </c>
      <c r="AA307" s="246">
        <f t="shared" si="154"/>
        <v>0</v>
      </c>
      <c r="AB307" s="246">
        <f t="shared" si="154"/>
        <v>0</v>
      </c>
      <c r="AC307" s="246">
        <f t="shared" si="154"/>
        <v>0.1127412</v>
      </c>
      <c r="AD307" s="246">
        <f t="shared" si="154"/>
        <v>0</v>
      </c>
      <c r="AE307" s="246">
        <f t="shared" si="154"/>
        <v>1.8790199999999999</v>
      </c>
      <c r="AF307" s="246">
        <v>0</v>
      </c>
      <c r="AG307" s="246">
        <f t="shared" si="154"/>
        <v>0.18790199999999999</v>
      </c>
      <c r="AH307" s="243"/>
      <c r="AI307" s="102">
        <v>0.1</v>
      </c>
      <c r="AJ307" s="100">
        <v>0</v>
      </c>
      <c r="AL307" s="100">
        <v>0</v>
      </c>
      <c r="AM307" s="237">
        <v>0.3</v>
      </c>
      <c r="AN307" s="241">
        <v>0.32</v>
      </c>
      <c r="AO307" s="241">
        <v>0.13</v>
      </c>
      <c r="AP307" s="247">
        <f>(AN307*365)*(AO307*0.67*0.01*1)</f>
        <v>0.10173280000000001</v>
      </c>
      <c r="AQ307" s="247">
        <f>(AN307*365)*(AO307*0.67*0.001*1)</f>
        <v>1.0173280000000002E-2</v>
      </c>
      <c r="AR307" s="248"/>
      <c r="AS307" s="247">
        <f>(AN307*365)*(AO307*0.67*0.02*1)</f>
        <v>0.20346560000000002</v>
      </c>
      <c r="AT307" s="247">
        <f>(AN307*365)*(AO307*0.67*0.01*1)</f>
        <v>0.10173280000000001</v>
      </c>
      <c r="AU307" s="247">
        <f>(AN307*365)*(AO307*0.67*0.25*1)</f>
        <v>2.5433200000000005</v>
      </c>
      <c r="AV307" s="247">
        <f>(AN307*365)*(AO307*0.67*0.73*1)</f>
        <v>7.4264944000000002</v>
      </c>
      <c r="AW307" s="247">
        <f>(AN307*365)*(AO307*0.67*0.03*1)</f>
        <v>0.30519840000000004</v>
      </c>
      <c r="AX307" s="248"/>
      <c r="AY307" s="93">
        <f>(AN307*365)*(AO307*0.67*0.25*1)</f>
        <v>2.5433200000000005</v>
      </c>
      <c r="AZ307" s="93">
        <f t="shared" si="155"/>
        <v>10.173280000000002</v>
      </c>
      <c r="BA307" s="93">
        <f t="shared" si="156"/>
        <v>1.017328</v>
      </c>
      <c r="BB307" s="93">
        <f t="shared" si="157"/>
        <v>5.0866400000000006E-2</v>
      </c>
      <c r="BC307" s="93">
        <f>(AN307*365)*(AO307*0.67*0.005*1)</f>
        <v>5.0866400000000006E-2</v>
      </c>
      <c r="BD307" s="93">
        <v>0</v>
      </c>
      <c r="BE307" s="93">
        <v>0</v>
      </c>
      <c r="BF307" s="93"/>
      <c r="BG307" s="93"/>
      <c r="BH307" s="93"/>
      <c r="BI307" s="93" t="s">
        <v>134</v>
      </c>
      <c r="BJ307" s="93" t="s">
        <v>168</v>
      </c>
      <c r="BK307" s="93">
        <f t="shared" si="158"/>
        <v>0.1</v>
      </c>
      <c r="BL307" s="93" t="s">
        <v>413</v>
      </c>
      <c r="BM307" s="93">
        <v>0.2</v>
      </c>
      <c r="BN307" s="93">
        <v>0.5</v>
      </c>
      <c r="BO307" s="93" t="s">
        <v>258</v>
      </c>
      <c r="BP307" s="93">
        <f t="shared" si="159"/>
        <v>0.37714285714285711</v>
      </c>
      <c r="BQ307" s="93" t="s">
        <v>415</v>
      </c>
      <c r="BR307" s="93">
        <v>0.2</v>
      </c>
      <c r="BS307" s="93">
        <v>0.5</v>
      </c>
      <c r="BT307" s="93" t="s">
        <v>258</v>
      </c>
      <c r="BU307" s="93"/>
      <c r="BV307" s="93">
        <v>2.5</v>
      </c>
      <c r="BW307" s="93" t="s">
        <v>414</v>
      </c>
      <c r="BX307" s="93"/>
      <c r="BY307" s="93">
        <v>112.38857142857142</v>
      </c>
      <c r="BZ307" s="93" t="s">
        <v>414</v>
      </c>
      <c r="CA307" s="93"/>
      <c r="CB307" s="180"/>
      <c r="CC307" s="178"/>
      <c r="CD307" s="178"/>
      <c r="CE307" s="180"/>
      <c r="CF307" s="180"/>
      <c r="CG307" s="180"/>
      <c r="CH307" s="180"/>
      <c r="CI307" s="178"/>
      <c r="CJ307" s="178"/>
      <c r="CK307" s="180"/>
      <c r="CL307" s="180"/>
      <c r="CM307" s="180"/>
      <c r="CN307" s="116"/>
      <c r="CO307" s="218">
        <f t="shared" si="150"/>
        <v>0.2</v>
      </c>
      <c r="CP307" s="100">
        <f t="shared" si="151"/>
        <v>0.35</v>
      </c>
      <c r="CQ307" s="218">
        <f t="shared" si="152"/>
        <v>0.5</v>
      </c>
      <c r="CR307" s="101">
        <v>0.2</v>
      </c>
      <c r="CS307" s="101">
        <v>0.5</v>
      </c>
      <c r="DA307" s="23" t="s">
        <v>134</v>
      </c>
      <c r="DB307" s="23">
        <v>0.1</v>
      </c>
      <c r="DC307" s="142">
        <f t="shared" si="160"/>
        <v>2.1</v>
      </c>
      <c r="DD307" s="142">
        <f t="shared" si="161"/>
        <v>2.5</v>
      </c>
      <c r="DE307" s="23">
        <v>12</v>
      </c>
      <c r="DF307" s="23">
        <v>1</v>
      </c>
      <c r="DG307" s="142">
        <f t="shared" si="162"/>
        <v>12</v>
      </c>
      <c r="DH307" s="23">
        <v>0.02</v>
      </c>
      <c r="DI307" s="149">
        <f t="shared" si="163"/>
        <v>0.37714285714285711</v>
      </c>
      <c r="DJ307" s="149">
        <f t="shared" si="164"/>
        <v>116.91428571428571</v>
      </c>
      <c r="DK307" s="149">
        <f t="shared" si="165"/>
        <v>112.38857142857142</v>
      </c>
      <c r="DL307" s="150">
        <f t="shared" si="166"/>
        <v>119.01428571428571</v>
      </c>
      <c r="DM307" s="150">
        <f t="shared" si="166"/>
        <v>114.88857142857142</v>
      </c>
      <c r="DN307" s="116" t="s">
        <v>168</v>
      </c>
      <c r="DO307" s="101" t="s">
        <v>392</v>
      </c>
    </row>
    <row r="308" spans="15:119" s="101" customFormat="1" ht="33.75" hidden="1" customHeight="1" thickBot="1" x14ac:dyDescent="0.4">
      <c r="O308" s="227" t="s">
        <v>335</v>
      </c>
      <c r="Q308" s="243">
        <v>1.17</v>
      </c>
      <c r="R308" s="243">
        <v>28</v>
      </c>
      <c r="S308" s="246">
        <f t="shared" si="154"/>
        <v>0</v>
      </c>
      <c r="T308" s="246">
        <f t="shared" si="154"/>
        <v>0</v>
      </c>
      <c r="U308" s="246">
        <f t="shared" si="154"/>
        <v>9.3950999999999993E-2</v>
      </c>
      <c r="V308" s="246">
        <f t="shared" si="154"/>
        <v>0.37580399999999997</v>
      </c>
      <c r="W308" s="246">
        <f t="shared" si="154"/>
        <v>9.3950999999999993E-2</v>
      </c>
      <c r="X308" s="246">
        <f t="shared" si="154"/>
        <v>0</v>
      </c>
      <c r="Y308" s="246">
        <f t="shared" si="154"/>
        <v>0.18790199999999999</v>
      </c>
      <c r="Z308" s="246">
        <f t="shared" si="154"/>
        <v>1.3153140000000001</v>
      </c>
      <c r="AA308" s="246">
        <f t="shared" si="154"/>
        <v>0</v>
      </c>
      <c r="AB308" s="246">
        <f t="shared" si="154"/>
        <v>0</v>
      </c>
      <c r="AC308" s="246">
        <f t="shared" si="154"/>
        <v>0.1127412</v>
      </c>
      <c r="AD308" s="246">
        <f t="shared" si="154"/>
        <v>0</v>
      </c>
      <c r="AE308" s="246">
        <f t="shared" si="154"/>
        <v>1.8790199999999999</v>
      </c>
      <c r="AF308" s="246">
        <v>0</v>
      </c>
      <c r="AG308" s="246">
        <f t="shared" si="154"/>
        <v>0.18790199999999999</v>
      </c>
      <c r="AH308" s="243"/>
      <c r="AI308" s="102">
        <v>0.15</v>
      </c>
      <c r="AJ308" s="100">
        <v>0</v>
      </c>
      <c r="AL308" s="100">
        <v>0</v>
      </c>
      <c r="AM308" s="237">
        <v>0.3</v>
      </c>
      <c r="AN308" s="241">
        <v>0.32</v>
      </c>
      <c r="AO308" s="241">
        <v>0.13</v>
      </c>
      <c r="AP308" s="247">
        <f>(AN308*365)*(AO308*0.67*0.015*1)</f>
        <v>0.15259920000000002</v>
      </c>
      <c r="AQ308" s="247">
        <f>(AN308*365)*(AO308*0.67*0.005*1)</f>
        <v>5.0866400000000006E-2</v>
      </c>
      <c r="AR308" s="248"/>
      <c r="AS308" s="247">
        <f>(AN308*365)*(AO308*0.67*0.04*1)</f>
        <v>0.40693120000000005</v>
      </c>
      <c r="AT308" s="247">
        <f>(AN308*365)*(AO308*0.67*0.015*1)</f>
        <v>0.15259920000000002</v>
      </c>
      <c r="AU308" s="247">
        <f>(AN308*365)*(AO308*0.67*0.65*1)</f>
        <v>6.6126320000000005</v>
      </c>
      <c r="AV308" s="247">
        <f>(AN308*365)*(AO308*0.67*0.79*1)</f>
        <v>8.0368912000000012</v>
      </c>
      <c r="AW308" s="247">
        <f>(AN308*365)*(AO308*0.67*0.03*1)</f>
        <v>0.30519840000000004</v>
      </c>
      <c r="AX308" s="248"/>
      <c r="AY308" s="93">
        <f>(AN308*365)*(AO308*0.67*0.65*1)</f>
        <v>6.6126320000000005</v>
      </c>
      <c r="AZ308" s="93">
        <f t="shared" si="155"/>
        <v>10.173280000000002</v>
      </c>
      <c r="BA308" s="93">
        <f t="shared" si="156"/>
        <v>1.017328</v>
      </c>
      <c r="BB308" s="93">
        <f t="shared" si="157"/>
        <v>5.0866400000000006E-2</v>
      </c>
      <c r="BC308" s="93">
        <f>(AN308*365)*(AO308*0.67*0.01*1)</f>
        <v>0.10173280000000001</v>
      </c>
      <c r="BD308" s="93">
        <v>0</v>
      </c>
      <c r="BE308" s="93">
        <v>0</v>
      </c>
      <c r="BF308" s="93"/>
      <c r="BG308" s="93"/>
      <c r="BH308" s="93"/>
      <c r="BI308" s="93" t="s">
        <v>335</v>
      </c>
      <c r="BJ308" s="93" t="s">
        <v>168</v>
      </c>
      <c r="BK308" s="93">
        <f t="shared" si="158"/>
        <v>0.16</v>
      </c>
      <c r="BL308" s="93" t="s">
        <v>413</v>
      </c>
      <c r="BM308" s="93">
        <v>0.2</v>
      </c>
      <c r="BN308" s="93">
        <v>0.5</v>
      </c>
      <c r="BO308" s="93" t="s">
        <v>258</v>
      </c>
      <c r="BP308" s="93">
        <f t="shared" si="159"/>
        <v>0.37714285714285711</v>
      </c>
      <c r="BQ308" s="93" t="s">
        <v>415</v>
      </c>
      <c r="BR308" s="93">
        <v>0.2</v>
      </c>
      <c r="BS308" s="93">
        <v>0.5</v>
      </c>
      <c r="BT308" s="93" t="s">
        <v>258</v>
      </c>
      <c r="BU308" s="93"/>
      <c r="BV308" s="93">
        <v>4</v>
      </c>
      <c r="BW308" s="93" t="s">
        <v>414</v>
      </c>
      <c r="BX308" s="93"/>
      <c r="BY308" s="93">
        <v>112.38857142857142</v>
      </c>
      <c r="BZ308" s="93" t="s">
        <v>414</v>
      </c>
      <c r="CA308" s="93"/>
      <c r="CB308" s="180"/>
      <c r="CC308" s="178"/>
      <c r="CD308" s="178"/>
      <c r="CE308" s="180"/>
      <c r="CF308" s="180"/>
      <c r="CG308" s="180"/>
      <c r="CH308" s="180"/>
      <c r="CI308" s="178"/>
      <c r="CJ308" s="178"/>
      <c r="CK308" s="180"/>
      <c r="CL308" s="180"/>
      <c r="CM308" s="180"/>
      <c r="CN308" s="116"/>
      <c r="CO308" s="218">
        <f t="shared" si="150"/>
        <v>0.2</v>
      </c>
      <c r="CP308" s="100">
        <f t="shared" si="151"/>
        <v>0.35</v>
      </c>
      <c r="CQ308" s="218">
        <f t="shared" si="152"/>
        <v>0.5</v>
      </c>
      <c r="CR308" s="101">
        <v>0.2</v>
      </c>
      <c r="CS308" s="101">
        <v>0.5</v>
      </c>
      <c r="DA308" s="23" t="s">
        <v>335</v>
      </c>
      <c r="DB308" s="23">
        <v>0.16</v>
      </c>
      <c r="DC308" s="142">
        <f t="shared" si="160"/>
        <v>3.36</v>
      </c>
      <c r="DD308" s="142">
        <f t="shared" si="161"/>
        <v>4</v>
      </c>
      <c r="DE308" s="23">
        <v>12</v>
      </c>
      <c r="DF308" s="23">
        <v>1</v>
      </c>
      <c r="DG308" s="142">
        <f t="shared" si="162"/>
        <v>12</v>
      </c>
      <c r="DH308" s="23">
        <v>0.02</v>
      </c>
      <c r="DI308" s="149">
        <f t="shared" si="163"/>
        <v>0.37714285714285711</v>
      </c>
      <c r="DJ308" s="149">
        <f t="shared" si="164"/>
        <v>116.91428571428571</v>
      </c>
      <c r="DK308" s="149">
        <f t="shared" si="165"/>
        <v>112.38857142857142</v>
      </c>
      <c r="DL308" s="150">
        <f t="shared" si="166"/>
        <v>120.27428571428571</v>
      </c>
      <c r="DM308" s="150">
        <f t="shared" si="166"/>
        <v>116.38857142857142</v>
      </c>
      <c r="DN308" s="116" t="s">
        <v>168</v>
      </c>
      <c r="DO308" s="101" t="s">
        <v>392</v>
      </c>
    </row>
    <row r="309" spans="15:119" s="101" customFormat="1" ht="33.75" hidden="1" customHeight="1" thickBot="1" x14ac:dyDescent="0.4">
      <c r="O309" s="227" t="s">
        <v>136</v>
      </c>
      <c r="Q309" s="243">
        <v>1.17</v>
      </c>
      <c r="R309" s="243">
        <v>28</v>
      </c>
      <c r="S309" s="246">
        <f t="shared" si="154"/>
        <v>0</v>
      </c>
      <c r="T309" s="246">
        <f t="shared" si="154"/>
        <v>0</v>
      </c>
      <c r="U309" s="246">
        <f t="shared" si="154"/>
        <v>9.3950999999999993E-2</v>
      </c>
      <c r="V309" s="246">
        <f t="shared" si="154"/>
        <v>0.37580399999999997</v>
      </c>
      <c r="W309" s="246">
        <f t="shared" si="154"/>
        <v>9.3950999999999993E-2</v>
      </c>
      <c r="X309" s="246">
        <f t="shared" si="154"/>
        <v>0</v>
      </c>
      <c r="Y309" s="246">
        <f t="shared" si="154"/>
        <v>0.18790199999999999</v>
      </c>
      <c r="Z309" s="246">
        <f t="shared" si="154"/>
        <v>1.3153140000000001</v>
      </c>
      <c r="AA309" s="246">
        <f t="shared" si="154"/>
        <v>0</v>
      </c>
      <c r="AB309" s="246">
        <f t="shared" si="154"/>
        <v>0</v>
      </c>
      <c r="AC309" s="246">
        <f t="shared" si="154"/>
        <v>0.1127412</v>
      </c>
      <c r="AD309" s="246">
        <f t="shared" si="154"/>
        <v>0</v>
      </c>
      <c r="AE309" s="246">
        <f t="shared" si="154"/>
        <v>1.8790199999999999</v>
      </c>
      <c r="AF309" s="246">
        <v>0</v>
      </c>
      <c r="AG309" s="246">
        <f t="shared" si="154"/>
        <v>0.18790199999999999</v>
      </c>
      <c r="AH309" s="243"/>
      <c r="AI309" s="102">
        <v>0.2</v>
      </c>
      <c r="AJ309" s="100">
        <v>0</v>
      </c>
      <c r="AL309" s="100">
        <v>0</v>
      </c>
      <c r="AM309" s="237">
        <v>0.3</v>
      </c>
      <c r="AN309" s="241">
        <v>0.32</v>
      </c>
      <c r="AO309" s="241">
        <v>0.13</v>
      </c>
      <c r="AP309" s="247">
        <f>(AN309*365)*(AO309*0.67*0.02*1)</f>
        <v>0.20346560000000002</v>
      </c>
      <c r="AQ309" s="247">
        <f>(AN309*365)*(AO309*0.67*0.01*1)</f>
        <v>0.10173280000000001</v>
      </c>
      <c r="AR309" s="248"/>
      <c r="AS309" s="247">
        <f>(AN309*365)*(AO309*0.67*0.05*1)</f>
        <v>0.50866400000000001</v>
      </c>
      <c r="AT309" s="247">
        <f>(AN309*365)*(AO309*0.67*0.02*1)</f>
        <v>0.20346560000000002</v>
      </c>
      <c r="AU309" s="247">
        <f>(AN309*365)*(AO309*0.67*0.8*1)</f>
        <v>8.1386240000000001</v>
      </c>
      <c r="AV309" s="247">
        <f>(AN309*365)*(AO309*0.67*0.8*1)</f>
        <v>8.1386240000000001</v>
      </c>
      <c r="AW309" s="247">
        <f>(AN309*365)*(AO309*0.67*0.3*1)</f>
        <v>3.0519840000000005</v>
      </c>
      <c r="AX309" s="248"/>
      <c r="AY309" s="93">
        <f>(AN309*365)*(AO309*0.67*0.8*1)</f>
        <v>8.1386240000000001</v>
      </c>
      <c r="AZ309" s="93">
        <f t="shared" si="155"/>
        <v>10.173280000000002</v>
      </c>
      <c r="BA309" s="93">
        <f t="shared" si="156"/>
        <v>1.017328</v>
      </c>
      <c r="BB309" s="93">
        <f t="shared" si="157"/>
        <v>5.0866400000000006E-2</v>
      </c>
      <c r="BC309" s="93">
        <f>(AN309*365)*(AO309*0.67*0.015*1)</f>
        <v>0.15259920000000002</v>
      </c>
      <c r="BD309" s="93">
        <v>0</v>
      </c>
      <c r="BE309" s="93">
        <v>0</v>
      </c>
      <c r="BF309" s="93"/>
      <c r="BG309" s="93"/>
      <c r="BH309" s="93"/>
      <c r="BI309" s="93" t="s">
        <v>136</v>
      </c>
      <c r="BJ309" s="93" t="s">
        <v>168</v>
      </c>
      <c r="BK309" s="93">
        <f t="shared" si="158"/>
        <v>0.21</v>
      </c>
      <c r="BL309" s="93" t="s">
        <v>413</v>
      </c>
      <c r="BM309" s="93">
        <v>0.2</v>
      </c>
      <c r="BN309" s="93">
        <v>0.5</v>
      </c>
      <c r="BO309" s="93" t="s">
        <v>258</v>
      </c>
      <c r="BP309" s="93">
        <f t="shared" si="159"/>
        <v>0.37714285714285711</v>
      </c>
      <c r="BQ309" s="93" t="s">
        <v>415</v>
      </c>
      <c r="BR309" s="93">
        <v>0.2</v>
      </c>
      <c r="BS309" s="93">
        <v>0.5</v>
      </c>
      <c r="BT309" s="93" t="s">
        <v>258</v>
      </c>
      <c r="BU309" s="93"/>
      <c r="BV309" s="93">
        <v>5.25</v>
      </c>
      <c r="BW309" s="93" t="s">
        <v>414</v>
      </c>
      <c r="BX309" s="93"/>
      <c r="BY309" s="93">
        <v>112.38857142857142</v>
      </c>
      <c r="BZ309" s="93" t="s">
        <v>414</v>
      </c>
      <c r="CA309" s="93"/>
      <c r="CB309" s="180"/>
      <c r="CC309" s="178"/>
      <c r="CD309" s="178"/>
      <c r="CE309" s="180"/>
      <c r="CF309" s="180"/>
      <c r="CG309" s="180"/>
      <c r="CH309" s="180"/>
      <c r="CI309" s="178"/>
      <c r="CJ309" s="178"/>
      <c r="CK309" s="180"/>
      <c r="CL309" s="180"/>
      <c r="CM309" s="180"/>
      <c r="CN309" s="116"/>
      <c r="CO309" s="218">
        <f t="shared" si="150"/>
        <v>0.2</v>
      </c>
      <c r="CP309" s="100">
        <f t="shared" si="151"/>
        <v>0.35</v>
      </c>
      <c r="CQ309" s="218">
        <f t="shared" si="152"/>
        <v>0.5</v>
      </c>
      <c r="CR309" s="101">
        <v>0.2</v>
      </c>
      <c r="CS309" s="101">
        <v>0.5</v>
      </c>
      <c r="DA309" s="23" t="s">
        <v>136</v>
      </c>
      <c r="DB309" s="23">
        <v>0.21</v>
      </c>
      <c r="DC309" s="142">
        <f t="shared" si="160"/>
        <v>4.41</v>
      </c>
      <c r="DD309" s="142">
        <f t="shared" si="161"/>
        <v>5.25</v>
      </c>
      <c r="DE309" s="23">
        <v>12</v>
      </c>
      <c r="DF309" s="23">
        <v>1</v>
      </c>
      <c r="DG309" s="142">
        <f t="shared" si="162"/>
        <v>12</v>
      </c>
      <c r="DH309" s="23">
        <v>0.02</v>
      </c>
      <c r="DI309" s="149">
        <f t="shared" si="163"/>
        <v>0.37714285714285711</v>
      </c>
      <c r="DJ309" s="149">
        <f t="shared" si="164"/>
        <v>116.91428571428571</v>
      </c>
      <c r="DK309" s="149">
        <f t="shared" si="165"/>
        <v>112.38857142857142</v>
      </c>
      <c r="DL309" s="150">
        <f t="shared" si="166"/>
        <v>121.32428571428571</v>
      </c>
      <c r="DM309" s="150">
        <f t="shared" si="166"/>
        <v>117.63857142857142</v>
      </c>
      <c r="DN309" s="116" t="s">
        <v>168</v>
      </c>
      <c r="DO309" s="101" t="s">
        <v>392</v>
      </c>
    </row>
    <row r="310" spans="15:119" s="101" customFormat="1" ht="33.75" hidden="1" customHeight="1" thickBot="1" x14ac:dyDescent="0.4">
      <c r="O310" s="227" t="s">
        <v>523</v>
      </c>
      <c r="Q310" s="243">
        <v>1.57</v>
      </c>
      <c r="R310" s="243">
        <v>28</v>
      </c>
      <c r="S310" s="246">
        <f t="shared" si="154"/>
        <v>0</v>
      </c>
      <c r="T310" s="246">
        <f t="shared" si="154"/>
        <v>0</v>
      </c>
      <c r="U310" s="246">
        <f t="shared" si="154"/>
        <v>0.12607100000000002</v>
      </c>
      <c r="V310" s="246">
        <f t="shared" si="154"/>
        <v>0.50428400000000007</v>
      </c>
      <c r="W310" s="246">
        <f t="shared" si="154"/>
        <v>0.12607100000000002</v>
      </c>
      <c r="X310" s="246">
        <f t="shared" si="154"/>
        <v>0</v>
      </c>
      <c r="Y310" s="246">
        <f t="shared" si="154"/>
        <v>0.25214200000000003</v>
      </c>
      <c r="Z310" s="246">
        <f t="shared" si="154"/>
        <v>1.7649940000000004</v>
      </c>
      <c r="AA310" s="246">
        <f t="shared" si="154"/>
        <v>0</v>
      </c>
      <c r="AB310" s="246">
        <f t="shared" si="154"/>
        <v>0</v>
      </c>
      <c r="AC310" s="246">
        <f t="shared" si="154"/>
        <v>0.15128520000000001</v>
      </c>
      <c r="AD310" s="246">
        <f t="shared" si="154"/>
        <v>0</v>
      </c>
      <c r="AE310" s="246">
        <f t="shared" si="154"/>
        <v>2.52142</v>
      </c>
      <c r="AF310" s="246">
        <v>0</v>
      </c>
      <c r="AG310" s="246">
        <f t="shared" si="154"/>
        <v>0.25214200000000003</v>
      </c>
      <c r="AH310" s="243"/>
      <c r="AI310" s="102">
        <v>1</v>
      </c>
      <c r="AJ310" s="102">
        <v>12</v>
      </c>
      <c r="AL310" s="102">
        <v>8</v>
      </c>
      <c r="AM310" s="237">
        <v>0.3</v>
      </c>
      <c r="AN310" s="241">
        <v>0.3</v>
      </c>
      <c r="AO310" s="241">
        <v>0.28999999999999998</v>
      </c>
      <c r="AP310" s="247">
        <f>(AN310*365)*(AO310*0.67*0.01*1)</f>
        <v>0.21275850000000002</v>
      </c>
      <c r="AQ310" s="247">
        <f>(AN310*365)*(AO310*0.67*0.001*1)</f>
        <v>2.1275850000000002E-2</v>
      </c>
      <c r="AR310" s="248"/>
      <c r="AS310" s="247">
        <f>(AN310*365)*(AO310*0.67*0.02*1)</f>
        <v>0.42551700000000003</v>
      </c>
      <c r="AT310" s="247">
        <f>(AN310*365)*(AO310*0.67*0.01*1)</f>
        <v>0.21275850000000002</v>
      </c>
      <c r="AU310" s="247">
        <f>(AN310*365)*(AO310*0.67*0.25*1)</f>
        <v>5.3189624999999996</v>
      </c>
      <c r="AV310" s="247">
        <f>(AN310*365)*(AO310*0.67*0.73*1)</f>
        <v>15.5313705</v>
      </c>
      <c r="AW310" s="247">
        <f>(AN310*365)*(AO310*0.67*0.03*1)</f>
        <v>0.6382755</v>
      </c>
      <c r="AX310" s="248"/>
      <c r="AY310" s="93">
        <f>(AN310*365)*(AO310*0.67*0.25*1)</f>
        <v>5.3189624999999996</v>
      </c>
      <c r="AZ310" s="93">
        <f t="shared" si="155"/>
        <v>21.275849999999998</v>
      </c>
      <c r="BA310" s="93">
        <f t="shared" si="156"/>
        <v>2.1275850000000003</v>
      </c>
      <c r="BB310" s="93">
        <f t="shared" si="157"/>
        <v>0.10637925000000001</v>
      </c>
      <c r="BC310" s="93">
        <f>(AN310*365)*(AO310*0.67*0.005*1)</f>
        <v>0.10637925000000001</v>
      </c>
      <c r="BD310" s="93">
        <v>0</v>
      </c>
      <c r="BE310" s="93">
        <v>0</v>
      </c>
      <c r="BF310" s="93"/>
      <c r="BG310" s="93"/>
      <c r="BH310" s="93"/>
      <c r="BI310" s="93" t="s">
        <v>137</v>
      </c>
      <c r="BJ310" s="93" t="s">
        <v>168</v>
      </c>
      <c r="BK310" s="93">
        <f t="shared" si="158"/>
        <v>0</v>
      </c>
      <c r="BL310" s="93" t="s">
        <v>413</v>
      </c>
      <c r="BM310" s="93">
        <v>0.2</v>
      </c>
      <c r="BN310" s="93">
        <v>0.5</v>
      </c>
      <c r="BO310" s="93" t="s">
        <v>258</v>
      </c>
      <c r="BP310" s="93">
        <f t="shared" si="159"/>
        <v>0.25645714285714288</v>
      </c>
      <c r="BQ310" s="93" t="s">
        <v>415</v>
      </c>
      <c r="BR310" s="93">
        <v>0.2</v>
      </c>
      <c r="BS310" s="93">
        <v>0.5</v>
      </c>
      <c r="BT310" s="93" t="s">
        <v>258</v>
      </c>
      <c r="BU310" s="93"/>
      <c r="BV310" s="93">
        <v>0</v>
      </c>
      <c r="BW310" s="93" t="s">
        <v>414</v>
      </c>
      <c r="BX310" s="93"/>
      <c r="BY310" s="93">
        <v>76.424228571428586</v>
      </c>
      <c r="BZ310" s="93" t="s">
        <v>414</v>
      </c>
      <c r="CA310" s="93"/>
      <c r="CB310" s="180"/>
      <c r="CC310" s="178"/>
      <c r="CD310" s="178"/>
      <c r="CE310" s="180"/>
      <c r="CF310" s="180"/>
      <c r="CG310" s="180"/>
      <c r="CH310" s="180"/>
      <c r="CI310" s="178"/>
      <c r="CJ310" s="178"/>
      <c r="CK310" s="180"/>
      <c r="CL310" s="180"/>
      <c r="CM310" s="180"/>
      <c r="CN310" s="116"/>
      <c r="CO310" s="218">
        <f t="shared" si="150"/>
        <v>0.2</v>
      </c>
      <c r="CP310" s="100">
        <f t="shared" si="151"/>
        <v>0.35</v>
      </c>
      <c r="CQ310" s="218">
        <f t="shared" si="152"/>
        <v>0.5</v>
      </c>
      <c r="CR310" s="101">
        <v>0.2</v>
      </c>
      <c r="CS310" s="101">
        <v>0.5</v>
      </c>
      <c r="DA310" s="23" t="s">
        <v>137</v>
      </c>
      <c r="DB310" s="23">
        <v>0</v>
      </c>
      <c r="DC310" s="142">
        <f t="shared" si="160"/>
        <v>0</v>
      </c>
      <c r="DD310" s="142">
        <f t="shared" si="161"/>
        <v>0</v>
      </c>
      <c r="DE310" s="23">
        <v>16</v>
      </c>
      <c r="DF310" s="23">
        <v>0.51</v>
      </c>
      <c r="DG310" s="142">
        <f t="shared" si="162"/>
        <v>8.16</v>
      </c>
      <c r="DH310" s="23">
        <v>0.02</v>
      </c>
      <c r="DI310" s="149">
        <f t="shared" si="163"/>
        <v>0.25645714285714288</v>
      </c>
      <c r="DJ310" s="149">
        <f t="shared" si="164"/>
        <v>79.5017142857143</v>
      </c>
      <c r="DK310" s="149">
        <f t="shared" si="165"/>
        <v>76.424228571428586</v>
      </c>
      <c r="DL310" s="150">
        <f t="shared" si="166"/>
        <v>79.5017142857143</v>
      </c>
      <c r="DM310" s="150">
        <f t="shared" si="166"/>
        <v>76.424228571428586</v>
      </c>
      <c r="DN310" s="116" t="s">
        <v>168</v>
      </c>
      <c r="DO310" s="101" t="s">
        <v>392</v>
      </c>
    </row>
    <row r="311" spans="15:119" s="101" customFormat="1" ht="33.75" hidden="1" customHeight="1" thickBot="1" x14ac:dyDescent="0.4">
      <c r="O311" s="227" t="s">
        <v>524</v>
      </c>
      <c r="Q311" s="243">
        <v>1.57</v>
      </c>
      <c r="R311" s="243">
        <v>28</v>
      </c>
      <c r="S311" s="246">
        <f t="shared" si="154"/>
        <v>0</v>
      </c>
      <c r="T311" s="246">
        <f t="shared" si="154"/>
        <v>0</v>
      </c>
      <c r="U311" s="246">
        <f t="shared" si="154"/>
        <v>0.12607100000000002</v>
      </c>
      <c r="V311" s="246">
        <f t="shared" si="154"/>
        <v>0.50428400000000007</v>
      </c>
      <c r="W311" s="246">
        <f t="shared" si="154"/>
        <v>0.12607100000000002</v>
      </c>
      <c r="X311" s="246">
        <f t="shared" si="154"/>
        <v>0</v>
      </c>
      <c r="Y311" s="246">
        <f t="shared" si="154"/>
        <v>0.25214200000000003</v>
      </c>
      <c r="Z311" s="246">
        <f t="shared" si="154"/>
        <v>1.7649940000000004</v>
      </c>
      <c r="AA311" s="246">
        <f t="shared" si="154"/>
        <v>0</v>
      </c>
      <c r="AB311" s="246">
        <f t="shared" si="154"/>
        <v>0</v>
      </c>
      <c r="AC311" s="246">
        <f t="shared" si="154"/>
        <v>0.15128520000000001</v>
      </c>
      <c r="AD311" s="246">
        <f t="shared" si="154"/>
        <v>0</v>
      </c>
      <c r="AE311" s="246">
        <f t="shared" si="154"/>
        <v>2.52142</v>
      </c>
      <c r="AF311" s="246">
        <v>0</v>
      </c>
      <c r="AG311" s="246">
        <f t="shared" si="154"/>
        <v>0.25214200000000003</v>
      </c>
      <c r="AH311" s="243"/>
      <c r="AI311" s="102">
        <v>1</v>
      </c>
      <c r="AJ311" s="102">
        <v>20</v>
      </c>
      <c r="AL311" s="102">
        <v>18</v>
      </c>
      <c r="AM311" s="237">
        <v>0.3</v>
      </c>
      <c r="AN311" s="241">
        <v>0.3</v>
      </c>
      <c r="AO311" s="241">
        <v>0.28999999999999998</v>
      </c>
      <c r="AP311" s="247">
        <f>(AN311*365)*(AO311*0.67*0.015*1)</f>
        <v>0.31913775</v>
      </c>
      <c r="AQ311" s="247">
        <f>(AN311*365)*(AO311*0.67*0.005*1)</f>
        <v>0.10637925000000001</v>
      </c>
      <c r="AR311" s="248"/>
      <c r="AS311" s="247">
        <f>(AN311*365)*(AO311*0.67*0.04*1)</f>
        <v>0.85103400000000007</v>
      </c>
      <c r="AT311" s="247">
        <f>(AN311*365)*(AO311*0.67*0.015*1)</f>
        <v>0.31913775</v>
      </c>
      <c r="AU311" s="247">
        <f>(AN311*365)*(AO311*0.67*0.65*1)</f>
        <v>13.829302500000002</v>
      </c>
      <c r="AV311" s="247">
        <f>(AN311*365)*(AO311*0.67*0.79*1)</f>
        <v>16.807921499999999</v>
      </c>
      <c r="AW311" s="247">
        <f>(AN311*365)*(AO311*0.67*0.03*1)</f>
        <v>0.6382755</v>
      </c>
      <c r="AX311" s="248"/>
      <c r="AY311" s="93">
        <f>(AN311*365)*(AO311*0.67*0.65*1)</f>
        <v>13.829302500000002</v>
      </c>
      <c r="AZ311" s="93">
        <f t="shared" si="155"/>
        <v>21.275849999999998</v>
      </c>
      <c r="BA311" s="93">
        <f t="shared" si="156"/>
        <v>2.1275850000000003</v>
      </c>
      <c r="BB311" s="93">
        <f t="shared" si="157"/>
        <v>0.10637925000000001</v>
      </c>
      <c r="BC311" s="93">
        <f>(AN311*365)*(AO311*0.67*0.01*1)</f>
        <v>0.21275850000000002</v>
      </c>
      <c r="BD311" s="93">
        <v>0</v>
      </c>
      <c r="BE311" s="93">
        <v>0</v>
      </c>
      <c r="BF311" s="93"/>
      <c r="BG311" s="93"/>
      <c r="BH311" s="93"/>
      <c r="BI311" s="93" t="s">
        <v>336</v>
      </c>
      <c r="BJ311" s="93" t="s">
        <v>168</v>
      </c>
      <c r="BK311" s="93">
        <f t="shared" si="158"/>
        <v>1</v>
      </c>
      <c r="BL311" s="93" t="s">
        <v>413</v>
      </c>
      <c r="BM311" s="93">
        <v>0.2</v>
      </c>
      <c r="BN311" s="93">
        <v>0.5</v>
      </c>
      <c r="BO311" s="93" t="s">
        <v>258</v>
      </c>
      <c r="BP311" s="93">
        <f t="shared" si="159"/>
        <v>0.25645714285714288</v>
      </c>
      <c r="BQ311" s="93" t="s">
        <v>415</v>
      </c>
      <c r="BR311" s="93">
        <v>0.2</v>
      </c>
      <c r="BS311" s="93">
        <v>0.5</v>
      </c>
      <c r="BT311" s="93" t="s">
        <v>258</v>
      </c>
      <c r="BU311" s="93"/>
      <c r="BV311" s="93">
        <v>25</v>
      </c>
      <c r="BW311" s="93" t="s">
        <v>414</v>
      </c>
      <c r="BX311" s="93"/>
      <c r="BY311" s="93">
        <v>76.424228571428586</v>
      </c>
      <c r="BZ311" s="93" t="s">
        <v>414</v>
      </c>
      <c r="CA311" s="93"/>
      <c r="CB311" s="180"/>
      <c r="CC311" s="178"/>
      <c r="CD311" s="178"/>
      <c r="CE311" s="180"/>
      <c r="CF311" s="180"/>
      <c r="CG311" s="180"/>
      <c r="CH311" s="180"/>
      <c r="CI311" s="178"/>
      <c r="CJ311" s="178"/>
      <c r="CK311" s="180"/>
      <c r="CL311" s="180"/>
      <c r="CM311" s="180"/>
      <c r="CN311" s="116"/>
      <c r="CO311" s="218">
        <f t="shared" si="150"/>
        <v>0.2</v>
      </c>
      <c r="CP311" s="100">
        <f t="shared" si="151"/>
        <v>0.35</v>
      </c>
      <c r="CQ311" s="218">
        <f t="shared" si="152"/>
        <v>0.5</v>
      </c>
      <c r="CR311" s="101">
        <v>0.2</v>
      </c>
      <c r="CS311" s="101">
        <v>0.5</v>
      </c>
      <c r="DA311" s="23" t="s">
        <v>336</v>
      </c>
      <c r="DB311" s="23">
        <v>1</v>
      </c>
      <c r="DC311" s="142">
        <f t="shared" si="160"/>
        <v>21</v>
      </c>
      <c r="DD311" s="142">
        <f t="shared" si="161"/>
        <v>25</v>
      </c>
      <c r="DE311" s="23">
        <v>16</v>
      </c>
      <c r="DF311" s="23">
        <v>0.51</v>
      </c>
      <c r="DG311" s="142">
        <f t="shared" si="162"/>
        <v>8.16</v>
      </c>
      <c r="DH311" s="23">
        <v>0.02</v>
      </c>
      <c r="DI311" s="149">
        <f t="shared" si="163"/>
        <v>0.25645714285714288</v>
      </c>
      <c r="DJ311" s="149">
        <f t="shared" si="164"/>
        <v>79.5017142857143</v>
      </c>
      <c r="DK311" s="149">
        <f t="shared" si="165"/>
        <v>76.424228571428586</v>
      </c>
      <c r="DL311" s="150">
        <f t="shared" si="166"/>
        <v>100.5017142857143</v>
      </c>
      <c r="DM311" s="150">
        <f t="shared" si="166"/>
        <v>101.42422857142859</v>
      </c>
      <c r="DN311" s="116" t="s">
        <v>168</v>
      </c>
      <c r="DO311" s="101" t="s">
        <v>392</v>
      </c>
    </row>
    <row r="312" spans="15:119" s="101" customFormat="1" ht="33.75" hidden="1" customHeight="1" thickBot="1" x14ac:dyDescent="0.4">
      <c r="O312" s="227" t="s">
        <v>525</v>
      </c>
      <c r="Q312" s="243">
        <v>1.57</v>
      </c>
      <c r="R312" s="243">
        <v>28</v>
      </c>
      <c r="S312" s="246">
        <f t="shared" si="154"/>
        <v>0</v>
      </c>
      <c r="T312" s="246">
        <f t="shared" si="154"/>
        <v>0</v>
      </c>
      <c r="U312" s="246">
        <f t="shared" si="154"/>
        <v>0.12607100000000002</v>
      </c>
      <c r="V312" s="246">
        <f t="shared" si="154"/>
        <v>0.50428400000000007</v>
      </c>
      <c r="W312" s="246">
        <f t="shared" si="154"/>
        <v>0.12607100000000002</v>
      </c>
      <c r="X312" s="246">
        <f t="shared" si="154"/>
        <v>0</v>
      </c>
      <c r="Y312" s="246">
        <f t="shared" si="154"/>
        <v>0.25214200000000003</v>
      </c>
      <c r="Z312" s="246">
        <f t="shared" si="154"/>
        <v>1.7649940000000004</v>
      </c>
      <c r="AA312" s="246">
        <f t="shared" si="154"/>
        <v>0</v>
      </c>
      <c r="AB312" s="246">
        <f t="shared" si="154"/>
        <v>0</v>
      </c>
      <c r="AC312" s="246">
        <f t="shared" si="154"/>
        <v>0.15128520000000001</v>
      </c>
      <c r="AD312" s="246">
        <f t="shared" si="154"/>
        <v>0</v>
      </c>
      <c r="AE312" s="246">
        <f t="shared" si="154"/>
        <v>2.52142</v>
      </c>
      <c r="AF312" s="246">
        <v>0</v>
      </c>
      <c r="AG312" s="246">
        <f t="shared" si="154"/>
        <v>0.25214200000000003</v>
      </c>
      <c r="AH312" s="243"/>
      <c r="AI312" s="102">
        <v>2</v>
      </c>
      <c r="AJ312" s="102">
        <v>23</v>
      </c>
      <c r="AL312" s="102">
        <v>21</v>
      </c>
      <c r="AM312" s="237">
        <v>0.3</v>
      </c>
      <c r="AN312" s="241">
        <v>0.3</v>
      </c>
      <c r="AO312" s="241">
        <v>0.28999999999999998</v>
      </c>
      <c r="AP312" s="247">
        <f>(AN312*365)*(AO312*0.67*0.02*1)</f>
        <v>0.42551700000000003</v>
      </c>
      <c r="AQ312" s="247">
        <f>(AN312*365)*(AO312*0.67*0.01*1)</f>
        <v>0.21275850000000002</v>
      </c>
      <c r="AR312" s="248"/>
      <c r="AS312" s="247">
        <f>(AN312*365)*(AO312*0.67*0.05*1)</f>
        <v>1.0637925000000001</v>
      </c>
      <c r="AT312" s="247">
        <f>(AN312*365)*(AO312*0.67*0.02*1)</f>
        <v>0.42551700000000003</v>
      </c>
      <c r="AU312" s="247">
        <f>(AN312*365)*(AO312*0.67*0.8*1)</f>
        <v>17.020680000000002</v>
      </c>
      <c r="AV312" s="247">
        <f>(AN312*365)*(AO312*0.67*0.8*1)</f>
        <v>17.020680000000002</v>
      </c>
      <c r="AW312" s="247">
        <f>(AN312*365)*(AO312*0.67*0.3*1)</f>
        <v>6.3827549999999995</v>
      </c>
      <c r="AX312" s="248"/>
      <c r="AY312" s="93">
        <f>(AN312*365)*(AO312*0.67*0.8*1)</f>
        <v>17.020680000000002</v>
      </c>
      <c r="AZ312" s="93">
        <f t="shared" si="155"/>
        <v>21.275849999999998</v>
      </c>
      <c r="BA312" s="93">
        <f t="shared" si="156"/>
        <v>2.1275850000000003</v>
      </c>
      <c r="BB312" s="93">
        <f t="shared" si="157"/>
        <v>0.10637925000000001</v>
      </c>
      <c r="BC312" s="93">
        <f>(AN312*365)*(AO312*0.67*0.015*1)</f>
        <v>0.31913775</v>
      </c>
      <c r="BD312" s="93">
        <v>0</v>
      </c>
      <c r="BE312" s="93">
        <v>0</v>
      </c>
      <c r="BF312" s="93"/>
      <c r="BG312" s="93"/>
      <c r="BH312" s="93"/>
      <c r="BI312" s="93" t="s">
        <v>139</v>
      </c>
      <c r="BJ312" s="93" t="s">
        <v>168</v>
      </c>
      <c r="BK312" s="93">
        <f t="shared" si="158"/>
        <v>2</v>
      </c>
      <c r="BL312" s="93" t="s">
        <v>413</v>
      </c>
      <c r="BM312" s="93">
        <v>0.2</v>
      </c>
      <c r="BN312" s="93">
        <v>0.5</v>
      </c>
      <c r="BO312" s="93" t="s">
        <v>258</v>
      </c>
      <c r="BP312" s="93">
        <f t="shared" si="159"/>
        <v>0.25645714285714288</v>
      </c>
      <c r="BQ312" s="93" t="s">
        <v>415</v>
      </c>
      <c r="BR312" s="93">
        <v>0.2</v>
      </c>
      <c r="BS312" s="93">
        <v>0.5</v>
      </c>
      <c r="BT312" s="93" t="s">
        <v>258</v>
      </c>
      <c r="BU312" s="93"/>
      <c r="BV312" s="93">
        <v>50</v>
      </c>
      <c r="BW312" s="93" t="s">
        <v>414</v>
      </c>
      <c r="BX312" s="93"/>
      <c r="BY312" s="93">
        <v>76.424228571428586</v>
      </c>
      <c r="BZ312" s="93" t="s">
        <v>414</v>
      </c>
      <c r="CA312" s="93"/>
      <c r="CB312" s="180"/>
      <c r="CC312" s="178"/>
      <c r="CD312" s="178"/>
      <c r="CE312" s="180"/>
      <c r="CF312" s="180"/>
      <c r="CG312" s="180"/>
      <c r="CH312" s="180"/>
      <c r="CI312" s="178"/>
      <c r="CJ312" s="178"/>
      <c r="CK312" s="180"/>
      <c r="CL312" s="180"/>
      <c r="CM312" s="180"/>
      <c r="CN312" s="116"/>
      <c r="CO312" s="218">
        <f t="shared" si="150"/>
        <v>0.2</v>
      </c>
      <c r="CP312" s="100">
        <f t="shared" si="151"/>
        <v>0.35</v>
      </c>
      <c r="CQ312" s="218">
        <f t="shared" si="152"/>
        <v>0.5</v>
      </c>
      <c r="CR312" s="101">
        <v>0.2</v>
      </c>
      <c r="CS312" s="101">
        <v>0.5</v>
      </c>
      <c r="DA312" s="23" t="s">
        <v>139</v>
      </c>
      <c r="DB312" s="23">
        <v>2</v>
      </c>
      <c r="DC312" s="142">
        <f t="shared" si="160"/>
        <v>42</v>
      </c>
      <c r="DD312" s="142">
        <f t="shared" si="161"/>
        <v>50</v>
      </c>
      <c r="DE312" s="23">
        <v>16</v>
      </c>
      <c r="DF312" s="23">
        <v>0.51</v>
      </c>
      <c r="DG312" s="142">
        <f t="shared" si="162"/>
        <v>8.16</v>
      </c>
      <c r="DH312" s="23">
        <v>0.02</v>
      </c>
      <c r="DI312" s="149">
        <f t="shared" si="163"/>
        <v>0.25645714285714288</v>
      </c>
      <c r="DJ312" s="149">
        <f t="shared" si="164"/>
        <v>79.5017142857143</v>
      </c>
      <c r="DK312" s="149">
        <f t="shared" si="165"/>
        <v>76.424228571428586</v>
      </c>
      <c r="DL312" s="150">
        <f t="shared" si="166"/>
        <v>121.5017142857143</v>
      </c>
      <c r="DM312" s="150">
        <f t="shared" si="166"/>
        <v>126.42422857142859</v>
      </c>
      <c r="DN312" s="116" t="s">
        <v>168</v>
      </c>
      <c r="DO312" s="101" t="s">
        <v>392</v>
      </c>
    </row>
    <row r="313" spans="15:119" s="101" customFormat="1" ht="18.75" hidden="1" customHeight="1" x14ac:dyDescent="0.35">
      <c r="O313" s="227" t="s">
        <v>545</v>
      </c>
      <c r="Q313" s="243">
        <v>0.55000000000000004</v>
      </c>
      <c r="R313" s="243">
        <v>28</v>
      </c>
      <c r="S313" s="246">
        <f t="shared" si="154"/>
        <v>0</v>
      </c>
      <c r="T313" s="246">
        <f t="shared" si="154"/>
        <v>0</v>
      </c>
      <c r="U313" s="246">
        <f t="shared" si="154"/>
        <v>4.4165000000000003E-2</v>
      </c>
      <c r="V313" s="246">
        <f t="shared" si="154"/>
        <v>0.17666000000000001</v>
      </c>
      <c r="W313" s="246">
        <f t="shared" si="154"/>
        <v>4.4165000000000003E-2</v>
      </c>
      <c r="X313" s="246">
        <f t="shared" si="154"/>
        <v>0</v>
      </c>
      <c r="Y313" s="246">
        <f t="shared" si="154"/>
        <v>8.8330000000000006E-2</v>
      </c>
      <c r="Z313" s="246">
        <f t="shared" si="154"/>
        <v>0.61831000000000003</v>
      </c>
      <c r="AA313" s="246">
        <f t="shared" si="154"/>
        <v>0</v>
      </c>
      <c r="AB313" s="246">
        <f t="shared" si="154"/>
        <v>0</v>
      </c>
      <c r="AC313" s="246">
        <f t="shared" si="154"/>
        <v>5.299800000000001E-2</v>
      </c>
      <c r="AD313" s="246">
        <f t="shared" si="154"/>
        <v>0</v>
      </c>
      <c r="AE313" s="246">
        <f t="shared" si="154"/>
        <v>0.88330000000000009</v>
      </c>
      <c r="AF313" s="246">
        <v>0</v>
      </c>
      <c r="AG313" s="246">
        <f t="shared" si="154"/>
        <v>8.8330000000000006E-2</v>
      </c>
      <c r="AH313" s="243"/>
      <c r="AI313" s="102">
        <v>1</v>
      </c>
      <c r="AJ313" s="102">
        <v>23</v>
      </c>
      <c r="AL313" s="102">
        <v>12</v>
      </c>
      <c r="AM313" s="237">
        <v>0.3</v>
      </c>
      <c r="AN313" s="241">
        <v>0.3</v>
      </c>
      <c r="AO313" s="241">
        <v>0.28999999999999998</v>
      </c>
      <c r="AP313" s="247">
        <f>(AN313*365)*(AO313*0.67*0.01*1)</f>
        <v>0.21275850000000002</v>
      </c>
      <c r="AQ313" s="247">
        <f>(AN313*365)*(AO313*0.67*0.001*1)</f>
        <v>2.1275850000000002E-2</v>
      </c>
      <c r="AR313" s="248"/>
      <c r="AS313" s="247">
        <f>(AN313*365)*(AO313*0.67*0.02*1)</f>
        <v>0.42551700000000003</v>
      </c>
      <c r="AT313" s="247">
        <f>(AN313*365)*(AO313*0.67*0.01*1)</f>
        <v>0.21275850000000002</v>
      </c>
      <c r="AU313" s="247">
        <f>(AN313*365)*(AO313*0.67*0.25*1)</f>
        <v>5.3189624999999996</v>
      </c>
      <c r="AV313" s="247">
        <f>(AN313*365)*(AO313*0.67*0.73*1)</f>
        <v>15.5313705</v>
      </c>
      <c r="AW313" s="247">
        <f>(AN313*365)*(AO313*0.67*0.03*1)</f>
        <v>0.6382755</v>
      </c>
      <c r="AX313" s="248"/>
      <c r="AY313" s="93">
        <f>(AN313*365)*(AO313*0.67*0.25*1)</f>
        <v>5.3189624999999996</v>
      </c>
      <c r="AZ313" s="93">
        <f t="shared" si="155"/>
        <v>21.275849999999998</v>
      </c>
      <c r="BA313" s="93">
        <f t="shared" si="156"/>
        <v>2.1275850000000003</v>
      </c>
      <c r="BB313" s="93">
        <f t="shared" si="157"/>
        <v>0.10637925000000001</v>
      </c>
      <c r="BC313" s="93">
        <f>(AN313*365)*(AO313*0.67*0.005*1)</f>
        <v>0.10637925000000001</v>
      </c>
      <c r="BD313" s="93">
        <v>0</v>
      </c>
      <c r="BE313" s="93">
        <v>0</v>
      </c>
      <c r="BF313" s="93"/>
      <c r="BG313" s="93"/>
      <c r="BH313" s="93"/>
      <c r="BI313" s="93" t="s">
        <v>337</v>
      </c>
      <c r="BJ313" s="93" t="s">
        <v>168</v>
      </c>
      <c r="BK313" s="93">
        <f t="shared" si="158"/>
        <v>0</v>
      </c>
      <c r="BL313" s="93" t="s">
        <v>413</v>
      </c>
      <c r="BM313" s="93">
        <v>0.2</v>
      </c>
      <c r="BN313" s="93">
        <v>0.5</v>
      </c>
      <c r="BO313" s="93" t="s">
        <v>258</v>
      </c>
      <c r="BP313" s="93">
        <f t="shared" si="159"/>
        <v>5.0285714285714281E-2</v>
      </c>
      <c r="BQ313" s="93" t="s">
        <v>415</v>
      </c>
      <c r="BR313" s="93">
        <v>0.2</v>
      </c>
      <c r="BS313" s="93">
        <v>0.5</v>
      </c>
      <c r="BT313" s="93" t="s">
        <v>258</v>
      </c>
      <c r="BU313" s="93"/>
      <c r="BV313" s="93">
        <v>0</v>
      </c>
      <c r="BW313" s="93" t="s">
        <v>414</v>
      </c>
      <c r="BX313" s="93"/>
      <c r="BY313" s="93">
        <v>14.985142857142856</v>
      </c>
      <c r="BZ313" s="93" t="s">
        <v>414</v>
      </c>
      <c r="CA313" s="93"/>
      <c r="CB313" s="180"/>
      <c r="CC313" s="178"/>
      <c r="CD313" s="178"/>
      <c r="CE313" s="180"/>
      <c r="CF313" s="180"/>
      <c r="CG313" s="180"/>
      <c r="CH313" s="180"/>
      <c r="CI313" s="178"/>
      <c r="CJ313" s="178"/>
      <c r="CK313" s="180"/>
      <c r="CL313" s="180"/>
      <c r="CM313" s="180"/>
      <c r="CN313" s="116"/>
      <c r="CO313" s="218">
        <f t="shared" si="150"/>
        <v>0.2</v>
      </c>
      <c r="CP313" s="100">
        <f t="shared" si="151"/>
        <v>0.35</v>
      </c>
      <c r="CQ313" s="218">
        <f t="shared" si="152"/>
        <v>0.5</v>
      </c>
      <c r="CR313" s="101">
        <v>0.2</v>
      </c>
      <c r="CS313" s="101">
        <v>0.5</v>
      </c>
      <c r="DA313" s="23" t="s">
        <v>337</v>
      </c>
      <c r="DB313" s="23">
        <v>0</v>
      </c>
      <c r="DC313" s="142">
        <f t="shared" si="160"/>
        <v>0</v>
      </c>
      <c r="DD313" s="142">
        <f t="shared" si="161"/>
        <v>0</v>
      </c>
      <c r="DE313" s="23">
        <v>16</v>
      </c>
      <c r="DF313" s="23">
        <v>0.4</v>
      </c>
      <c r="DG313" s="142">
        <f t="shared" si="162"/>
        <v>6.4</v>
      </c>
      <c r="DH313" s="23">
        <v>5.0000000000000001E-3</v>
      </c>
      <c r="DI313" s="149">
        <f t="shared" si="163"/>
        <v>5.0285714285714281E-2</v>
      </c>
      <c r="DJ313" s="149">
        <f t="shared" si="164"/>
        <v>15.588571428571427</v>
      </c>
      <c r="DK313" s="149">
        <f t="shared" si="165"/>
        <v>14.985142857142856</v>
      </c>
      <c r="DL313" s="150">
        <f t="shared" si="166"/>
        <v>15.588571428571427</v>
      </c>
      <c r="DM313" s="150">
        <f t="shared" si="166"/>
        <v>14.985142857142856</v>
      </c>
      <c r="DN313" s="116" t="s">
        <v>168</v>
      </c>
      <c r="DO313" s="101" t="s">
        <v>392</v>
      </c>
    </row>
    <row r="314" spans="15:119" s="101" customFormat="1" ht="33.75" hidden="1" customHeight="1" thickBot="1" x14ac:dyDescent="0.4">
      <c r="O314" s="227" t="s">
        <v>546</v>
      </c>
      <c r="Q314" s="243">
        <v>0.55000000000000004</v>
      </c>
      <c r="R314" s="243">
        <v>28</v>
      </c>
      <c r="S314" s="246">
        <f t="shared" si="154"/>
        <v>0</v>
      </c>
      <c r="T314" s="246">
        <f t="shared" si="154"/>
        <v>0</v>
      </c>
      <c r="U314" s="246">
        <f t="shared" si="154"/>
        <v>4.4165000000000003E-2</v>
      </c>
      <c r="V314" s="246">
        <f t="shared" si="154"/>
        <v>0.17666000000000001</v>
      </c>
      <c r="W314" s="246">
        <f t="shared" si="154"/>
        <v>4.4165000000000003E-2</v>
      </c>
      <c r="X314" s="246">
        <f t="shared" si="154"/>
        <v>0</v>
      </c>
      <c r="Y314" s="246">
        <f t="shared" si="154"/>
        <v>8.8330000000000006E-2</v>
      </c>
      <c r="Z314" s="246">
        <f t="shared" si="154"/>
        <v>0.61831000000000003</v>
      </c>
      <c r="AA314" s="246">
        <f t="shared" si="154"/>
        <v>0</v>
      </c>
      <c r="AB314" s="246">
        <f t="shared" si="154"/>
        <v>0</v>
      </c>
      <c r="AC314" s="246">
        <f t="shared" si="154"/>
        <v>5.299800000000001E-2</v>
      </c>
      <c r="AD314" s="246">
        <f t="shared" si="154"/>
        <v>0</v>
      </c>
      <c r="AE314" s="246">
        <f t="shared" si="154"/>
        <v>0.88330000000000009</v>
      </c>
      <c r="AF314" s="246">
        <v>0</v>
      </c>
      <c r="AG314" s="246">
        <f t="shared" si="154"/>
        <v>8.8330000000000006E-2</v>
      </c>
      <c r="AH314" s="243"/>
      <c r="AI314" s="102">
        <v>1</v>
      </c>
      <c r="AJ314" s="102">
        <v>39</v>
      </c>
      <c r="AL314" s="102">
        <v>27</v>
      </c>
      <c r="AM314" s="237">
        <v>0.3</v>
      </c>
      <c r="AN314" s="241">
        <v>0.3</v>
      </c>
      <c r="AO314" s="241">
        <v>0.28999999999999998</v>
      </c>
      <c r="AP314" s="247">
        <f>(AN314*365)*(AO314*0.67*0.015*1)</f>
        <v>0.31913775</v>
      </c>
      <c r="AQ314" s="247">
        <f>(AN314*365)*(AO314*0.67*0.005*1)</f>
        <v>0.10637925000000001</v>
      </c>
      <c r="AR314" s="248"/>
      <c r="AS314" s="247">
        <f>(AN314*365)*(AO314*0.67*0.04*1)</f>
        <v>0.85103400000000007</v>
      </c>
      <c r="AT314" s="247">
        <f>(AN314*365)*(AO314*0.67*0.015*1)</f>
        <v>0.31913775</v>
      </c>
      <c r="AU314" s="247">
        <f>(AN314*365)*(AO314*0.67*0.65*1)</f>
        <v>13.829302500000002</v>
      </c>
      <c r="AV314" s="247">
        <f>(AN314*365)*(AO314*0.67*0.79*1)</f>
        <v>16.807921499999999</v>
      </c>
      <c r="AW314" s="247">
        <f>(AN314*365)*(AO314*0.67*0.03*1)</f>
        <v>0.6382755</v>
      </c>
      <c r="AX314" s="248"/>
      <c r="AY314" s="93">
        <f>(AN314*365)*(AO314*0.67*0.65*1)</f>
        <v>13.829302500000002</v>
      </c>
      <c r="AZ314" s="93">
        <f t="shared" si="155"/>
        <v>21.275849999999998</v>
      </c>
      <c r="BA314" s="93">
        <f t="shared" si="156"/>
        <v>2.1275850000000003</v>
      </c>
      <c r="BB314" s="93">
        <f t="shared" si="157"/>
        <v>0.10637925000000001</v>
      </c>
      <c r="BC314" s="93">
        <f>(AN314*365)*(AO314*0.67*0.01*1)</f>
        <v>0.21275850000000002</v>
      </c>
      <c r="BD314" s="93">
        <v>0</v>
      </c>
      <c r="BE314" s="93">
        <v>0</v>
      </c>
      <c r="BF314" s="93"/>
      <c r="BG314" s="93"/>
      <c r="BH314" s="93"/>
      <c r="BI314" s="93" t="s">
        <v>338</v>
      </c>
      <c r="BJ314" s="93" t="s">
        <v>168</v>
      </c>
      <c r="BK314" s="93">
        <f t="shared" si="158"/>
        <v>1</v>
      </c>
      <c r="BL314" s="93" t="s">
        <v>413</v>
      </c>
      <c r="BM314" s="93">
        <v>0.2</v>
      </c>
      <c r="BN314" s="93">
        <v>0.5</v>
      </c>
      <c r="BO314" s="93" t="s">
        <v>258</v>
      </c>
      <c r="BP314" s="93">
        <f t="shared" si="159"/>
        <v>5.0285714285714281E-2</v>
      </c>
      <c r="BQ314" s="93" t="s">
        <v>415</v>
      </c>
      <c r="BR314" s="93">
        <v>0.2</v>
      </c>
      <c r="BS314" s="93">
        <v>0.5</v>
      </c>
      <c r="BT314" s="93" t="s">
        <v>258</v>
      </c>
      <c r="BU314" s="93"/>
      <c r="BV314" s="93">
        <v>25</v>
      </c>
      <c r="BW314" s="93" t="s">
        <v>414</v>
      </c>
      <c r="BX314" s="93"/>
      <c r="BY314" s="93">
        <v>14.985142857142856</v>
      </c>
      <c r="BZ314" s="93" t="s">
        <v>414</v>
      </c>
      <c r="CA314" s="93"/>
      <c r="CB314" s="180"/>
      <c r="CC314" s="178"/>
      <c r="CD314" s="178"/>
      <c r="CE314" s="180"/>
      <c r="CF314" s="180"/>
      <c r="CG314" s="180"/>
      <c r="CH314" s="180"/>
      <c r="CI314" s="178"/>
      <c r="CJ314" s="178"/>
      <c r="CK314" s="180"/>
      <c r="CL314" s="180"/>
      <c r="CM314" s="180"/>
      <c r="CN314" s="116"/>
      <c r="CO314" s="218">
        <f t="shared" si="150"/>
        <v>0.2</v>
      </c>
      <c r="CP314" s="100">
        <f t="shared" si="151"/>
        <v>0.35</v>
      </c>
      <c r="CQ314" s="218">
        <f t="shared" si="152"/>
        <v>0.5</v>
      </c>
      <c r="CR314" s="101">
        <v>0.2</v>
      </c>
      <c r="CS314" s="101">
        <v>0.5</v>
      </c>
      <c r="DA314" s="23" t="s">
        <v>338</v>
      </c>
      <c r="DB314" s="23">
        <v>1</v>
      </c>
      <c r="DC314" s="142">
        <f t="shared" si="160"/>
        <v>21</v>
      </c>
      <c r="DD314" s="142">
        <f t="shared" si="161"/>
        <v>25</v>
      </c>
      <c r="DE314" s="23">
        <v>16</v>
      </c>
      <c r="DF314" s="23">
        <v>0.4</v>
      </c>
      <c r="DG314" s="142">
        <f t="shared" si="162"/>
        <v>6.4</v>
      </c>
      <c r="DH314" s="23">
        <v>5.0000000000000001E-3</v>
      </c>
      <c r="DI314" s="149">
        <f t="shared" si="163"/>
        <v>5.0285714285714281E-2</v>
      </c>
      <c r="DJ314" s="149">
        <f t="shared" si="164"/>
        <v>15.588571428571427</v>
      </c>
      <c r="DK314" s="149">
        <f t="shared" si="165"/>
        <v>14.985142857142856</v>
      </c>
      <c r="DL314" s="150">
        <f t="shared" si="166"/>
        <v>36.588571428571427</v>
      </c>
      <c r="DM314" s="150">
        <f t="shared" si="166"/>
        <v>39.985142857142854</v>
      </c>
      <c r="DN314" s="116" t="s">
        <v>168</v>
      </c>
      <c r="DO314" s="101" t="s">
        <v>392</v>
      </c>
    </row>
    <row r="315" spans="15:119" s="101" customFormat="1" ht="33.75" hidden="1" customHeight="1" thickBot="1" x14ac:dyDescent="0.4">
      <c r="O315" s="227" t="s">
        <v>547</v>
      </c>
      <c r="Q315" s="243">
        <v>0.55000000000000004</v>
      </c>
      <c r="R315" s="243">
        <v>28</v>
      </c>
      <c r="S315" s="246">
        <f t="shared" si="154"/>
        <v>0</v>
      </c>
      <c r="T315" s="246">
        <f t="shared" si="154"/>
        <v>0</v>
      </c>
      <c r="U315" s="246">
        <f t="shared" si="154"/>
        <v>4.4165000000000003E-2</v>
      </c>
      <c r="V315" s="246">
        <f t="shared" si="154"/>
        <v>0.17666000000000001</v>
      </c>
      <c r="W315" s="246">
        <f t="shared" si="154"/>
        <v>4.4165000000000003E-2</v>
      </c>
      <c r="X315" s="246">
        <f t="shared" si="154"/>
        <v>0</v>
      </c>
      <c r="Y315" s="246">
        <f t="shared" si="154"/>
        <v>8.8330000000000006E-2</v>
      </c>
      <c r="Z315" s="246">
        <f t="shared" si="154"/>
        <v>0.61831000000000003</v>
      </c>
      <c r="AA315" s="246">
        <f t="shared" si="154"/>
        <v>0</v>
      </c>
      <c r="AB315" s="246">
        <f t="shared" si="154"/>
        <v>0</v>
      </c>
      <c r="AC315" s="246">
        <f t="shared" si="154"/>
        <v>5.299800000000001E-2</v>
      </c>
      <c r="AD315" s="246">
        <f t="shared" si="154"/>
        <v>0</v>
      </c>
      <c r="AE315" s="246">
        <f t="shared" si="154"/>
        <v>0.88330000000000009</v>
      </c>
      <c r="AF315" s="246">
        <v>0</v>
      </c>
      <c r="AG315" s="246">
        <f t="shared" si="154"/>
        <v>8.8330000000000006E-2</v>
      </c>
      <c r="AH315" s="243"/>
      <c r="AI315" s="102">
        <v>2</v>
      </c>
      <c r="AJ315" s="102">
        <v>45</v>
      </c>
      <c r="AL315" s="102">
        <v>33</v>
      </c>
      <c r="AM315" s="237">
        <v>0.3</v>
      </c>
      <c r="AN315" s="241">
        <v>0.3</v>
      </c>
      <c r="AO315" s="241">
        <v>0.28999999999999998</v>
      </c>
      <c r="AP315" s="247">
        <f>(AN315*365)*(AO315*0.67*0.02*1)</f>
        <v>0.42551700000000003</v>
      </c>
      <c r="AQ315" s="247">
        <f>(AN315*365)*(AO315*0.67*0.01*1)</f>
        <v>0.21275850000000002</v>
      </c>
      <c r="AR315" s="248"/>
      <c r="AS315" s="247">
        <f>(AN315*365)*(AO315*0.67*0.05*1)</f>
        <v>1.0637925000000001</v>
      </c>
      <c r="AT315" s="247">
        <f>(AN315*365)*(AO315*0.67*0.02*1)</f>
        <v>0.42551700000000003</v>
      </c>
      <c r="AU315" s="247">
        <f>(AN315*365)*(AO315*0.67*0.8*1)</f>
        <v>17.020680000000002</v>
      </c>
      <c r="AV315" s="247">
        <f>(AN315*365)*(AO315*0.67*0.8*1)</f>
        <v>17.020680000000002</v>
      </c>
      <c r="AW315" s="247">
        <f>(AN315*365)*(AO315*0.67*0.3*1)</f>
        <v>6.3827549999999995</v>
      </c>
      <c r="AX315" s="248"/>
      <c r="AY315" s="93">
        <f>(AN315*365)*(AO315*0.67*0.8*1)</f>
        <v>17.020680000000002</v>
      </c>
      <c r="AZ315" s="93">
        <f t="shared" si="155"/>
        <v>21.275849999999998</v>
      </c>
      <c r="BA315" s="93">
        <f t="shared" si="156"/>
        <v>2.1275850000000003</v>
      </c>
      <c r="BB315" s="93">
        <f t="shared" si="157"/>
        <v>0.10637925000000001</v>
      </c>
      <c r="BC315" s="93">
        <f>(AN315*365)*(AO315*0.67*0.015*1)</f>
        <v>0.31913775</v>
      </c>
      <c r="BD315" s="93">
        <v>0</v>
      </c>
      <c r="BE315" s="93">
        <v>0</v>
      </c>
      <c r="BF315" s="93"/>
      <c r="BG315" s="93"/>
      <c r="BH315" s="93"/>
      <c r="BI315" s="93" t="s">
        <v>339</v>
      </c>
      <c r="BJ315" s="93" t="s">
        <v>168</v>
      </c>
      <c r="BK315" s="93">
        <f t="shared" si="158"/>
        <v>2</v>
      </c>
      <c r="BL315" s="93" t="s">
        <v>413</v>
      </c>
      <c r="BM315" s="93">
        <v>0.2</v>
      </c>
      <c r="BN315" s="93">
        <v>0.5</v>
      </c>
      <c r="BO315" s="93" t="s">
        <v>258</v>
      </c>
      <c r="BP315" s="93">
        <f t="shared" si="159"/>
        <v>5.0285714285714281E-2</v>
      </c>
      <c r="BQ315" s="93" t="s">
        <v>415</v>
      </c>
      <c r="BR315" s="93">
        <v>0.2</v>
      </c>
      <c r="BS315" s="93">
        <v>0.5</v>
      </c>
      <c r="BT315" s="93" t="s">
        <v>258</v>
      </c>
      <c r="BU315" s="93"/>
      <c r="BV315" s="93">
        <v>50</v>
      </c>
      <c r="BW315" s="93" t="s">
        <v>414</v>
      </c>
      <c r="BX315" s="93"/>
      <c r="BY315" s="93">
        <v>14.985142857142856</v>
      </c>
      <c r="BZ315" s="93" t="s">
        <v>414</v>
      </c>
      <c r="CA315" s="93"/>
      <c r="CB315" s="180"/>
      <c r="CC315" s="178"/>
      <c r="CD315" s="178"/>
      <c r="CE315" s="180"/>
      <c r="CF315" s="180"/>
      <c r="CG315" s="180"/>
      <c r="CH315" s="180"/>
      <c r="CI315" s="178"/>
      <c r="CJ315" s="178"/>
      <c r="CK315" s="180"/>
      <c r="CL315" s="180"/>
      <c r="CM315" s="180"/>
      <c r="CN315" s="116"/>
      <c r="CO315" s="218">
        <f t="shared" si="150"/>
        <v>0.2</v>
      </c>
      <c r="CP315" s="100">
        <f t="shared" si="151"/>
        <v>0.35</v>
      </c>
      <c r="CQ315" s="218">
        <f t="shared" si="152"/>
        <v>0.5</v>
      </c>
      <c r="CR315" s="101">
        <v>0.2</v>
      </c>
      <c r="CS315" s="101">
        <v>0.5</v>
      </c>
      <c r="DA315" s="23" t="s">
        <v>339</v>
      </c>
      <c r="DB315" s="23">
        <v>2</v>
      </c>
      <c r="DC315" s="142">
        <f t="shared" si="160"/>
        <v>42</v>
      </c>
      <c r="DD315" s="142">
        <f t="shared" si="161"/>
        <v>50</v>
      </c>
      <c r="DE315" s="23">
        <v>16</v>
      </c>
      <c r="DF315" s="23">
        <v>0.4</v>
      </c>
      <c r="DG315" s="142">
        <f t="shared" si="162"/>
        <v>6.4</v>
      </c>
      <c r="DH315" s="23">
        <v>5.0000000000000001E-3</v>
      </c>
      <c r="DI315" s="149">
        <f t="shared" si="163"/>
        <v>5.0285714285714281E-2</v>
      </c>
      <c r="DJ315" s="149">
        <f t="shared" si="164"/>
        <v>15.588571428571427</v>
      </c>
      <c r="DK315" s="149">
        <f t="shared" si="165"/>
        <v>14.985142857142856</v>
      </c>
      <c r="DL315" s="150">
        <f t="shared" si="166"/>
        <v>57.588571428571427</v>
      </c>
      <c r="DM315" s="150">
        <f t="shared" si="166"/>
        <v>64.985142857142861</v>
      </c>
      <c r="DN315" s="116" t="s">
        <v>168</v>
      </c>
      <c r="DO315" s="101" t="s">
        <v>392</v>
      </c>
    </row>
    <row r="316" spans="15:119" s="101" customFormat="1" ht="33.75" hidden="1" customHeight="1" thickBot="1" x14ac:dyDescent="0.4">
      <c r="O316" s="227" t="s">
        <v>143</v>
      </c>
      <c r="Q316" s="243">
        <v>0.32</v>
      </c>
      <c r="R316" s="243">
        <v>380</v>
      </c>
      <c r="S316" s="246">
        <f t="shared" si="154"/>
        <v>0</v>
      </c>
      <c r="T316" s="246">
        <f t="shared" si="154"/>
        <v>0</v>
      </c>
      <c r="U316" s="246">
        <f t="shared" si="154"/>
        <v>0.34873142857142858</v>
      </c>
      <c r="V316" s="246">
        <f t="shared" si="154"/>
        <v>1.3949257142857143</v>
      </c>
      <c r="W316" s="246">
        <f t="shared" si="154"/>
        <v>0.34873142857142858</v>
      </c>
      <c r="X316" s="246">
        <f t="shared" si="154"/>
        <v>0</v>
      </c>
      <c r="Y316" s="246">
        <f t="shared" ref="Y316:AE316" si="167">((($Q316*($R316/1000)*365)*1)*Y$296)*(44/28)</f>
        <v>0.69746285714285716</v>
      </c>
      <c r="Z316" s="246">
        <f t="shared" si="167"/>
        <v>4.8822400000000004</v>
      </c>
      <c r="AA316" s="246">
        <f t="shared" si="167"/>
        <v>0</v>
      </c>
      <c r="AB316" s="246">
        <f t="shared" si="167"/>
        <v>0</v>
      </c>
      <c r="AC316" s="246">
        <f t="shared" si="167"/>
        <v>0.41847771428571423</v>
      </c>
      <c r="AD316" s="246">
        <f t="shared" si="167"/>
        <v>0</v>
      </c>
      <c r="AE316" s="246">
        <f t="shared" si="167"/>
        <v>6.9746285714285721</v>
      </c>
      <c r="AF316" s="246">
        <v>0</v>
      </c>
      <c r="AG316" s="246">
        <f t="shared" ref="AG316:AG321" si="168">((($Q316*($R316/1000)*365)*1)*AG$296)*(44/28)</f>
        <v>0.69746285714285716</v>
      </c>
      <c r="AH316" s="243"/>
      <c r="AI316" s="102">
        <v>1</v>
      </c>
      <c r="AJ316" s="100">
        <v>0</v>
      </c>
      <c r="AL316" s="102">
        <v>5</v>
      </c>
      <c r="AM316" s="237">
        <v>0.3</v>
      </c>
      <c r="AN316" s="241">
        <v>3.9</v>
      </c>
      <c r="AO316" s="241">
        <v>0.1</v>
      </c>
      <c r="AP316" s="247">
        <f>(AN316*365)*(AO316*0.67*0.01*1)</f>
        <v>0.95374500000000006</v>
      </c>
      <c r="AQ316" s="247">
        <f>(AN316*365)*(AO316*0.67*0.001*1)</f>
        <v>9.5374500000000001E-2</v>
      </c>
      <c r="AR316" s="248"/>
      <c r="AS316" s="247">
        <f>(AN316*365)*(AO316*0.67*0.02*1)</f>
        <v>1.9074900000000001</v>
      </c>
      <c r="AT316" s="247">
        <f>(AN316*365)*(AO316*0.67*0.01*1)</f>
        <v>0.95374500000000006</v>
      </c>
      <c r="AU316" s="247">
        <f>(AN316*365)*(AO316*0.67*0.25*1)</f>
        <v>23.843625000000003</v>
      </c>
      <c r="AV316" s="247">
        <f>(AN316*365)*(AO316*0.67*0.73*1)</f>
        <v>69.623384999999999</v>
      </c>
      <c r="AW316" s="247">
        <f>(AN316*365)*(AO316*0.67*0.03*1)</f>
        <v>2.8612350000000002</v>
      </c>
      <c r="AX316" s="248"/>
      <c r="AY316" s="93">
        <f>(AN316*365)*(AO316*0.67*0.25*1)</f>
        <v>23.843625000000003</v>
      </c>
      <c r="AZ316" s="93">
        <f t="shared" si="155"/>
        <v>95.374500000000012</v>
      </c>
      <c r="BA316" s="93">
        <f t="shared" si="156"/>
        <v>9.5374500000000015</v>
      </c>
      <c r="BB316" s="93">
        <f t="shared" si="157"/>
        <v>0.47687250000000003</v>
      </c>
      <c r="BC316" s="93">
        <f>(AN316*365)*(AO316*0.67*0.005*1)</f>
        <v>0.47687250000000003</v>
      </c>
      <c r="BD316" s="93">
        <v>0</v>
      </c>
      <c r="BE316" s="93">
        <v>0</v>
      </c>
      <c r="BF316" s="93"/>
      <c r="BG316" s="93"/>
      <c r="BH316" s="93"/>
      <c r="BI316" s="93" t="s">
        <v>143</v>
      </c>
      <c r="BJ316" s="93" t="s">
        <v>168</v>
      </c>
      <c r="BK316" s="93">
        <f t="shared" si="158"/>
        <v>1</v>
      </c>
      <c r="BL316" s="93" t="s">
        <v>413</v>
      </c>
      <c r="BM316" s="93">
        <v>0.2</v>
      </c>
      <c r="BN316" s="93">
        <v>0.5</v>
      </c>
      <c r="BO316" s="93" t="s">
        <v>258</v>
      </c>
      <c r="BP316" s="93">
        <f t="shared" si="159"/>
        <v>1.2445714285714284</v>
      </c>
      <c r="BQ316" s="93" t="s">
        <v>415</v>
      </c>
      <c r="BR316" s="93">
        <v>0.2</v>
      </c>
      <c r="BS316" s="93">
        <v>0.5</v>
      </c>
      <c r="BT316" s="93" t="s">
        <v>258</v>
      </c>
      <c r="BU316" s="93"/>
      <c r="BV316" s="93">
        <v>25</v>
      </c>
      <c r="BW316" s="93" t="s">
        <v>414</v>
      </c>
      <c r="BX316" s="93"/>
      <c r="BY316" s="93">
        <v>370.88228571428567</v>
      </c>
      <c r="BZ316" s="93" t="s">
        <v>414</v>
      </c>
      <c r="CA316" s="93"/>
      <c r="CB316" s="180"/>
      <c r="CC316" s="178"/>
      <c r="CD316" s="178"/>
      <c r="CE316" s="180"/>
      <c r="CF316" s="180"/>
      <c r="CG316" s="180"/>
      <c r="CH316" s="180"/>
      <c r="CI316" s="178"/>
      <c r="CJ316" s="178"/>
      <c r="CK316" s="180"/>
      <c r="CL316" s="180"/>
      <c r="CM316" s="180"/>
      <c r="CN316" s="116"/>
      <c r="CO316" s="218">
        <f t="shared" si="150"/>
        <v>0.2</v>
      </c>
      <c r="CP316" s="100">
        <f t="shared" si="151"/>
        <v>0.35</v>
      </c>
      <c r="CQ316" s="218">
        <f t="shared" si="152"/>
        <v>0.5</v>
      </c>
      <c r="CR316" s="101">
        <v>0.2</v>
      </c>
      <c r="CS316" s="101">
        <v>0.5</v>
      </c>
      <c r="DA316" s="23" t="s">
        <v>143</v>
      </c>
      <c r="DB316" s="23">
        <v>1</v>
      </c>
      <c r="DC316" s="142">
        <f t="shared" si="160"/>
        <v>21</v>
      </c>
      <c r="DD316" s="142">
        <f t="shared" si="161"/>
        <v>25</v>
      </c>
      <c r="DE316" s="23">
        <v>40</v>
      </c>
      <c r="DF316" s="23">
        <v>0.99</v>
      </c>
      <c r="DG316" s="142">
        <f t="shared" si="162"/>
        <v>39.6</v>
      </c>
      <c r="DH316" s="23">
        <v>0.02</v>
      </c>
      <c r="DI316" s="149">
        <f t="shared" si="163"/>
        <v>1.2445714285714284</v>
      </c>
      <c r="DJ316" s="149">
        <f t="shared" si="164"/>
        <v>385.81714285714281</v>
      </c>
      <c r="DK316" s="149">
        <f t="shared" si="165"/>
        <v>370.88228571428567</v>
      </c>
      <c r="DL316" s="150">
        <f t="shared" si="166"/>
        <v>406.81714285714281</v>
      </c>
      <c r="DM316" s="150">
        <f t="shared" si="166"/>
        <v>395.88228571428567</v>
      </c>
      <c r="DN316" s="116" t="s">
        <v>168</v>
      </c>
      <c r="DO316" s="101" t="s">
        <v>392</v>
      </c>
    </row>
    <row r="317" spans="15:119" s="101" customFormat="1" ht="33.75" hidden="1" customHeight="1" thickBot="1" x14ac:dyDescent="0.4">
      <c r="O317" s="227" t="s">
        <v>144</v>
      </c>
      <c r="Q317" s="243">
        <v>0.32</v>
      </c>
      <c r="R317" s="243">
        <v>380</v>
      </c>
      <c r="S317" s="246">
        <f t="shared" ref="S317:AG330" si="169">((($Q317*($R317/1000)*365)*1)*S$296)*(44/28)</f>
        <v>0</v>
      </c>
      <c r="T317" s="246">
        <f t="shared" si="169"/>
        <v>0</v>
      </c>
      <c r="U317" s="246">
        <f t="shared" si="169"/>
        <v>0.34873142857142858</v>
      </c>
      <c r="V317" s="246">
        <f t="shared" si="169"/>
        <v>1.3949257142857143</v>
      </c>
      <c r="W317" s="246">
        <f t="shared" si="169"/>
        <v>0.34873142857142858</v>
      </c>
      <c r="X317" s="246">
        <f t="shared" si="169"/>
        <v>0</v>
      </c>
      <c r="Y317" s="246">
        <f t="shared" si="169"/>
        <v>0.69746285714285716</v>
      </c>
      <c r="Z317" s="246">
        <f t="shared" si="169"/>
        <v>4.8822400000000004</v>
      </c>
      <c r="AA317" s="246">
        <f t="shared" si="169"/>
        <v>0</v>
      </c>
      <c r="AB317" s="246">
        <f t="shared" si="169"/>
        <v>0</v>
      </c>
      <c r="AC317" s="246">
        <f t="shared" si="169"/>
        <v>0.41847771428571423</v>
      </c>
      <c r="AD317" s="246">
        <f t="shared" si="169"/>
        <v>0</v>
      </c>
      <c r="AE317" s="246">
        <f t="shared" si="169"/>
        <v>6.9746285714285721</v>
      </c>
      <c r="AF317" s="246">
        <v>0</v>
      </c>
      <c r="AG317" s="246">
        <f t="shared" si="168"/>
        <v>0.69746285714285716</v>
      </c>
      <c r="AH317" s="243"/>
      <c r="AI317" s="102">
        <v>1</v>
      </c>
      <c r="AJ317" s="100">
        <v>0</v>
      </c>
      <c r="AL317" s="102">
        <v>14</v>
      </c>
      <c r="AM317" s="237">
        <v>0.3</v>
      </c>
      <c r="AN317" s="241">
        <v>3.9</v>
      </c>
      <c r="AO317" s="241">
        <v>0.1</v>
      </c>
      <c r="AP317" s="247">
        <f>(AN317*365)*(AO317*0.67*0.015*1)</f>
        <v>1.4306175000000001</v>
      </c>
      <c r="AQ317" s="247">
        <f>(AN317*365)*(AO317*0.67*0.005*1)</f>
        <v>0.47687250000000003</v>
      </c>
      <c r="AR317" s="248"/>
      <c r="AS317" s="247">
        <f>(AN317*365)*(AO317*0.67*0.04*1)</f>
        <v>3.8149800000000003</v>
      </c>
      <c r="AT317" s="247">
        <f>(AN317*365)*(AO317*0.67*0.015*1)</f>
        <v>1.4306175000000001</v>
      </c>
      <c r="AU317" s="247">
        <f>(AN317*365)*(AO317*0.67*0.65*1)</f>
        <v>61.993425000000009</v>
      </c>
      <c r="AV317" s="247">
        <f>(AN317*365)*(AO317*0.67*0.79*1)</f>
        <v>75.345855</v>
      </c>
      <c r="AW317" s="247">
        <f>(AN317*365)*(AO317*0.67*0.03*1)</f>
        <v>2.8612350000000002</v>
      </c>
      <c r="AX317" s="248"/>
      <c r="AY317" s="93">
        <f>(AN317*365)*(AO317*0.67*0.65*1)</f>
        <v>61.993425000000009</v>
      </c>
      <c r="AZ317" s="93">
        <f t="shared" si="155"/>
        <v>95.374500000000012</v>
      </c>
      <c r="BA317" s="93">
        <f t="shared" si="156"/>
        <v>9.5374500000000015</v>
      </c>
      <c r="BB317" s="93">
        <f t="shared" si="157"/>
        <v>0.47687250000000003</v>
      </c>
      <c r="BC317" s="93">
        <f>(AN317*365)*(AO317*0.67*0.01*1)</f>
        <v>0.95374500000000006</v>
      </c>
      <c r="BD317" s="93">
        <v>0</v>
      </c>
      <c r="BE317" s="93">
        <v>0</v>
      </c>
      <c r="BF317" s="93"/>
      <c r="BG317" s="93"/>
      <c r="BH317" s="93"/>
      <c r="BI317" s="93" t="s">
        <v>144</v>
      </c>
      <c r="BJ317" s="93" t="s">
        <v>168</v>
      </c>
      <c r="BK317" s="93">
        <f t="shared" si="158"/>
        <v>1</v>
      </c>
      <c r="BL317" s="93" t="s">
        <v>413</v>
      </c>
      <c r="BM317" s="93">
        <v>0.2</v>
      </c>
      <c r="BN317" s="93">
        <v>0.5</v>
      </c>
      <c r="BO317" s="93" t="s">
        <v>258</v>
      </c>
      <c r="BP317" s="93">
        <f t="shared" si="159"/>
        <v>1.2445714285714284</v>
      </c>
      <c r="BQ317" s="93" t="s">
        <v>415</v>
      </c>
      <c r="BR317" s="93">
        <v>0.2</v>
      </c>
      <c r="BS317" s="93">
        <v>0.5</v>
      </c>
      <c r="BT317" s="93" t="s">
        <v>258</v>
      </c>
      <c r="BU317" s="93"/>
      <c r="BV317" s="93">
        <v>25</v>
      </c>
      <c r="BW317" s="93" t="s">
        <v>414</v>
      </c>
      <c r="BX317" s="93"/>
      <c r="BY317" s="93">
        <v>370.88228571428567</v>
      </c>
      <c r="BZ317" s="93" t="s">
        <v>414</v>
      </c>
      <c r="CA317" s="93"/>
      <c r="CB317" s="180"/>
      <c r="CC317" s="178"/>
      <c r="CD317" s="178"/>
      <c r="CE317" s="180"/>
      <c r="CF317" s="180"/>
      <c r="CG317" s="180"/>
      <c r="CH317" s="180"/>
      <c r="CI317" s="178"/>
      <c r="CJ317" s="178"/>
      <c r="CK317" s="180"/>
      <c r="CL317" s="180"/>
      <c r="CM317" s="180"/>
      <c r="CN317" s="116"/>
      <c r="CO317" s="218">
        <f t="shared" si="150"/>
        <v>0.2</v>
      </c>
      <c r="CP317" s="100">
        <f t="shared" si="151"/>
        <v>0.35</v>
      </c>
      <c r="CQ317" s="218">
        <f t="shared" si="152"/>
        <v>0.5</v>
      </c>
      <c r="CR317" s="101">
        <v>0.2</v>
      </c>
      <c r="CS317" s="101">
        <v>0.5</v>
      </c>
      <c r="DA317" s="23" t="s">
        <v>144</v>
      </c>
      <c r="DB317" s="23">
        <v>1</v>
      </c>
      <c r="DC317" s="142">
        <f t="shared" si="160"/>
        <v>21</v>
      </c>
      <c r="DD317" s="142">
        <f t="shared" si="161"/>
        <v>25</v>
      </c>
      <c r="DE317" s="23">
        <v>40</v>
      </c>
      <c r="DF317" s="23">
        <v>0.99</v>
      </c>
      <c r="DG317" s="142">
        <f t="shared" si="162"/>
        <v>39.6</v>
      </c>
      <c r="DH317" s="23">
        <v>0.02</v>
      </c>
      <c r="DI317" s="149">
        <f t="shared" si="163"/>
        <v>1.2445714285714284</v>
      </c>
      <c r="DJ317" s="149">
        <f t="shared" si="164"/>
        <v>385.81714285714281</v>
      </c>
      <c r="DK317" s="149">
        <f t="shared" si="165"/>
        <v>370.88228571428567</v>
      </c>
      <c r="DL317" s="150">
        <f t="shared" si="166"/>
        <v>406.81714285714281</v>
      </c>
      <c r="DM317" s="150">
        <f t="shared" si="166"/>
        <v>395.88228571428567</v>
      </c>
      <c r="DN317" s="116" t="s">
        <v>168</v>
      </c>
      <c r="DO317" s="101" t="s">
        <v>392</v>
      </c>
    </row>
    <row r="318" spans="15:119" s="101" customFormat="1" ht="33.75" hidden="1" customHeight="1" thickBot="1" x14ac:dyDescent="0.4">
      <c r="O318" s="227" t="s">
        <v>145</v>
      </c>
      <c r="Q318" s="243">
        <v>0.32</v>
      </c>
      <c r="R318" s="243">
        <v>380</v>
      </c>
      <c r="S318" s="246">
        <f t="shared" si="169"/>
        <v>0</v>
      </c>
      <c r="T318" s="246">
        <f t="shared" si="169"/>
        <v>0</v>
      </c>
      <c r="U318" s="246">
        <f t="shared" si="169"/>
        <v>0.34873142857142858</v>
      </c>
      <c r="V318" s="246">
        <f t="shared" si="169"/>
        <v>1.3949257142857143</v>
      </c>
      <c r="W318" s="246">
        <f t="shared" si="169"/>
        <v>0.34873142857142858</v>
      </c>
      <c r="X318" s="246">
        <f t="shared" si="169"/>
        <v>0</v>
      </c>
      <c r="Y318" s="246">
        <f t="shared" si="169"/>
        <v>0.69746285714285716</v>
      </c>
      <c r="Z318" s="246">
        <f t="shared" si="169"/>
        <v>4.8822400000000004</v>
      </c>
      <c r="AA318" s="246">
        <f t="shared" si="169"/>
        <v>0</v>
      </c>
      <c r="AB318" s="246">
        <f t="shared" si="169"/>
        <v>0</v>
      </c>
      <c r="AC318" s="246">
        <f t="shared" si="169"/>
        <v>0.41847771428571423</v>
      </c>
      <c r="AD318" s="246">
        <f t="shared" si="169"/>
        <v>0</v>
      </c>
      <c r="AE318" s="246">
        <f t="shared" si="169"/>
        <v>6.9746285714285721</v>
      </c>
      <c r="AF318" s="246">
        <v>0</v>
      </c>
      <c r="AG318" s="246">
        <f t="shared" si="168"/>
        <v>0.69746285714285716</v>
      </c>
      <c r="AH318" s="243"/>
      <c r="AI318" s="102">
        <v>2</v>
      </c>
      <c r="AJ318" s="100">
        <v>0</v>
      </c>
      <c r="AL318" s="102">
        <v>17</v>
      </c>
      <c r="AM318" s="237">
        <v>0.3</v>
      </c>
      <c r="AN318" s="241">
        <v>3.9</v>
      </c>
      <c r="AO318" s="241">
        <v>0.1</v>
      </c>
      <c r="AP318" s="247">
        <f>(AN318*365)*(AO318*0.67*0.02*1)</f>
        <v>1.9074900000000001</v>
      </c>
      <c r="AQ318" s="247">
        <f>(AN318*365)*(AO318*0.67*0.01*1)</f>
        <v>0.95374500000000006</v>
      </c>
      <c r="AR318" s="248"/>
      <c r="AS318" s="247">
        <f>(AN318*365)*(AO318*0.67*0.05*1)</f>
        <v>4.7687250000000008</v>
      </c>
      <c r="AT318" s="247">
        <f>(AN318*365)*(AO318*0.67*0.02*1)</f>
        <v>1.9074900000000001</v>
      </c>
      <c r="AU318" s="247">
        <f>(AN318*365)*(AO318*0.67*0.8*1)</f>
        <v>76.299600000000012</v>
      </c>
      <c r="AV318" s="247">
        <f>(AN318*365)*(AO318*0.67*0.8*1)</f>
        <v>76.299600000000012</v>
      </c>
      <c r="AW318" s="247">
        <f>(AN318*365)*(AO318*0.67*0.3*1)</f>
        <v>28.612349999999999</v>
      </c>
      <c r="AX318" s="248"/>
      <c r="AY318" s="93">
        <f>(AN318*365)*(AO318*0.67*0.8*1)</f>
        <v>76.299600000000012</v>
      </c>
      <c r="AZ318" s="93">
        <f t="shared" si="155"/>
        <v>95.374500000000012</v>
      </c>
      <c r="BA318" s="93">
        <f t="shared" si="156"/>
        <v>9.5374500000000015</v>
      </c>
      <c r="BB318" s="93">
        <f t="shared" si="157"/>
        <v>0.47687250000000003</v>
      </c>
      <c r="BC318" s="93">
        <f>(AN318*365)*(AO318*0.67*0.015*1)</f>
        <v>1.4306175000000001</v>
      </c>
      <c r="BD318" s="93">
        <v>0</v>
      </c>
      <c r="BE318" s="93">
        <v>0</v>
      </c>
      <c r="BF318" s="93"/>
      <c r="BG318" s="93"/>
      <c r="BH318" s="93"/>
      <c r="BI318" s="93" t="s">
        <v>145</v>
      </c>
      <c r="BJ318" s="93" t="s">
        <v>168</v>
      </c>
      <c r="BK318" s="93">
        <f t="shared" si="158"/>
        <v>2</v>
      </c>
      <c r="BL318" s="93" t="s">
        <v>413</v>
      </c>
      <c r="BM318" s="93">
        <v>0.2</v>
      </c>
      <c r="BN318" s="93">
        <v>0.5</v>
      </c>
      <c r="BO318" s="93" t="s">
        <v>258</v>
      </c>
      <c r="BP318" s="93">
        <f t="shared" si="159"/>
        <v>1.2445714285714284</v>
      </c>
      <c r="BQ318" s="93" t="s">
        <v>415</v>
      </c>
      <c r="BR318" s="93">
        <v>0.2</v>
      </c>
      <c r="BS318" s="93">
        <v>0.5</v>
      </c>
      <c r="BT318" s="93" t="s">
        <v>258</v>
      </c>
      <c r="BU318" s="93"/>
      <c r="BV318" s="93">
        <v>50</v>
      </c>
      <c r="BW318" s="93" t="s">
        <v>414</v>
      </c>
      <c r="BX318" s="93"/>
      <c r="BY318" s="93">
        <v>370.88228571428567</v>
      </c>
      <c r="BZ318" s="93" t="s">
        <v>414</v>
      </c>
      <c r="CA318" s="93"/>
      <c r="CB318" s="180"/>
      <c r="CC318" s="178"/>
      <c r="CD318" s="178"/>
      <c r="CE318" s="180"/>
      <c r="CF318" s="180"/>
      <c r="CG318" s="180"/>
      <c r="CH318" s="180"/>
      <c r="CI318" s="178"/>
      <c r="CJ318" s="178"/>
      <c r="CK318" s="180"/>
      <c r="CL318" s="180"/>
      <c r="CM318" s="180"/>
      <c r="CN318" s="116"/>
      <c r="CO318" s="218">
        <f t="shared" si="150"/>
        <v>0.2</v>
      </c>
      <c r="CP318" s="100">
        <f t="shared" si="151"/>
        <v>0.35</v>
      </c>
      <c r="CQ318" s="218">
        <f t="shared" si="152"/>
        <v>0.5</v>
      </c>
      <c r="CR318" s="101">
        <v>0.2</v>
      </c>
      <c r="CS318" s="101">
        <v>0.5</v>
      </c>
      <c r="DA318" s="23" t="s">
        <v>145</v>
      </c>
      <c r="DB318" s="23">
        <v>2</v>
      </c>
      <c r="DC318" s="142">
        <f t="shared" si="160"/>
        <v>42</v>
      </c>
      <c r="DD318" s="142">
        <f t="shared" si="161"/>
        <v>50</v>
      </c>
      <c r="DE318" s="23">
        <v>40</v>
      </c>
      <c r="DF318" s="23">
        <v>0.99</v>
      </c>
      <c r="DG318" s="142">
        <f t="shared" si="162"/>
        <v>39.6</v>
      </c>
      <c r="DH318" s="23">
        <v>0.02</v>
      </c>
      <c r="DI318" s="149">
        <f t="shared" si="163"/>
        <v>1.2445714285714284</v>
      </c>
      <c r="DJ318" s="149">
        <f t="shared" si="164"/>
        <v>385.81714285714281</v>
      </c>
      <c r="DK318" s="149">
        <f t="shared" si="165"/>
        <v>370.88228571428567</v>
      </c>
      <c r="DL318" s="150">
        <f t="shared" si="166"/>
        <v>427.81714285714281</v>
      </c>
      <c r="DM318" s="150">
        <f t="shared" si="166"/>
        <v>420.88228571428567</v>
      </c>
      <c r="DN318" s="116" t="s">
        <v>168</v>
      </c>
      <c r="DO318" s="101" t="s">
        <v>392</v>
      </c>
    </row>
    <row r="319" spans="15:119" s="101" customFormat="1" ht="33.75" hidden="1" customHeight="1" thickBot="1" x14ac:dyDescent="0.4">
      <c r="O319" s="227" t="s">
        <v>146</v>
      </c>
      <c r="Q319" s="243">
        <v>1.37</v>
      </c>
      <c r="R319" s="243">
        <v>30</v>
      </c>
      <c r="S319" s="246">
        <f t="shared" si="169"/>
        <v>0</v>
      </c>
      <c r="T319" s="246">
        <f t="shared" si="169"/>
        <v>0</v>
      </c>
      <c r="U319" s="246">
        <f t="shared" si="169"/>
        <v>0.11786892857142858</v>
      </c>
      <c r="V319" s="246">
        <f t="shared" si="169"/>
        <v>0.47147571428571433</v>
      </c>
      <c r="W319" s="246">
        <f t="shared" si="169"/>
        <v>0.11786892857142858</v>
      </c>
      <c r="X319" s="246">
        <f t="shared" si="169"/>
        <v>0</v>
      </c>
      <c r="Y319" s="246">
        <f t="shared" si="169"/>
        <v>0.23573785714285717</v>
      </c>
      <c r="Z319" s="246">
        <f t="shared" si="169"/>
        <v>1.6501650000000003</v>
      </c>
      <c r="AA319" s="246">
        <f t="shared" si="169"/>
        <v>0</v>
      </c>
      <c r="AB319" s="246">
        <f t="shared" si="169"/>
        <v>0</v>
      </c>
      <c r="AC319" s="246">
        <f t="shared" si="169"/>
        <v>0.14144271428571431</v>
      </c>
      <c r="AD319" s="246">
        <f t="shared" si="169"/>
        <v>0</v>
      </c>
      <c r="AE319" s="246">
        <f t="shared" si="169"/>
        <v>2.3573785714285718</v>
      </c>
      <c r="AF319" s="246">
        <v>0</v>
      </c>
      <c r="AG319" s="246">
        <f t="shared" si="168"/>
        <v>0.23573785714285717</v>
      </c>
      <c r="AH319" s="243"/>
      <c r="AI319" s="102">
        <v>0.11</v>
      </c>
      <c r="AJ319" s="100">
        <v>0</v>
      </c>
      <c r="AL319" s="100">
        <v>0</v>
      </c>
      <c r="AM319" s="237">
        <v>0.3</v>
      </c>
      <c r="AN319" s="241">
        <v>0.35</v>
      </c>
      <c r="AO319" s="241">
        <v>0.13</v>
      </c>
      <c r="AP319" s="247">
        <f>(AN319*365)*(AO319*0.67*0.01*1)</f>
        <v>0.11127025</v>
      </c>
      <c r="AQ319" s="247">
        <f>(AN319*365)*(AO319*0.67*0.001*1)</f>
        <v>1.1127025E-2</v>
      </c>
      <c r="AR319" s="248"/>
      <c r="AS319" s="247">
        <f>(AN319*365)*(AO319*0.67*0.02*1)</f>
        <v>0.2225405</v>
      </c>
      <c r="AT319" s="247">
        <f>(AN319*365)*(AO319*0.67*0.01*1)</f>
        <v>0.11127025</v>
      </c>
      <c r="AU319" s="247">
        <f>(AN319*365)*(AO319*0.67*0.25*1)</f>
        <v>2.7817562499999999</v>
      </c>
      <c r="AV319" s="247">
        <f>(AN319*365)*(AO319*0.67*0.73*1)</f>
        <v>8.1227282499999998</v>
      </c>
      <c r="AW319" s="247">
        <f>(AN319*365)*(AO319*0.67*0.03*1)</f>
        <v>0.33381074999999999</v>
      </c>
      <c r="AX319" s="248"/>
      <c r="AY319" s="93">
        <f>(AN319*365)*(AO319*0.67*0.25*1)</f>
        <v>2.7817562499999999</v>
      </c>
      <c r="AZ319" s="93">
        <f t="shared" si="155"/>
        <v>11.127025</v>
      </c>
      <c r="BA319" s="93">
        <f t="shared" si="156"/>
        <v>1.1127024999999999</v>
      </c>
      <c r="BB319" s="93">
        <f t="shared" si="157"/>
        <v>5.5635125000000001E-2</v>
      </c>
      <c r="BC319" s="93">
        <f>(AN319*365)*(AO319*0.67*0.005*1)</f>
        <v>5.5635125000000001E-2</v>
      </c>
      <c r="BD319" s="93">
        <v>0</v>
      </c>
      <c r="BE319" s="93">
        <v>0</v>
      </c>
      <c r="BF319" s="93"/>
      <c r="BG319" s="93"/>
      <c r="BH319" s="93"/>
      <c r="BI319" s="93" t="s">
        <v>146</v>
      </c>
      <c r="BJ319" s="93" t="s">
        <v>168</v>
      </c>
      <c r="BK319" s="93">
        <f t="shared" si="158"/>
        <v>0.11</v>
      </c>
      <c r="BL319" s="93" t="s">
        <v>413</v>
      </c>
      <c r="BM319" s="93">
        <v>0.2</v>
      </c>
      <c r="BN319" s="93">
        <v>0.5</v>
      </c>
      <c r="BO319" s="93" t="s">
        <v>258</v>
      </c>
      <c r="BP319" s="93">
        <f t="shared" si="159"/>
        <v>1.2445714285714284</v>
      </c>
      <c r="BQ319" s="93" t="s">
        <v>415</v>
      </c>
      <c r="BR319" s="93">
        <v>0.2</v>
      </c>
      <c r="BS319" s="93">
        <v>0.5</v>
      </c>
      <c r="BT319" s="93" t="s">
        <v>258</v>
      </c>
      <c r="BU319" s="93"/>
      <c r="BV319" s="93">
        <v>2.75</v>
      </c>
      <c r="BW319" s="93" t="s">
        <v>414</v>
      </c>
      <c r="BX319" s="93"/>
      <c r="BY319" s="93">
        <v>370.88228571428567</v>
      </c>
      <c r="BZ319" s="93" t="s">
        <v>414</v>
      </c>
      <c r="CA319" s="93"/>
      <c r="CB319" s="180"/>
      <c r="CC319" s="178"/>
      <c r="CD319" s="178"/>
      <c r="CE319" s="180"/>
      <c r="CF319" s="180"/>
      <c r="CG319" s="180"/>
      <c r="CH319" s="180"/>
      <c r="CI319" s="178"/>
      <c r="CJ319" s="178"/>
      <c r="CK319" s="180"/>
      <c r="CL319" s="180"/>
      <c r="CM319" s="180"/>
      <c r="CN319" s="116"/>
      <c r="CO319" s="218">
        <f t="shared" si="150"/>
        <v>0.2</v>
      </c>
      <c r="CP319" s="100">
        <f t="shared" si="151"/>
        <v>0.35</v>
      </c>
      <c r="CQ319" s="218">
        <f t="shared" si="152"/>
        <v>0.5</v>
      </c>
      <c r="CR319" s="101">
        <v>0.2</v>
      </c>
      <c r="CS319" s="101">
        <v>0.5</v>
      </c>
      <c r="DA319" s="23" t="s">
        <v>146</v>
      </c>
      <c r="DB319" s="23">
        <v>0.11</v>
      </c>
      <c r="DC319" s="142">
        <f t="shared" si="160"/>
        <v>2.31</v>
      </c>
      <c r="DD319" s="142">
        <f t="shared" si="161"/>
        <v>2.75</v>
      </c>
      <c r="DE319" s="23">
        <v>40</v>
      </c>
      <c r="DF319" s="23">
        <v>0.99</v>
      </c>
      <c r="DG319" s="142">
        <f t="shared" si="162"/>
        <v>39.6</v>
      </c>
      <c r="DH319" s="23">
        <v>0.02</v>
      </c>
      <c r="DI319" s="149">
        <f t="shared" si="163"/>
        <v>1.2445714285714284</v>
      </c>
      <c r="DJ319" s="149">
        <f t="shared" si="164"/>
        <v>385.81714285714281</v>
      </c>
      <c r="DK319" s="149">
        <f t="shared" si="165"/>
        <v>370.88228571428567</v>
      </c>
      <c r="DL319" s="150">
        <f t="shared" si="166"/>
        <v>388.12714285714281</v>
      </c>
      <c r="DM319" s="150">
        <f t="shared" si="166"/>
        <v>373.63228571428567</v>
      </c>
      <c r="DN319" s="116" t="s">
        <v>168</v>
      </c>
      <c r="DO319" s="101" t="s">
        <v>392</v>
      </c>
    </row>
    <row r="320" spans="15:119" s="101" customFormat="1" ht="33.75" hidden="1" customHeight="1" thickBot="1" x14ac:dyDescent="0.4">
      <c r="O320" s="227" t="s">
        <v>147</v>
      </c>
      <c r="Q320" s="243">
        <v>1.37</v>
      </c>
      <c r="R320" s="243">
        <v>30</v>
      </c>
      <c r="S320" s="246">
        <f t="shared" si="169"/>
        <v>0</v>
      </c>
      <c r="T320" s="246">
        <f t="shared" si="169"/>
        <v>0</v>
      </c>
      <c r="U320" s="246">
        <f t="shared" si="169"/>
        <v>0.11786892857142858</v>
      </c>
      <c r="V320" s="246">
        <f t="shared" si="169"/>
        <v>0.47147571428571433</v>
      </c>
      <c r="W320" s="246">
        <f t="shared" si="169"/>
        <v>0.11786892857142858</v>
      </c>
      <c r="X320" s="246">
        <f t="shared" si="169"/>
        <v>0</v>
      </c>
      <c r="Y320" s="246">
        <f t="shared" si="169"/>
        <v>0.23573785714285717</v>
      </c>
      <c r="Z320" s="246">
        <f t="shared" si="169"/>
        <v>1.6501650000000003</v>
      </c>
      <c r="AA320" s="246">
        <f t="shared" si="169"/>
        <v>0</v>
      </c>
      <c r="AB320" s="246">
        <f t="shared" si="169"/>
        <v>0</v>
      </c>
      <c r="AC320" s="246">
        <f t="shared" si="169"/>
        <v>0.14144271428571431</v>
      </c>
      <c r="AD320" s="246">
        <f t="shared" si="169"/>
        <v>0</v>
      </c>
      <c r="AE320" s="246">
        <f t="shared" si="169"/>
        <v>2.3573785714285718</v>
      </c>
      <c r="AF320" s="246">
        <v>0</v>
      </c>
      <c r="AG320" s="246">
        <f t="shared" si="168"/>
        <v>0.23573785714285717</v>
      </c>
      <c r="AH320" s="243"/>
      <c r="AI320" s="102">
        <v>0.17</v>
      </c>
      <c r="AJ320" s="100">
        <v>0</v>
      </c>
      <c r="AL320" s="100">
        <v>0</v>
      </c>
      <c r="AM320" s="237">
        <v>0.3</v>
      </c>
      <c r="AN320" s="241">
        <v>0.35</v>
      </c>
      <c r="AO320" s="241">
        <v>0.13</v>
      </c>
      <c r="AP320" s="247">
        <f>(AN320*365)*(AO320*0.67*0.015*1)</f>
        <v>0.16690537499999999</v>
      </c>
      <c r="AQ320" s="247">
        <f>(AN320*365)*(AO320*0.67*0.005*1)</f>
        <v>5.5635125000000001E-2</v>
      </c>
      <c r="AR320" s="248"/>
      <c r="AS320" s="247">
        <f>(AN320*365)*(AO320*0.67*0.04*1)</f>
        <v>0.445081</v>
      </c>
      <c r="AT320" s="247">
        <f>(AN320*365)*(AO320*0.67*0.015*1)</f>
        <v>0.16690537499999999</v>
      </c>
      <c r="AU320" s="247">
        <f>(AN320*365)*(AO320*0.67*0.65*1)</f>
        <v>7.2325662499999996</v>
      </c>
      <c r="AV320" s="247">
        <f>(AN320*365)*(AO320*0.67*0.79*1)</f>
        <v>8.7903497500000007</v>
      </c>
      <c r="AW320" s="247">
        <f>(AN320*365)*(AO320*0.67*0.03*1)</f>
        <v>0.33381074999999999</v>
      </c>
      <c r="AX320" s="248"/>
      <c r="AY320" s="93">
        <f>(AN320*365)*(AO320*0.67*0.65*1)</f>
        <v>7.2325662499999996</v>
      </c>
      <c r="AZ320" s="93">
        <f t="shared" si="155"/>
        <v>11.127025</v>
      </c>
      <c r="BA320" s="93">
        <f t="shared" si="156"/>
        <v>1.1127024999999999</v>
      </c>
      <c r="BB320" s="93">
        <f t="shared" si="157"/>
        <v>5.5635125000000001E-2</v>
      </c>
      <c r="BC320" s="93">
        <f>(AN320*365)*(AO320*0.67*0.01*1)</f>
        <v>0.11127025</v>
      </c>
      <c r="BD320" s="93">
        <v>0</v>
      </c>
      <c r="BE320" s="93">
        <v>0</v>
      </c>
      <c r="BF320" s="93"/>
      <c r="BG320" s="93"/>
      <c r="BH320" s="93"/>
      <c r="BI320" s="93" t="s">
        <v>147</v>
      </c>
      <c r="BJ320" s="93" t="s">
        <v>168</v>
      </c>
      <c r="BK320" s="93">
        <f t="shared" si="158"/>
        <v>0.17</v>
      </c>
      <c r="BL320" s="93" t="s">
        <v>413</v>
      </c>
      <c r="BM320" s="93">
        <v>0.2</v>
      </c>
      <c r="BN320" s="93">
        <v>0.5</v>
      </c>
      <c r="BO320" s="93" t="s">
        <v>258</v>
      </c>
      <c r="BP320" s="93">
        <f t="shared" si="159"/>
        <v>1.2445714285714284</v>
      </c>
      <c r="BQ320" s="93" t="s">
        <v>415</v>
      </c>
      <c r="BR320" s="93">
        <v>0.2</v>
      </c>
      <c r="BS320" s="93">
        <v>0.5</v>
      </c>
      <c r="BT320" s="93" t="s">
        <v>258</v>
      </c>
      <c r="BU320" s="93"/>
      <c r="BV320" s="93">
        <v>4.25</v>
      </c>
      <c r="BW320" s="93" t="s">
        <v>414</v>
      </c>
      <c r="BX320" s="93"/>
      <c r="BY320" s="93">
        <v>370.88228571428567</v>
      </c>
      <c r="BZ320" s="93" t="s">
        <v>414</v>
      </c>
      <c r="CA320" s="93"/>
      <c r="CB320" s="180"/>
      <c r="CC320" s="178"/>
      <c r="CD320" s="178"/>
      <c r="CE320" s="180"/>
      <c r="CF320" s="180"/>
      <c r="CG320" s="180"/>
      <c r="CH320" s="180"/>
      <c r="CI320" s="178"/>
      <c r="CJ320" s="178"/>
      <c r="CK320" s="180"/>
      <c r="CL320" s="180"/>
      <c r="CM320" s="180"/>
      <c r="CN320" s="116"/>
      <c r="CO320" s="218">
        <f t="shared" si="150"/>
        <v>0.2</v>
      </c>
      <c r="CP320" s="100">
        <f t="shared" si="151"/>
        <v>0.35</v>
      </c>
      <c r="CQ320" s="218">
        <f t="shared" si="152"/>
        <v>0.5</v>
      </c>
      <c r="CR320" s="101">
        <v>0.2</v>
      </c>
      <c r="CS320" s="101">
        <v>0.5</v>
      </c>
      <c r="DA320" s="23" t="s">
        <v>147</v>
      </c>
      <c r="DB320" s="23">
        <v>0.17</v>
      </c>
      <c r="DC320" s="142">
        <f t="shared" si="160"/>
        <v>3.5700000000000003</v>
      </c>
      <c r="DD320" s="142">
        <f t="shared" si="161"/>
        <v>4.25</v>
      </c>
      <c r="DE320" s="23">
        <v>40</v>
      </c>
      <c r="DF320" s="23">
        <v>0.99</v>
      </c>
      <c r="DG320" s="142">
        <f t="shared" si="162"/>
        <v>39.6</v>
      </c>
      <c r="DH320" s="23">
        <v>0.02</v>
      </c>
      <c r="DI320" s="149">
        <f t="shared" si="163"/>
        <v>1.2445714285714284</v>
      </c>
      <c r="DJ320" s="149">
        <f t="shared" si="164"/>
        <v>385.81714285714281</v>
      </c>
      <c r="DK320" s="149">
        <f t="shared" si="165"/>
        <v>370.88228571428567</v>
      </c>
      <c r="DL320" s="150">
        <f t="shared" si="166"/>
        <v>389.38714285714281</v>
      </c>
      <c r="DM320" s="150">
        <f t="shared" si="166"/>
        <v>375.13228571428567</v>
      </c>
      <c r="DN320" s="116" t="s">
        <v>168</v>
      </c>
      <c r="DO320" s="101" t="s">
        <v>392</v>
      </c>
    </row>
    <row r="321" spans="15:119" s="101" customFormat="1" ht="22.5" hidden="1" customHeight="1" x14ac:dyDescent="0.35">
      <c r="O321" s="227" t="s">
        <v>148</v>
      </c>
      <c r="Q321" s="243">
        <v>1.37</v>
      </c>
      <c r="R321" s="243">
        <v>30</v>
      </c>
      <c r="S321" s="246">
        <f t="shared" si="169"/>
        <v>0</v>
      </c>
      <c r="T321" s="246">
        <f t="shared" si="169"/>
        <v>0</v>
      </c>
      <c r="U321" s="246">
        <f t="shared" si="169"/>
        <v>0.11786892857142858</v>
      </c>
      <c r="V321" s="246">
        <f t="shared" si="169"/>
        <v>0.47147571428571433</v>
      </c>
      <c r="W321" s="246">
        <f t="shared" si="169"/>
        <v>0.11786892857142858</v>
      </c>
      <c r="X321" s="246">
        <f t="shared" si="169"/>
        <v>0</v>
      </c>
      <c r="Y321" s="246">
        <f t="shared" si="169"/>
        <v>0.23573785714285717</v>
      </c>
      <c r="Z321" s="246">
        <f t="shared" si="169"/>
        <v>1.6501650000000003</v>
      </c>
      <c r="AA321" s="246">
        <f t="shared" si="169"/>
        <v>0</v>
      </c>
      <c r="AB321" s="246">
        <f t="shared" si="169"/>
        <v>0</v>
      </c>
      <c r="AC321" s="246">
        <f t="shared" si="169"/>
        <v>0.14144271428571431</v>
      </c>
      <c r="AD321" s="246">
        <f t="shared" si="169"/>
        <v>0</v>
      </c>
      <c r="AE321" s="246">
        <f t="shared" si="169"/>
        <v>2.3573785714285718</v>
      </c>
      <c r="AF321" s="246">
        <v>0</v>
      </c>
      <c r="AG321" s="246">
        <f t="shared" si="168"/>
        <v>0.23573785714285717</v>
      </c>
      <c r="AH321" s="243"/>
      <c r="AI321" s="102">
        <v>0.22</v>
      </c>
      <c r="AJ321" s="100">
        <v>0</v>
      </c>
      <c r="AL321" s="100">
        <v>0</v>
      </c>
      <c r="AM321" s="237">
        <v>0.3</v>
      </c>
      <c r="AN321" s="241">
        <v>0.35</v>
      </c>
      <c r="AO321" s="241">
        <v>0.13</v>
      </c>
      <c r="AP321" s="247">
        <f>(AN321*365)*(AO321*0.67*0.02*1)</f>
        <v>0.2225405</v>
      </c>
      <c r="AQ321" s="247">
        <f>(AN321*365)*(AO321*0.67*0.01*1)</f>
        <v>0.11127025</v>
      </c>
      <c r="AR321" s="248"/>
      <c r="AS321" s="247">
        <f>(AN321*365)*(AO321*0.67*0.05*1)</f>
        <v>0.55635124999999996</v>
      </c>
      <c r="AT321" s="247">
        <f>(AN321*365)*(AO321*0.67*0.02*1)</f>
        <v>0.2225405</v>
      </c>
      <c r="AU321" s="247">
        <f>(AN321*365)*(AO321*0.67*0.8*1)</f>
        <v>8.9016199999999994</v>
      </c>
      <c r="AV321" s="247">
        <f>(AN321*365)*(AO321*0.67*0.8*1)</f>
        <v>8.9016199999999994</v>
      </c>
      <c r="AW321" s="247">
        <f>(AN321*365)*(AO321*0.67*0.3*1)</f>
        <v>3.3381075</v>
      </c>
      <c r="AX321" s="248"/>
      <c r="AY321" s="93">
        <f>(AN321*365)*(AO321*0.67*0.8*1)</f>
        <v>8.9016199999999994</v>
      </c>
      <c r="AZ321" s="93">
        <f t="shared" si="155"/>
        <v>11.127025</v>
      </c>
      <c r="BA321" s="93">
        <f t="shared" si="156"/>
        <v>1.1127024999999999</v>
      </c>
      <c r="BB321" s="93">
        <f t="shared" si="157"/>
        <v>5.5635125000000001E-2</v>
      </c>
      <c r="BC321" s="93">
        <f>(AN321*365)*(AO321*0.67*0.015*1)</f>
        <v>0.16690537499999999</v>
      </c>
      <c r="BD321" s="93">
        <v>0</v>
      </c>
      <c r="BE321" s="93">
        <v>0</v>
      </c>
      <c r="BF321" s="93"/>
      <c r="BG321" s="93"/>
      <c r="BH321" s="93"/>
      <c r="BI321" s="93" t="s">
        <v>148</v>
      </c>
      <c r="BJ321" s="93" t="s">
        <v>168</v>
      </c>
      <c r="BK321" s="93">
        <f t="shared" si="158"/>
        <v>0.22</v>
      </c>
      <c r="BL321" s="93" t="s">
        <v>413</v>
      </c>
      <c r="BM321" s="93">
        <v>0.2</v>
      </c>
      <c r="BN321" s="93">
        <v>0.5</v>
      </c>
      <c r="BO321" s="93" t="s">
        <v>258</v>
      </c>
      <c r="BP321" s="93">
        <f t="shared" si="159"/>
        <v>1.2445714285714284</v>
      </c>
      <c r="BQ321" s="93" t="s">
        <v>415</v>
      </c>
      <c r="BR321" s="93">
        <v>0.2</v>
      </c>
      <c r="BS321" s="93">
        <v>0.5</v>
      </c>
      <c r="BT321" s="93" t="s">
        <v>258</v>
      </c>
      <c r="BU321" s="93"/>
      <c r="BV321" s="93">
        <v>5.5</v>
      </c>
      <c r="BW321" s="93" t="s">
        <v>414</v>
      </c>
      <c r="BX321" s="93"/>
      <c r="BY321" s="93">
        <v>370.88228571428567</v>
      </c>
      <c r="BZ321" s="93" t="s">
        <v>414</v>
      </c>
      <c r="CA321" s="93"/>
      <c r="CB321" s="180"/>
      <c r="CC321" s="178"/>
      <c r="CD321" s="178"/>
      <c r="CE321" s="180"/>
      <c r="CF321" s="180"/>
      <c r="CG321" s="180"/>
      <c r="CH321" s="180"/>
      <c r="CI321" s="178"/>
      <c r="CJ321" s="178"/>
      <c r="CK321" s="180"/>
      <c r="CL321" s="180"/>
      <c r="CM321" s="180"/>
      <c r="CN321" s="116"/>
      <c r="CO321" s="218">
        <f t="shared" si="150"/>
        <v>0.2</v>
      </c>
      <c r="CP321" s="100">
        <f t="shared" si="151"/>
        <v>0.35</v>
      </c>
      <c r="CQ321" s="218">
        <f t="shared" si="152"/>
        <v>0.5</v>
      </c>
      <c r="CR321" s="101">
        <v>0.2</v>
      </c>
      <c r="CS321" s="101">
        <v>0.5</v>
      </c>
      <c r="DA321" s="23" t="s">
        <v>148</v>
      </c>
      <c r="DB321" s="23">
        <v>0.22</v>
      </c>
      <c r="DC321" s="142">
        <f t="shared" si="160"/>
        <v>4.62</v>
      </c>
      <c r="DD321" s="142">
        <f t="shared" si="161"/>
        <v>5.5</v>
      </c>
      <c r="DE321" s="23">
        <v>40</v>
      </c>
      <c r="DF321" s="23">
        <v>0.99</v>
      </c>
      <c r="DG321" s="142">
        <f t="shared" si="162"/>
        <v>39.6</v>
      </c>
      <c r="DH321" s="23">
        <v>0.02</v>
      </c>
      <c r="DI321" s="149">
        <f t="shared" si="163"/>
        <v>1.2445714285714284</v>
      </c>
      <c r="DJ321" s="149">
        <f t="shared" si="164"/>
        <v>385.81714285714281</v>
      </c>
      <c r="DK321" s="149">
        <f t="shared" si="165"/>
        <v>370.88228571428567</v>
      </c>
      <c r="DL321" s="150">
        <f t="shared" si="166"/>
        <v>390.43714285714282</v>
      </c>
      <c r="DM321" s="150">
        <f t="shared" si="166"/>
        <v>376.38228571428567</v>
      </c>
      <c r="DN321" s="116" t="s">
        <v>168</v>
      </c>
      <c r="DO321" s="101" t="s">
        <v>392</v>
      </c>
    </row>
    <row r="322" spans="15:119" s="101" customFormat="1" ht="24.75" hidden="1" customHeight="1" x14ac:dyDescent="0.35">
      <c r="O322" s="227" t="s">
        <v>149</v>
      </c>
      <c r="Q322" s="243">
        <v>1.37</v>
      </c>
      <c r="R322" s="243">
        <v>30</v>
      </c>
      <c r="S322" s="246">
        <f t="shared" si="169"/>
        <v>0</v>
      </c>
      <c r="T322" s="246">
        <f t="shared" si="169"/>
        <v>0</v>
      </c>
      <c r="U322" s="246">
        <f t="shared" si="169"/>
        <v>0.11786892857142858</v>
      </c>
      <c r="V322" s="246">
        <f t="shared" si="169"/>
        <v>0.47147571428571433</v>
      </c>
      <c r="W322" s="246">
        <f t="shared" si="169"/>
        <v>0.11786892857142858</v>
      </c>
      <c r="X322" s="246">
        <f t="shared" si="169"/>
        <v>0</v>
      </c>
      <c r="Y322" s="246">
        <f t="shared" si="169"/>
        <v>0.23573785714285717</v>
      </c>
      <c r="Z322" s="246">
        <f t="shared" si="169"/>
        <v>1.6501650000000003</v>
      </c>
      <c r="AA322" s="246">
        <f t="shared" si="169"/>
        <v>0</v>
      </c>
      <c r="AB322" s="246">
        <f t="shared" si="169"/>
        <v>0</v>
      </c>
      <c r="AC322" s="246">
        <f t="shared" si="169"/>
        <v>0.14144271428571431</v>
      </c>
      <c r="AD322" s="246">
        <f t="shared" si="169"/>
        <v>0</v>
      </c>
      <c r="AE322" s="246">
        <f t="shared" si="169"/>
        <v>2.3573785714285718</v>
      </c>
      <c r="AF322" s="246">
        <v>0</v>
      </c>
      <c r="AG322" s="246">
        <f t="shared" si="169"/>
        <v>0.23573785714285717</v>
      </c>
      <c r="AH322" s="243"/>
      <c r="AI322" s="102">
        <v>1.0900000000000001</v>
      </c>
      <c r="AJ322" s="100">
        <v>0</v>
      </c>
      <c r="AL322" s="100">
        <v>0</v>
      </c>
      <c r="AM322" s="237">
        <v>0.3</v>
      </c>
      <c r="AN322" s="241">
        <v>1.72</v>
      </c>
      <c r="AO322" s="241">
        <v>0.26</v>
      </c>
      <c r="AP322" s="247">
        <f>(AN322*365)*(AO322*0.67*0.01*1)</f>
        <v>1.0936276</v>
      </c>
      <c r="AQ322" s="247">
        <f>(AN322*365)*(AO322*0.67*0.001*1)</f>
        <v>0.10936276000000002</v>
      </c>
      <c r="AR322" s="248"/>
      <c r="AS322" s="247">
        <f>(AN322*365)*(AO322*0.67*0.02*1)</f>
        <v>2.1872552000000001</v>
      </c>
      <c r="AT322" s="247">
        <f>(AN322*365)*(AO322*0.67*0.01*1)</f>
        <v>1.0936276</v>
      </c>
      <c r="AU322" s="247">
        <f>(AN322*365)*(AO322*0.67*0.25*1)</f>
        <v>27.340690000000002</v>
      </c>
      <c r="AV322" s="247">
        <f>(AN322*365)*(AO322*0.67*0.73*1)</f>
        <v>79.83481479999999</v>
      </c>
      <c r="AW322" s="247">
        <f>(AN322*365)*(AO322*0.67*0.03*1)</f>
        <v>3.2808828000000001</v>
      </c>
      <c r="AX322" s="248"/>
      <c r="AY322" s="93">
        <f>(AN322*365)*(AO322*0.67*0.25*1)</f>
        <v>27.340690000000002</v>
      </c>
      <c r="AZ322" s="93">
        <f t="shared" si="155"/>
        <v>109.36276000000001</v>
      </c>
      <c r="BA322" s="93">
        <f t="shared" si="156"/>
        <v>10.936275999999999</v>
      </c>
      <c r="BB322" s="93">
        <f t="shared" si="157"/>
        <v>0.54681380000000002</v>
      </c>
      <c r="BC322" s="93">
        <f>(AN322*365)*(AO322*0.67*0.005*1)</f>
        <v>0.54681380000000002</v>
      </c>
      <c r="BD322" s="93">
        <v>0</v>
      </c>
      <c r="BE322" s="93">
        <v>0</v>
      </c>
      <c r="BF322" s="93"/>
      <c r="BG322" s="93"/>
      <c r="BH322" s="93"/>
      <c r="BI322" s="93" t="s">
        <v>149</v>
      </c>
      <c r="BJ322" s="93" t="s">
        <v>168</v>
      </c>
      <c r="BK322" s="93">
        <f t="shared" si="158"/>
        <v>1.0900000000000001</v>
      </c>
      <c r="BL322" s="93" t="s">
        <v>413</v>
      </c>
      <c r="BM322" s="93">
        <v>0.2</v>
      </c>
      <c r="BN322" s="93">
        <v>0.5</v>
      </c>
      <c r="BO322" s="93" t="s">
        <v>258</v>
      </c>
      <c r="BP322" s="93">
        <f t="shared" si="159"/>
        <v>1.2445714285714284</v>
      </c>
      <c r="BQ322" s="93" t="s">
        <v>415</v>
      </c>
      <c r="BR322" s="93">
        <v>0.2</v>
      </c>
      <c r="BS322" s="93">
        <v>0.5</v>
      </c>
      <c r="BT322" s="93" t="s">
        <v>258</v>
      </c>
      <c r="BU322" s="93"/>
      <c r="BV322" s="93">
        <v>27.250000000000004</v>
      </c>
      <c r="BW322" s="93" t="s">
        <v>414</v>
      </c>
      <c r="BX322" s="93"/>
      <c r="BY322" s="93">
        <v>370.88228571428567</v>
      </c>
      <c r="BZ322" s="93" t="s">
        <v>414</v>
      </c>
      <c r="CA322" s="93"/>
      <c r="CB322" s="180"/>
      <c r="CC322" s="178"/>
      <c r="CD322" s="178"/>
      <c r="CE322" s="180"/>
      <c r="CF322" s="180"/>
      <c r="CG322" s="180"/>
      <c r="CH322" s="180"/>
      <c r="CI322" s="178"/>
      <c r="CJ322" s="178"/>
      <c r="CK322" s="180"/>
      <c r="CL322" s="180"/>
      <c r="CM322" s="180"/>
      <c r="CN322" s="116"/>
      <c r="CO322" s="218">
        <f t="shared" si="150"/>
        <v>0.2</v>
      </c>
      <c r="CP322" s="100">
        <f t="shared" si="151"/>
        <v>0.35</v>
      </c>
      <c r="CQ322" s="218">
        <f t="shared" si="152"/>
        <v>0.5</v>
      </c>
      <c r="CR322" s="101">
        <v>0.2</v>
      </c>
      <c r="CS322" s="101">
        <v>0.5</v>
      </c>
      <c r="DA322" s="23" t="s">
        <v>149</v>
      </c>
      <c r="DB322" s="23">
        <v>1.0900000000000001</v>
      </c>
      <c r="DC322" s="142">
        <f t="shared" si="160"/>
        <v>22.89</v>
      </c>
      <c r="DD322" s="142">
        <f t="shared" si="161"/>
        <v>27.250000000000004</v>
      </c>
      <c r="DE322" s="23">
        <v>40</v>
      </c>
      <c r="DF322" s="23">
        <v>0.99</v>
      </c>
      <c r="DG322" s="142">
        <f t="shared" si="162"/>
        <v>39.6</v>
      </c>
      <c r="DH322" s="23">
        <v>0.02</v>
      </c>
      <c r="DI322" s="149">
        <f t="shared" si="163"/>
        <v>1.2445714285714284</v>
      </c>
      <c r="DJ322" s="149">
        <f t="shared" si="164"/>
        <v>385.81714285714281</v>
      </c>
      <c r="DK322" s="149">
        <f t="shared" si="165"/>
        <v>370.88228571428567</v>
      </c>
      <c r="DL322" s="150">
        <f t="shared" si="166"/>
        <v>408.7071428571428</v>
      </c>
      <c r="DM322" s="150">
        <f t="shared" si="166"/>
        <v>398.13228571428567</v>
      </c>
      <c r="DN322" s="116" t="s">
        <v>168</v>
      </c>
      <c r="DO322" s="101" t="s">
        <v>392</v>
      </c>
    </row>
    <row r="323" spans="15:119" s="101" customFormat="1" ht="33.75" hidden="1" customHeight="1" thickBot="1" x14ac:dyDescent="0.4">
      <c r="O323" s="227" t="s">
        <v>150</v>
      </c>
      <c r="Q323" s="243">
        <v>1.37</v>
      </c>
      <c r="R323" s="243">
        <v>30</v>
      </c>
      <c r="S323" s="246">
        <f t="shared" si="169"/>
        <v>0</v>
      </c>
      <c r="T323" s="246">
        <f t="shared" si="169"/>
        <v>0</v>
      </c>
      <c r="U323" s="246">
        <f t="shared" si="169"/>
        <v>0.11786892857142858</v>
      </c>
      <c r="V323" s="246">
        <f t="shared" si="169"/>
        <v>0.47147571428571433</v>
      </c>
      <c r="W323" s="246">
        <f t="shared" si="169"/>
        <v>0.11786892857142858</v>
      </c>
      <c r="X323" s="246">
        <f t="shared" si="169"/>
        <v>0</v>
      </c>
      <c r="Y323" s="246">
        <f t="shared" si="169"/>
        <v>0.23573785714285717</v>
      </c>
      <c r="Z323" s="246">
        <f t="shared" si="169"/>
        <v>1.6501650000000003</v>
      </c>
      <c r="AA323" s="246">
        <f t="shared" si="169"/>
        <v>0</v>
      </c>
      <c r="AB323" s="246">
        <f t="shared" si="169"/>
        <v>0</v>
      </c>
      <c r="AC323" s="246">
        <f t="shared" si="169"/>
        <v>0.14144271428571431</v>
      </c>
      <c r="AD323" s="246">
        <f t="shared" si="169"/>
        <v>0</v>
      </c>
      <c r="AE323" s="246">
        <f t="shared" si="169"/>
        <v>2.3573785714285718</v>
      </c>
      <c r="AF323" s="246">
        <v>0</v>
      </c>
      <c r="AG323" s="246">
        <f t="shared" si="169"/>
        <v>0.23573785714285717</v>
      </c>
      <c r="AH323" s="243"/>
      <c r="AI323" s="102">
        <v>1.64</v>
      </c>
      <c r="AJ323" s="100">
        <v>0</v>
      </c>
      <c r="AL323" s="100">
        <v>0</v>
      </c>
      <c r="AM323" s="237">
        <v>0.3</v>
      </c>
      <c r="AN323" s="241">
        <v>1.72</v>
      </c>
      <c r="AO323" s="241">
        <v>0.26</v>
      </c>
      <c r="AP323" s="247">
        <f>(AN323*365)*(AO323*0.67*0.015*1)</f>
        <v>1.6404414</v>
      </c>
      <c r="AQ323" s="247">
        <f>(AN323*365)*(AO323*0.67*0.005*1)</f>
        <v>0.54681380000000002</v>
      </c>
      <c r="AR323" s="248"/>
      <c r="AS323" s="247">
        <f>(AN323*365)*(AO323*0.67*0.04*1)</f>
        <v>4.3745104000000001</v>
      </c>
      <c r="AT323" s="247">
        <f>(AN323*365)*(AO323*0.67*0.015*1)</f>
        <v>1.6404414</v>
      </c>
      <c r="AU323" s="247">
        <f>(AN323*365)*(AO323*0.67*0.65*1)</f>
        <v>71.085794000000007</v>
      </c>
      <c r="AV323" s="247">
        <f>(AN323*365)*(AO323*0.67*0.79*1)</f>
        <v>86.396580400000005</v>
      </c>
      <c r="AW323" s="247">
        <f>(AN323*365)*(AO323*0.67*0.03*1)</f>
        <v>3.2808828000000001</v>
      </c>
      <c r="AX323" s="248"/>
      <c r="AY323" s="93">
        <f>(AN323*365)*(AO323*0.67*0.65*1)</f>
        <v>71.085794000000007</v>
      </c>
      <c r="AZ323" s="93">
        <f t="shared" si="155"/>
        <v>109.36276000000001</v>
      </c>
      <c r="BA323" s="93">
        <f t="shared" si="156"/>
        <v>10.936275999999999</v>
      </c>
      <c r="BB323" s="93">
        <f t="shared" si="157"/>
        <v>0.54681380000000002</v>
      </c>
      <c r="BC323" s="93">
        <f>(AN323*365)*(AO323*0.67*0.01*1)</f>
        <v>1.0936276</v>
      </c>
      <c r="BD323" s="93">
        <v>0</v>
      </c>
      <c r="BE323" s="93">
        <v>0</v>
      </c>
      <c r="BF323" s="93"/>
      <c r="BG323" s="93"/>
      <c r="BH323" s="93"/>
      <c r="BI323" s="93" t="s">
        <v>150</v>
      </c>
      <c r="BJ323" s="93" t="s">
        <v>168</v>
      </c>
      <c r="BK323" s="93">
        <f t="shared" si="158"/>
        <v>1.64</v>
      </c>
      <c r="BL323" s="93" t="s">
        <v>413</v>
      </c>
      <c r="BM323" s="93">
        <v>0.2</v>
      </c>
      <c r="BN323" s="93">
        <v>0.5</v>
      </c>
      <c r="BO323" s="93" t="s">
        <v>258</v>
      </c>
      <c r="BP323" s="93">
        <f t="shared" si="159"/>
        <v>1.2445714285714284</v>
      </c>
      <c r="BQ323" s="93" t="s">
        <v>415</v>
      </c>
      <c r="BR323" s="93">
        <v>0.2</v>
      </c>
      <c r="BS323" s="93">
        <v>0.5</v>
      </c>
      <c r="BT323" s="93" t="s">
        <v>258</v>
      </c>
      <c r="BU323" s="93"/>
      <c r="BV323" s="93">
        <v>41</v>
      </c>
      <c r="BW323" s="93" t="s">
        <v>414</v>
      </c>
      <c r="BX323" s="93"/>
      <c r="BY323" s="93">
        <v>370.88228571428567</v>
      </c>
      <c r="BZ323" s="93" t="s">
        <v>414</v>
      </c>
      <c r="CA323" s="93"/>
      <c r="CB323" s="180"/>
      <c r="CC323" s="178"/>
      <c r="CD323" s="178"/>
      <c r="CE323" s="180"/>
      <c r="CF323" s="180"/>
      <c r="CG323" s="180"/>
      <c r="CH323" s="180"/>
      <c r="CI323" s="178"/>
      <c r="CJ323" s="178"/>
      <c r="CK323" s="180"/>
      <c r="CL323" s="180"/>
      <c r="CM323" s="180"/>
      <c r="CN323" s="116"/>
      <c r="CO323" s="218">
        <f t="shared" si="150"/>
        <v>0.2</v>
      </c>
      <c r="CP323" s="100">
        <f t="shared" si="151"/>
        <v>0.35</v>
      </c>
      <c r="CQ323" s="218">
        <f t="shared" si="152"/>
        <v>0.5</v>
      </c>
      <c r="CR323" s="101">
        <v>0.2</v>
      </c>
      <c r="CS323" s="101">
        <v>0.5</v>
      </c>
      <c r="DA323" s="23" t="s">
        <v>150</v>
      </c>
      <c r="DB323" s="23">
        <v>1.64</v>
      </c>
      <c r="DC323" s="142">
        <f t="shared" si="160"/>
        <v>34.44</v>
      </c>
      <c r="DD323" s="142">
        <f t="shared" si="161"/>
        <v>41</v>
      </c>
      <c r="DE323" s="23">
        <v>40</v>
      </c>
      <c r="DF323" s="23">
        <v>0.99</v>
      </c>
      <c r="DG323" s="142">
        <f t="shared" si="162"/>
        <v>39.6</v>
      </c>
      <c r="DH323" s="23">
        <v>0.02</v>
      </c>
      <c r="DI323" s="149">
        <f t="shared" si="163"/>
        <v>1.2445714285714284</v>
      </c>
      <c r="DJ323" s="149">
        <f t="shared" si="164"/>
        <v>385.81714285714281</v>
      </c>
      <c r="DK323" s="149">
        <f t="shared" si="165"/>
        <v>370.88228571428567</v>
      </c>
      <c r="DL323" s="150">
        <f t="shared" si="166"/>
        <v>420.25714285714281</v>
      </c>
      <c r="DM323" s="150">
        <f t="shared" si="166"/>
        <v>411.88228571428567</v>
      </c>
      <c r="DN323" s="116" t="s">
        <v>168</v>
      </c>
      <c r="DO323" s="101" t="s">
        <v>392</v>
      </c>
    </row>
    <row r="324" spans="15:119" s="101" customFormat="1" ht="33.75" hidden="1" customHeight="1" thickBot="1" x14ac:dyDescent="0.4">
      <c r="O324" s="227" t="s">
        <v>151</v>
      </c>
      <c r="Q324" s="243">
        <v>1.37</v>
      </c>
      <c r="R324" s="243">
        <v>30</v>
      </c>
      <c r="S324" s="246">
        <f t="shared" si="169"/>
        <v>0</v>
      </c>
      <c r="T324" s="246">
        <f t="shared" si="169"/>
        <v>0</v>
      </c>
      <c r="U324" s="246">
        <f t="shared" si="169"/>
        <v>0.11786892857142858</v>
      </c>
      <c r="V324" s="246">
        <f t="shared" si="169"/>
        <v>0.47147571428571433</v>
      </c>
      <c r="W324" s="246">
        <f t="shared" si="169"/>
        <v>0.11786892857142858</v>
      </c>
      <c r="X324" s="246">
        <f t="shared" si="169"/>
        <v>0</v>
      </c>
      <c r="Y324" s="246">
        <f t="shared" si="169"/>
        <v>0.23573785714285717</v>
      </c>
      <c r="Z324" s="246">
        <f t="shared" si="169"/>
        <v>1.6501650000000003</v>
      </c>
      <c r="AA324" s="246">
        <f t="shared" si="169"/>
        <v>0</v>
      </c>
      <c r="AB324" s="246">
        <f t="shared" si="169"/>
        <v>0</v>
      </c>
      <c r="AC324" s="246">
        <f t="shared" si="169"/>
        <v>0.14144271428571431</v>
      </c>
      <c r="AD324" s="246">
        <f t="shared" si="169"/>
        <v>0</v>
      </c>
      <c r="AE324" s="246">
        <f t="shared" si="169"/>
        <v>2.3573785714285718</v>
      </c>
      <c r="AF324" s="246">
        <v>0</v>
      </c>
      <c r="AG324" s="246">
        <f t="shared" si="169"/>
        <v>0.23573785714285717</v>
      </c>
      <c r="AH324" s="243"/>
      <c r="AI324" s="102">
        <v>2.19</v>
      </c>
      <c r="AJ324" s="100">
        <v>0</v>
      </c>
      <c r="AL324" s="100">
        <v>0</v>
      </c>
      <c r="AM324" s="237">
        <v>0.3</v>
      </c>
      <c r="AN324" s="241">
        <v>1.72</v>
      </c>
      <c r="AO324" s="241">
        <v>0.26</v>
      </c>
      <c r="AP324" s="247">
        <f>(AN324*365)*(AO324*0.67*0.02*1)</f>
        <v>2.1872552000000001</v>
      </c>
      <c r="AQ324" s="247">
        <f>(AN324*365)*(AO324*0.67*0.01*1)</f>
        <v>1.0936276</v>
      </c>
      <c r="AR324" s="248"/>
      <c r="AS324" s="247">
        <f>(AN324*365)*(AO324*0.67*0.05*1)</f>
        <v>5.4681379999999997</v>
      </c>
      <c r="AT324" s="247">
        <f>(AN324*365)*(AO324*0.67*0.02*1)</f>
        <v>2.1872552000000001</v>
      </c>
      <c r="AU324" s="247">
        <f>(AN324*365)*(AO324*0.67*0.8*1)</f>
        <v>87.490207999999996</v>
      </c>
      <c r="AV324" s="247">
        <f>(AN324*365)*(AO324*0.67*0.8*1)</f>
        <v>87.490207999999996</v>
      </c>
      <c r="AW324" s="247">
        <f>(AN324*365)*(AO324*0.67*0.3*1)</f>
        <v>32.808828000000005</v>
      </c>
      <c r="AX324" s="248"/>
      <c r="AY324" s="93">
        <f>(AN324*365)*(AO324*0.67*0.8*1)</f>
        <v>87.490207999999996</v>
      </c>
      <c r="AZ324" s="93">
        <f t="shared" si="155"/>
        <v>109.36276000000001</v>
      </c>
      <c r="BA324" s="93">
        <f t="shared" si="156"/>
        <v>10.936275999999999</v>
      </c>
      <c r="BB324" s="93">
        <f t="shared" si="157"/>
        <v>0.54681380000000002</v>
      </c>
      <c r="BC324" s="93">
        <f>(AN324*365)*(AO324*0.67*0.015*1)</f>
        <v>1.6404414</v>
      </c>
      <c r="BD324" s="93">
        <v>0</v>
      </c>
      <c r="BE324" s="93">
        <v>0</v>
      </c>
      <c r="BF324" s="93"/>
      <c r="BG324" s="93"/>
      <c r="BH324" s="93"/>
      <c r="BI324" s="93" t="s">
        <v>151</v>
      </c>
      <c r="BJ324" s="93" t="s">
        <v>168</v>
      </c>
      <c r="BK324" s="93">
        <f t="shared" si="158"/>
        <v>2.1800000000000002</v>
      </c>
      <c r="BL324" s="93" t="s">
        <v>413</v>
      </c>
      <c r="BM324" s="93">
        <v>0.2</v>
      </c>
      <c r="BN324" s="93">
        <v>0.5</v>
      </c>
      <c r="BO324" s="93" t="s">
        <v>258</v>
      </c>
      <c r="BP324" s="93">
        <f t="shared" si="159"/>
        <v>1.2445714285714284</v>
      </c>
      <c r="BQ324" s="93" t="s">
        <v>415</v>
      </c>
      <c r="BR324" s="93">
        <v>0.2</v>
      </c>
      <c r="BS324" s="93">
        <v>0.5</v>
      </c>
      <c r="BT324" s="93" t="s">
        <v>258</v>
      </c>
      <c r="BU324" s="93"/>
      <c r="BV324" s="93">
        <v>54.500000000000007</v>
      </c>
      <c r="BW324" s="93" t="s">
        <v>414</v>
      </c>
      <c r="BX324" s="93"/>
      <c r="BY324" s="93">
        <v>370.88228571428567</v>
      </c>
      <c r="BZ324" s="93" t="s">
        <v>414</v>
      </c>
      <c r="CA324" s="93"/>
      <c r="CB324" s="180"/>
      <c r="CC324" s="178"/>
      <c r="CD324" s="178"/>
      <c r="CE324" s="180"/>
      <c r="CF324" s="180"/>
      <c r="CG324" s="180"/>
      <c r="CH324" s="180"/>
      <c r="CI324" s="178"/>
      <c r="CJ324" s="178"/>
      <c r="CK324" s="180"/>
      <c r="CL324" s="180"/>
      <c r="CM324" s="180"/>
      <c r="CN324" s="116"/>
      <c r="CO324" s="218">
        <f t="shared" si="150"/>
        <v>0.2</v>
      </c>
      <c r="CP324" s="100">
        <f t="shared" si="151"/>
        <v>0.35</v>
      </c>
      <c r="CQ324" s="218">
        <f t="shared" si="152"/>
        <v>0.5</v>
      </c>
      <c r="CR324" s="101">
        <v>0.2</v>
      </c>
      <c r="CS324" s="101">
        <v>0.5</v>
      </c>
      <c r="DA324" s="23" t="s">
        <v>151</v>
      </c>
      <c r="DB324" s="23">
        <v>2.1800000000000002</v>
      </c>
      <c r="DC324" s="142">
        <f t="shared" si="160"/>
        <v>45.78</v>
      </c>
      <c r="DD324" s="142">
        <f t="shared" si="161"/>
        <v>54.500000000000007</v>
      </c>
      <c r="DE324" s="23">
        <v>40</v>
      </c>
      <c r="DF324" s="23">
        <v>0.99</v>
      </c>
      <c r="DG324" s="142">
        <f t="shared" si="162"/>
        <v>39.6</v>
      </c>
      <c r="DH324" s="23">
        <v>0.02</v>
      </c>
      <c r="DI324" s="149">
        <f t="shared" si="163"/>
        <v>1.2445714285714284</v>
      </c>
      <c r="DJ324" s="149">
        <f t="shared" si="164"/>
        <v>385.81714285714281</v>
      </c>
      <c r="DK324" s="149">
        <f t="shared" si="165"/>
        <v>370.88228571428567</v>
      </c>
      <c r="DL324" s="150">
        <f t="shared" si="166"/>
        <v>431.59714285714279</v>
      </c>
      <c r="DM324" s="150">
        <f t="shared" si="166"/>
        <v>425.38228571428567</v>
      </c>
      <c r="DN324" s="116" t="s">
        <v>168</v>
      </c>
      <c r="DO324" s="101" t="s">
        <v>392</v>
      </c>
    </row>
    <row r="325" spans="15:119" s="101" customFormat="1" ht="33.75" hidden="1" customHeight="1" thickBot="1" x14ac:dyDescent="0.4">
      <c r="O325" s="227" t="s">
        <v>152</v>
      </c>
      <c r="Q325" s="243">
        <v>1.37</v>
      </c>
      <c r="R325" s="243">
        <v>30</v>
      </c>
      <c r="S325" s="246">
        <f t="shared" si="169"/>
        <v>0</v>
      </c>
      <c r="T325" s="246">
        <f t="shared" si="169"/>
        <v>0</v>
      </c>
      <c r="U325" s="246">
        <f t="shared" si="169"/>
        <v>0.11786892857142858</v>
      </c>
      <c r="V325" s="246">
        <f t="shared" si="169"/>
        <v>0.47147571428571433</v>
      </c>
      <c r="W325" s="246">
        <f t="shared" si="169"/>
        <v>0.11786892857142858</v>
      </c>
      <c r="X325" s="246">
        <f t="shared" si="169"/>
        <v>0</v>
      </c>
      <c r="Y325" s="246">
        <f t="shared" si="169"/>
        <v>0.23573785714285717</v>
      </c>
      <c r="Z325" s="246">
        <f t="shared" si="169"/>
        <v>1.6501650000000003</v>
      </c>
      <c r="AA325" s="246">
        <f t="shared" si="169"/>
        <v>0</v>
      </c>
      <c r="AB325" s="246">
        <f t="shared" si="169"/>
        <v>0</v>
      </c>
      <c r="AC325" s="246">
        <f t="shared" si="169"/>
        <v>0.14144271428571431</v>
      </c>
      <c r="AD325" s="246">
        <f t="shared" si="169"/>
        <v>0</v>
      </c>
      <c r="AE325" s="246">
        <f t="shared" si="169"/>
        <v>2.3573785714285718</v>
      </c>
      <c r="AF325" s="246">
        <v>0</v>
      </c>
      <c r="AG325" s="246">
        <f t="shared" si="169"/>
        <v>0.23573785714285717</v>
      </c>
      <c r="AH325" s="243"/>
      <c r="AI325" s="102">
        <v>0.6</v>
      </c>
      <c r="AJ325" s="100">
        <v>0</v>
      </c>
      <c r="AL325" s="100">
        <v>0</v>
      </c>
      <c r="AM325" s="237">
        <v>0.3</v>
      </c>
      <c r="AN325" s="241">
        <v>0.94</v>
      </c>
      <c r="AO325" s="241">
        <v>0.26</v>
      </c>
      <c r="AP325" s="247">
        <f>(AN325*365)*(AO325*0.67*0.01*1)</f>
        <v>0.59768019999999999</v>
      </c>
      <c r="AQ325" s="247">
        <f>(AN325*365)*(AO325*0.67*0.001*1)</f>
        <v>5.9768020000000005E-2</v>
      </c>
      <c r="AR325" s="248"/>
      <c r="AS325" s="247">
        <f>(AN325*365)*(AO325*0.67*0.02*1)</f>
        <v>1.1953604</v>
      </c>
      <c r="AT325" s="247">
        <f>(AN325*365)*(AO325*0.67*0.01*1)</f>
        <v>0.59768019999999999</v>
      </c>
      <c r="AU325" s="247">
        <f>(AN325*365)*(AO325*0.67*0.25*1)</f>
        <v>14.942005</v>
      </c>
      <c r="AV325" s="247">
        <f>(AN325*365)*(AO325*0.67*0.73*1)</f>
        <v>43.630654599999993</v>
      </c>
      <c r="AW325" s="247">
        <f>(AN325*365)*(AO325*0.67*0.03*1)</f>
        <v>1.7930406000000001</v>
      </c>
      <c r="AX325" s="248"/>
      <c r="AY325" s="93">
        <f>(AN325*365)*(AO325*0.67*0.25*1)</f>
        <v>14.942005</v>
      </c>
      <c r="AZ325" s="93">
        <f t="shared" si="155"/>
        <v>59.76802</v>
      </c>
      <c r="BA325" s="93">
        <f t="shared" si="156"/>
        <v>5.9768020000000002</v>
      </c>
      <c r="BB325" s="93">
        <f t="shared" si="157"/>
        <v>0.2988401</v>
      </c>
      <c r="BC325" s="93">
        <f>(AN325*365)*(AO325*0.67*0.005*1)</f>
        <v>0.2988401</v>
      </c>
      <c r="BD325" s="93">
        <v>0</v>
      </c>
      <c r="BE325" s="93">
        <v>0</v>
      </c>
      <c r="BF325" s="93"/>
      <c r="BG325" s="93"/>
      <c r="BH325" s="93"/>
      <c r="BI325" s="93" t="s">
        <v>152</v>
      </c>
      <c r="BJ325" s="93" t="s">
        <v>168</v>
      </c>
      <c r="BK325" s="93">
        <f t="shared" si="158"/>
        <v>0.6</v>
      </c>
      <c r="BL325" s="93" t="s">
        <v>413</v>
      </c>
      <c r="BM325" s="93">
        <v>0.2</v>
      </c>
      <c r="BN325" s="93">
        <v>0.5</v>
      </c>
      <c r="BO325" s="93" t="s">
        <v>258</v>
      </c>
      <c r="BP325" s="93">
        <f t="shared" si="159"/>
        <v>1.2445714285714284</v>
      </c>
      <c r="BQ325" s="93" t="s">
        <v>415</v>
      </c>
      <c r="BR325" s="93">
        <v>0.2</v>
      </c>
      <c r="BS325" s="93">
        <v>0.5</v>
      </c>
      <c r="BT325" s="93" t="s">
        <v>258</v>
      </c>
      <c r="BU325" s="93"/>
      <c r="BV325" s="93">
        <v>15</v>
      </c>
      <c r="BW325" s="93" t="s">
        <v>414</v>
      </c>
      <c r="BX325" s="93"/>
      <c r="BY325" s="93">
        <v>370.88228571428567</v>
      </c>
      <c r="BZ325" s="93" t="s">
        <v>414</v>
      </c>
      <c r="CA325" s="93"/>
      <c r="CB325" s="180"/>
      <c r="CC325" s="178"/>
      <c r="CD325" s="178"/>
      <c r="CE325" s="180"/>
      <c r="CF325" s="180"/>
      <c r="CG325" s="180"/>
      <c r="CH325" s="180"/>
      <c r="CI325" s="178"/>
      <c r="CJ325" s="178"/>
      <c r="CK325" s="180"/>
      <c r="CL325" s="180"/>
      <c r="CM325" s="180"/>
      <c r="CN325" s="116"/>
      <c r="CO325" s="218">
        <f t="shared" si="150"/>
        <v>0.2</v>
      </c>
      <c r="CP325" s="100">
        <f t="shared" si="151"/>
        <v>0.35</v>
      </c>
      <c r="CQ325" s="218">
        <f t="shared" si="152"/>
        <v>0.5</v>
      </c>
      <c r="CR325" s="101">
        <v>0.2</v>
      </c>
      <c r="CS325" s="101">
        <v>0.5</v>
      </c>
      <c r="DA325" s="23" t="s">
        <v>152</v>
      </c>
      <c r="DB325" s="23">
        <v>0.6</v>
      </c>
      <c r="DC325" s="142">
        <f t="shared" si="160"/>
        <v>12.6</v>
      </c>
      <c r="DD325" s="142">
        <f t="shared" si="161"/>
        <v>15</v>
      </c>
      <c r="DE325" s="23">
        <v>40</v>
      </c>
      <c r="DF325" s="23">
        <v>0.99</v>
      </c>
      <c r="DG325" s="142">
        <f t="shared" si="162"/>
        <v>39.6</v>
      </c>
      <c r="DH325" s="23">
        <v>0.02</v>
      </c>
      <c r="DI325" s="149">
        <f t="shared" si="163"/>
        <v>1.2445714285714284</v>
      </c>
      <c r="DJ325" s="149">
        <f t="shared" si="164"/>
        <v>385.81714285714281</v>
      </c>
      <c r="DK325" s="149">
        <f t="shared" si="165"/>
        <v>370.88228571428567</v>
      </c>
      <c r="DL325" s="150">
        <f t="shared" si="166"/>
        <v>398.41714285714284</v>
      </c>
      <c r="DM325" s="150">
        <f t="shared" si="166"/>
        <v>385.88228571428567</v>
      </c>
      <c r="DN325" s="116" t="s">
        <v>168</v>
      </c>
      <c r="DO325" s="101" t="s">
        <v>392</v>
      </c>
    </row>
    <row r="326" spans="15:119" s="101" customFormat="1" ht="33.75" hidden="1" customHeight="1" thickBot="1" x14ac:dyDescent="0.4">
      <c r="O326" s="227" t="s">
        <v>153</v>
      </c>
      <c r="Q326" s="243">
        <v>1.37</v>
      </c>
      <c r="R326" s="243">
        <v>30</v>
      </c>
      <c r="S326" s="246">
        <f t="shared" si="169"/>
        <v>0</v>
      </c>
      <c r="T326" s="246">
        <f t="shared" si="169"/>
        <v>0</v>
      </c>
      <c r="U326" s="246">
        <f t="shared" si="169"/>
        <v>0.11786892857142858</v>
      </c>
      <c r="V326" s="246">
        <f t="shared" si="169"/>
        <v>0.47147571428571433</v>
      </c>
      <c r="W326" s="246">
        <f t="shared" si="169"/>
        <v>0.11786892857142858</v>
      </c>
      <c r="X326" s="246">
        <f t="shared" si="169"/>
        <v>0</v>
      </c>
      <c r="Y326" s="246">
        <f t="shared" si="169"/>
        <v>0.23573785714285717</v>
      </c>
      <c r="Z326" s="246">
        <f t="shared" si="169"/>
        <v>1.6501650000000003</v>
      </c>
      <c r="AA326" s="246">
        <f t="shared" si="169"/>
        <v>0</v>
      </c>
      <c r="AB326" s="246">
        <f t="shared" si="169"/>
        <v>0</v>
      </c>
      <c r="AC326" s="246">
        <f t="shared" si="169"/>
        <v>0.14144271428571431</v>
      </c>
      <c r="AD326" s="246">
        <f t="shared" si="169"/>
        <v>0</v>
      </c>
      <c r="AE326" s="246">
        <f t="shared" si="169"/>
        <v>2.3573785714285718</v>
      </c>
      <c r="AF326" s="246">
        <v>0</v>
      </c>
      <c r="AG326" s="246">
        <f t="shared" si="169"/>
        <v>0.23573785714285717</v>
      </c>
      <c r="AH326" s="243"/>
      <c r="AI326" s="102">
        <v>0.9</v>
      </c>
      <c r="AJ326" s="100">
        <v>0</v>
      </c>
      <c r="AL326" s="100">
        <v>0</v>
      </c>
      <c r="AM326" s="237">
        <v>0.3</v>
      </c>
      <c r="AN326" s="241">
        <v>0.94</v>
      </c>
      <c r="AO326" s="241">
        <v>0.26</v>
      </c>
      <c r="AP326" s="247">
        <f>(AN326*365)*(AO326*0.67*0.015*1)</f>
        <v>0.89652030000000005</v>
      </c>
      <c r="AQ326" s="247">
        <f>(AN326*365)*(AO326*0.67*0.005*1)</f>
        <v>0.2988401</v>
      </c>
      <c r="AR326" s="248"/>
      <c r="AS326" s="247">
        <f>(AN326*365)*(AO326*0.67*0.04*1)</f>
        <v>2.3907208</v>
      </c>
      <c r="AT326" s="247">
        <f>(AN326*365)*(AO326*0.67*0.015*1)</f>
        <v>0.89652030000000005</v>
      </c>
      <c r="AU326" s="247">
        <f>(AN326*365)*(AO326*0.67*0.65*1)</f>
        <v>38.849212999999999</v>
      </c>
      <c r="AV326" s="247">
        <f>(AN326*365)*(AO326*0.67*0.79*1)</f>
        <v>47.216735800000002</v>
      </c>
      <c r="AW326" s="247">
        <f>(AN326*365)*(AO326*0.67*0.03*1)</f>
        <v>1.7930406000000001</v>
      </c>
      <c r="AX326" s="248"/>
      <c r="AY326" s="93">
        <f>(AN326*365)*(AO326*0.67*0.65*1)</f>
        <v>38.849212999999999</v>
      </c>
      <c r="AZ326" s="93">
        <f t="shared" si="155"/>
        <v>59.76802</v>
      </c>
      <c r="BA326" s="93">
        <f t="shared" si="156"/>
        <v>5.9768020000000002</v>
      </c>
      <c r="BB326" s="93">
        <f t="shared" si="157"/>
        <v>0.2988401</v>
      </c>
      <c r="BC326" s="93">
        <f>(AN326*365)*(AO326*0.67*0.01*1)</f>
        <v>0.59768019999999999</v>
      </c>
      <c r="BD326" s="93">
        <v>0</v>
      </c>
      <c r="BE326" s="93">
        <v>0</v>
      </c>
      <c r="BF326" s="93"/>
      <c r="BG326" s="93"/>
      <c r="BH326" s="93"/>
      <c r="BI326" s="93" t="s">
        <v>153</v>
      </c>
      <c r="BJ326" s="93" t="s">
        <v>168</v>
      </c>
      <c r="BK326" s="93">
        <f t="shared" si="158"/>
        <v>0.9</v>
      </c>
      <c r="BL326" s="93" t="s">
        <v>413</v>
      </c>
      <c r="BM326" s="93">
        <v>0.2</v>
      </c>
      <c r="BN326" s="93">
        <v>0.5</v>
      </c>
      <c r="BO326" s="93" t="s">
        <v>258</v>
      </c>
      <c r="BP326" s="93">
        <f t="shared" si="159"/>
        <v>1.2445714285714284</v>
      </c>
      <c r="BQ326" s="93" t="s">
        <v>415</v>
      </c>
      <c r="BR326" s="93">
        <v>0.2</v>
      </c>
      <c r="BS326" s="93">
        <v>0.5</v>
      </c>
      <c r="BT326" s="93" t="s">
        <v>258</v>
      </c>
      <c r="BU326" s="93"/>
      <c r="BV326" s="93">
        <v>22.5</v>
      </c>
      <c r="BW326" s="93" t="s">
        <v>414</v>
      </c>
      <c r="BX326" s="93"/>
      <c r="BY326" s="93">
        <v>370.88228571428567</v>
      </c>
      <c r="BZ326" s="93" t="s">
        <v>414</v>
      </c>
      <c r="CA326" s="93"/>
      <c r="CB326" s="180"/>
      <c r="CC326" s="178"/>
      <c r="CD326" s="178"/>
      <c r="CE326" s="180"/>
      <c r="CF326" s="180"/>
      <c r="CG326" s="180"/>
      <c r="CH326" s="180"/>
      <c r="CI326" s="178"/>
      <c r="CJ326" s="178"/>
      <c r="CK326" s="180"/>
      <c r="CL326" s="180"/>
      <c r="CM326" s="180"/>
      <c r="CN326" s="116"/>
      <c r="CO326" s="218">
        <f t="shared" si="150"/>
        <v>0.2</v>
      </c>
      <c r="CP326" s="100">
        <f t="shared" si="151"/>
        <v>0.35</v>
      </c>
      <c r="CQ326" s="218">
        <f t="shared" si="152"/>
        <v>0.5</v>
      </c>
      <c r="CR326" s="101">
        <v>0.2</v>
      </c>
      <c r="CS326" s="101">
        <v>0.5</v>
      </c>
      <c r="DA326" s="23" t="s">
        <v>153</v>
      </c>
      <c r="DB326" s="23">
        <v>0.9</v>
      </c>
      <c r="DC326" s="142">
        <f t="shared" si="160"/>
        <v>18.900000000000002</v>
      </c>
      <c r="DD326" s="142">
        <f t="shared" si="161"/>
        <v>22.5</v>
      </c>
      <c r="DE326" s="23">
        <v>40</v>
      </c>
      <c r="DF326" s="23">
        <v>0.99</v>
      </c>
      <c r="DG326" s="142">
        <f t="shared" si="162"/>
        <v>39.6</v>
      </c>
      <c r="DH326" s="23">
        <v>0.02</v>
      </c>
      <c r="DI326" s="149">
        <f t="shared" si="163"/>
        <v>1.2445714285714284</v>
      </c>
      <c r="DJ326" s="149">
        <f t="shared" si="164"/>
        <v>385.81714285714281</v>
      </c>
      <c r="DK326" s="149">
        <f t="shared" si="165"/>
        <v>370.88228571428567</v>
      </c>
      <c r="DL326" s="150">
        <f t="shared" si="166"/>
        <v>404.71714285714279</v>
      </c>
      <c r="DM326" s="150">
        <f t="shared" si="166"/>
        <v>393.38228571428567</v>
      </c>
      <c r="DN326" s="116" t="s">
        <v>168</v>
      </c>
      <c r="DO326" s="101" t="s">
        <v>392</v>
      </c>
    </row>
    <row r="327" spans="15:119" s="101" customFormat="1" ht="33.75" hidden="1" customHeight="1" thickBot="1" x14ac:dyDescent="0.4">
      <c r="O327" s="227" t="s">
        <v>154</v>
      </c>
      <c r="Q327" s="243">
        <v>1.37</v>
      </c>
      <c r="R327" s="243">
        <v>30</v>
      </c>
      <c r="S327" s="246">
        <f t="shared" si="169"/>
        <v>0</v>
      </c>
      <c r="T327" s="246">
        <f t="shared" si="169"/>
        <v>0</v>
      </c>
      <c r="U327" s="246">
        <f t="shared" si="169"/>
        <v>0.11786892857142858</v>
      </c>
      <c r="V327" s="246">
        <f t="shared" si="169"/>
        <v>0.47147571428571433</v>
      </c>
      <c r="W327" s="246">
        <f t="shared" si="169"/>
        <v>0.11786892857142858</v>
      </c>
      <c r="X327" s="246">
        <f t="shared" si="169"/>
        <v>0</v>
      </c>
      <c r="Y327" s="246">
        <f t="shared" si="169"/>
        <v>0.23573785714285717</v>
      </c>
      <c r="Z327" s="246">
        <f t="shared" si="169"/>
        <v>1.6501650000000003</v>
      </c>
      <c r="AA327" s="246">
        <f t="shared" si="169"/>
        <v>0</v>
      </c>
      <c r="AB327" s="246">
        <f t="shared" si="169"/>
        <v>0</v>
      </c>
      <c r="AC327" s="246">
        <f t="shared" si="169"/>
        <v>0.14144271428571431</v>
      </c>
      <c r="AD327" s="246">
        <f t="shared" si="169"/>
        <v>0</v>
      </c>
      <c r="AE327" s="246">
        <f t="shared" si="169"/>
        <v>2.3573785714285718</v>
      </c>
      <c r="AF327" s="246">
        <v>0</v>
      </c>
      <c r="AG327" s="246">
        <f t="shared" si="169"/>
        <v>0.23573785714285717</v>
      </c>
      <c r="AH327" s="243"/>
      <c r="AI327" s="102">
        <v>1.2</v>
      </c>
      <c r="AJ327" s="100">
        <v>0</v>
      </c>
      <c r="AL327" s="100">
        <v>0</v>
      </c>
      <c r="AM327" s="237">
        <v>0.3</v>
      </c>
      <c r="AN327" s="241">
        <v>0.94</v>
      </c>
      <c r="AO327" s="241">
        <v>0.26</v>
      </c>
      <c r="AP327" s="247">
        <f>(AN327*365)*(AO327*0.67*0.02*1)</f>
        <v>1.1953604</v>
      </c>
      <c r="AQ327" s="247">
        <f>(AN327*365)*(AO327*0.67*0.01*1)</f>
        <v>0.59768019999999999</v>
      </c>
      <c r="AR327" s="248"/>
      <c r="AS327" s="247">
        <f>(AN327*365)*(AO327*0.67*0.05*1)</f>
        <v>2.9884010000000001</v>
      </c>
      <c r="AT327" s="247">
        <f>(AN327*365)*(AO327*0.67*0.02*1)</f>
        <v>1.1953604</v>
      </c>
      <c r="AU327" s="247">
        <f>(AN327*365)*(AO327*0.67*0.8*1)</f>
        <v>47.814416000000001</v>
      </c>
      <c r="AV327" s="247">
        <f>(AN327*365)*(AO327*0.67*0.8*1)</f>
        <v>47.814416000000001</v>
      </c>
      <c r="AW327" s="247">
        <f>(AN327*365)*(AO327*0.67*0.3*1)</f>
        <v>17.930406000000001</v>
      </c>
      <c r="AX327" s="248"/>
      <c r="AY327" s="93">
        <f>(AN327*365)*(AO327*0.67*0.8*1)</f>
        <v>47.814416000000001</v>
      </c>
      <c r="AZ327" s="93">
        <f t="shared" si="155"/>
        <v>59.76802</v>
      </c>
      <c r="BA327" s="93">
        <f t="shared" si="156"/>
        <v>5.9768020000000002</v>
      </c>
      <c r="BB327" s="93">
        <f t="shared" si="157"/>
        <v>0.2988401</v>
      </c>
      <c r="BC327" s="93">
        <f>(AN327*365)*(AO327*0.67*0.015*1)</f>
        <v>0.89652030000000005</v>
      </c>
      <c r="BD327" s="93">
        <v>0</v>
      </c>
      <c r="BE327" s="93">
        <v>0</v>
      </c>
      <c r="BF327" s="93"/>
      <c r="BG327" s="93"/>
      <c r="BH327" s="93"/>
      <c r="BI327" s="93" t="s">
        <v>154</v>
      </c>
      <c r="BJ327" s="93" t="s">
        <v>168</v>
      </c>
      <c r="BK327" s="93">
        <f t="shared" si="158"/>
        <v>1.19</v>
      </c>
      <c r="BL327" s="93" t="s">
        <v>413</v>
      </c>
      <c r="BM327" s="93">
        <v>0.2</v>
      </c>
      <c r="BN327" s="93">
        <v>0.5</v>
      </c>
      <c r="BO327" s="93" t="s">
        <v>258</v>
      </c>
      <c r="BP327" s="93">
        <f t="shared" si="159"/>
        <v>1.2445714285714284</v>
      </c>
      <c r="BQ327" s="93" t="s">
        <v>415</v>
      </c>
      <c r="BR327" s="93">
        <v>0.2</v>
      </c>
      <c r="BS327" s="93">
        <v>0.5</v>
      </c>
      <c r="BT327" s="93" t="s">
        <v>258</v>
      </c>
      <c r="BU327" s="93"/>
      <c r="BV327" s="93">
        <v>29.75</v>
      </c>
      <c r="BW327" s="93" t="s">
        <v>414</v>
      </c>
      <c r="BX327" s="93"/>
      <c r="BY327" s="93">
        <v>370.88228571428567</v>
      </c>
      <c r="BZ327" s="93" t="s">
        <v>414</v>
      </c>
      <c r="CA327" s="93"/>
      <c r="CB327" s="180"/>
      <c r="CC327" s="178"/>
      <c r="CD327" s="178"/>
      <c r="CE327" s="180"/>
      <c r="CF327" s="180"/>
      <c r="CG327" s="180"/>
      <c r="CH327" s="180"/>
      <c r="CI327" s="178"/>
      <c r="CJ327" s="178"/>
      <c r="CK327" s="180"/>
      <c r="CL327" s="180"/>
      <c r="CM327" s="180"/>
      <c r="CN327" s="116"/>
      <c r="CO327" s="218">
        <f t="shared" si="150"/>
        <v>0.2</v>
      </c>
      <c r="CP327" s="100">
        <f t="shared" si="151"/>
        <v>0.35</v>
      </c>
      <c r="CQ327" s="218">
        <f t="shared" si="152"/>
        <v>0.5</v>
      </c>
      <c r="CR327" s="101">
        <v>0.2</v>
      </c>
      <c r="CS327" s="101">
        <v>0.5</v>
      </c>
      <c r="DA327" s="23" t="s">
        <v>154</v>
      </c>
      <c r="DB327" s="23">
        <v>1.19</v>
      </c>
      <c r="DC327" s="142">
        <f t="shared" si="160"/>
        <v>24.99</v>
      </c>
      <c r="DD327" s="142">
        <f t="shared" si="161"/>
        <v>29.75</v>
      </c>
      <c r="DE327" s="23">
        <v>40</v>
      </c>
      <c r="DF327" s="23">
        <v>0.99</v>
      </c>
      <c r="DG327" s="142">
        <f t="shared" si="162"/>
        <v>39.6</v>
      </c>
      <c r="DH327" s="23">
        <v>0.02</v>
      </c>
      <c r="DI327" s="149">
        <f t="shared" si="163"/>
        <v>1.2445714285714284</v>
      </c>
      <c r="DJ327" s="149">
        <f t="shared" si="164"/>
        <v>385.81714285714281</v>
      </c>
      <c r="DK327" s="149">
        <f t="shared" si="165"/>
        <v>370.88228571428567</v>
      </c>
      <c r="DL327" s="150">
        <f t="shared" si="166"/>
        <v>410.80714285714282</v>
      </c>
      <c r="DM327" s="150">
        <f t="shared" si="166"/>
        <v>400.63228571428567</v>
      </c>
      <c r="DN327" s="116" t="s">
        <v>168</v>
      </c>
      <c r="DO327" s="101" t="s">
        <v>392</v>
      </c>
    </row>
    <row r="328" spans="15:119" s="101" customFormat="1" ht="15" hidden="1" customHeight="1" x14ac:dyDescent="0.25">
      <c r="O328" s="227" t="s">
        <v>548</v>
      </c>
      <c r="Q328" s="243">
        <v>1.37</v>
      </c>
      <c r="R328" s="243">
        <v>30</v>
      </c>
      <c r="S328" s="246">
        <f t="shared" si="169"/>
        <v>0</v>
      </c>
      <c r="T328" s="246">
        <f t="shared" si="169"/>
        <v>0</v>
      </c>
      <c r="U328" s="246">
        <f t="shared" si="169"/>
        <v>0.11786892857142858</v>
      </c>
      <c r="V328" s="246">
        <f t="shared" si="169"/>
        <v>0.47147571428571433</v>
      </c>
      <c r="W328" s="246">
        <f t="shared" si="169"/>
        <v>0.11786892857142858</v>
      </c>
      <c r="X328" s="246">
        <f t="shared" si="169"/>
        <v>0</v>
      </c>
      <c r="Y328" s="246">
        <f t="shared" si="169"/>
        <v>0.23573785714285717</v>
      </c>
      <c r="Z328" s="246">
        <f t="shared" si="169"/>
        <v>1.6501650000000003</v>
      </c>
      <c r="AA328" s="246">
        <f t="shared" si="169"/>
        <v>0</v>
      </c>
      <c r="AB328" s="246">
        <f t="shared" si="169"/>
        <v>0</v>
      </c>
      <c r="AC328" s="246">
        <f t="shared" si="169"/>
        <v>0.14144271428571431</v>
      </c>
      <c r="AD328" s="246">
        <f t="shared" si="169"/>
        <v>0</v>
      </c>
      <c r="AE328" s="246">
        <f t="shared" si="169"/>
        <v>2.3573785714285718</v>
      </c>
      <c r="AF328" s="246">
        <v>0</v>
      </c>
      <c r="AG328" s="246">
        <f t="shared" si="169"/>
        <v>0.23573785714285717</v>
      </c>
      <c r="AH328" s="243"/>
      <c r="AI328" s="102">
        <v>0.08</v>
      </c>
      <c r="AJ328" s="100"/>
      <c r="AK328" s="100"/>
      <c r="AL328" s="100"/>
      <c r="AM328" s="100"/>
      <c r="AN328" s="241">
        <v>0.1</v>
      </c>
      <c r="AO328" s="241">
        <v>0.32</v>
      </c>
      <c r="AP328" s="247">
        <f>(AN328*365)*(AO328*0.67*0.01*1)</f>
        <v>7.8256000000000006E-2</v>
      </c>
      <c r="AQ328" s="247">
        <f>(AN328*365)*(AO328*0.67*0.001*1)</f>
        <v>7.8256000000000003E-3</v>
      </c>
      <c r="AR328" s="248"/>
      <c r="AS328" s="247">
        <f>(AN328*365)*(AO328*0.67*0.02*1)</f>
        <v>0.15651200000000001</v>
      </c>
      <c r="AT328" s="247">
        <f>(AN328*365)*(AO328*0.67*0.01*1)</f>
        <v>7.8256000000000006E-2</v>
      </c>
      <c r="AU328" s="247">
        <f>(AN328*365)*(AO328*0.67*0.25*1)</f>
        <v>1.9564000000000001</v>
      </c>
      <c r="AV328" s="247">
        <f>(AN328*365)*(AO328*0.67*0.73*1)</f>
        <v>5.7126880000000009</v>
      </c>
      <c r="AW328" s="247">
        <f>(AN328*365)*(AO328*0.67*0.03*1)</f>
        <v>0.234768</v>
      </c>
      <c r="AX328" s="248"/>
      <c r="AY328" s="93">
        <f>(AN328*365)*(AO328*0.67*0.25*1)</f>
        <v>1.9564000000000001</v>
      </c>
      <c r="AZ328" s="93">
        <f t="shared" si="155"/>
        <v>7.8256000000000006</v>
      </c>
      <c r="BA328" s="93">
        <f t="shared" si="156"/>
        <v>0.78256000000000003</v>
      </c>
      <c r="BB328" s="93">
        <f t="shared" si="157"/>
        <v>3.9128000000000003E-2</v>
      </c>
      <c r="BC328" s="93">
        <f>(AN328*365)*(AO328*0.67*0.005*1)</f>
        <v>3.9128000000000003E-2</v>
      </c>
      <c r="BD328" s="93">
        <v>0</v>
      </c>
      <c r="BE328" s="93">
        <v>0</v>
      </c>
      <c r="BF328" s="93"/>
      <c r="BG328" s="93"/>
      <c r="BH328" s="93"/>
      <c r="BI328" s="93"/>
      <c r="BJ328" s="93"/>
      <c r="BK328" s="93"/>
      <c r="BL328" s="93"/>
      <c r="BM328" s="93"/>
      <c r="BN328" s="93"/>
      <c r="BO328" s="93"/>
      <c r="BP328" s="93"/>
      <c r="BQ328" s="93"/>
      <c r="BR328" s="93"/>
      <c r="BS328" s="93"/>
      <c r="BT328" s="93"/>
      <c r="BU328" s="93"/>
      <c r="BV328" s="93"/>
      <c r="BW328" s="93"/>
      <c r="BX328" s="93"/>
      <c r="BY328" s="93"/>
      <c r="BZ328" s="93"/>
      <c r="CA328" s="93"/>
      <c r="CB328" s="180"/>
      <c r="CC328" s="178"/>
      <c r="CD328" s="178"/>
      <c r="CE328" s="180"/>
      <c r="CF328" s="180"/>
      <c r="CG328" s="180"/>
      <c r="CH328" s="180"/>
      <c r="CI328" s="178"/>
      <c r="CJ328" s="178"/>
      <c r="CK328" s="180"/>
      <c r="CL328" s="180"/>
      <c r="CM328" s="180"/>
      <c r="CN328" s="116"/>
      <c r="CO328" s="218">
        <f t="shared" si="150"/>
        <v>0</v>
      </c>
      <c r="CP328" s="100">
        <f t="shared" si="151"/>
        <v>0</v>
      </c>
      <c r="CQ328" s="218">
        <f t="shared" si="152"/>
        <v>0</v>
      </c>
      <c r="DC328" s="116"/>
      <c r="DD328" s="141"/>
      <c r="DE328" s="116"/>
      <c r="DF328" s="116"/>
      <c r="DG328" s="116"/>
      <c r="DH328" s="116"/>
      <c r="DI328" s="116"/>
    </row>
    <row r="329" spans="15:119" s="101" customFormat="1" ht="15" hidden="1" customHeight="1" x14ac:dyDescent="0.25">
      <c r="O329" s="227" t="s">
        <v>549</v>
      </c>
      <c r="Q329" s="243">
        <v>1.37</v>
      </c>
      <c r="R329" s="243">
        <v>30</v>
      </c>
      <c r="S329" s="246">
        <f t="shared" si="169"/>
        <v>0</v>
      </c>
      <c r="T329" s="246">
        <f t="shared" si="169"/>
        <v>0</v>
      </c>
      <c r="U329" s="246">
        <f t="shared" si="169"/>
        <v>0.11786892857142858</v>
      </c>
      <c r="V329" s="246">
        <f t="shared" si="169"/>
        <v>0.47147571428571433</v>
      </c>
      <c r="W329" s="246">
        <f t="shared" si="169"/>
        <v>0.11786892857142858</v>
      </c>
      <c r="X329" s="246">
        <f t="shared" si="169"/>
        <v>0</v>
      </c>
      <c r="Y329" s="246">
        <f t="shared" si="169"/>
        <v>0.23573785714285717</v>
      </c>
      <c r="Z329" s="246">
        <f t="shared" si="169"/>
        <v>1.6501650000000003</v>
      </c>
      <c r="AA329" s="246">
        <f t="shared" si="169"/>
        <v>0</v>
      </c>
      <c r="AB329" s="246">
        <f t="shared" si="169"/>
        <v>0</v>
      </c>
      <c r="AC329" s="246">
        <f t="shared" si="169"/>
        <v>0.14144271428571431</v>
      </c>
      <c r="AD329" s="246">
        <f t="shared" si="169"/>
        <v>0</v>
      </c>
      <c r="AE329" s="246">
        <f t="shared" si="169"/>
        <v>2.3573785714285718</v>
      </c>
      <c r="AF329" s="246">
        <v>0</v>
      </c>
      <c r="AG329" s="246">
        <f t="shared" si="169"/>
        <v>0.23573785714285717</v>
      </c>
      <c r="AH329" s="243"/>
      <c r="AN329" s="241">
        <v>0.1</v>
      </c>
      <c r="AO329" s="241">
        <v>0.32</v>
      </c>
      <c r="AP329" s="247">
        <f>(AN329*365)*(AO329*0.67*0.015*1)</f>
        <v>0.117384</v>
      </c>
      <c r="AQ329" s="247">
        <f>(AN329*365)*(AO329*0.67*0.005*1)</f>
        <v>3.9128000000000003E-2</v>
      </c>
      <c r="AR329" s="248"/>
      <c r="AS329" s="247">
        <f>(AN329*365)*(AO329*0.67*0.04*1)</f>
        <v>0.31302400000000002</v>
      </c>
      <c r="AT329" s="247">
        <f>(AN329*365)*(AO329*0.67*0.015*1)</f>
        <v>0.117384</v>
      </c>
      <c r="AU329" s="247">
        <f>(AN329*365)*(AO329*0.67*0.65*1)</f>
        <v>5.0866400000000001</v>
      </c>
      <c r="AV329" s="247">
        <f>(AN329*365)*(AO329*0.67*0.79*1)</f>
        <v>6.1822240000000006</v>
      </c>
      <c r="AW329" s="247">
        <f>(AN329*365)*(AO329*0.67*0.03*1)</f>
        <v>0.234768</v>
      </c>
      <c r="AX329" s="248"/>
      <c r="AY329" s="93">
        <f>(AN329*365)*(AO329*0.67*0.65*1)</f>
        <v>5.0866400000000001</v>
      </c>
      <c r="AZ329" s="93">
        <f t="shared" si="155"/>
        <v>7.8256000000000006</v>
      </c>
      <c r="BA329" s="93">
        <f t="shared" si="156"/>
        <v>0.78256000000000003</v>
      </c>
      <c r="BB329" s="93">
        <f t="shared" si="157"/>
        <v>3.9128000000000003E-2</v>
      </c>
      <c r="BC329" s="93">
        <f>(AN329*365)*(AO329*0.67*0.01*1)</f>
        <v>7.8256000000000006E-2</v>
      </c>
      <c r="BD329" s="93">
        <v>0</v>
      </c>
      <c r="BE329" s="93">
        <v>0</v>
      </c>
      <c r="BF329" s="93"/>
      <c r="BG329" s="93"/>
      <c r="BH329" s="93"/>
      <c r="BI329" s="93"/>
      <c r="BJ329" s="93"/>
      <c r="BK329" s="93"/>
      <c r="BL329" s="93"/>
      <c r="BM329" s="93"/>
      <c r="BN329" s="93"/>
      <c r="BO329" s="93"/>
      <c r="BP329" s="93"/>
      <c r="BQ329" s="93"/>
      <c r="BR329" s="93"/>
      <c r="BS329" s="93"/>
      <c r="BT329" s="93"/>
      <c r="BU329" s="93"/>
      <c r="BV329" s="93"/>
      <c r="BW329" s="93"/>
      <c r="BX329" s="93"/>
      <c r="BY329" s="93"/>
      <c r="BZ329" s="93"/>
      <c r="CA329" s="93"/>
      <c r="CB329" s="180"/>
      <c r="CC329" s="178"/>
      <c r="CD329" s="178"/>
      <c r="CE329" s="180"/>
      <c r="CF329" s="180"/>
      <c r="CG329" s="180"/>
      <c r="CH329" s="180"/>
      <c r="CI329" s="178"/>
      <c r="CJ329" s="178"/>
      <c r="CK329" s="180"/>
      <c r="CL329" s="180"/>
      <c r="CM329" s="180"/>
      <c r="CN329" s="116"/>
      <c r="CO329" s="218">
        <f t="shared" si="150"/>
        <v>0</v>
      </c>
      <c r="CP329" s="100">
        <f t="shared" si="151"/>
        <v>0</v>
      </c>
      <c r="CQ329" s="218">
        <f t="shared" si="152"/>
        <v>0</v>
      </c>
      <c r="DC329" s="116" t="s">
        <v>67</v>
      </c>
      <c r="DE329" s="116" t="s">
        <v>103</v>
      </c>
      <c r="DF329" s="116" t="s">
        <v>104</v>
      </c>
      <c r="DG329" s="116"/>
      <c r="DH329" s="116"/>
      <c r="DI329" s="116"/>
      <c r="DJ329" s="116" t="s">
        <v>105</v>
      </c>
      <c r="DK329" s="116" t="s">
        <v>106</v>
      </c>
      <c r="DL329" s="116" t="s">
        <v>107</v>
      </c>
      <c r="DM329" s="116"/>
      <c r="DN329" s="116" t="s">
        <v>108</v>
      </c>
    </row>
    <row r="330" spans="15:119" s="101" customFormat="1" ht="18" hidden="1" customHeight="1" x14ac:dyDescent="0.25">
      <c r="O330" s="227" t="s">
        <v>550</v>
      </c>
      <c r="Q330" s="243">
        <v>1.37</v>
      </c>
      <c r="R330" s="243">
        <v>30</v>
      </c>
      <c r="S330" s="246">
        <f t="shared" si="169"/>
        <v>0</v>
      </c>
      <c r="T330" s="246">
        <f t="shared" si="169"/>
        <v>0</v>
      </c>
      <c r="U330" s="246">
        <f t="shared" si="169"/>
        <v>0.11786892857142858</v>
      </c>
      <c r="V330" s="246">
        <f t="shared" si="169"/>
        <v>0.47147571428571433</v>
      </c>
      <c r="W330" s="246">
        <f t="shared" si="169"/>
        <v>0.11786892857142858</v>
      </c>
      <c r="X330" s="246">
        <f t="shared" si="169"/>
        <v>0</v>
      </c>
      <c r="Y330" s="246">
        <f t="shared" si="169"/>
        <v>0.23573785714285717</v>
      </c>
      <c r="Z330" s="246">
        <f t="shared" si="169"/>
        <v>1.6501650000000003</v>
      </c>
      <c r="AA330" s="246">
        <f t="shared" si="169"/>
        <v>0</v>
      </c>
      <c r="AB330" s="246">
        <f t="shared" si="169"/>
        <v>0</v>
      </c>
      <c r="AC330" s="246">
        <f t="shared" si="169"/>
        <v>0.14144271428571431</v>
      </c>
      <c r="AD330" s="246">
        <f t="shared" si="169"/>
        <v>0</v>
      </c>
      <c r="AE330" s="246">
        <f t="shared" si="169"/>
        <v>2.3573785714285718</v>
      </c>
      <c r="AF330" s="246">
        <v>0</v>
      </c>
      <c r="AG330" s="246">
        <f t="shared" si="169"/>
        <v>0.23573785714285717</v>
      </c>
      <c r="AH330" s="243"/>
      <c r="AN330" s="241">
        <v>0.1</v>
      </c>
      <c r="AO330" s="241">
        <v>0.32</v>
      </c>
      <c r="AP330" s="247">
        <f>(AN330*365)*(AO330*0.67*0.02*1)</f>
        <v>0.15651200000000001</v>
      </c>
      <c r="AQ330" s="247">
        <f>(AN330*365)*(AO330*0.67*0.01*1)</f>
        <v>7.8256000000000006E-2</v>
      </c>
      <c r="AR330" s="248"/>
      <c r="AS330" s="247">
        <f>(AN330*365)*(AO330*0.67*0.05*1)</f>
        <v>0.39128000000000002</v>
      </c>
      <c r="AT330" s="247">
        <f>(AN330*365)*(AO330*0.67*0.02*1)</f>
        <v>0.15651200000000001</v>
      </c>
      <c r="AU330" s="247">
        <f>(AN330*365)*(AO330*0.67*0.8*1)</f>
        <v>6.2604800000000003</v>
      </c>
      <c r="AV330" s="247">
        <f>(AN330*365)*(AO330*0.67*0.8*1)</f>
        <v>6.2604800000000003</v>
      </c>
      <c r="AW330" s="247">
        <f>(AN330*365)*(AO330*0.67*0.3*1)</f>
        <v>2.34768</v>
      </c>
      <c r="AX330" s="248"/>
      <c r="AY330" s="93">
        <f>(AN330*365)*(AO330*0.67*0.8*1)</f>
        <v>6.2604800000000003</v>
      </c>
      <c r="AZ330" s="93">
        <f t="shared" si="155"/>
        <v>7.8256000000000006</v>
      </c>
      <c r="BA330" s="93">
        <f t="shared" si="156"/>
        <v>0.78256000000000003</v>
      </c>
      <c r="BB330" s="93">
        <f t="shared" si="157"/>
        <v>3.9128000000000003E-2</v>
      </c>
      <c r="BC330" s="93">
        <f>(AN330*365)*(AO330*0.67*0.015*1)</f>
        <v>0.117384</v>
      </c>
      <c r="BD330" s="93">
        <v>0</v>
      </c>
      <c r="BE330" s="93">
        <v>0</v>
      </c>
      <c r="BF330" s="93"/>
      <c r="BG330" s="93"/>
      <c r="BH330" s="93"/>
      <c r="BI330" s="93"/>
      <c r="BJ330" s="93"/>
      <c r="BK330" s="93"/>
      <c r="BL330" s="93"/>
      <c r="BM330" s="93"/>
      <c r="BN330" s="93"/>
      <c r="BO330" s="93"/>
      <c r="BP330" s="93"/>
      <c r="BQ330" s="93"/>
      <c r="BR330" s="93"/>
      <c r="BS330" s="93"/>
      <c r="BT330" s="93"/>
      <c r="BU330" s="93"/>
      <c r="BV330" s="93"/>
      <c r="BW330" s="93"/>
      <c r="BX330" s="93"/>
      <c r="BY330" s="93"/>
      <c r="BZ330" s="93"/>
      <c r="CA330" s="93"/>
      <c r="CB330" s="180"/>
      <c r="CC330" s="178"/>
      <c r="CD330" s="178"/>
      <c r="CE330" s="180"/>
      <c r="CF330" s="180"/>
      <c r="CG330" s="180"/>
      <c r="CH330" s="180"/>
      <c r="CI330" s="178"/>
      <c r="CJ330" s="178"/>
      <c r="CK330" s="180"/>
      <c r="CL330" s="180"/>
      <c r="CM330" s="180"/>
      <c r="CN330" s="116"/>
      <c r="CO330" s="218">
        <f t="shared" si="150"/>
        <v>0</v>
      </c>
      <c r="CP330" s="100">
        <f t="shared" si="151"/>
        <v>0</v>
      </c>
      <c r="CQ330" s="218">
        <f t="shared" si="152"/>
        <v>0</v>
      </c>
      <c r="DA330" s="101" t="s">
        <v>62</v>
      </c>
      <c r="DB330" s="101" t="s">
        <v>49</v>
      </c>
      <c r="DC330" s="101">
        <f>+DN330</f>
        <v>6.1897500000000008E-2</v>
      </c>
      <c r="DE330" s="116">
        <v>1</v>
      </c>
      <c r="DF330" s="116">
        <v>0.9</v>
      </c>
      <c r="DG330" s="116"/>
      <c r="DH330" s="116"/>
      <c r="DI330" s="116"/>
      <c r="DJ330" s="116">
        <v>0.5</v>
      </c>
      <c r="DK330" s="116">
        <v>5.0000000000000001E-3</v>
      </c>
      <c r="DL330" s="116">
        <f>+DE330*DF330*DJ330*DK330*21</f>
        <v>4.7250000000000007E-2</v>
      </c>
      <c r="DM330" s="116"/>
      <c r="DN330" s="101">
        <f>+DL330+DM341</f>
        <v>6.1897500000000008E-2</v>
      </c>
      <c r="DO330" s="116" t="s">
        <v>376</v>
      </c>
    </row>
    <row r="331" spans="15:119" s="101" customFormat="1" ht="15" hidden="1" customHeight="1" x14ac:dyDescent="0.25">
      <c r="O331" s="227" t="s">
        <v>551</v>
      </c>
      <c r="Q331" s="243"/>
      <c r="R331" s="243"/>
      <c r="S331" s="242"/>
      <c r="T331" s="242"/>
      <c r="U331" s="242"/>
      <c r="V331" s="242"/>
      <c r="W331" s="242"/>
      <c r="X331" s="242"/>
      <c r="Y331" s="242"/>
      <c r="Z331" s="242"/>
      <c r="AA331" s="242"/>
      <c r="AB331" s="242"/>
      <c r="AC331" s="242"/>
      <c r="AD331" s="242"/>
      <c r="AE331" s="242"/>
      <c r="AF331" s="242"/>
      <c r="AG331" s="242"/>
      <c r="AH331" s="243"/>
      <c r="AI331" s="102">
        <v>5.67</v>
      </c>
      <c r="AN331" s="241">
        <v>1.1599999999999999</v>
      </c>
      <c r="AO331" s="241">
        <v>0.25</v>
      </c>
      <c r="AP331" s="247">
        <f>(AN331*365)*(AO331*0.67*0.01*1)</f>
        <v>0.70919500000000002</v>
      </c>
      <c r="AQ331" s="247">
        <f>(AN331*365)*(AO331*0.67*0.001*1)</f>
        <v>7.0919499999999996E-2</v>
      </c>
      <c r="AR331" s="248"/>
      <c r="AS331" s="247">
        <f>(AN331*365)*(AO331*0.67*0.02*1)</f>
        <v>1.41839</v>
      </c>
      <c r="AT331" s="247">
        <f>(AN331*365)*(AO331*0.67*0.01*1)</f>
        <v>0.70919500000000002</v>
      </c>
      <c r="AU331" s="247">
        <f>(AN331*365)*(AO331*0.67*0.25*1)</f>
        <v>17.729875</v>
      </c>
      <c r="AV331" s="247">
        <f>(AN331*365)*(AO331*0.67*0.73*1)</f>
        <v>51.771235000000004</v>
      </c>
      <c r="AW331" s="247">
        <f>(AN331*365)*(AO331*0.67*0.03*1)</f>
        <v>2.1275849999999998</v>
      </c>
      <c r="AX331" s="248"/>
      <c r="AY331" s="93">
        <f>(AN331*365)*(AO331*0.67*0.25*1)</f>
        <v>17.729875</v>
      </c>
      <c r="AZ331" s="93">
        <f t="shared" si="155"/>
        <v>70.919499999999999</v>
      </c>
      <c r="BA331" s="93">
        <f t="shared" si="156"/>
        <v>7.0919499999999998</v>
      </c>
      <c r="BB331" s="93">
        <f t="shared" si="157"/>
        <v>0.35459750000000001</v>
      </c>
      <c r="BC331" s="93">
        <f>(AN331*365)*(AO331*0.67*0.005*1)</f>
        <v>0.35459750000000001</v>
      </c>
      <c r="BD331" s="93">
        <v>0</v>
      </c>
      <c r="BE331" s="93">
        <v>0</v>
      </c>
      <c r="BF331" s="93"/>
      <c r="BG331" s="93"/>
      <c r="BH331" s="93"/>
      <c r="BI331" s="93" t="s">
        <v>58</v>
      </c>
      <c r="BJ331" s="93"/>
      <c r="BK331" s="93" t="s">
        <v>279</v>
      </c>
      <c r="BL331" s="93"/>
      <c r="BM331" s="93" t="s">
        <v>233</v>
      </c>
      <c r="BN331" s="93" t="s">
        <v>233</v>
      </c>
      <c r="BO331" s="93" t="s">
        <v>240</v>
      </c>
      <c r="BP331" s="93" t="s">
        <v>282</v>
      </c>
      <c r="BQ331" s="93"/>
      <c r="BR331" s="93" t="s">
        <v>233</v>
      </c>
      <c r="BS331" s="93" t="s">
        <v>233</v>
      </c>
      <c r="BT331" s="93" t="s">
        <v>240</v>
      </c>
      <c r="BU331" s="93"/>
      <c r="BV331" s="93"/>
      <c r="BW331" s="93"/>
      <c r="BX331" s="93"/>
      <c r="BY331" s="93"/>
      <c r="BZ331" s="93"/>
      <c r="CA331" s="93"/>
      <c r="CB331" s="180"/>
      <c r="CC331" s="178"/>
      <c r="CD331" s="178"/>
      <c r="CE331" s="180"/>
      <c r="CF331" s="180"/>
      <c r="CG331" s="180"/>
      <c r="CH331" s="180"/>
      <c r="CI331" s="178"/>
      <c r="CJ331" s="178"/>
      <c r="CK331" s="180"/>
      <c r="CL331" s="180"/>
      <c r="CM331" s="180"/>
      <c r="CN331" s="116"/>
      <c r="CO331" s="218" t="str">
        <f t="shared" si="150"/>
        <v>Incertidumbre (+/- %)</v>
      </c>
      <c r="CP331" s="100" t="e">
        <f t="shared" si="151"/>
        <v>#VALUE!</v>
      </c>
      <c r="CQ331" s="218" t="str">
        <f t="shared" si="152"/>
        <v>Incertidumbre (+/- %)</v>
      </c>
      <c r="DF331" s="116"/>
      <c r="DG331" s="116"/>
      <c r="DH331" s="116"/>
      <c r="DI331" s="116"/>
    </row>
    <row r="332" spans="15:119" s="101" customFormat="1" ht="15.75" hidden="1" customHeight="1" thickBot="1" x14ac:dyDescent="0.3">
      <c r="O332" s="227" t="s">
        <v>552</v>
      </c>
      <c r="Q332" s="243"/>
      <c r="R332" s="243"/>
      <c r="S332" s="242"/>
      <c r="T332" s="242"/>
      <c r="U332" s="242"/>
      <c r="V332" s="242"/>
      <c r="W332" s="242"/>
      <c r="X332" s="242"/>
      <c r="Y332" s="242"/>
      <c r="Z332" s="242"/>
      <c r="AA332" s="242"/>
      <c r="AB332" s="242"/>
      <c r="AC332" s="242"/>
      <c r="AD332" s="242"/>
      <c r="AE332" s="242"/>
      <c r="AF332" s="242"/>
      <c r="AG332" s="242"/>
      <c r="AH332" s="243"/>
      <c r="AN332" s="241">
        <v>1.1599999999999999</v>
      </c>
      <c r="AO332" s="241">
        <v>0.25</v>
      </c>
      <c r="AP332" s="247">
        <f>(AN332*365)*(AO332*0.67*0.015*1)</f>
        <v>1.0637924999999999</v>
      </c>
      <c r="AQ332" s="247">
        <f>(AN332*365)*(AO332*0.67*0.005*1)</f>
        <v>0.35459750000000001</v>
      </c>
      <c r="AR332" s="248"/>
      <c r="AS332" s="247">
        <f>(AN332*365)*(AO332*0.67*0.04*1)</f>
        <v>2.8367800000000001</v>
      </c>
      <c r="AT332" s="247">
        <f>(AN332*365)*(AO332*0.67*0.015*1)</f>
        <v>1.0637924999999999</v>
      </c>
      <c r="AU332" s="247">
        <f>(AN332*365)*(AO332*0.67*0.65*1)</f>
        <v>46.097675000000002</v>
      </c>
      <c r="AV332" s="247">
        <f>(AN332*365)*(AO332*0.67*0.79*1)</f>
        <v>56.026405000000011</v>
      </c>
      <c r="AW332" s="247">
        <f>(AN332*365)*(AO332*0.67*0.03*1)</f>
        <v>2.1275849999999998</v>
      </c>
      <c r="AX332" s="248"/>
      <c r="AY332" s="93">
        <f>(AN332*365)*(AO332*0.67*0.65*1)</f>
        <v>46.097675000000002</v>
      </c>
      <c r="AZ332" s="93">
        <f t="shared" si="155"/>
        <v>70.919499999999999</v>
      </c>
      <c r="BA332" s="93">
        <f t="shared" si="156"/>
        <v>7.0919499999999998</v>
      </c>
      <c r="BB332" s="93">
        <f t="shared" si="157"/>
        <v>0.35459750000000001</v>
      </c>
      <c r="BC332" s="93">
        <f>(AN332*365)*(AO332*0.67*0.01*1)</f>
        <v>0.70919500000000002</v>
      </c>
      <c r="BD332" s="93">
        <v>0</v>
      </c>
      <c r="BE332" s="93">
        <v>0</v>
      </c>
      <c r="BF332" s="93"/>
      <c r="BG332" s="93"/>
      <c r="BH332" s="93"/>
      <c r="BI332" s="93"/>
      <c r="BJ332" s="93" t="s">
        <v>253</v>
      </c>
      <c r="BK332" s="93"/>
      <c r="BL332" s="93" t="s">
        <v>251</v>
      </c>
      <c r="BM332" s="93"/>
      <c r="BN332" s="93"/>
      <c r="BO332" s="93"/>
      <c r="BP332" s="93"/>
      <c r="BQ332" s="93" t="s">
        <v>251</v>
      </c>
      <c r="BR332" s="93"/>
      <c r="BS332" s="93"/>
      <c r="BT332" s="93"/>
      <c r="BU332" s="93"/>
      <c r="BV332" s="93"/>
      <c r="BW332" s="93"/>
      <c r="BX332" s="93"/>
      <c r="BY332" s="93"/>
      <c r="BZ332" s="93"/>
      <c r="CA332" s="93"/>
      <c r="CB332" s="180"/>
      <c r="CC332" s="178"/>
      <c r="CD332" s="178"/>
      <c r="CE332" s="180"/>
      <c r="CF332" s="180"/>
      <c r="CG332" s="180"/>
      <c r="CH332" s="180"/>
      <c r="CI332" s="178"/>
      <c r="CJ332" s="178"/>
      <c r="CK332" s="180"/>
      <c r="CL332" s="180"/>
      <c r="CM332" s="180"/>
      <c r="CN332" s="116"/>
      <c r="CO332" s="218">
        <f t="shared" si="150"/>
        <v>0</v>
      </c>
      <c r="CP332" s="100">
        <f t="shared" si="151"/>
        <v>0</v>
      </c>
      <c r="CQ332" s="218">
        <f t="shared" si="152"/>
        <v>0</v>
      </c>
      <c r="DF332" s="116"/>
      <c r="DG332" s="116"/>
      <c r="DH332" s="116"/>
      <c r="DI332" s="116"/>
      <c r="DL332" s="116">
        <f>+DE330*DF330*DJ330*DK330*25</f>
        <v>5.6250000000000008E-2</v>
      </c>
      <c r="DN332" s="101">
        <f>+DL332+DM343</f>
        <v>7.0330500000000004E-2</v>
      </c>
    </row>
    <row r="333" spans="15:119" s="101" customFormat="1" ht="18.75" hidden="1" customHeight="1" thickBot="1" x14ac:dyDescent="0.4">
      <c r="O333" s="227" t="s">
        <v>553</v>
      </c>
      <c r="Q333" s="243"/>
      <c r="R333" s="243"/>
      <c r="S333" s="242"/>
      <c r="T333" s="242"/>
      <c r="U333" s="242"/>
      <c r="V333" s="242"/>
      <c r="W333" s="242"/>
      <c r="X333" s="242"/>
      <c r="Y333" s="242"/>
      <c r="Z333" s="242"/>
      <c r="AA333" s="242"/>
      <c r="AB333" s="242"/>
      <c r="AC333" s="242"/>
      <c r="AD333" s="242"/>
      <c r="AE333" s="242"/>
      <c r="AF333" s="242"/>
      <c r="AG333" s="242"/>
      <c r="AH333" s="243"/>
      <c r="AN333" s="241">
        <v>1.1599999999999999</v>
      </c>
      <c r="AO333" s="241">
        <v>0.25</v>
      </c>
      <c r="AP333" s="247">
        <f>(AN333*365)*(AO333*0.67*0.02*1)</f>
        <v>1.41839</v>
      </c>
      <c r="AQ333" s="247">
        <f>(AN333*365)*(AO333*0.67*0.01*1)</f>
        <v>0.70919500000000002</v>
      </c>
      <c r="AR333" s="248"/>
      <c r="AS333" s="247">
        <f>(AN333*365)*(AO333*0.67*0.05*1)</f>
        <v>3.5459749999999999</v>
      </c>
      <c r="AT333" s="247">
        <f>(AN333*365)*(AO333*0.67*0.02*1)</f>
        <v>1.41839</v>
      </c>
      <c r="AU333" s="247">
        <f>(AN333*365)*(AO333*0.67*0.8*1)</f>
        <v>56.735599999999998</v>
      </c>
      <c r="AV333" s="247">
        <f>(AN333*365)*(AO333*0.67*0.8*1)</f>
        <v>56.735599999999998</v>
      </c>
      <c r="AW333" s="247">
        <f>(AN333*365)*(AO333*0.67*0.3*1)</f>
        <v>21.275849999999998</v>
      </c>
      <c r="AX333" s="248"/>
      <c r="AY333" s="93">
        <f>(AN333*365)*(AO333*0.67*0.8*1)</f>
        <v>56.735599999999998</v>
      </c>
      <c r="AZ333" s="93">
        <f t="shared" si="155"/>
        <v>70.919499999999999</v>
      </c>
      <c r="BA333" s="93">
        <f t="shared" si="156"/>
        <v>7.0919499999999998</v>
      </c>
      <c r="BB333" s="93">
        <f t="shared" si="157"/>
        <v>0.35459750000000001</v>
      </c>
      <c r="BC333" s="93">
        <f>(AN333*365)*(AO333*0.67*0.015*1)</f>
        <v>1.0637924999999999</v>
      </c>
      <c r="BD333" s="93">
        <v>0</v>
      </c>
      <c r="BE333" s="93">
        <v>0</v>
      </c>
      <c r="BF333" s="93"/>
      <c r="BG333" s="93"/>
      <c r="BH333" s="93"/>
      <c r="BI333" s="93" t="s">
        <v>470</v>
      </c>
      <c r="BJ333" s="93" t="s">
        <v>471</v>
      </c>
      <c r="BK333" s="93">
        <f>10/1000</f>
        <v>0.01</v>
      </c>
      <c r="BL333" s="93" t="s">
        <v>416</v>
      </c>
      <c r="BM333" s="93">
        <f>0.08/10</f>
        <v>8.0000000000000002E-3</v>
      </c>
      <c r="BN333" s="93">
        <f>20/10</f>
        <v>2</v>
      </c>
      <c r="BO333" s="93" t="s">
        <v>258</v>
      </c>
      <c r="BP333" s="93">
        <f>0.6/1000</f>
        <v>5.9999999999999995E-4</v>
      </c>
      <c r="BQ333" s="93" t="s">
        <v>417</v>
      </c>
      <c r="BR333" s="93">
        <f>0.2/0.6</f>
        <v>0.33333333333333337</v>
      </c>
      <c r="BS333" s="93">
        <f>1.2/0.6</f>
        <v>2</v>
      </c>
      <c r="BT333" s="93" t="s">
        <v>258</v>
      </c>
      <c r="BU333" s="93"/>
      <c r="BV333" s="93"/>
      <c r="BW333" s="93"/>
      <c r="BX333" s="93"/>
      <c r="BY333" s="93"/>
      <c r="BZ333" s="93"/>
      <c r="CA333" s="93"/>
      <c r="CB333" s="180"/>
      <c r="CC333" s="178"/>
      <c r="CD333" s="178"/>
      <c r="CE333" s="180"/>
      <c r="CF333" s="180"/>
      <c r="CG333" s="180"/>
      <c r="CH333" s="180"/>
      <c r="CI333" s="178"/>
      <c r="CJ333" s="178"/>
      <c r="CK333" s="180"/>
      <c r="CL333" s="180"/>
      <c r="CM333" s="180"/>
      <c r="CN333" s="116"/>
      <c r="CO333" s="218">
        <f t="shared" si="150"/>
        <v>8.0000000000000002E-3</v>
      </c>
      <c r="CP333" s="100">
        <f t="shared" si="151"/>
        <v>1.004</v>
      </c>
      <c r="CQ333" s="218">
        <f t="shared" si="152"/>
        <v>2</v>
      </c>
      <c r="CR333" s="101">
        <v>0.9</v>
      </c>
      <c r="CS333" s="101">
        <v>1</v>
      </c>
      <c r="DF333" s="116"/>
      <c r="DG333" s="116"/>
      <c r="DH333" s="116"/>
      <c r="DI333" s="116"/>
      <c r="DL333" s="116"/>
    </row>
    <row r="334" spans="15:119" s="101" customFormat="1" ht="18.75" hidden="1" customHeight="1" thickBot="1" x14ac:dyDescent="0.4">
      <c r="AY334" s="93"/>
      <c r="AZ334" s="93"/>
      <c r="BA334" s="93"/>
      <c r="BB334" s="93"/>
      <c r="BC334" s="93"/>
      <c r="BD334" s="93">
        <v>0</v>
      </c>
      <c r="BE334" s="93"/>
      <c r="BF334" s="93"/>
      <c r="BG334" s="93"/>
      <c r="BH334" s="93"/>
      <c r="BI334" s="93" t="s">
        <v>472</v>
      </c>
      <c r="BJ334" s="93" t="s">
        <v>475</v>
      </c>
      <c r="BK334" s="93">
        <f>4/1000</f>
        <v>4.0000000000000001E-3</v>
      </c>
      <c r="BL334" s="93" t="s">
        <v>416</v>
      </c>
      <c r="BM334" s="93">
        <f>0.03/4</f>
        <v>7.4999999999999997E-3</v>
      </c>
      <c r="BN334" s="93">
        <f>8/4</f>
        <v>2</v>
      </c>
      <c r="BO334" s="93" t="s">
        <v>258</v>
      </c>
      <c r="BP334" s="93">
        <f>0.3/1000</f>
        <v>2.9999999999999997E-4</v>
      </c>
      <c r="BQ334" s="93" t="s">
        <v>417</v>
      </c>
      <c r="BR334" s="93">
        <f>0.06/0.3</f>
        <v>0.2</v>
      </c>
      <c r="BS334" s="93">
        <f>0.6/0.3</f>
        <v>2</v>
      </c>
      <c r="BT334" s="93" t="s">
        <v>258</v>
      </c>
      <c r="BU334" s="93"/>
      <c r="BV334" s="93"/>
      <c r="BW334" s="93"/>
      <c r="BX334" s="93"/>
      <c r="BY334" s="93"/>
      <c r="BZ334" s="93"/>
      <c r="CA334" s="93"/>
      <c r="CB334" s="180"/>
      <c r="CC334" s="178"/>
      <c r="CD334" s="178"/>
      <c r="CE334" s="180"/>
      <c r="CF334" s="180"/>
      <c r="CG334" s="180"/>
      <c r="CH334" s="180"/>
      <c r="CI334" s="178"/>
      <c r="CJ334" s="178"/>
      <c r="CK334" s="180"/>
      <c r="CL334" s="180"/>
      <c r="CM334" s="180"/>
      <c r="CN334" s="116"/>
      <c r="CO334" s="218">
        <f t="shared" si="150"/>
        <v>7.4999999999999997E-3</v>
      </c>
      <c r="CP334" s="100">
        <f t="shared" si="151"/>
        <v>1.0037499999999999</v>
      </c>
      <c r="CQ334" s="218">
        <f t="shared" si="152"/>
        <v>2</v>
      </c>
      <c r="CR334" s="101">
        <v>0.9</v>
      </c>
      <c r="CS334" s="101">
        <v>1</v>
      </c>
      <c r="DF334" s="116"/>
      <c r="DG334" s="116"/>
      <c r="DH334" s="116"/>
      <c r="DI334" s="116"/>
      <c r="DL334" s="116"/>
    </row>
    <row r="335" spans="15:119" s="101" customFormat="1" ht="18.75" hidden="1" customHeight="1" thickBot="1" x14ac:dyDescent="0.4">
      <c r="AY335" s="93"/>
      <c r="AZ335" s="93"/>
      <c r="BA335" s="93"/>
      <c r="BB335" s="93"/>
      <c r="BC335" s="93"/>
      <c r="BD335" s="93"/>
      <c r="BE335" s="93"/>
      <c r="BF335" s="93"/>
      <c r="BG335" s="93"/>
      <c r="BH335" s="93"/>
      <c r="BI335" s="93" t="s">
        <v>473</v>
      </c>
      <c r="BJ335" s="93" t="s">
        <v>471</v>
      </c>
      <c r="BK335" s="93">
        <f>2/1000</f>
        <v>2E-3</v>
      </c>
      <c r="BL335" s="93" t="s">
        <v>416</v>
      </c>
      <c r="BM335" s="93">
        <f>0/2</f>
        <v>0</v>
      </c>
      <c r="BN335" s="93">
        <f>20/2</f>
        <v>10</v>
      </c>
      <c r="BO335" s="93" t="s">
        <v>258</v>
      </c>
      <c r="BP335" s="93">
        <v>0</v>
      </c>
      <c r="BQ335" s="93" t="s">
        <v>417</v>
      </c>
      <c r="BR335" s="93">
        <v>0</v>
      </c>
      <c r="BS335" s="93">
        <v>0</v>
      </c>
      <c r="BT335" s="93" t="s">
        <v>258</v>
      </c>
      <c r="BU335" s="93"/>
      <c r="BV335" s="93"/>
      <c r="BW335" s="93"/>
      <c r="BX335" s="93"/>
      <c r="BY335" s="93"/>
      <c r="BZ335" s="93"/>
      <c r="CA335" s="93"/>
      <c r="CB335" s="180"/>
      <c r="CC335" s="178"/>
      <c r="CD335" s="178"/>
      <c r="CE335" s="180"/>
      <c r="CF335" s="180"/>
      <c r="CG335" s="180"/>
      <c r="CH335" s="180"/>
      <c r="CI335" s="178"/>
      <c r="CJ335" s="178"/>
      <c r="CK335" s="180"/>
      <c r="CL335" s="180"/>
      <c r="CM335" s="180"/>
      <c r="CN335" s="116"/>
      <c r="CO335" s="218">
        <f t="shared" si="150"/>
        <v>0</v>
      </c>
      <c r="CP335" s="100">
        <f t="shared" si="151"/>
        <v>5</v>
      </c>
      <c r="CQ335" s="218">
        <f t="shared" si="152"/>
        <v>10</v>
      </c>
      <c r="CR335" s="101">
        <v>0.9</v>
      </c>
      <c r="CS335" s="101">
        <v>1</v>
      </c>
      <c r="DF335" s="116"/>
      <c r="DG335" s="116"/>
      <c r="DH335" s="116"/>
      <c r="DI335" s="116"/>
      <c r="DL335" s="116"/>
    </row>
    <row r="336" spans="15:119" s="101" customFormat="1" ht="18.75" hidden="1" customHeight="1" thickBot="1" x14ac:dyDescent="0.4">
      <c r="AY336" s="93"/>
      <c r="AZ336" s="93"/>
      <c r="BA336" s="93"/>
      <c r="BB336" s="93" t="s">
        <v>509</v>
      </c>
      <c r="BC336" s="93" t="s">
        <v>510</v>
      </c>
      <c r="BD336" s="93" t="s">
        <v>512</v>
      </c>
      <c r="BE336" s="93"/>
      <c r="BF336" s="93" t="s">
        <v>511</v>
      </c>
      <c r="BG336" s="93"/>
      <c r="BH336" s="93"/>
      <c r="BI336" s="93" t="s">
        <v>474</v>
      </c>
      <c r="BJ336" s="93" t="s">
        <v>475</v>
      </c>
      <c r="BK336" s="93">
        <f>1/1000</f>
        <v>1E-3</v>
      </c>
      <c r="BL336" s="93" t="s">
        <v>416</v>
      </c>
      <c r="BM336" s="93">
        <f>0/2</f>
        <v>0</v>
      </c>
      <c r="BN336" s="93">
        <f>8/1</f>
        <v>8</v>
      </c>
      <c r="BO336" s="93" t="s">
        <v>258</v>
      </c>
      <c r="BP336" s="93">
        <v>0</v>
      </c>
      <c r="BQ336" s="93" t="s">
        <v>417</v>
      </c>
      <c r="BR336" s="93">
        <v>0</v>
      </c>
      <c r="BS336" s="93">
        <v>0</v>
      </c>
      <c r="BT336" s="93" t="s">
        <v>258</v>
      </c>
      <c r="BU336" s="93"/>
      <c r="BV336" s="93"/>
      <c r="BW336" s="93"/>
      <c r="BX336" s="93"/>
      <c r="BY336" s="93"/>
      <c r="BZ336" s="93"/>
      <c r="CA336" s="93"/>
      <c r="CB336" s="180"/>
      <c r="CC336" s="178"/>
      <c r="CD336" s="178"/>
      <c r="CE336" s="180"/>
      <c r="CF336" s="180"/>
      <c r="CG336" s="180"/>
      <c r="CH336" s="180"/>
      <c r="CI336" s="178"/>
      <c r="CJ336" s="178"/>
      <c r="CK336" s="180"/>
      <c r="CL336" s="180"/>
      <c r="CM336" s="180"/>
      <c r="CN336" s="116"/>
      <c r="CO336" s="218">
        <f t="shared" si="150"/>
        <v>0</v>
      </c>
      <c r="CP336" s="100">
        <f t="shared" si="151"/>
        <v>4</v>
      </c>
      <c r="CQ336" s="218">
        <f t="shared" si="152"/>
        <v>8</v>
      </c>
      <c r="CR336" s="101">
        <v>0.9</v>
      </c>
      <c r="CS336" s="101">
        <v>1</v>
      </c>
      <c r="DF336" s="116"/>
      <c r="DG336" s="116"/>
      <c r="DH336" s="116"/>
      <c r="DI336" s="116"/>
      <c r="DL336" s="116"/>
    </row>
    <row r="337" spans="51:117" s="101" customFormat="1" ht="26.25" hidden="1" customHeight="1" thickBot="1" x14ac:dyDescent="0.35">
      <c r="AY337" s="93"/>
      <c r="AZ337" s="93"/>
      <c r="BA337" s="93"/>
      <c r="BB337" s="93">
        <v>50.4</v>
      </c>
      <c r="BC337" s="93">
        <v>22</v>
      </c>
      <c r="BD337" s="93">
        <f>BC337/((BB337*1000*1000)/(1000*1000))</f>
        <v>0.43650793650793651</v>
      </c>
      <c r="BE337" s="93"/>
      <c r="BF337" s="93">
        <v>0.63500999999999996</v>
      </c>
      <c r="BG337" s="93"/>
      <c r="BH337" s="93"/>
      <c r="BI337" s="93" t="s">
        <v>507</v>
      </c>
      <c r="BJ337" s="93" t="s">
        <v>505</v>
      </c>
      <c r="BK337" s="93">
        <f>BD337*BF337</f>
        <v>0.27718690476190477</v>
      </c>
      <c r="BL337" s="93" t="s">
        <v>506</v>
      </c>
      <c r="BM337" s="93">
        <f>0%/5%</f>
        <v>0</v>
      </c>
      <c r="BN337" s="93">
        <f>10%/5%</f>
        <v>2</v>
      </c>
      <c r="BO337" s="93" t="s">
        <v>258</v>
      </c>
      <c r="BP337" s="93">
        <v>0</v>
      </c>
      <c r="BQ337" s="93" t="s">
        <v>508</v>
      </c>
      <c r="BR337" s="93">
        <v>0</v>
      </c>
      <c r="BS337" s="93">
        <v>0</v>
      </c>
      <c r="BT337" s="93" t="s">
        <v>258</v>
      </c>
      <c r="BU337" s="93"/>
      <c r="BV337" s="93"/>
      <c r="BW337" s="93"/>
      <c r="BX337" s="93"/>
      <c r="BY337" s="93"/>
      <c r="BZ337" s="93"/>
      <c r="CA337" s="93"/>
      <c r="CB337" s="180"/>
      <c r="CC337" s="178"/>
      <c r="CD337" s="178"/>
      <c r="CE337" s="180"/>
      <c r="CF337" s="180"/>
      <c r="CG337" s="180"/>
      <c r="CH337" s="180"/>
      <c r="CI337" s="178"/>
      <c r="CJ337" s="178"/>
      <c r="CK337" s="180"/>
      <c r="CL337" s="180"/>
      <c r="CM337" s="180"/>
      <c r="CN337" s="116"/>
      <c r="CO337" s="218">
        <f t="shared" si="150"/>
        <v>0</v>
      </c>
      <c r="CP337" s="100">
        <f t="shared" si="151"/>
        <v>1</v>
      </c>
      <c r="CQ337" s="218">
        <f t="shared" si="152"/>
        <v>2</v>
      </c>
      <c r="DF337" s="116"/>
      <c r="DG337" s="116"/>
      <c r="DH337" s="116"/>
      <c r="DI337" s="116"/>
      <c r="DL337" s="116"/>
    </row>
    <row r="338" spans="51:117" s="101" customFormat="1" ht="18.75" hidden="1" customHeight="1" thickBot="1" x14ac:dyDescent="0.4">
      <c r="AY338" s="93"/>
      <c r="AZ338" s="93"/>
      <c r="BA338" s="93"/>
      <c r="BB338" s="93"/>
      <c r="BC338" s="93"/>
      <c r="BD338" s="93"/>
      <c r="BE338" s="93"/>
      <c r="BF338" s="93"/>
      <c r="BG338" s="93"/>
      <c r="BH338" s="93"/>
      <c r="BI338" s="93" t="s">
        <v>316</v>
      </c>
      <c r="BJ338" s="93" t="s">
        <v>49</v>
      </c>
      <c r="BK338" s="93">
        <f>2.7/1000</f>
        <v>2.7000000000000001E-3</v>
      </c>
      <c r="BL338" s="93" t="s">
        <v>416</v>
      </c>
      <c r="BM338" s="93">
        <f>0.9/2.7</f>
        <v>0.33333333333333331</v>
      </c>
      <c r="BN338" s="93">
        <f>0.9/2.7</f>
        <v>0.33333333333333331</v>
      </c>
      <c r="BO338" s="93" t="s">
        <v>258</v>
      </c>
      <c r="BP338" s="93">
        <f>0.07/1000</f>
        <v>7.0000000000000007E-5</v>
      </c>
      <c r="BQ338" s="93" t="s">
        <v>417</v>
      </c>
      <c r="BR338" s="93">
        <f>0.1/0.07</f>
        <v>1.4285714285714286</v>
      </c>
      <c r="BS338" s="93">
        <f>0.1/0.07</f>
        <v>1.4285714285714286</v>
      </c>
      <c r="BT338" s="93" t="s">
        <v>258</v>
      </c>
      <c r="BU338" s="93"/>
      <c r="BV338" s="93">
        <v>1515</v>
      </c>
      <c r="BW338" s="93" t="s">
        <v>461</v>
      </c>
      <c r="BX338" s="93">
        <f>177/1515</f>
        <v>0.11683168316831684</v>
      </c>
      <c r="BY338" s="93">
        <f>177/1515</f>
        <v>0.11683168316831684</v>
      </c>
      <c r="BZ338" s="93" t="s">
        <v>258</v>
      </c>
      <c r="CA338" s="93"/>
      <c r="CB338" s="180"/>
      <c r="CC338" s="178"/>
      <c r="CD338" s="178"/>
      <c r="CE338" s="180"/>
      <c r="CF338" s="180"/>
      <c r="CG338" s="180"/>
      <c r="CH338" s="180"/>
      <c r="CI338" s="178"/>
      <c r="CJ338" s="178"/>
      <c r="CK338" s="180"/>
      <c r="CL338" s="180"/>
      <c r="CM338" s="180"/>
      <c r="CN338" s="116"/>
      <c r="CO338" s="218">
        <f t="shared" si="150"/>
        <v>0.33333333333333331</v>
      </c>
      <c r="CP338" s="100">
        <f t="shared" si="151"/>
        <v>0.33333333333333331</v>
      </c>
      <c r="CQ338" s="218">
        <f t="shared" si="152"/>
        <v>0.33333333333333331</v>
      </c>
      <c r="DF338" s="116"/>
      <c r="DG338" s="116"/>
      <c r="DH338" s="116"/>
      <c r="DI338" s="116"/>
      <c r="DL338" s="116"/>
    </row>
    <row r="339" spans="51:117" s="101" customFormat="1" ht="18.75" hidden="1" customHeight="1" thickBot="1" x14ac:dyDescent="0.4">
      <c r="AY339" s="93"/>
      <c r="AZ339" s="93"/>
      <c r="BA339" s="93"/>
      <c r="BB339" s="93"/>
      <c r="BC339" s="93"/>
      <c r="BD339" s="93"/>
      <c r="BE339" s="93"/>
      <c r="BF339" s="93"/>
      <c r="BG339" s="93"/>
      <c r="BH339" s="93"/>
      <c r="BI339" s="93" t="s">
        <v>460</v>
      </c>
      <c r="BJ339" s="93" t="s">
        <v>49</v>
      </c>
      <c r="BK339" s="93">
        <f>2.3/1000</f>
        <v>2.3E-3</v>
      </c>
      <c r="BL339" s="93" t="s">
        <v>416</v>
      </c>
      <c r="BM339" s="93">
        <f>0.9/2.3</f>
        <v>0.39130434782608697</v>
      </c>
      <c r="BN339" s="93">
        <f>0.9/2.3</f>
        <v>0.39130434782608697</v>
      </c>
      <c r="BO339" s="93" t="s">
        <v>258</v>
      </c>
      <c r="BP339" s="93">
        <f>0.21/1000</f>
        <v>2.0999999999999998E-4</v>
      </c>
      <c r="BQ339" s="93" t="s">
        <v>417</v>
      </c>
      <c r="BR339" s="93">
        <f>0.1/0.21</f>
        <v>0.47619047619047622</v>
      </c>
      <c r="BS339" s="93">
        <f>0.1/0.21</f>
        <v>0.47619047619047622</v>
      </c>
      <c r="BT339" s="93" t="s">
        <v>258</v>
      </c>
      <c r="BU339" s="93"/>
      <c r="BV339" s="93">
        <v>1613</v>
      </c>
      <c r="BW339" s="93" t="s">
        <v>461</v>
      </c>
      <c r="BX339" s="93">
        <f>95/1613</f>
        <v>5.8896466212027279E-2</v>
      </c>
      <c r="BY339" s="93">
        <f>95/1613</f>
        <v>5.8896466212027279E-2</v>
      </c>
      <c r="BZ339" s="93" t="s">
        <v>258</v>
      </c>
      <c r="CA339" s="93"/>
      <c r="CB339" s="180"/>
      <c r="CC339" s="178"/>
      <c r="CD339" s="178"/>
      <c r="CE339" s="180"/>
      <c r="CF339" s="180"/>
      <c r="CG339" s="180"/>
      <c r="CH339" s="180"/>
      <c r="CI339" s="178"/>
      <c r="CJ339" s="178"/>
      <c r="CK339" s="180"/>
      <c r="CL339" s="180"/>
      <c r="CM339" s="180"/>
      <c r="CN339" s="116"/>
      <c r="CO339" s="218">
        <f t="shared" si="150"/>
        <v>0.39130434782608697</v>
      </c>
      <c r="CP339" s="100">
        <f t="shared" si="151"/>
        <v>0.39130434782608697</v>
      </c>
      <c r="CQ339" s="218">
        <f t="shared" si="152"/>
        <v>0.39130434782608697</v>
      </c>
      <c r="DF339" s="116"/>
      <c r="DG339" s="116"/>
      <c r="DH339" s="116"/>
      <c r="DI339" s="116"/>
      <c r="DL339" s="116"/>
    </row>
    <row r="340" spans="51:117" s="101" customFormat="1" ht="15" hidden="1" customHeight="1" x14ac:dyDescent="0.25">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180"/>
      <c r="CC340" s="178"/>
      <c r="CD340" s="178"/>
      <c r="CE340" s="180"/>
      <c r="CF340" s="180"/>
      <c r="CG340" s="180"/>
      <c r="CH340" s="180"/>
      <c r="CI340" s="178"/>
      <c r="CJ340" s="178"/>
      <c r="CK340" s="180"/>
      <c r="CL340" s="180"/>
      <c r="CM340" s="180"/>
      <c r="CN340" s="116"/>
      <c r="CO340" s="218">
        <f t="shared" si="150"/>
        <v>0</v>
      </c>
      <c r="CP340" s="100">
        <f t="shared" si="151"/>
        <v>0</v>
      </c>
      <c r="CQ340" s="218">
        <f t="shared" si="152"/>
        <v>0</v>
      </c>
      <c r="DF340" s="116"/>
      <c r="DG340" s="116"/>
      <c r="DH340" s="116"/>
      <c r="DI340" s="116"/>
      <c r="DK340" s="101" t="s">
        <v>109</v>
      </c>
      <c r="DL340" s="101" t="s">
        <v>110</v>
      </c>
      <c r="DM340" s="101" t="s">
        <v>107</v>
      </c>
    </row>
    <row r="341" spans="51:117" s="101" customFormat="1" ht="15" hidden="1" customHeight="1" x14ac:dyDescent="0.25">
      <c r="AY341" s="93"/>
      <c r="AZ341" s="93"/>
      <c r="BA341" s="93"/>
      <c r="BB341" s="93"/>
      <c r="BC341" s="93"/>
      <c r="BD341" s="93"/>
      <c r="BE341" s="93"/>
      <c r="BF341" s="93"/>
      <c r="BG341" s="93"/>
      <c r="BH341" s="93"/>
      <c r="BI341" s="93"/>
      <c r="BJ341" s="93"/>
      <c r="BK341" s="93"/>
      <c r="BL341" s="93"/>
      <c r="BM341" s="93"/>
      <c r="BN341" s="93"/>
      <c r="BO341" s="93"/>
      <c r="BP341" s="93"/>
      <c r="BQ341" s="93"/>
      <c r="BR341" s="93"/>
      <c r="BS341" s="93"/>
      <c r="BT341" s="93"/>
      <c r="BU341" s="93"/>
      <c r="BV341" s="93"/>
      <c r="BW341" s="93"/>
      <c r="BX341" s="93"/>
      <c r="BY341" s="93"/>
      <c r="BZ341" s="93"/>
      <c r="CA341" s="93"/>
      <c r="CB341" s="180"/>
      <c r="CC341" s="178"/>
      <c r="CD341" s="178"/>
      <c r="CE341" s="180"/>
      <c r="CF341" s="180"/>
      <c r="CG341" s="180"/>
      <c r="CH341" s="180"/>
      <c r="CI341" s="178"/>
      <c r="CJ341" s="178"/>
      <c r="CK341" s="180"/>
      <c r="CL341" s="180"/>
      <c r="CM341" s="180"/>
      <c r="CN341" s="116"/>
      <c r="CO341" s="218">
        <f t="shared" si="150"/>
        <v>0</v>
      </c>
      <c r="CP341" s="100">
        <f t="shared" si="151"/>
        <v>0</v>
      </c>
      <c r="CQ341" s="218">
        <f t="shared" si="152"/>
        <v>0</v>
      </c>
      <c r="DF341" s="116"/>
      <c r="DG341" s="116"/>
      <c r="DH341" s="116"/>
      <c r="DI341" s="116"/>
      <c r="DK341" s="101">
        <v>1.4999999999999999E-2</v>
      </c>
      <c r="DL341" s="101">
        <v>7.0000000000000001E-3</v>
      </c>
      <c r="DM341" s="101">
        <f>+DE330*DF330*DJ330*DK341*DL341*310</f>
        <v>1.4647500000000001E-2</v>
      </c>
    </row>
    <row r="342" spans="51:117" s="101" customFormat="1" ht="15" hidden="1" customHeight="1" x14ac:dyDescent="0.25">
      <c r="AY342" s="93"/>
      <c r="AZ342" s="93"/>
      <c r="BA342" s="93"/>
      <c r="BB342" s="93"/>
      <c r="BC342" s="93"/>
      <c r="BD342" s="93"/>
      <c r="BE342" s="93"/>
      <c r="BF342" s="93"/>
      <c r="BG342" s="93"/>
      <c r="BH342" s="93"/>
      <c r="BI342" s="93" t="s">
        <v>261</v>
      </c>
      <c r="BJ342" s="93"/>
      <c r="BK342" s="93" t="s">
        <v>282</v>
      </c>
      <c r="BL342" s="93"/>
      <c r="BM342" s="93" t="s">
        <v>233</v>
      </c>
      <c r="BN342" s="93" t="s">
        <v>233</v>
      </c>
      <c r="BO342" s="93" t="s">
        <v>240</v>
      </c>
      <c r="BP342" s="93"/>
      <c r="BQ342" s="93"/>
      <c r="BR342" s="93"/>
      <c r="BS342" s="93"/>
      <c r="BT342" s="93"/>
      <c r="BU342" s="93"/>
      <c r="BV342" s="93"/>
      <c r="BW342" s="93"/>
      <c r="BX342" s="93"/>
      <c r="BY342" s="93"/>
      <c r="BZ342" s="93"/>
      <c r="CA342" s="93"/>
      <c r="CB342" s="180"/>
      <c r="CC342" s="178"/>
      <c r="CD342" s="178"/>
      <c r="CE342" s="180"/>
      <c r="CF342" s="180"/>
      <c r="CG342" s="180"/>
      <c r="CH342" s="180"/>
      <c r="CI342" s="178"/>
      <c r="CJ342" s="178"/>
      <c r="CK342" s="180"/>
      <c r="CL342" s="180"/>
      <c r="CM342" s="180"/>
      <c r="CN342" s="116"/>
      <c r="CO342" s="218" t="str">
        <f t="shared" si="150"/>
        <v>Incertidumbre (+/- %)</v>
      </c>
      <c r="CP342" s="100" t="e">
        <f t="shared" si="151"/>
        <v>#VALUE!</v>
      </c>
      <c r="CQ342" s="218" t="str">
        <f t="shared" si="152"/>
        <v>Incertidumbre (+/- %)</v>
      </c>
      <c r="DF342" s="116"/>
      <c r="DG342" s="116"/>
      <c r="DH342" s="116"/>
      <c r="DI342" s="116"/>
    </row>
    <row r="343" spans="51:117" s="101" customFormat="1" ht="15.75" hidden="1" customHeight="1" thickBot="1" x14ac:dyDescent="0.3">
      <c r="AY343" s="93"/>
      <c r="AZ343" s="93"/>
      <c r="BA343" s="93"/>
      <c r="BB343" s="93"/>
      <c r="BC343" s="93"/>
      <c r="BD343" s="93"/>
      <c r="BE343" s="93"/>
      <c r="BF343" s="93"/>
      <c r="BG343" s="93"/>
      <c r="BH343" s="93"/>
      <c r="BI343" s="93"/>
      <c r="BJ343" s="93" t="s">
        <v>253</v>
      </c>
      <c r="BK343" s="93"/>
      <c r="BL343" s="93" t="s">
        <v>251</v>
      </c>
      <c r="BM343" s="93"/>
      <c r="BN343" s="93"/>
      <c r="BO343" s="93"/>
      <c r="BP343" s="93"/>
      <c r="BQ343" s="93"/>
      <c r="BR343" s="93"/>
      <c r="BS343" s="93"/>
      <c r="BT343" s="93"/>
      <c r="BU343" s="93"/>
      <c r="BV343" s="93"/>
      <c r="BW343" s="93"/>
      <c r="BX343" s="93"/>
      <c r="BY343" s="93"/>
      <c r="BZ343" s="93"/>
      <c r="CA343" s="93"/>
      <c r="CB343" s="180"/>
      <c r="CC343" s="178"/>
      <c r="CD343" s="178"/>
      <c r="CE343" s="180"/>
      <c r="CF343" s="180"/>
      <c r="CG343" s="180"/>
      <c r="CH343" s="180"/>
      <c r="CI343" s="178"/>
      <c r="CJ343" s="178"/>
      <c r="CK343" s="180"/>
      <c r="CL343" s="180"/>
      <c r="CM343" s="180"/>
      <c r="CN343" s="116"/>
      <c r="CO343" s="218">
        <f t="shared" si="150"/>
        <v>0</v>
      </c>
      <c r="CP343" s="100">
        <f t="shared" si="151"/>
        <v>0</v>
      </c>
      <c r="CQ343" s="218">
        <f t="shared" si="152"/>
        <v>0</v>
      </c>
      <c r="DF343" s="116"/>
      <c r="DG343" s="116"/>
      <c r="DH343" s="116"/>
      <c r="DI343" s="116"/>
      <c r="DM343" s="101">
        <f>+DE330*DF330*DJ330*DK341*DL341*298</f>
        <v>1.4080500000000001E-2</v>
      </c>
    </row>
    <row r="344" spans="51:117" s="101" customFormat="1" ht="18.75" hidden="1" customHeight="1" thickBot="1" x14ac:dyDescent="0.4">
      <c r="AY344" s="93"/>
      <c r="AZ344" s="93"/>
      <c r="BA344" s="93"/>
      <c r="BB344" s="93"/>
      <c r="BC344" s="93"/>
      <c r="BD344" s="93"/>
      <c r="BE344" s="93"/>
      <c r="BF344" s="93"/>
      <c r="BG344" s="93"/>
      <c r="BH344" s="93"/>
      <c r="BI344" s="93" t="s">
        <v>450</v>
      </c>
      <c r="BJ344" s="93" t="s">
        <v>419</v>
      </c>
      <c r="BK344" s="93">
        <v>3.6666999999999998E-2</v>
      </c>
      <c r="BL344" s="93" t="s">
        <v>453</v>
      </c>
      <c r="BM344" s="93">
        <v>0.1</v>
      </c>
      <c r="BN344" s="93">
        <v>3</v>
      </c>
      <c r="BO344" s="93" t="s">
        <v>258</v>
      </c>
      <c r="BP344" s="93"/>
      <c r="BQ344" s="93"/>
      <c r="BR344" s="93"/>
      <c r="BS344" s="93"/>
      <c r="BT344" s="93"/>
      <c r="BU344" s="93"/>
      <c r="BV344" s="93"/>
      <c r="BW344" s="93"/>
      <c r="BX344" s="93"/>
      <c r="BY344" s="93"/>
      <c r="BZ344" s="93"/>
      <c r="CA344" s="93"/>
      <c r="CB344" s="180"/>
      <c r="CC344" s="178"/>
      <c r="CD344" s="178"/>
      <c r="CE344" s="180"/>
      <c r="CF344" s="180"/>
      <c r="CG344" s="180"/>
      <c r="CH344" s="180"/>
      <c r="CI344" s="178"/>
      <c r="CJ344" s="178"/>
      <c r="CK344" s="180"/>
      <c r="CL344" s="180"/>
      <c r="CM344" s="180"/>
      <c r="CN344" s="116"/>
      <c r="CO344" s="218">
        <f t="shared" si="150"/>
        <v>0.1</v>
      </c>
      <c r="CP344" s="100">
        <f t="shared" si="151"/>
        <v>1.55</v>
      </c>
      <c r="CQ344" s="218">
        <f t="shared" si="152"/>
        <v>3</v>
      </c>
      <c r="DF344" s="116"/>
      <c r="DG344" s="116"/>
      <c r="DH344" s="116"/>
      <c r="DI344" s="116"/>
    </row>
    <row r="345" spans="51:117" s="101" customFormat="1" ht="18.75" hidden="1" customHeight="1" thickBot="1" x14ac:dyDescent="0.4">
      <c r="AY345" s="93"/>
      <c r="AZ345" s="93"/>
      <c r="BA345" s="93"/>
      <c r="BB345" s="93"/>
      <c r="BC345" s="93"/>
      <c r="BD345" s="93"/>
      <c r="BE345" s="93"/>
      <c r="BF345" s="93"/>
      <c r="BG345" s="93"/>
      <c r="BH345" s="93"/>
      <c r="BI345" s="93" t="s">
        <v>451</v>
      </c>
      <c r="BJ345" s="93" t="s">
        <v>419</v>
      </c>
      <c r="BK345" s="93">
        <v>7.3332999999999995E-2</v>
      </c>
      <c r="BL345" s="93" t="s">
        <v>453</v>
      </c>
      <c r="BM345" s="93">
        <v>0.35</v>
      </c>
      <c r="BN345" s="93">
        <v>3</v>
      </c>
      <c r="BO345" s="93" t="s">
        <v>258</v>
      </c>
      <c r="BP345" s="93"/>
      <c r="BQ345" s="93"/>
      <c r="BR345" s="93"/>
      <c r="BS345" s="93"/>
      <c r="BT345" s="93"/>
      <c r="BU345" s="93"/>
      <c r="BV345" s="93"/>
      <c r="BW345" s="93"/>
      <c r="BX345" s="93"/>
      <c r="BY345" s="93"/>
      <c r="BZ345" s="93"/>
      <c r="CA345" s="93"/>
      <c r="CB345" s="180"/>
      <c r="CC345" s="178"/>
      <c r="CD345" s="178"/>
      <c r="CE345" s="180"/>
      <c r="CF345" s="180"/>
      <c r="CG345" s="180"/>
      <c r="CH345" s="180"/>
      <c r="CI345" s="178"/>
      <c r="CJ345" s="178"/>
      <c r="CK345" s="180"/>
      <c r="CL345" s="180"/>
      <c r="CM345" s="180"/>
      <c r="CN345" s="116"/>
      <c r="CO345" s="218">
        <f t="shared" si="150"/>
        <v>0.35</v>
      </c>
      <c r="CP345" s="100">
        <f t="shared" si="151"/>
        <v>1.675</v>
      </c>
      <c r="CQ345" s="218">
        <f t="shared" si="152"/>
        <v>3</v>
      </c>
      <c r="DF345" s="116"/>
      <c r="DG345" s="116"/>
      <c r="DH345" s="116"/>
      <c r="DI345" s="116"/>
    </row>
    <row r="346" spans="51:117" s="101" customFormat="1" ht="18.75" hidden="1" customHeight="1" thickBot="1" x14ac:dyDescent="0.4">
      <c r="AY346" s="93"/>
      <c r="AZ346" s="93"/>
      <c r="BA346" s="93"/>
      <c r="BB346" s="93"/>
      <c r="BC346" s="93"/>
      <c r="BD346" s="93"/>
      <c r="BE346" s="93"/>
      <c r="BF346" s="93"/>
      <c r="BG346" s="93"/>
      <c r="BH346" s="93"/>
      <c r="BI346" s="93" t="s">
        <v>452</v>
      </c>
      <c r="BJ346" s="93" t="s">
        <v>419</v>
      </c>
      <c r="BK346" s="93">
        <v>3.6666999999999998E-2</v>
      </c>
      <c r="BL346" s="93" t="s">
        <v>453</v>
      </c>
      <c r="BM346" s="93">
        <v>0.33329999999999999</v>
      </c>
      <c r="BN346" s="93">
        <v>3</v>
      </c>
      <c r="BO346" s="93" t="s">
        <v>258</v>
      </c>
      <c r="BP346" s="93"/>
      <c r="BQ346" s="93"/>
      <c r="BR346" s="93"/>
      <c r="BS346" s="93"/>
      <c r="BT346" s="93"/>
      <c r="BU346" s="93"/>
      <c r="BV346" s="93"/>
      <c r="BW346" s="93"/>
      <c r="BX346" s="93"/>
      <c r="BY346" s="93"/>
      <c r="BZ346" s="93"/>
      <c r="CA346" s="93"/>
      <c r="CB346" s="180"/>
      <c r="CC346" s="178"/>
      <c r="CD346" s="178"/>
      <c r="CE346" s="180"/>
      <c r="CF346" s="180"/>
      <c r="CG346" s="180"/>
      <c r="CH346" s="180"/>
      <c r="CI346" s="178"/>
      <c r="CJ346" s="178"/>
      <c r="CK346" s="180"/>
      <c r="CL346" s="180"/>
      <c r="CM346" s="180"/>
      <c r="CN346" s="116"/>
      <c r="CO346" s="218">
        <f t="shared" ref="CO346:CO409" si="170">BM346</f>
        <v>0.33329999999999999</v>
      </c>
      <c r="CP346" s="100">
        <f t="shared" ref="CP346:CP409" si="171">(CO346+CQ346)/2</f>
        <v>1.66665</v>
      </c>
      <c r="CQ346" s="218">
        <f t="shared" ref="CQ346:CQ409" si="172">BN346</f>
        <v>3</v>
      </c>
      <c r="DF346" s="116"/>
      <c r="DG346" s="116"/>
      <c r="DH346" s="116"/>
      <c r="DI346" s="116"/>
    </row>
    <row r="347" spans="51:117" s="101" customFormat="1" ht="18.75" hidden="1" customHeight="1" thickBot="1" x14ac:dyDescent="0.4">
      <c r="AY347" s="93"/>
      <c r="AZ347" s="93"/>
      <c r="BA347" s="93"/>
      <c r="BB347" s="93"/>
      <c r="BC347" s="93"/>
      <c r="BD347" s="93"/>
      <c r="BE347" s="93"/>
      <c r="BF347" s="93"/>
      <c r="BG347" s="93"/>
      <c r="BH347" s="93"/>
      <c r="BI347" s="93" t="s">
        <v>449</v>
      </c>
      <c r="BJ347" s="93" t="s">
        <v>419</v>
      </c>
      <c r="BK347" s="93">
        <v>1.0999999999999999E-2</v>
      </c>
      <c r="BL347" s="93" t="s">
        <v>453</v>
      </c>
      <c r="BM347" s="93">
        <v>0.01</v>
      </c>
      <c r="BN347" s="93">
        <v>2</v>
      </c>
      <c r="BO347" s="93" t="s">
        <v>258</v>
      </c>
      <c r="BP347" s="93"/>
      <c r="BQ347" s="93">
        <v>3.3525000000000005</v>
      </c>
      <c r="BR347" s="93" t="s">
        <v>420</v>
      </c>
      <c r="BS347" s="93"/>
      <c r="BT347" s="93"/>
      <c r="BU347" s="93"/>
      <c r="BV347" s="93"/>
      <c r="BW347" s="93"/>
      <c r="BX347" s="93"/>
      <c r="BY347" s="93"/>
      <c r="BZ347" s="93"/>
      <c r="CA347" s="93"/>
      <c r="CB347" s="180"/>
      <c r="CC347" s="178"/>
      <c r="CD347" s="178"/>
      <c r="CE347" s="180"/>
      <c r="CF347" s="180"/>
      <c r="CG347" s="180"/>
      <c r="CH347" s="180"/>
      <c r="CI347" s="178"/>
      <c r="CJ347" s="178"/>
      <c r="CK347" s="180"/>
      <c r="CL347" s="180"/>
      <c r="CM347" s="180"/>
      <c r="CN347" s="116"/>
      <c r="CO347" s="218">
        <f t="shared" si="170"/>
        <v>0.01</v>
      </c>
      <c r="CP347" s="100">
        <f t="shared" si="171"/>
        <v>1.0049999999999999</v>
      </c>
      <c r="CQ347" s="218">
        <f t="shared" si="172"/>
        <v>2</v>
      </c>
      <c r="DF347" s="116"/>
      <c r="DG347" s="116"/>
      <c r="DH347" s="116"/>
      <c r="DI347" s="116"/>
    </row>
    <row r="348" spans="51:117" s="101" customFormat="1" ht="18.75" hidden="1" customHeight="1" thickBot="1" x14ac:dyDescent="0.4">
      <c r="AY348" s="93"/>
      <c r="AZ348" s="93"/>
      <c r="BA348" s="93"/>
      <c r="BB348" s="93"/>
      <c r="BC348" s="93"/>
      <c r="BD348" s="93"/>
      <c r="BE348" s="93"/>
      <c r="BF348" s="93"/>
      <c r="BG348" s="93"/>
      <c r="BH348" s="93"/>
      <c r="BI348" s="93" t="s">
        <v>456</v>
      </c>
      <c r="BJ348" s="93" t="s">
        <v>455</v>
      </c>
      <c r="BK348" s="93">
        <f>0.12*(44/12)</f>
        <v>0.43999999999999995</v>
      </c>
      <c r="BL348" s="93" t="s">
        <v>454</v>
      </c>
      <c r="BM348" s="93">
        <v>0.01</v>
      </c>
      <c r="BN348" s="93">
        <v>0.5</v>
      </c>
      <c r="BO348" s="93" t="s">
        <v>258</v>
      </c>
      <c r="BP348" s="93"/>
      <c r="BQ348" s="93"/>
      <c r="BR348" s="93"/>
      <c r="BS348" s="93"/>
      <c r="BT348" s="93"/>
      <c r="BU348" s="93"/>
      <c r="BV348" s="93"/>
      <c r="BW348" s="93"/>
      <c r="BX348" s="93"/>
      <c r="BY348" s="93"/>
      <c r="BZ348" s="93"/>
      <c r="CA348" s="93"/>
      <c r="CB348" s="180"/>
      <c r="CC348" s="178"/>
      <c r="CD348" s="178"/>
      <c r="CE348" s="180"/>
      <c r="CF348" s="180"/>
      <c r="CG348" s="180"/>
      <c r="CH348" s="180"/>
      <c r="CI348" s="178"/>
      <c r="CJ348" s="178"/>
      <c r="CK348" s="180"/>
      <c r="CL348" s="180"/>
      <c r="CM348" s="180"/>
      <c r="CN348" s="116"/>
      <c r="CO348" s="218">
        <f t="shared" si="170"/>
        <v>0.01</v>
      </c>
      <c r="CP348" s="100">
        <f t="shared" si="171"/>
        <v>0.255</v>
      </c>
      <c r="CQ348" s="218">
        <f t="shared" si="172"/>
        <v>0.5</v>
      </c>
      <c r="DF348" s="116"/>
      <c r="DG348" s="116"/>
      <c r="DH348" s="116"/>
      <c r="DI348" s="116"/>
    </row>
    <row r="349" spans="51:117" s="101" customFormat="1" ht="18.75" hidden="1" customHeight="1" thickBot="1" x14ac:dyDescent="0.4">
      <c r="AY349" s="93"/>
      <c r="AZ349" s="93"/>
      <c r="BA349" s="93"/>
      <c r="BB349" s="93"/>
      <c r="BC349" s="93"/>
      <c r="BD349" s="93"/>
      <c r="BE349" s="93"/>
      <c r="BF349" s="93"/>
      <c r="BG349" s="93"/>
      <c r="BH349" s="93"/>
      <c r="BI349" s="93" t="s">
        <v>457</v>
      </c>
      <c r="BJ349" s="93" t="s">
        <v>455</v>
      </c>
      <c r="BK349" s="93">
        <f>0.13*(44/12)</f>
        <v>0.47666666666666668</v>
      </c>
      <c r="BL349" s="93" t="s">
        <v>454</v>
      </c>
      <c r="BM349" s="93">
        <v>0.01</v>
      </c>
      <c r="BN349" s="93">
        <v>0.5</v>
      </c>
      <c r="BO349" s="93" t="s">
        <v>258</v>
      </c>
      <c r="BP349" s="93"/>
      <c r="BQ349" s="93"/>
      <c r="BR349" s="93"/>
      <c r="BS349" s="93"/>
      <c r="BT349" s="93"/>
      <c r="BU349" s="93"/>
      <c r="BV349" s="93"/>
      <c r="BW349" s="93"/>
      <c r="BX349" s="93"/>
      <c r="BY349" s="93"/>
      <c r="BZ349" s="93"/>
      <c r="CA349" s="93"/>
      <c r="CB349" s="180"/>
      <c r="CC349" s="178"/>
      <c r="CD349" s="178"/>
      <c r="CE349" s="180"/>
      <c r="CF349" s="180"/>
      <c r="CG349" s="180"/>
      <c r="CH349" s="180"/>
      <c r="CI349" s="178"/>
      <c r="CJ349" s="178"/>
      <c r="CK349" s="180"/>
      <c r="CL349" s="180"/>
      <c r="CM349" s="180"/>
      <c r="CN349" s="116"/>
      <c r="CO349" s="218">
        <f t="shared" si="170"/>
        <v>0.01</v>
      </c>
      <c r="CP349" s="100">
        <f t="shared" si="171"/>
        <v>0.255</v>
      </c>
      <c r="CQ349" s="218">
        <f t="shared" si="172"/>
        <v>0.5</v>
      </c>
      <c r="DF349" s="116"/>
      <c r="DG349" s="116"/>
      <c r="DH349" s="116"/>
      <c r="DI349" s="116"/>
    </row>
    <row r="350" spans="51:117" s="101" customFormat="1" ht="18.75" hidden="1" customHeight="1" thickBot="1" x14ac:dyDescent="0.4">
      <c r="AY350" s="93"/>
      <c r="AZ350" s="93"/>
      <c r="BA350" s="93"/>
      <c r="BB350" s="93"/>
      <c r="BC350" s="93"/>
      <c r="BD350" s="93"/>
      <c r="BE350" s="93"/>
      <c r="BF350" s="93"/>
      <c r="BG350" s="93"/>
      <c r="BH350" s="93"/>
      <c r="BI350" s="93" t="s">
        <v>493</v>
      </c>
      <c r="BJ350" s="93" t="s">
        <v>458</v>
      </c>
      <c r="BK350" s="93">
        <f>0.2*(44/12)</f>
        <v>0.73333333333333339</v>
      </c>
      <c r="BL350" s="93" t="s">
        <v>459</v>
      </c>
      <c r="BM350" s="93">
        <v>0.01</v>
      </c>
      <c r="BN350" s="93">
        <v>0.5</v>
      </c>
      <c r="BO350" s="93" t="s">
        <v>258</v>
      </c>
      <c r="BP350" s="93"/>
      <c r="BQ350" s="93"/>
      <c r="BR350" s="93"/>
      <c r="BS350" s="93"/>
      <c r="BT350" s="93"/>
      <c r="BU350" s="93"/>
      <c r="BV350" s="93"/>
      <c r="BW350" s="93"/>
      <c r="BX350" s="93"/>
      <c r="BY350" s="93"/>
      <c r="BZ350" s="93"/>
      <c r="CA350" s="93"/>
      <c r="CB350" s="180"/>
      <c r="CC350" s="178"/>
      <c r="CD350" s="178"/>
      <c r="CE350" s="180"/>
      <c r="CF350" s="180"/>
      <c r="CG350" s="180"/>
      <c r="CH350" s="180"/>
      <c r="CI350" s="178"/>
      <c r="CJ350" s="178"/>
      <c r="CK350" s="180"/>
      <c r="CL350" s="180"/>
      <c r="CM350" s="180"/>
      <c r="CN350" s="116"/>
      <c r="CO350" s="218">
        <f t="shared" si="170"/>
        <v>0.01</v>
      </c>
      <c r="CP350" s="100">
        <f t="shared" si="171"/>
        <v>0.255</v>
      </c>
      <c r="CQ350" s="218">
        <f t="shared" si="172"/>
        <v>0.5</v>
      </c>
      <c r="CR350" s="101">
        <v>0.5</v>
      </c>
      <c r="CS350" s="101">
        <v>1</v>
      </c>
      <c r="DF350" s="116"/>
      <c r="DG350" s="116"/>
      <c r="DH350" s="116"/>
      <c r="DI350" s="116"/>
    </row>
    <row r="351" spans="51:117" s="101" customFormat="1" ht="15" hidden="1" customHeight="1" x14ac:dyDescent="0.25">
      <c r="AY351" s="93"/>
      <c r="AZ351" s="93"/>
      <c r="BA351" s="93"/>
      <c r="BB351" s="93"/>
      <c r="BC351" s="93"/>
      <c r="BD351" s="93"/>
      <c r="BE351" s="93"/>
      <c r="BF351" s="93"/>
      <c r="BG351" s="93"/>
      <c r="BH351" s="93"/>
      <c r="BI351" s="93"/>
      <c r="BJ351" s="93"/>
      <c r="BK351" s="93"/>
      <c r="BL351" s="93"/>
      <c r="BM351" s="93"/>
      <c r="BN351" s="93"/>
      <c r="BO351" s="93"/>
      <c r="BP351" s="93"/>
      <c r="BQ351" s="93"/>
      <c r="BR351" s="93"/>
      <c r="BS351" s="93"/>
      <c r="BT351" s="93"/>
      <c r="BU351" s="93"/>
      <c r="BV351" s="93"/>
      <c r="BW351" s="93"/>
      <c r="BX351" s="93"/>
      <c r="BY351" s="93"/>
      <c r="BZ351" s="93"/>
      <c r="CA351" s="93"/>
      <c r="CB351" s="180"/>
      <c r="CC351" s="178"/>
      <c r="CD351" s="178"/>
      <c r="CE351" s="180"/>
      <c r="CF351" s="180"/>
      <c r="CG351" s="180"/>
      <c r="CH351" s="180"/>
      <c r="CI351" s="178"/>
      <c r="CJ351" s="178"/>
      <c r="CK351" s="180"/>
      <c r="CL351" s="180"/>
      <c r="CM351" s="180"/>
      <c r="CN351" s="116"/>
      <c r="CO351" s="218">
        <f t="shared" si="170"/>
        <v>0</v>
      </c>
      <c r="CP351" s="100">
        <f t="shared" si="171"/>
        <v>0</v>
      </c>
      <c r="CQ351" s="218">
        <f t="shared" si="172"/>
        <v>0</v>
      </c>
      <c r="DB351" s="101" t="s">
        <v>111</v>
      </c>
      <c r="DC351" s="101" t="s">
        <v>112</v>
      </c>
      <c r="DE351" s="101" t="s">
        <v>103</v>
      </c>
      <c r="DF351" s="116" t="s">
        <v>113</v>
      </c>
      <c r="DG351" s="116"/>
      <c r="DH351" s="116"/>
      <c r="DI351" s="116"/>
      <c r="DK351" s="101" t="s">
        <v>114</v>
      </c>
      <c r="DL351" s="124" t="s">
        <v>115</v>
      </c>
      <c r="DM351" s="115" t="s">
        <v>107</v>
      </c>
    </row>
    <row r="352" spans="51:117" s="101" customFormat="1" ht="15" hidden="1" customHeight="1" x14ac:dyDescent="0.25">
      <c r="AY352" s="93"/>
      <c r="AZ352" s="93"/>
      <c r="BA352" s="93"/>
      <c r="BB352" s="93"/>
      <c r="BC352" s="93"/>
      <c r="BD352" s="93"/>
      <c r="BE352" s="93"/>
      <c r="BF352" s="93"/>
      <c r="BG352" s="93"/>
      <c r="BH352" s="93"/>
      <c r="BI352" s="93"/>
      <c r="BJ352" s="93"/>
      <c r="BK352" s="93"/>
      <c r="BL352" s="93"/>
      <c r="BM352" s="93"/>
      <c r="BN352" s="93"/>
      <c r="BO352" s="93"/>
      <c r="BP352" s="93"/>
      <c r="BQ352" s="93"/>
      <c r="BR352" s="93"/>
      <c r="BS352" s="93"/>
      <c r="BT352" s="93"/>
      <c r="BU352" s="93"/>
      <c r="BV352" s="93"/>
      <c r="BW352" s="93"/>
      <c r="BX352" s="93"/>
      <c r="BY352" s="93"/>
      <c r="BZ352" s="93"/>
      <c r="CA352" s="93"/>
      <c r="CB352" s="180"/>
      <c r="CC352" s="178"/>
      <c r="CD352" s="178"/>
      <c r="CE352" s="180"/>
      <c r="CF352" s="180"/>
      <c r="CG352" s="180"/>
      <c r="CH352" s="180"/>
      <c r="CI352" s="178"/>
      <c r="CJ352" s="178"/>
      <c r="CK352" s="180"/>
      <c r="CL352" s="180"/>
      <c r="CM352" s="180"/>
      <c r="CN352" s="116"/>
      <c r="CO352" s="218">
        <f t="shared" si="170"/>
        <v>0</v>
      </c>
      <c r="CP352" s="100">
        <f t="shared" si="171"/>
        <v>0</v>
      </c>
      <c r="CQ352" s="218">
        <f t="shared" si="172"/>
        <v>0</v>
      </c>
      <c r="DA352" s="101" t="s">
        <v>9</v>
      </c>
      <c r="DC352" s="101">
        <f>+DM352</f>
        <v>3.4875000000000003</v>
      </c>
      <c r="DE352" s="101">
        <v>1</v>
      </c>
      <c r="DF352" s="116">
        <v>0.9</v>
      </c>
      <c r="DG352" s="116"/>
      <c r="DH352" s="116"/>
      <c r="DI352" s="116"/>
      <c r="DK352" s="101">
        <v>1.2500000000000001E-2</v>
      </c>
      <c r="DL352" s="101">
        <v>310</v>
      </c>
      <c r="DM352" s="101">
        <f>+DF352*DK352*DL352</f>
        <v>3.4875000000000003</v>
      </c>
    </row>
    <row r="353" spans="51:119" s="101" customFormat="1" ht="15" hidden="1" customHeight="1" x14ac:dyDescent="0.25">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180"/>
      <c r="CC353" s="178"/>
      <c r="CD353" s="178"/>
      <c r="CE353" s="180"/>
      <c r="CF353" s="180"/>
      <c r="CG353" s="180"/>
      <c r="CH353" s="180"/>
      <c r="CI353" s="178"/>
      <c r="CJ353" s="178"/>
      <c r="CK353" s="180"/>
      <c r="CL353" s="180"/>
      <c r="CM353" s="180"/>
      <c r="CN353" s="116"/>
      <c r="CO353" s="218">
        <f t="shared" si="170"/>
        <v>0</v>
      </c>
      <c r="CP353" s="100">
        <f t="shared" si="171"/>
        <v>0</v>
      </c>
      <c r="CQ353" s="218">
        <f t="shared" si="172"/>
        <v>0</v>
      </c>
      <c r="DF353" s="116"/>
      <c r="DG353" s="116"/>
      <c r="DH353" s="116"/>
      <c r="DI353" s="116"/>
      <c r="DL353" s="101">
        <v>298</v>
      </c>
      <c r="DM353" s="101">
        <f>+DF352*DK352*DL353</f>
        <v>3.3525000000000005</v>
      </c>
    </row>
    <row r="354" spans="51:119" s="101" customFormat="1" ht="15" hidden="1" customHeight="1" x14ac:dyDescent="0.25">
      <c r="AY354" s="93"/>
      <c r="AZ354" s="93"/>
      <c r="BA354" s="93"/>
      <c r="BB354" s="93"/>
      <c r="BC354" s="93"/>
      <c r="BD354" s="93"/>
      <c r="BE354" s="93"/>
      <c r="BF354" s="93"/>
      <c r="BG354" s="93"/>
      <c r="BH354" s="93"/>
      <c r="BI354" s="93"/>
      <c r="BJ354" s="93"/>
      <c r="BK354" s="93"/>
      <c r="BL354" s="93"/>
      <c r="BM354" s="93"/>
      <c r="BN354" s="93"/>
      <c r="BO354" s="93"/>
      <c r="BP354" s="93"/>
      <c r="BQ354" s="93"/>
      <c r="BR354" s="93"/>
      <c r="BS354" s="93"/>
      <c r="BT354" s="93"/>
      <c r="BU354" s="93"/>
      <c r="BV354" s="93"/>
      <c r="BW354" s="93"/>
      <c r="BX354" s="93"/>
      <c r="BY354" s="93"/>
      <c r="BZ354" s="93"/>
      <c r="CA354" s="93"/>
      <c r="CB354" s="180"/>
      <c r="CC354" s="178"/>
      <c r="CD354" s="178"/>
      <c r="CE354" s="180"/>
      <c r="CF354" s="180"/>
      <c r="CG354" s="180"/>
      <c r="CH354" s="180"/>
      <c r="CI354" s="178"/>
      <c r="CJ354" s="178"/>
      <c r="CK354" s="180"/>
      <c r="CL354" s="180"/>
      <c r="CM354" s="180"/>
      <c r="CN354" s="116"/>
      <c r="CO354" s="218">
        <f t="shared" si="170"/>
        <v>0</v>
      </c>
      <c r="CP354" s="100">
        <f t="shared" si="171"/>
        <v>0</v>
      </c>
      <c r="CQ354" s="218">
        <f t="shared" si="172"/>
        <v>0</v>
      </c>
      <c r="DF354" s="116"/>
      <c r="DG354" s="116"/>
      <c r="DH354" s="116"/>
      <c r="DI354" s="116"/>
    </row>
    <row r="355" spans="51:119" s="101" customFormat="1" ht="15" hidden="1" customHeight="1" x14ac:dyDescent="0.25">
      <c r="AY355" s="93"/>
      <c r="AZ355" s="93"/>
      <c r="BA355" s="93"/>
      <c r="BB355" s="93"/>
      <c r="BC355" s="93"/>
      <c r="BD355" s="93"/>
      <c r="BE355" s="93"/>
      <c r="BF355" s="93"/>
      <c r="BG355" s="93"/>
      <c r="BH355" s="93"/>
      <c r="BI355" s="93" t="s">
        <v>299</v>
      </c>
      <c r="BJ355" s="93"/>
      <c r="BK355" s="93" t="s">
        <v>282</v>
      </c>
      <c r="BL355" s="93"/>
      <c r="BM355" s="93" t="s">
        <v>233</v>
      </c>
      <c r="BN355" s="93" t="s">
        <v>233</v>
      </c>
      <c r="BO355" s="93" t="s">
        <v>240</v>
      </c>
      <c r="BP355" s="93"/>
      <c r="BQ355" s="93"/>
      <c r="BR355" s="93"/>
      <c r="BS355" s="93"/>
      <c r="BT355" s="93"/>
      <c r="BU355" s="93"/>
      <c r="BV355" s="93"/>
      <c r="BW355" s="93"/>
      <c r="BX355" s="93"/>
      <c r="BY355" s="93"/>
      <c r="BZ355" s="93"/>
      <c r="CA355" s="93"/>
      <c r="CB355" s="180"/>
      <c r="CC355" s="178"/>
      <c r="CD355" s="178"/>
      <c r="CE355" s="180"/>
      <c r="CF355" s="180"/>
      <c r="CG355" s="180"/>
      <c r="CH355" s="180"/>
      <c r="CI355" s="178"/>
      <c r="CJ355" s="178"/>
      <c r="CK355" s="180"/>
      <c r="CL355" s="180"/>
      <c r="CM355" s="180"/>
      <c r="CN355" s="116"/>
      <c r="CO355" s="218" t="str">
        <f t="shared" si="170"/>
        <v>Incertidumbre (+/- %)</v>
      </c>
      <c r="CP355" s="100" t="e">
        <f t="shared" si="171"/>
        <v>#VALUE!</v>
      </c>
      <c r="CQ355" s="218" t="str">
        <f t="shared" si="172"/>
        <v>Incertidumbre (+/- %)</v>
      </c>
      <c r="DF355" s="116"/>
      <c r="DG355" s="116"/>
      <c r="DH355" s="116"/>
      <c r="DI355" s="116"/>
    </row>
    <row r="356" spans="51:119" s="101" customFormat="1" ht="15.75" hidden="1" customHeight="1" thickBot="1" x14ac:dyDescent="0.3">
      <c r="AY356" s="93"/>
      <c r="AZ356" s="93"/>
      <c r="BA356" s="93"/>
      <c r="BB356" s="93"/>
      <c r="BC356" s="93"/>
      <c r="BD356" s="93"/>
      <c r="BE356" s="93"/>
      <c r="BF356" s="93"/>
      <c r="BG356" s="93"/>
      <c r="BH356" s="93"/>
      <c r="BI356" s="93"/>
      <c r="BJ356" s="93" t="s">
        <v>253</v>
      </c>
      <c r="BK356" s="93"/>
      <c r="BL356" s="93" t="s">
        <v>251</v>
      </c>
      <c r="BM356" s="93"/>
      <c r="BN356" s="93"/>
      <c r="BO356" s="93"/>
      <c r="BP356" s="93"/>
      <c r="BQ356" s="93"/>
      <c r="BR356" s="93"/>
      <c r="BS356" s="93"/>
      <c r="BT356" s="93"/>
      <c r="BU356" s="93"/>
      <c r="BV356" s="93"/>
      <c r="BW356" s="93"/>
      <c r="BX356" s="93"/>
      <c r="BY356" s="93"/>
      <c r="BZ356" s="93"/>
      <c r="CA356" s="93"/>
      <c r="CB356" s="180"/>
      <c r="CC356" s="178"/>
      <c r="CD356" s="178"/>
      <c r="CE356" s="180"/>
      <c r="CF356" s="180"/>
      <c r="CG356" s="180"/>
      <c r="CH356" s="180"/>
      <c r="CI356" s="178"/>
      <c r="CJ356" s="178"/>
      <c r="CK356" s="180"/>
      <c r="CL356" s="180"/>
      <c r="CM356" s="180"/>
      <c r="CN356" s="116"/>
      <c r="CO356" s="218">
        <f t="shared" si="170"/>
        <v>0</v>
      </c>
      <c r="CP356" s="100">
        <f t="shared" si="171"/>
        <v>0</v>
      </c>
      <c r="CQ356" s="218">
        <f t="shared" si="172"/>
        <v>0</v>
      </c>
      <c r="DF356" s="116"/>
      <c r="DG356" s="116"/>
      <c r="DH356" s="116"/>
      <c r="DI356" s="116"/>
    </row>
    <row r="357" spans="51:119" s="101" customFormat="1" ht="18.75" hidden="1" customHeight="1" thickBot="1" x14ac:dyDescent="0.4">
      <c r="AY357" s="93"/>
      <c r="AZ357" s="93"/>
      <c r="BA357" s="93"/>
      <c r="BB357" s="93"/>
      <c r="BC357" s="93"/>
      <c r="BD357" s="93"/>
      <c r="BE357" s="93"/>
      <c r="BF357" s="93"/>
      <c r="BG357" s="93"/>
      <c r="BH357" s="93"/>
      <c r="BI357" s="93" t="s">
        <v>443</v>
      </c>
      <c r="BJ357" s="93" t="s">
        <v>76</v>
      </c>
      <c r="BK357" s="93">
        <v>0.19900000000000001</v>
      </c>
      <c r="BL357" s="93" t="s">
        <v>421</v>
      </c>
      <c r="BM357" s="93">
        <v>0.05</v>
      </c>
      <c r="BN357" s="93">
        <v>0.1</v>
      </c>
      <c r="BO357" s="93" t="s">
        <v>262</v>
      </c>
      <c r="BP357" s="93"/>
      <c r="BQ357" s="93"/>
      <c r="BR357" s="93"/>
      <c r="BS357" s="93"/>
      <c r="BT357" s="93"/>
      <c r="BU357" s="93"/>
      <c r="BV357" s="93"/>
      <c r="BW357" s="93"/>
      <c r="BX357" s="93"/>
      <c r="BY357" s="93"/>
      <c r="BZ357" s="93"/>
      <c r="CA357" s="93"/>
      <c r="CB357" s="180"/>
      <c r="CC357" s="178"/>
      <c r="CD357" s="178"/>
      <c r="CE357" s="180"/>
      <c r="CF357" s="180"/>
      <c r="CG357" s="180"/>
      <c r="CH357" s="180"/>
      <c r="CI357" s="178"/>
      <c r="CJ357" s="178"/>
      <c r="CK357" s="180"/>
      <c r="CL357" s="180"/>
      <c r="CM357" s="180"/>
      <c r="CN357" s="116"/>
      <c r="CO357" s="218">
        <f t="shared" si="170"/>
        <v>0.05</v>
      </c>
      <c r="CP357" s="100">
        <f t="shared" si="171"/>
        <v>7.5000000000000011E-2</v>
      </c>
      <c r="CQ357" s="218">
        <f t="shared" si="172"/>
        <v>0.1</v>
      </c>
      <c r="CR357" s="101">
        <v>0.05</v>
      </c>
      <c r="CS357" s="101">
        <v>0.1</v>
      </c>
      <c r="CZ357" s="123"/>
      <c r="DA357" s="122"/>
      <c r="DB357" s="122"/>
      <c r="DC357" s="123"/>
      <c r="DD357" s="123"/>
      <c r="DE357" s="123"/>
      <c r="DF357" s="122"/>
      <c r="DG357" s="122"/>
      <c r="DH357" s="122"/>
      <c r="DI357" s="122"/>
      <c r="DJ357" s="122"/>
      <c r="DK357" s="123"/>
      <c r="DL357" s="23"/>
      <c r="DM357" s="150"/>
      <c r="DN357" s="150"/>
      <c r="DO357" s="116"/>
    </row>
    <row r="358" spans="51:119" s="101" customFormat="1" ht="18.75" hidden="1" customHeight="1" thickBot="1" x14ac:dyDescent="0.4">
      <c r="AY358" s="93"/>
      <c r="AZ358" s="93"/>
      <c r="BA358" s="93"/>
      <c r="BB358" s="93"/>
      <c r="BC358" s="93"/>
      <c r="BD358" s="93"/>
      <c r="BE358" s="93"/>
      <c r="BF358" s="93"/>
      <c r="BG358" s="93"/>
      <c r="BH358" s="93"/>
      <c r="BI358" s="93" t="s">
        <v>191</v>
      </c>
      <c r="BJ358" s="93" t="s">
        <v>76</v>
      </c>
      <c r="BK358" s="93">
        <v>0.19</v>
      </c>
      <c r="BL358" s="93" t="s">
        <v>421</v>
      </c>
      <c r="BM358" s="93">
        <v>0.05</v>
      </c>
      <c r="BN358" s="93">
        <v>0.1</v>
      </c>
      <c r="BO358" s="93" t="s">
        <v>262</v>
      </c>
      <c r="BP358" s="93"/>
      <c r="BQ358" s="93"/>
      <c r="BR358" s="93"/>
      <c r="BS358" s="93"/>
      <c r="BT358" s="93"/>
      <c r="BU358" s="93"/>
      <c r="BV358" s="93"/>
      <c r="BW358" s="93"/>
      <c r="BX358" s="93"/>
      <c r="BY358" s="93"/>
      <c r="BZ358" s="93"/>
      <c r="CA358" s="93"/>
      <c r="CB358" s="180"/>
      <c r="CC358" s="178"/>
      <c r="CD358" s="178"/>
      <c r="CE358" s="180"/>
      <c r="CF358" s="180"/>
      <c r="CG358" s="180"/>
      <c r="CH358" s="180"/>
      <c r="CI358" s="178"/>
      <c r="CJ358" s="178"/>
      <c r="CK358" s="180"/>
      <c r="CL358" s="180"/>
      <c r="CM358" s="180"/>
      <c r="CN358" s="116"/>
      <c r="CO358" s="218">
        <f t="shared" si="170"/>
        <v>0.05</v>
      </c>
      <c r="CP358" s="100">
        <f t="shared" si="171"/>
        <v>7.5000000000000011E-2</v>
      </c>
      <c r="CQ358" s="218">
        <f t="shared" si="172"/>
        <v>0.1</v>
      </c>
      <c r="CR358" s="101">
        <v>0.05</v>
      </c>
      <c r="CS358" s="101">
        <v>0.1</v>
      </c>
      <c r="CZ358" s="123"/>
      <c r="DA358" s="122"/>
      <c r="DB358" s="122"/>
      <c r="DC358" s="123"/>
      <c r="DD358" s="123"/>
      <c r="DE358" s="123"/>
      <c r="DF358" s="122"/>
      <c r="DG358" s="122"/>
      <c r="DH358" s="122"/>
      <c r="DI358" s="122"/>
      <c r="DJ358" s="122"/>
      <c r="DK358" s="123"/>
      <c r="DL358" s="23"/>
      <c r="DM358" s="150"/>
      <c r="DN358" s="150"/>
      <c r="DO358" s="116"/>
    </row>
    <row r="359" spans="51:119" s="101" customFormat="1" ht="18.75" hidden="1" customHeight="1" thickBot="1" x14ac:dyDescent="0.4">
      <c r="AY359" s="93"/>
      <c r="AZ359" s="93"/>
      <c r="BA359" s="93"/>
      <c r="BB359" s="93"/>
      <c r="BC359" s="93"/>
      <c r="BD359" s="93"/>
      <c r="BE359" s="93"/>
      <c r="BF359" s="93"/>
      <c r="BG359" s="93"/>
      <c r="BH359" s="93"/>
      <c r="BI359" s="93" t="s">
        <v>444</v>
      </c>
      <c r="BJ359" s="93" t="s">
        <v>76</v>
      </c>
      <c r="BK359" s="93">
        <v>0.2</v>
      </c>
      <c r="BL359" s="93" t="s">
        <v>421</v>
      </c>
      <c r="BM359" s="93">
        <v>0.05</v>
      </c>
      <c r="BN359" s="93">
        <v>0.1</v>
      </c>
      <c r="BO359" s="93" t="s">
        <v>262</v>
      </c>
      <c r="BP359" s="93"/>
      <c r="BQ359" s="93"/>
      <c r="BR359" s="93"/>
      <c r="BS359" s="93"/>
      <c r="BT359" s="93"/>
      <c r="BU359" s="93"/>
      <c r="BV359" s="93"/>
      <c r="BW359" s="93"/>
      <c r="BX359" s="93"/>
      <c r="BY359" s="93"/>
      <c r="BZ359" s="93"/>
      <c r="CA359" s="93"/>
      <c r="CB359" s="180"/>
      <c r="CC359" s="178"/>
      <c r="CD359" s="178"/>
      <c r="CE359" s="180"/>
      <c r="CF359" s="180"/>
      <c r="CG359" s="180"/>
      <c r="CH359" s="180"/>
      <c r="CI359" s="178"/>
      <c r="CJ359" s="178"/>
      <c r="CK359" s="180"/>
      <c r="CL359" s="180"/>
      <c r="CM359" s="180"/>
      <c r="CN359" s="116"/>
      <c r="CO359" s="218">
        <f t="shared" si="170"/>
        <v>0.05</v>
      </c>
      <c r="CP359" s="100">
        <f t="shared" si="171"/>
        <v>7.5000000000000011E-2</v>
      </c>
      <c r="CQ359" s="218">
        <f t="shared" si="172"/>
        <v>0.1</v>
      </c>
      <c r="CZ359" s="123"/>
      <c r="DA359" s="122"/>
      <c r="DB359" s="122"/>
      <c r="DC359" s="123"/>
      <c r="DD359" s="123"/>
      <c r="DE359" s="123"/>
      <c r="DF359" s="122"/>
      <c r="DG359" s="122"/>
      <c r="DH359" s="122"/>
      <c r="DI359" s="122"/>
      <c r="DJ359" s="122"/>
      <c r="DK359" s="123"/>
      <c r="DL359" s="23"/>
      <c r="DM359" s="150"/>
      <c r="DN359" s="150"/>
      <c r="DO359" s="116"/>
    </row>
    <row r="360" spans="51:119" s="101" customFormat="1" ht="18.75" hidden="1" customHeight="1" thickBot="1" x14ac:dyDescent="0.4">
      <c r="AY360" s="93"/>
      <c r="AZ360" s="93"/>
      <c r="BA360" s="93"/>
      <c r="BB360" s="93"/>
      <c r="BC360" s="93"/>
      <c r="BD360" s="93"/>
      <c r="BE360" s="93"/>
      <c r="BF360" s="93"/>
      <c r="BG360" s="93"/>
      <c r="BH360" s="93"/>
      <c r="BI360" s="93" t="s">
        <v>445</v>
      </c>
      <c r="BJ360" s="93" t="s">
        <v>76</v>
      </c>
      <c r="BK360" s="93">
        <v>0.15</v>
      </c>
      <c r="BL360" s="93" t="s">
        <v>421</v>
      </c>
      <c r="BM360" s="93">
        <v>0.05</v>
      </c>
      <c r="BN360" s="93">
        <v>0.1</v>
      </c>
      <c r="BO360" s="93" t="s">
        <v>262</v>
      </c>
      <c r="BP360" s="93"/>
      <c r="BQ360" s="93"/>
      <c r="BR360" s="93"/>
      <c r="BS360" s="93"/>
      <c r="BT360" s="93"/>
      <c r="BU360" s="93"/>
      <c r="BV360" s="93"/>
      <c r="BW360" s="93"/>
      <c r="BX360" s="93"/>
      <c r="BY360" s="93"/>
      <c r="BZ360" s="93"/>
      <c r="CA360" s="93"/>
      <c r="CB360" s="180"/>
      <c r="CC360" s="178"/>
      <c r="CD360" s="178"/>
      <c r="CE360" s="180"/>
      <c r="CF360" s="180"/>
      <c r="CG360" s="180"/>
      <c r="CH360" s="180"/>
      <c r="CI360" s="178"/>
      <c r="CJ360" s="178"/>
      <c r="CK360" s="180"/>
      <c r="CL360" s="180"/>
      <c r="CM360" s="180"/>
      <c r="CN360" s="116"/>
      <c r="CO360" s="218">
        <f t="shared" si="170"/>
        <v>0.05</v>
      </c>
      <c r="CP360" s="100">
        <f t="shared" si="171"/>
        <v>7.5000000000000011E-2</v>
      </c>
      <c r="CQ360" s="218">
        <f t="shared" si="172"/>
        <v>0.1</v>
      </c>
      <c r="CZ360" s="123"/>
      <c r="DA360" s="122"/>
      <c r="DB360" s="122"/>
      <c r="DC360" s="123"/>
      <c r="DD360" s="123"/>
      <c r="DE360" s="123"/>
      <c r="DF360" s="122"/>
      <c r="DG360" s="122"/>
      <c r="DH360" s="122"/>
      <c r="DI360" s="122"/>
      <c r="DJ360" s="122"/>
      <c r="DK360" s="123"/>
      <c r="DL360" s="23"/>
      <c r="DM360" s="150"/>
      <c r="DN360" s="150"/>
      <c r="DO360" s="116"/>
    </row>
    <row r="361" spans="51:119" s="101" customFormat="1" ht="18.75" hidden="1" customHeight="1" thickBot="1" x14ac:dyDescent="0.4">
      <c r="AY361" s="93"/>
      <c r="AZ361" s="93"/>
      <c r="BA361" s="93"/>
      <c r="BB361" s="93"/>
      <c r="BC361" s="93"/>
      <c r="BD361" s="93"/>
      <c r="BE361" s="93"/>
      <c r="BF361" s="93"/>
      <c r="BG361" s="93"/>
      <c r="BH361" s="93"/>
      <c r="BI361" s="93" t="s">
        <v>447</v>
      </c>
      <c r="BJ361" s="93" t="s">
        <v>76</v>
      </c>
      <c r="BK361" s="93">
        <v>0.22</v>
      </c>
      <c r="BL361" s="93" t="s">
        <v>421</v>
      </c>
      <c r="BM361" s="93">
        <v>0.05</v>
      </c>
      <c r="BN361" s="93">
        <v>0.1</v>
      </c>
      <c r="BO361" s="93" t="s">
        <v>262</v>
      </c>
      <c r="BP361" s="93"/>
      <c r="BQ361" s="93"/>
      <c r="BR361" s="93"/>
      <c r="BS361" s="93"/>
      <c r="BT361" s="93"/>
      <c r="BU361" s="93"/>
      <c r="BV361" s="93"/>
      <c r="BW361" s="93"/>
      <c r="BX361" s="93"/>
      <c r="BY361" s="93"/>
      <c r="BZ361" s="93"/>
      <c r="CA361" s="93"/>
      <c r="CB361" s="180"/>
      <c r="CC361" s="178"/>
      <c r="CD361" s="178"/>
      <c r="CE361" s="180"/>
      <c r="CF361" s="180"/>
      <c r="CG361" s="180"/>
      <c r="CH361" s="180"/>
      <c r="CI361" s="178"/>
      <c r="CJ361" s="178"/>
      <c r="CK361" s="180"/>
      <c r="CL361" s="180"/>
      <c r="CM361" s="180"/>
      <c r="CN361" s="116"/>
      <c r="CO361" s="218">
        <f t="shared" si="170"/>
        <v>0.05</v>
      </c>
      <c r="CP361" s="100">
        <f t="shared" si="171"/>
        <v>7.5000000000000011E-2</v>
      </c>
      <c r="CQ361" s="218">
        <f t="shared" si="172"/>
        <v>0.1</v>
      </c>
      <c r="CZ361" s="123"/>
      <c r="DA361" s="122"/>
      <c r="DB361" s="122"/>
      <c r="DC361" s="123"/>
      <c r="DD361" s="123"/>
      <c r="DE361" s="123"/>
      <c r="DF361" s="122"/>
      <c r="DG361" s="122"/>
      <c r="DH361" s="122"/>
      <c r="DI361" s="122"/>
      <c r="DJ361" s="122"/>
      <c r="DK361" s="123"/>
      <c r="DL361" s="23"/>
      <c r="DM361" s="150"/>
      <c r="DN361" s="150"/>
      <c r="DO361" s="116"/>
    </row>
    <row r="362" spans="51:119" s="101" customFormat="1" ht="18.75" hidden="1" customHeight="1" thickBot="1" x14ac:dyDescent="0.4">
      <c r="AY362" s="93"/>
      <c r="AZ362" s="93"/>
      <c r="BA362" s="93"/>
      <c r="BB362" s="93"/>
      <c r="BC362" s="93"/>
      <c r="BD362" s="93"/>
      <c r="BE362" s="93"/>
      <c r="BF362" s="93"/>
      <c r="BG362" s="93"/>
      <c r="BH362" s="93"/>
      <c r="BI362" s="93" t="s">
        <v>446</v>
      </c>
      <c r="BJ362" s="93" t="s">
        <v>76</v>
      </c>
      <c r="BK362" s="93">
        <v>0.19</v>
      </c>
      <c r="BL362" s="93" t="s">
        <v>421</v>
      </c>
      <c r="BM362" s="93">
        <v>0.05</v>
      </c>
      <c r="BN362" s="93">
        <v>0.1</v>
      </c>
      <c r="BO362" s="93" t="s">
        <v>262</v>
      </c>
      <c r="BP362" s="93"/>
      <c r="BQ362" s="93"/>
      <c r="BR362" s="93"/>
      <c r="BS362" s="93"/>
      <c r="BT362" s="93"/>
      <c r="BU362" s="93"/>
      <c r="BV362" s="93"/>
      <c r="BW362" s="93"/>
      <c r="BX362" s="93"/>
      <c r="BY362" s="93"/>
      <c r="BZ362" s="93"/>
      <c r="CA362" s="93"/>
      <c r="CB362" s="180"/>
      <c r="CC362" s="178"/>
      <c r="CD362" s="178"/>
      <c r="CE362" s="180"/>
      <c r="CF362" s="180"/>
      <c r="CG362" s="180"/>
      <c r="CH362" s="180"/>
      <c r="CI362" s="178"/>
      <c r="CJ362" s="178"/>
      <c r="CK362" s="180"/>
      <c r="CL362" s="180"/>
      <c r="CM362" s="180"/>
      <c r="CN362" s="116"/>
      <c r="CO362" s="218">
        <f t="shared" si="170"/>
        <v>0.05</v>
      </c>
      <c r="CP362" s="100">
        <f t="shared" si="171"/>
        <v>7.5000000000000011E-2</v>
      </c>
      <c r="CQ362" s="218">
        <f t="shared" si="172"/>
        <v>0.1</v>
      </c>
      <c r="CZ362" s="123"/>
      <c r="DA362" s="122"/>
      <c r="DB362" s="122"/>
      <c r="DC362" s="123"/>
      <c r="DD362" s="123"/>
      <c r="DE362" s="123"/>
      <c r="DF362" s="122"/>
      <c r="DG362" s="122"/>
      <c r="DH362" s="122"/>
      <c r="DI362" s="122"/>
      <c r="DJ362" s="122"/>
      <c r="DK362" s="123"/>
      <c r="DL362" s="23"/>
      <c r="DM362" s="150"/>
      <c r="DN362" s="150"/>
      <c r="DO362" s="116"/>
    </row>
    <row r="363" spans="51:119" s="101" customFormat="1" ht="18.75" hidden="1" customHeight="1" thickBot="1" x14ac:dyDescent="0.4">
      <c r="AY363" s="93"/>
      <c r="AZ363" s="93"/>
      <c r="BA363" s="93"/>
      <c r="BB363" s="93"/>
      <c r="BC363" s="93"/>
      <c r="BD363" s="93"/>
      <c r="BE363" s="93"/>
      <c r="BF363" s="93"/>
      <c r="BG363" s="93"/>
      <c r="BH363" s="93"/>
      <c r="BI363" s="93" t="s">
        <v>448</v>
      </c>
      <c r="BJ363" s="93" t="s">
        <v>76</v>
      </c>
      <c r="BK363" s="93">
        <v>0.19</v>
      </c>
      <c r="BL363" s="93" t="s">
        <v>421</v>
      </c>
      <c r="BM363" s="93">
        <v>0.05</v>
      </c>
      <c r="BN363" s="93">
        <v>0.1</v>
      </c>
      <c r="BO363" s="93" t="s">
        <v>262</v>
      </c>
      <c r="BP363" s="93"/>
      <c r="BQ363" s="93"/>
      <c r="BR363" s="93"/>
      <c r="BS363" s="93"/>
      <c r="BT363" s="93"/>
      <c r="BU363" s="93"/>
      <c r="BV363" s="93"/>
      <c r="BW363" s="93"/>
      <c r="BX363" s="93"/>
      <c r="BY363" s="93"/>
      <c r="BZ363" s="93"/>
      <c r="CA363" s="93"/>
      <c r="CB363" s="180"/>
      <c r="CC363" s="178"/>
      <c r="CD363" s="178"/>
      <c r="CE363" s="180"/>
      <c r="CF363" s="180"/>
      <c r="CG363" s="180"/>
      <c r="CH363" s="180"/>
      <c r="CI363" s="178"/>
      <c r="CJ363" s="178"/>
      <c r="CK363" s="180"/>
      <c r="CL363" s="180"/>
      <c r="CM363" s="180"/>
      <c r="CN363" s="116"/>
      <c r="CO363" s="218">
        <f t="shared" si="170"/>
        <v>0.05</v>
      </c>
      <c r="CP363" s="100">
        <f t="shared" si="171"/>
        <v>7.5000000000000011E-2</v>
      </c>
      <c r="CQ363" s="218">
        <f t="shared" si="172"/>
        <v>0.1</v>
      </c>
      <c r="CZ363" s="123"/>
      <c r="DA363" s="122"/>
      <c r="DB363" s="122"/>
      <c r="DC363" s="123"/>
      <c r="DD363" s="123"/>
      <c r="DE363" s="123"/>
      <c r="DF363" s="122"/>
      <c r="DG363" s="122"/>
      <c r="DH363" s="122"/>
      <c r="DI363" s="122"/>
      <c r="DJ363" s="122"/>
      <c r="DK363" s="123"/>
      <c r="DL363" s="23"/>
      <c r="DM363" s="150"/>
      <c r="DN363" s="150"/>
      <c r="DO363" s="116"/>
    </row>
    <row r="364" spans="51:119" s="101" customFormat="1" ht="18.75" hidden="1" customHeight="1" thickBot="1" x14ac:dyDescent="0.4">
      <c r="AY364" s="93"/>
      <c r="AZ364" s="93"/>
      <c r="BA364" s="93"/>
      <c r="BB364" s="93"/>
      <c r="BC364" s="93"/>
      <c r="BD364" s="93"/>
      <c r="BE364" s="93"/>
      <c r="BF364" s="93"/>
      <c r="BG364" s="93"/>
      <c r="BH364" s="93"/>
      <c r="BI364" s="93" t="s">
        <v>190</v>
      </c>
      <c r="BJ364" s="93" t="s">
        <v>76</v>
      </c>
      <c r="BK364" s="93">
        <v>0.153</v>
      </c>
      <c r="BL364" s="93" t="s">
        <v>421</v>
      </c>
      <c r="BM364" s="93">
        <v>0.05</v>
      </c>
      <c r="BN364" s="93">
        <v>0.1</v>
      </c>
      <c r="BO364" s="93" t="s">
        <v>263</v>
      </c>
      <c r="BP364" s="93"/>
      <c r="BQ364" s="93"/>
      <c r="BR364" s="93"/>
      <c r="BS364" s="93"/>
      <c r="BT364" s="93"/>
      <c r="BU364" s="93"/>
      <c r="BV364" s="93"/>
      <c r="BW364" s="93"/>
      <c r="BX364" s="93"/>
      <c r="BY364" s="93"/>
      <c r="BZ364" s="93"/>
      <c r="CA364" s="93"/>
      <c r="CB364" s="180"/>
      <c r="CC364" s="178"/>
      <c r="CD364" s="178"/>
      <c r="CE364" s="180"/>
      <c r="CF364" s="180"/>
      <c r="CG364" s="180"/>
      <c r="CH364" s="180"/>
      <c r="CI364" s="178"/>
      <c r="CJ364" s="178"/>
      <c r="CK364" s="180"/>
      <c r="CL364" s="180"/>
      <c r="CM364" s="180"/>
      <c r="CN364" s="116"/>
      <c r="CO364" s="218">
        <f t="shared" si="170"/>
        <v>0.05</v>
      </c>
      <c r="CP364" s="100">
        <f t="shared" si="171"/>
        <v>7.5000000000000011E-2</v>
      </c>
      <c r="CQ364" s="218">
        <f t="shared" si="172"/>
        <v>0.1</v>
      </c>
      <c r="CZ364" s="123"/>
      <c r="DA364" s="122"/>
      <c r="DB364" s="122"/>
      <c r="DC364" s="123"/>
      <c r="DD364" s="123"/>
      <c r="DE364" s="123"/>
      <c r="DF364" s="122"/>
      <c r="DG364" s="122"/>
      <c r="DH364" s="122"/>
      <c r="DI364" s="122"/>
      <c r="DJ364" s="122"/>
      <c r="DK364" s="123"/>
      <c r="DL364" s="23"/>
      <c r="DM364" s="150"/>
      <c r="DN364" s="150"/>
      <c r="DO364" s="116"/>
    </row>
    <row r="365" spans="51:119" s="101" customFormat="1" ht="18.75" hidden="1" customHeight="1" thickBot="1" x14ac:dyDescent="0.4">
      <c r="AY365" s="93"/>
      <c r="AZ365" s="93"/>
      <c r="BA365" s="93"/>
      <c r="BB365" s="93"/>
      <c r="BC365" s="93"/>
      <c r="BD365" s="93"/>
      <c r="BE365" s="93"/>
      <c r="BF365" s="93"/>
      <c r="BG365" s="93"/>
      <c r="BH365" s="93"/>
      <c r="BI365" s="93" t="s">
        <v>189</v>
      </c>
      <c r="BJ365" s="93" t="s">
        <v>76</v>
      </c>
      <c r="BK365" s="93">
        <v>0.13600000000000001</v>
      </c>
      <c r="BL365" s="93" t="s">
        <v>421</v>
      </c>
      <c r="BM365" s="93">
        <v>0.05</v>
      </c>
      <c r="BN365" s="93">
        <v>0.1</v>
      </c>
      <c r="BO365" s="93" t="s">
        <v>263</v>
      </c>
      <c r="BP365" s="93"/>
      <c r="BQ365" s="93"/>
      <c r="BR365" s="93"/>
      <c r="BS365" s="93"/>
      <c r="BT365" s="93"/>
      <c r="BU365" s="93"/>
      <c r="BV365" s="93"/>
      <c r="BW365" s="93"/>
      <c r="BX365" s="93"/>
      <c r="BY365" s="93"/>
      <c r="BZ365" s="93"/>
      <c r="CA365" s="93"/>
      <c r="CB365" s="180"/>
      <c r="CC365" s="178"/>
      <c r="CD365" s="178"/>
      <c r="CE365" s="180"/>
      <c r="CF365" s="180"/>
      <c r="CG365" s="180"/>
      <c r="CH365" s="180"/>
      <c r="CI365" s="178"/>
      <c r="CJ365" s="178"/>
      <c r="CK365" s="180"/>
      <c r="CL365" s="180"/>
      <c r="CM365" s="180"/>
      <c r="CN365" s="116"/>
      <c r="CO365" s="218">
        <f t="shared" si="170"/>
        <v>0.05</v>
      </c>
      <c r="CP365" s="100">
        <f t="shared" si="171"/>
        <v>7.5000000000000011E-2</v>
      </c>
      <c r="CQ365" s="218">
        <f t="shared" si="172"/>
        <v>0.1</v>
      </c>
      <c r="CR365" s="101">
        <v>0.05</v>
      </c>
      <c r="CS365" s="101">
        <v>0.1</v>
      </c>
      <c r="CZ365" s="123"/>
      <c r="DA365" s="122"/>
      <c r="DB365" s="122"/>
      <c r="DC365" s="123"/>
      <c r="DD365" s="123"/>
      <c r="DE365" s="123"/>
      <c r="DF365" s="122"/>
      <c r="DG365" s="122"/>
      <c r="DH365" s="122"/>
      <c r="DI365" s="122"/>
      <c r="DJ365" s="122"/>
      <c r="DK365" s="123"/>
      <c r="DL365" s="23"/>
      <c r="DM365" s="150"/>
      <c r="DN365" s="150"/>
      <c r="DO365" s="116"/>
    </row>
    <row r="366" spans="51:119" s="101" customFormat="1" ht="18.75" hidden="1" customHeight="1" thickBot="1" x14ac:dyDescent="0.4">
      <c r="AY366" s="93"/>
      <c r="AZ366" s="93"/>
      <c r="BA366" s="93"/>
      <c r="BB366" s="93"/>
      <c r="BC366" s="93"/>
      <c r="BD366" s="93"/>
      <c r="BE366" s="93"/>
      <c r="BF366" s="93"/>
      <c r="BG366" s="93"/>
      <c r="BH366" s="93"/>
      <c r="BI366" s="93" t="s">
        <v>175</v>
      </c>
      <c r="BJ366" s="93" t="s">
        <v>76</v>
      </c>
      <c r="BK366" s="93">
        <v>0.29039999999999999</v>
      </c>
      <c r="BL366" s="93" t="s">
        <v>421</v>
      </c>
      <c r="BM366" s="93">
        <v>0.05</v>
      </c>
      <c r="BN366" s="93">
        <v>0.1</v>
      </c>
      <c r="BO366" s="93" t="s">
        <v>262</v>
      </c>
      <c r="BP366" s="93"/>
      <c r="BQ366" s="93"/>
      <c r="BR366" s="93"/>
      <c r="BS366" s="93"/>
      <c r="BT366" s="93"/>
      <c r="BU366" s="93"/>
      <c r="BV366" s="93"/>
      <c r="BW366" s="93"/>
      <c r="BX366" s="93"/>
      <c r="BY366" s="93"/>
      <c r="BZ366" s="93"/>
      <c r="CA366" s="93"/>
      <c r="CB366" s="180"/>
      <c r="CC366" s="178"/>
      <c r="CD366" s="178"/>
      <c r="CE366" s="180"/>
      <c r="CF366" s="180"/>
      <c r="CG366" s="180"/>
      <c r="CH366" s="180"/>
      <c r="CI366" s="178"/>
      <c r="CJ366" s="178"/>
      <c r="CK366" s="180"/>
      <c r="CL366" s="180"/>
      <c r="CM366" s="180"/>
      <c r="CN366" s="116"/>
      <c r="CO366" s="218">
        <f t="shared" si="170"/>
        <v>0.05</v>
      </c>
      <c r="CP366" s="100">
        <f t="shared" si="171"/>
        <v>7.5000000000000011E-2</v>
      </c>
      <c r="CQ366" s="218">
        <f t="shared" si="172"/>
        <v>0.1</v>
      </c>
      <c r="CR366" s="101">
        <v>0.05</v>
      </c>
      <c r="CS366" s="101">
        <v>0.1</v>
      </c>
      <c r="CZ366" s="123"/>
      <c r="DA366" s="122"/>
      <c r="DB366" s="122"/>
      <c r="DC366" s="123"/>
      <c r="DD366" s="123"/>
      <c r="DE366" s="123"/>
      <c r="DF366" s="122"/>
      <c r="DG366" s="122"/>
      <c r="DH366" s="122"/>
      <c r="DI366" s="122"/>
      <c r="DJ366" s="122"/>
      <c r="DK366" s="123"/>
      <c r="DL366" s="23"/>
      <c r="DM366" s="150"/>
      <c r="DN366" s="150"/>
      <c r="DO366" s="116"/>
    </row>
    <row r="367" spans="51:119" s="101" customFormat="1" ht="15" hidden="1" customHeight="1" x14ac:dyDescent="0.25">
      <c r="AY367" s="93"/>
      <c r="AZ367" s="93"/>
      <c r="BA367" s="93"/>
      <c r="BB367" s="93"/>
      <c r="BC367" s="93"/>
      <c r="BD367" s="93"/>
      <c r="BE367" s="93"/>
      <c r="BF367" s="93"/>
      <c r="BG367" s="93"/>
      <c r="BH367" s="93"/>
      <c r="BI367" s="93"/>
      <c r="BJ367" s="93"/>
      <c r="BK367" s="93"/>
      <c r="BL367" s="93"/>
      <c r="BM367" s="93"/>
      <c r="BN367" s="93"/>
      <c r="BO367" s="93"/>
      <c r="BP367" s="93"/>
      <c r="BQ367" s="93"/>
      <c r="BR367" s="93"/>
      <c r="BS367" s="93"/>
      <c r="BT367" s="93"/>
      <c r="BU367" s="93"/>
      <c r="BV367" s="93"/>
      <c r="BW367" s="93"/>
      <c r="BX367" s="93"/>
      <c r="BY367" s="93"/>
      <c r="BZ367" s="93"/>
      <c r="CA367" s="93"/>
      <c r="CB367" s="180"/>
      <c r="CC367" s="178"/>
      <c r="CD367" s="178"/>
      <c r="CE367" s="180"/>
      <c r="CF367" s="180"/>
      <c r="CG367" s="180"/>
      <c r="CH367" s="180"/>
      <c r="CI367" s="178"/>
      <c r="CJ367" s="178"/>
      <c r="CK367" s="180"/>
      <c r="CL367" s="180"/>
      <c r="CM367" s="180"/>
      <c r="CN367" s="116"/>
      <c r="CO367" s="218">
        <f t="shared" si="170"/>
        <v>0</v>
      </c>
      <c r="CP367" s="100">
        <f t="shared" si="171"/>
        <v>0</v>
      </c>
      <c r="CQ367" s="218">
        <f t="shared" si="172"/>
        <v>0</v>
      </c>
      <c r="CZ367" s="123"/>
      <c r="DA367" s="122"/>
      <c r="DB367" s="122"/>
      <c r="DC367" s="123"/>
      <c r="DD367" s="123"/>
      <c r="DE367" s="123"/>
      <c r="DF367" s="122"/>
      <c r="DG367" s="122"/>
      <c r="DH367" s="122"/>
      <c r="DI367" s="122"/>
      <c r="DJ367" s="122"/>
      <c r="DK367" s="123"/>
      <c r="DL367" s="23"/>
      <c r="DM367" s="150"/>
      <c r="DN367" s="150"/>
      <c r="DO367" s="116"/>
    </row>
    <row r="368" spans="51:119" s="101" customFormat="1" ht="15" hidden="1" customHeight="1" x14ac:dyDescent="0.25">
      <c r="AY368" s="93"/>
      <c r="AZ368" s="93"/>
      <c r="BA368" s="93"/>
      <c r="BB368" s="93"/>
      <c r="BC368" s="93"/>
      <c r="BD368" s="93"/>
      <c r="BE368" s="93"/>
      <c r="BF368" s="93"/>
      <c r="BG368" s="93"/>
      <c r="BH368" s="93"/>
      <c r="BI368" s="93"/>
      <c r="BJ368" s="93"/>
      <c r="BK368" s="93"/>
      <c r="BL368" s="93"/>
      <c r="BM368" s="93"/>
      <c r="BN368" s="93"/>
      <c r="BO368" s="93"/>
      <c r="BP368" s="93"/>
      <c r="BQ368" s="93"/>
      <c r="BR368" s="93"/>
      <c r="BS368" s="93"/>
      <c r="BT368" s="93"/>
      <c r="BU368" s="93"/>
      <c r="BV368" s="93"/>
      <c r="BW368" s="93"/>
      <c r="BX368" s="93"/>
      <c r="BY368" s="93"/>
      <c r="BZ368" s="93"/>
      <c r="CA368" s="93"/>
      <c r="CB368" s="180"/>
      <c r="CC368" s="178"/>
      <c r="CD368" s="178"/>
      <c r="CE368" s="180"/>
      <c r="CF368" s="180"/>
      <c r="CG368" s="180"/>
      <c r="CH368" s="180"/>
      <c r="CI368" s="178"/>
      <c r="CJ368" s="178"/>
      <c r="CK368" s="180"/>
      <c r="CL368" s="180"/>
      <c r="CM368" s="180"/>
      <c r="CN368" s="116"/>
      <c r="CO368" s="218">
        <f t="shared" si="170"/>
        <v>0</v>
      </c>
      <c r="CP368" s="100">
        <f t="shared" si="171"/>
        <v>0</v>
      </c>
      <c r="CQ368" s="218">
        <f t="shared" si="172"/>
        <v>0</v>
      </c>
      <c r="CZ368" s="123"/>
      <c r="DA368" s="122"/>
      <c r="DB368" s="122"/>
      <c r="DC368" s="123"/>
      <c r="DD368" s="123"/>
      <c r="DE368" s="123"/>
      <c r="DF368" s="122"/>
      <c r="DG368" s="122"/>
      <c r="DH368" s="122"/>
      <c r="DI368" s="122"/>
      <c r="DJ368" s="122"/>
      <c r="DK368" s="123"/>
      <c r="DL368" s="23"/>
      <c r="DM368" s="150"/>
      <c r="DN368" s="150"/>
      <c r="DO368" s="116"/>
    </row>
    <row r="369" spans="51:119" s="101" customFormat="1" ht="15" hidden="1" customHeight="1" x14ac:dyDescent="0.25">
      <c r="AY369" s="93"/>
      <c r="AZ369" s="93"/>
      <c r="BA369" s="93"/>
      <c r="BB369" s="93"/>
      <c r="BC369" s="93"/>
      <c r="BD369" s="93"/>
      <c r="BE369" s="93"/>
      <c r="BF369" s="93"/>
      <c r="BG369" s="93"/>
      <c r="BH369" s="93"/>
      <c r="BI369" s="93"/>
      <c r="BJ369" s="93"/>
      <c r="BK369" s="93"/>
      <c r="BL369" s="93"/>
      <c r="BM369" s="93"/>
      <c r="BN369" s="93"/>
      <c r="BO369" s="93"/>
      <c r="BP369" s="93"/>
      <c r="BQ369" s="93"/>
      <c r="BR369" s="93"/>
      <c r="BS369" s="93"/>
      <c r="BT369" s="93"/>
      <c r="BU369" s="93"/>
      <c r="BV369" s="93"/>
      <c r="BW369" s="93"/>
      <c r="BX369" s="93"/>
      <c r="BY369" s="93"/>
      <c r="BZ369" s="93"/>
      <c r="CA369" s="93"/>
      <c r="CB369" s="180"/>
      <c r="CC369" s="178"/>
      <c r="CD369" s="178"/>
      <c r="CE369" s="180"/>
      <c r="CF369" s="180"/>
      <c r="CG369" s="180"/>
      <c r="CH369" s="180"/>
      <c r="CI369" s="178"/>
      <c r="CJ369" s="178"/>
      <c r="CK369" s="180"/>
      <c r="CL369" s="180"/>
      <c r="CM369" s="180"/>
      <c r="CN369" s="116"/>
      <c r="CO369" s="218">
        <f t="shared" si="170"/>
        <v>0</v>
      </c>
      <c r="CP369" s="100">
        <f t="shared" si="171"/>
        <v>0</v>
      </c>
      <c r="CQ369" s="218">
        <f t="shared" si="172"/>
        <v>0</v>
      </c>
      <c r="CZ369" s="123"/>
      <c r="DA369" s="122"/>
      <c r="DB369" s="122"/>
      <c r="DC369" s="123"/>
      <c r="DD369" s="123"/>
      <c r="DE369" s="123"/>
      <c r="DF369" s="122"/>
      <c r="DG369" s="122"/>
      <c r="DH369" s="122"/>
      <c r="DI369" s="122"/>
      <c r="DJ369" s="122"/>
      <c r="DK369" s="123"/>
      <c r="DL369" s="23"/>
      <c r="DM369" s="150"/>
      <c r="DN369" s="150"/>
      <c r="DO369" s="116"/>
    </row>
    <row r="370" spans="51:119" s="101" customFormat="1" ht="15" hidden="1" customHeight="1" x14ac:dyDescent="0.25">
      <c r="AY370" s="93"/>
      <c r="AZ370" s="93"/>
      <c r="BA370" s="93"/>
      <c r="BB370" s="93"/>
      <c r="BC370" s="93"/>
      <c r="BD370" s="93"/>
      <c r="BE370" s="93"/>
      <c r="BF370" s="93"/>
      <c r="BG370" s="93"/>
      <c r="BH370" s="93"/>
      <c r="BI370" s="93" t="s">
        <v>300</v>
      </c>
      <c r="BJ370" s="93"/>
      <c r="BK370" s="93" t="s">
        <v>302</v>
      </c>
      <c r="BL370" s="93"/>
      <c r="BM370" s="93" t="s">
        <v>233</v>
      </c>
      <c r="BN370" s="93" t="s">
        <v>233</v>
      </c>
      <c r="BO370" s="93" t="s">
        <v>240</v>
      </c>
      <c r="BP370" s="93"/>
      <c r="BQ370" s="93"/>
      <c r="BR370" s="93"/>
      <c r="BS370" s="93"/>
      <c r="BT370" s="93"/>
      <c r="BU370" s="93"/>
      <c r="BV370" s="93"/>
      <c r="BW370" s="93"/>
      <c r="BX370" s="93"/>
      <c r="BY370" s="93"/>
      <c r="BZ370" s="93"/>
      <c r="CA370" s="93"/>
      <c r="CB370" s="180"/>
      <c r="CC370" s="178"/>
      <c r="CD370" s="178"/>
      <c r="CE370" s="180"/>
      <c r="CF370" s="180"/>
      <c r="CG370" s="180"/>
      <c r="CH370" s="180"/>
      <c r="CI370" s="178"/>
      <c r="CJ370" s="178"/>
      <c r="CK370" s="180"/>
      <c r="CL370" s="180"/>
      <c r="CM370" s="180"/>
      <c r="CN370" s="116"/>
      <c r="CO370" s="218" t="str">
        <f t="shared" si="170"/>
        <v>Incertidumbre (+/- %)</v>
      </c>
      <c r="CP370" s="100" t="e">
        <f t="shared" si="171"/>
        <v>#VALUE!</v>
      </c>
      <c r="CQ370" s="218" t="str">
        <f t="shared" si="172"/>
        <v>Incertidumbre (+/- %)</v>
      </c>
      <c r="CZ370" s="123"/>
      <c r="DA370" s="122"/>
      <c r="DB370" s="122"/>
      <c r="DC370" s="123"/>
      <c r="DD370" s="123"/>
      <c r="DE370" s="123"/>
      <c r="DF370" s="122"/>
      <c r="DG370" s="122"/>
      <c r="DH370" s="122"/>
      <c r="DI370" s="122"/>
      <c r="DJ370" s="122"/>
      <c r="DK370" s="123"/>
      <c r="DL370" s="23"/>
      <c r="DM370" s="150"/>
      <c r="DN370" s="150"/>
      <c r="DO370" s="116"/>
    </row>
    <row r="371" spans="51:119" s="101" customFormat="1" ht="15.75" hidden="1" customHeight="1" thickBot="1" x14ac:dyDescent="0.3">
      <c r="AY371" s="93"/>
      <c r="AZ371" s="93"/>
      <c r="BA371" s="93"/>
      <c r="BB371" s="93"/>
      <c r="BC371" s="93"/>
      <c r="BD371" s="93"/>
      <c r="BE371" s="93"/>
      <c r="BF371" s="93"/>
      <c r="BG371" s="93"/>
      <c r="BH371" s="93"/>
      <c r="BI371" s="93"/>
      <c r="BJ371" s="93" t="s">
        <v>253</v>
      </c>
      <c r="BK371" s="93"/>
      <c r="BL371" s="93" t="s">
        <v>251</v>
      </c>
      <c r="BM371" s="93"/>
      <c r="BN371" s="93"/>
      <c r="BO371" s="93"/>
      <c r="BP371" s="93"/>
      <c r="BQ371" s="93"/>
      <c r="BR371" s="93"/>
      <c r="BS371" s="93"/>
      <c r="BT371" s="93"/>
      <c r="BU371" s="93"/>
      <c r="BV371" s="93"/>
      <c r="BW371" s="93"/>
      <c r="BX371" s="93"/>
      <c r="BY371" s="93"/>
      <c r="BZ371" s="93"/>
      <c r="CA371" s="93"/>
      <c r="CB371" s="180"/>
      <c r="CC371" s="178"/>
      <c r="CD371" s="178"/>
      <c r="CE371" s="180"/>
      <c r="CF371" s="180"/>
      <c r="CG371" s="180"/>
      <c r="CH371" s="180"/>
      <c r="CI371" s="178"/>
      <c r="CJ371" s="178"/>
      <c r="CK371" s="180"/>
      <c r="CL371" s="180"/>
      <c r="CM371" s="180"/>
      <c r="CN371" s="116"/>
      <c r="CO371" s="218">
        <f t="shared" si="170"/>
        <v>0</v>
      </c>
      <c r="CP371" s="100">
        <f t="shared" si="171"/>
        <v>0</v>
      </c>
      <c r="CQ371" s="218">
        <f t="shared" si="172"/>
        <v>0</v>
      </c>
      <c r="CZ371" s="123"/>
      <c r="DA371" s="122"/>
      <c r="DB371" s="122"/>
      <c r="DC371" s="123"/>
      <c r="DD371" s="123"/>
      <c r="DE371" s="123"/>
      <c r="DF371" s="122"/>
      <c r="DG371" s="122"/>
      <c r="DH371" s="122"/>
      <c r="DI371" s="122"/>
      <c r="DJ371" s="122"/>
      <c r="DK371" s="123"/>
      <c r="DL371" s="23"/>
      <c r="DM371" s="150"/>
      <c r="DN371" s="150"/>
      <c r="DO371" s="116"/>
    </row>
    <row r="372" spans="51:119" s="101" customFormat="1" ht="18.75" hidden="1" customHeight="1" thickBot="1" x14ac:dyDescent="0.4">
      <c r="AY372" s="93"/>
      <c r="AZ372" s="93"/>
      <c r="BA372" s="93"/>
      <c r="BB372" s="93"/>
      <c r="BC372" s="93"/>
      <c r="BD372" s="93"/>
      <c r="BE372" s="93"/>
      <c r="BF372" s="93"/>
      <c r="BG372" s="93"/>
      <c r="BH372" s="93"/>
      <c r="BI372" s="93" t="s">
        <v>74</v>
      </c>
      <c r="BJ372" s="93" t="s">
        <v>78</v>
      </c>
      <c r="BK372" s="93">
        <v>68.819999999999993</v>
      </c>
      <c r="BL372" s="93" t="s">
        <v>422</v>
      </c>
      <c r="BM372" s="93">
        <v>0.05</v>
      </c>
      <c r="BN372" s="93">
        <v>0.05</v>
      </c>
      <c r="BO372" s="93" t="s">
        <v>77</v>
      </c>
      <c r="BP372" s="93"/>
      <c r="BQ372" s="93"/>
      <c r="BR372" s="93"/>
      <c r="BS372" s="93"/>
      <c r="BT372" s="93"/>
      <c r="BU372" s="93"/>
      <c r="BV372" s="93"/>
      <c r="BW372" s="93"/>
      <c r="BX372" s="93"/>
      <c r="BY372" s="93"/>
      <c r="BZ372" s="93"/>
      <c r="CA372" s="93"/>
      <c r="CB372" s="180"/>
      <c r="CC372" s="178"/>
      <c r="CD372" s="178"/>
      <c r="CE372" s="180"/>
      <c r="CF372" s="180"/>
      <c r="CG372" s="180"/>
      <c r="CH372" s="180"/>
      <c r="CI372" s="178"/>
      <c r="CJ372" s="178"/>
      <c r="CK372" s="180"/>
      <c r="CL372" s="180"/>
      <c r="CM372" s="180"/>
      <c r="CN372" s="116"/>
      <c r="CO372" s="218">
        <f t="shared" si="170"/>
        <v>0.05</v>
      </c>
      <c r="CP372" s="100">
        <f t="shared" si="171"/>
        <v>0.05</v>
      </c>
      <c r="CQ372" s="218">
        <f t="shared" si="172"/>
        <v>0.05</v>
      </c>
      <c r="CR372" s="101">
        <v>0.05</v>
      </c>
      <c r="CS372" s="101">
        <v>0.05</v>
      </c>
      <c r="CZ372" s="123"/>
      <c r="DA372" s="122"/>
      <c r="DB372" s="122"/>
      <c r="DC372" s="123"/>
      <c r="DD372" s="123"/>
      <c r="DE372" s="123"/>
      <c r="DF372" s="122"/>
      <c r="DG372" s="122"/>
      <c r="DH372" s="122"/>
      <c r="DI372" s="122"/>
      <c r="DJ372" s="122"/>
      <c r="DK372" s="123"/>
      <c r="DL372" s="23"/>
      <c r="DM372" s="150"/>
      <c r="DN372" s="150"/>
      <c r="DO372" s="116"/>
    </row>
    <row r="373" spans="51:119" s="101" customFormat="1" ht="18.75" hidden="1" customHeight="1" thickBot="1" x14ac:dyDescent="0.4">
      <c r="AY373" s="93"/>
      <c r="AZ373" s="93"/>
      <c r="BA373" s="93"/>
      <c r="BB373" s="93"/>
      <c r="BC373" s="93"/>
      <c r="BD373" s="93"/>
      <c r="BE373" s="93"/>
      <c r="BF373" s="93"/>
      <c r="BG373" s="93"/>
      <c r="BH373" s="93"/>
      <c r="BI373" s="93" t="s">
        <v>73</v>
      </c>
      <c r="BJ373" s="93" t="s">
        <v>78</v>
      </c>
      <c r="BK373" s="93">
        <v>83.37</v>
      </c>
      <c r="BL373" s="93" t="s">
        <v>422</v>
      </c>
      <c r="BM373" s="93">
        <v>0.05</v>
      </c>
      <c r="BN373" s="93">
        <v>0.05</v>
      </c>
      <c r="BO373" s="93" t="s">
        <v>77</v>
      </c>
      <c r="BP373" s="93"/>
      <c r="BQ373" s="93"/>
      <c r="BR373" s="93"/>
      <c r="BS373" s="93"/>
      <c r="BT373" s="93"/>
      <c r="BU373" s="93"/>
      <c r="BV373" s="93"/>
      <c r="BW373" s="93"/>
      <c r="BX373" s="93"/>
      <c r="BY373" s="93"/>
      <c r="BZ373" s="93"/>
      <c r="CA373" s="93"/>
      <c r="CB373" s="180"/>
      <c r="CC373" s="178"/>
      <c r="CD373" s="178"/>
      <c r="CE373" s="180"/>
      <c r="CF373" s="180"/>
      <c r="CG373" s="180"/>
      <c r="CH373" s="180"/>
      <c r="CI373" s="178"/>
      <c r="CJ373" s="178"/>
      <c r="CK373" s="180"/>
      <c r="CL373" s="180"/>
      <c r="CM373" s="180"/>
      <c r="CN373" s="116"/>
      <c r="CO373" s="218">
        <f t="shared" si="170"/>
        <v>0.05</v>
      </c>
      <c r="CP373" s="100">
        <f t="shared" si="171"/>
        <v>0.05</v>
      </c>
      <c r="CQ373" s="218">
        <f t="shared" si="172"/>
        <v>0.05</v>
      </c>
      <c r="CR373" s="101">
        <v>0.05</v>
      </c>
      <c r="CS373" s="101">
        <v>0.05</v>
      </c>
      <c r="CZ373" s="123"/>
      <c r="DA373" s="122"/>
      <c r="DB373" s="122"/>
      <c r="DC373" s="123"/>
      <c r="DD373" s="123"/>
      <c r="DE373" s="123"/>
      <c r="DF373" s="122"/>
      <c r="DG373" s="122"/>
      <c r="DH373" s="122"/>
      <c r="DI373" s="122"/>
      <c r="DJ373" s="122"/>
      <c r="DK373" s="123"/>
      <c r="DL373" s="23"/>
      <c r="DM373" s="150"/>
      <c r="DN373" s="150"/>
      <c r="DO373" s="116"/>
    </row>
    <row r="374" spans="51:119" s="101" customFormat="1" ht="18.75" hidden="1" customHeight="1" thickBot="1" x14ac:dyDescent="0.4">
      <c r="AY374" s="93"/>
      <c r="AZ374" s="93"/>
      <c r="BA374" s="93"/>
      <c r="BB374" s="93"/>
      <c r="BC374" s="93"/>
      <c r="BD374" s="93"/>
      <c r="BE374" s="93"/>
      <c r="BF374" s="93"/>
      <c r="BG374" s="93"/>
      <c r="BH374" s="93"/>
      <c r="BI374" s="93" t="s">
        <v>79</v>
      </c>
      <c r="BJ374" s="93" t="s">
        <v>78</v>
      </c>
      <c r="BK374" s="93">
        <v>159.43</v>
      </c>
      <c r="BL374" s="93" t="s">
        <v>422</v>
      </c>
      <c r="BM374" s="93">
        <v>0.05</v>
      </c>
      <c r="BN374" s="93">
        <v>0.05</v>
      </c>
      <c r="BO374" s="93" t="s">
        <v>77</v>
      </c>
      <c r="BP374" s="93"/>
      <c r="BQ374" s="93"/>
      <c r="BR374" s="93"/>
      <c r="BS374" s="93"/>
      <c r="BT374" s="93"/>
      <c r="BU374" s="93"/>
      <c r="BV374" s="93"/>
      <c r="BW374" s="93"/>
      <c r="BX374" s="93"/>
      <c r="BY374" s="93"/>
      <c r="BZ374" s="93"/>
      <c r="CA374" s="93"/>
      <c r="CB374" s="180"/>
      <c r="CC374" s="178"/>
      <c r="CD374" s="178"/>
      <c r="CE374" s="180"/>
      <c r="CF374" s="180"/>
      <c r="CG374" s="180"/>
      <c r="CH374" s="180"/>
      <c r="CI374" s="178"/>
      <c r="CJ374" s="178"/>
      <c r="CK374" s="180"/>
      <c r="CL374" s="180"/>
      <c r="CM374" s="180"/>
      <c r="CN374" s="116"/>
      <c r="CO374" s="218">
        <f t="shared" si="170"/>
        <v>0.05</v>
      </c>
      <c r="CP374" s="100">
        <f t="shared" si="171"/>
        <v>0.05</v>
      </c>
      <c r="CQ374" s="218">
        <f t="shared" si="172"/>
        <v>0.05</v>
      </c>
      <c r="CR374" s="101">
        <v>0.05</v>
      </c>
      <c r="CS374" s="101">
        <v>0.05</v>
      </c>
      <c r="CZ374" s="123"/>
      <c r="DA374" s="122"/>
      <c r="DB374" s="122"/>
      <c r="DC374" s="123"/>
      <c r="DD374" s="123"/>
      <c r="DE374" s="123"/>
      <c r="DF374" s="122"/>
      <c r="DG374" s="122"/>
      <c r="DH374" s="122"/>
      <c r="DI374" s="122"/>
      <c r="DJ374" s="122"/>
      <c r="DK374" s="123"/>
      <c r="DL374" s="23"/>
      <c r="DM374" s="150"/>
      <c r="DN374" s="150"/>
      <c r="DO374" s="116"/>
    </row>
    <row r="375" spans="51:119" s="101" customFormat="1" ht="18.75" hidden="1" customHeight="1" thickBot="1" x14ac:dyDescent="0.4">
      <c r="AY375" s="93"/>
      <c r="AZ375" s="93"/>
      <c r="BA375" s="93"/>
      <c r="BB375" s="93"/>
      <c r="BC375" s="93"/>
      <c r="BD375" s="93"/>
      <c r="BE375" s="93"/>
      <c r="BF375" s="93"/>
      <c r="BG375" s="93"/>
      <c r="BH375" s="93"/>
      <c r="BI375" s="93" t="s">
        <v>70</v>
      </c>
      <c r="BJ375" s="93" t="s">
        <v>78</v>
      </c>
      <c r="BK375" s="93">
        <v>102.71</v>
      </c>
      <c r="BL375" s="93" t="s">
        <v>422</v>
      </c>
      <c r="BM375" s="93">
        <v>0.05</v>
      </c>
      <c r="BN375" s="93">
        <v>0.05</v>
      </c>
      <c r="BO375" s="93" t="s">
        <v>77</v>
      </c>
      <c r="BP375" s="93"/>
      <c r="BQ375" s="93"/>
      <c r="BR375" s="93"/>
      <c r="BS375" s="93"/>
      <c r="BT375" s="93"/>
      <c r="BU375" s="93"/>
      <c r="BV375" s="93"/>
      <c r="BW375" s="93"/>
      <c r="BX375" s="93"/>
      <c r="BY375" s="93"/>
      <c r="BZ375" s="93"/>
      <c r="CA375" s="93"/>
      <c r="CB375" s="180"/>
      <c r="CC375" s="178"/>
      <c r="CD375" s="178"/>
      <c r="CE375" s="180"/>
      <c r="CF375" s="180"/>
      <c r="CG375" s="180"/>
      <c r="CH375" s="180"/>
      <c r="CI375" s="178"/>
      <c r="CJ375" s="178"/>
      <c r="CK375" s="180"/>
      <c r="CL375" s="180"/>
      <c r="CM375" s="180"/>
      <c r="CN375" s="116"/>
      <c r="CO375" s="218">
        <f t="shared" si="170"/>
        <v>0.05</v>
      </c>
      <c r="CP375" s="100">
        <f t="shared" si="171"/>
        <v>0.05</v>
      </c>
      <c r="CQ375" s="218">
        <f t="shared" si="172"/>
        <v>0.05</v>
      </c>
      <c r="CR375" s="101">
        <v>0.05</v>
      </c>
      <c r="CS375" s="101">
        <v>0.05</v>
      </c>
      <c r="CZ375" s="123"/>
      <c r="DA375" s="122"/>
      <c r="DB375" s="122"/>
      <c r="DC375" s="123"/>
      <c r="DD375" s="123"/>
      <c r="DE375" s="123"/>
      <c r="DF375" s="122"/>
      <c r="DG375" s="122"/>
      <c r="DH375" s="122"/>
      <c r="DI375" s="122"/>
      <c r="DJ375" s="122"/>
      <c r="DK375" s="123"/>
      <c r="DL375" s="23"/>
      <c r="DM375" s="150"/>
      <c r="DN375" s="150"/>
      <c r="DO375" s="116"/>
    </row>
    <row r="376" spans="51:119" s="101" customFormat="1" ht="18.75" hidden="1" customHeight="1" thickBot="1" x14ac:dyDescent="0.4">
      <c r="AY376" s="93"/>
      <c r="AZ376" s="93"/>
      <c r="BA376" s="93"/>
      <c r="BB376" s="93"/>
      <c r="BC376" s="93"/>
      <c r="BD376" s="93"/>
      <c r="BE376" s="93"/>
      <c r="BF376" s="93"/>
      <c r="BG376" s="93"/>
      <c r="BH376" s="93"/>
      <c r="BI376" s="93" t="s">
        <v>80</v>
      </c>
      <c r="BJ376" s="93" t="s">
        <v>78</v>
      </c>
      <c r="BK376" s="93">
        <v>81.25</v>
      </c>
      <c r="BL376" s="93" t="s">
        <v>422</v>
      </c>
      <c r="BM376" s="93">
        <v>0.05</v>
      </c>
      <c r="BN376" s="93">
        <v>0.05</v>
      </c>
      <c r="BO376" s="93" t="s">
        <v>77</v>
      </c>
      <c r="BP376" s="93"/>
      <c r="BQ376" s="93"/>
      <c r="BR376" s="93"/>
      <c r="BS376" s="93"/>
      <c r="BT376" s="93"/>
      <c r="BU376" s="93"/>
      <c r="BV376" s="93"/>
      <c r="BW376" s="93"/>
      <c r="BX376" s="93"/>
      <c r="BY376" s="93"/>
      <c r="BZ376" s="93"/>
      <c r="CA376" s="93"/>
      <c r="CB376" s="180"/>
      <c r="CC376" s="178"/>
      <c r="CD376" s="178"/>
      <c r="CE376" s="180"/>
      <c r="CF376" s="180"/>
      <c r="CG376" s="180"/>
      <c r="CH376" s="180"/>
      <c r="CI376" s="178"/>
      <c r="CJ376" s="178"/>
      <c r="CK376" s="180"/>
      <c r="CL376" s="180"/>
      <c r="CM376" s="180"/>
      <c r="CN376" s="116"/>
      <c r="CO376" s="218">
        <f t="shared" si="170"/>
        <v>0.05</v>
      </c>
      <c r="CP376" s="100">
        <f t="shared" si="171"/>
        <v>0.05</v>
      </c>
      <c r="CQ376" s="218">
        <f t="shared" si="172"/>
        <v>0.05</v>
      </c>
      <c r="CR376" s="101">
        <v>0.05</v>
      </c>
      <c r="CS376" s="101">
        <v>0.05</v>
      </c>
      <c r="CZ376" s="123"/>
      <c r="DA376" s="122"/>
      <c r="DB376" s="122"/>
      <c r="DC376" s="123"/>
      <c r="DD376" s="123"/>
      <c r="DE376" s="123"/>
      <c r="DF376" s="122"/>
      <c r="DG376" s="122"/>
      <c r="DH376" s="122"/>
      <c r="DI376" s="122"/>
      <c r="DJ376" s="122"/>
      <c r="DK376" s="123"/>
      <c r="DL376" s="23"/>
      <c r="DM376" s="150"/>
      <c r="DN376" s="150"/>
      <c r="DO376" s="116"/>
    </row>
    <row r="377" spans="51:119" s="101" customFormat="1" ht="18.75" hidden="1" customHeight="1" thickBot="1" x14ac:dyDescent="0.4">
      <c r="AY377" s="93"/>
      <c r="AZ377" s="93"/>
      <c r="BA377" s="93"/>
      <c r="BB377" s="93"/>
      <c r="BC377" s="93"/>
      <c r="BD377" s="93"/>
      <c r="BE377" s="93"/>
      <c r="BF377" s="93"/>
      <c r="BG377" s="93"/>
      <c r="BH377" s="93"/>
      <c r="BI377" s="93" t="s">
        <v>71</v>
      </c>
      <c r="BJ377" s="93" t="s">
        <v>78</v>
      </c>
      <c r="BK377" s="93">
        <v>97.7</v>
      </c>
      <c r="BL377" s="93" t="s">
        <v>422</v>
      </c>
      <c r="BM377" s="93">
        <v>0.05</v>
      </c>
      <c r="BN377" s="93">
        <v>0.05</v>
      </c>
      <c r="BO377" s="93" t="s">
        <v>77</v>
      </c>
      <c r="BP377" s="93"/>
      <c r="BQ377" s="93"/>
      <c r="BR377" s="93"/>
      <c r="BS377" s="93"/>
      <c r="BT377" s="93"/>
      <c r="BU377" s="93"/>
      <c r="BV377" s="93"/>
      <c r="BW377" s="93"/>
      <c r="BX377" s="93"/>
      <c r="BY377" s="93"/>
      <c r="BZ377" s="93"/>
      <c r="CA377" s="93"/>
      <c r="CB377" s="180"/>
      <c r="CC377" s="178"/>
      <c r="CD377" s="178"/>
      <c r="CE377" s="180"/>
      <c r="CF377" s="180"/>
      <c r="CG377" s="180"/>
      <c r="CH377" s="180"/>
      <c r="CI377" s="178"/>
      <c r="CJ377" s="178"/>
      <c r="CK377" s="180"/>
      <c r="CL377" s="180"/>
      <c r="CM377" s="180"/>
      <c r="CN377" s="116"/>
      <c r="CO377" s="218">
        <f t="shared" si="170"/>
        <v>0.05</v>
      </c>
      <c r="CP377" s="100">
        <f t="shared" si="171"/>
        <v>0.05</v>
      </c>
      <c r="CQ377" s="218">
        <f t="shared" si="172"/>
        <v>0.05</v>
      </c>
      <c r="CR377" s="101">
        <v>0.05</v>
      </c>
      <c r="CS377" s="101">
        <v>0.05</v>
      </c>
      <c r="CZ377" s="123"/>
      <c r="DA377" s="122"/>
      <c r="DB377" s="122"/>
      <c r="DC377" s="123"/>
      <c r="DD377" s="123"/>
      <c r="DE377" s="123"/>
      <c r="DF377" s="122"/>
      <c r="DG377" s="122"/>
      <c r="DH377" s="122"/>
      <c r="DI377" s="122"/>
      <c r="DJ377" s="122"/>
      <c r="DK377" s="123"/>
      <c r="DL377" s="23"/>
      <c r="DM377" s="150"/>
      <c r="DN377" s="150"/>
      <c r="DO377" s="116"/>
    </row>
    <row r="378" spans="51:119" s="101" customFormat="1" ht="18.75" hidden="1" customHeight="1" thickBot="1" x14ac:dyDescent="0.4">
      <c r="AY378" s="93"/>
      <c r="AZ378" s="93"/>
      <c r="BA378" s="93"/>
      <c r="BB378" s="93"/>
      <c r="BC378" s="93"/>
      <c r="BD378" s="93"/>
      <c r="BE378" s="93"/>
      <c r="BF378" s="93"/>
      <c r="BG378" s="93"/>
      <c r="BH378" s="93"/>
      <c r="BI378" s="93" t="s">
        <v>72</v>
      </c>
      <c r="BJ378" s="93" t="s">
        <v>78</v>
      </c>
      <c r="BK378" s="93">
        <v>159.58000000000001</v>
      </c>
      <c r="BL378" s="93" t="s">
        <v>422</v>
      </c>
      <c r="BM378" s="93">
        <v>0.05</v>
      </c>
      <c r="BN378" s="93">
        <v>0.05</v>
      </c>
      <c r="BO378" s="93" t="s">
        <v>77</v>
      </c>
      <c r="BP378" s="93"/>
      <c r="BQ378" s="93"/>
      <c r="BR378" s="93"/>
      <c r="BS378" s="93"/>
      <c r="BT378" s="93"/>
      <c r="BU378" s="93"/>
      <c r="BV378" s="93"/>
      <c r="BW378" s="93"/>
      <c r="BX378" s="93"/>
      <c r="BY378" s="93"/>
      <c r="BZ378" s="93"/>
      <c r="CA378" s="93"/>
      <c r="CB378" s="180"/>
      <c r="CC378" s="178"/>
      <c r="CD378" s="178"/>
      <c r="CE378" s="180"/>
      <c r="CF378" s="180"/>
      <c r="CG378" s="180"/>
      <c r="CH378" s="180"/>
      <c r="CI378" s="178"/>
      <c r="CJ378" s="178"/>
      <c r="CK378" s="180"/>
      <c r="CL378" s="180"/>
      <c r="CM378" s="180"/>
      <c r="CN378" s="116"/>
      <c r="CO378" s="218">
        <f t="shared" si="170"/>
        <v>0.05</v>
      </c>
      <c r="CP378" s="100">
        <f t="shared" si="171"/>
        <v>0.05</v>
      </c>
      <c r="CQ378" s="218">
        <f t="shared" si="172"/>
        <v>0.05</v>
      </c>
      <c r="CR378" s="101">
        <v>0.05</v>
      </c>
      <c r="CS378" s="101">
        <v>0.05</v>
      </c>
      <c r="CZ378" s="123"/>
      <c r="DA378" s="122"/>
      <c r="DB378" s="122"/>
      <c r="DC378" s="123"/>
      <c r="DD378" s="123"/>
      <c r="DE378" s="123"/>
      <c r="DF378" s="122"/>
      <c r="DG378" s="122"/>
      <c r="DH378" s="122"/>
      <c r="DI378" s="122"/>
      <c r="DJ378" s="122"/>
      <c r="DK378" s="123"/>
      <c r="DL378" s="23"/>
      <c r="DM378" s="150"/>
      <c r="DN378" s="150"/>
      <c r="DO378" s="116"/>
    </row>
    <row r="379" spans="51:119" s="101" customFormat="1" ht="18.75" hidden="1" customHeight="1" thickBot="1" x14ac:dyDescent="0.4">
      <c r="AY379" s="93"/>
      <c r="AZ379" s="93"/>
      <c r="BA379" s="93"/>
      <c r="BB379" s="93"/>
      <c r="BC379" s="93"/>
      <c r="BD379" s="93"/>
      <c r="BE379" s="93"/>
      <c r="BF379" s="93"/>
      <c r="BG379" s="93"/>
      <c r="BH379" s="93"/>
      <c r="BI379" s="93" t="s">
        <v>81</v>
      </c>
      <c r="BJ379" s="93" t="s">
        <v>78</v>
      </c>
      <c r="BK379" s="93">
        <v>116.5</v>
      </c>
      <c r="BL379" s="93" t="s">
        <v>422</v>
      </c>
      <c r="BM379" s="93">
        <v>0.05</v>
      </c>
      <c r="BN379" s="93">
        <v>0.05</v>
      </c>
      <c r="BO379" s="93" t="s">
        <v>77</v>
      </c>
      <c r="BP379" s="93"/>
      <c r="BQ379" s="93"/>
      <c r="BR379" s="93"/>
      <c r="BS379" s="93"/>
      <c r="BT379" s="93"/>
      <c r="BU379" s="93"/>
      <c r="BV379" s="93"/>
      <c r="BW379" s="93"/>
      <c r="BX379" s="93"/>
      <c r="BY379" s="93"/>
      <c r="BZ379" s="93"/>
      <c r="CA379" s="93"/>
      <c r="CB379" s="180"/>
      <c r="CC379" s="178"/>
      <c r="CD379" s="178"/>
      <c r="CE379" s="180"/>
      <c r="CF379" s="180"/>
      <c r="CG379" s="180"/>
      <c r="CH379" s="180"/>
      <c r="CI379" s="178"/>
      <c r="CJ379" s="178"/>
      <c r="CK379" s="180"/>
      <c r="CL379" s="180"/>
      <c r="CM379" s="180"/>
      <c r="CN379" s="116"/>
      <c r="CO379" s="218">
        <f t="shared" si="170"/>
        <v>0.05</v>
      </c>
      <c r="CP379" s="100">
        <f t="shared" si="171"/>
        <v>0.05</v>
      </c>
      <c r="CQ379" s="218">
        <f t="shared" si="172"/>
        <v>0.05</v>
      </c>
      <c r="CR379" s="101">
        <v>0.05</v>
      </c>
      <c r="CS379" s="101">
        <v>0.05</v>
      </c>
      <c r="CZ379" s="123"/>
      <c r="DA379" s="122"/>
      <c r="DB379" s="122"/>
      <c r="DC379" s="123"/>
      <c r="DD379" s="123"/>
      <c r="DE379" s="123"/>
      <c r="DF379" s="122"/>
      <c r="DG379" s="122"/>
      <c r="DH379" s="122"/>
      <c r="DI379" s="122"/>
      <c r="DJ379" s="122"/>
      <c r="DK379" s="123"/>
      <c r="DL379" s="23"/>
      <c r="DM379" s="150"/>
      <c r="DN379" s="150"/>
      <c r="DO379" s="116"/>
    </row>
    <row r="380" spans="51:119" s="101" customFormat="1" ht="18.75" hidden="1" customHeight="1" thickBot="1" x14ac:dyDescent="0.4">
      <c r="AY380" s="93"/>
      <c r="AZ380" s="93"/>
      <c r="BA380" s="93"/>
      <c r="BB380" s="93"/>
      <c r="BC380" s="93"/>
      <c r="BD380" s="93"/>
      <c r="BE380" s="93"/>
      <c r="BF380" s="93"/>
      <c r="BG380" s="93"/>
      <c r="BH380" s="93"/>
      <c r="BI380" s="93" t="s">
        <v>82</v>
      </c>
      <c r="BJ380" s="93" t="s">
        <v>78</v>
      </c>
      <c r="BK380" s="93">
        <v>88.52</v>
      </c>
      <c r="BL380" s="93" t="s">
        <v>422</v>
      </c>
      <c r="BM380" s="93">
        <v>0.05</v>
      </c>
      <c r="BN380" s="93">
        <v>0.05</v>
      </c>
      <c r="BO380" s="93" t="s">
        <v>77</v>
      </c>
      <c r="BP380" s="93"/>
      <c r="BQ380" s="93"/>
      <c r="BR380" s="93"/>
      <c r="BS380" s="93"/>
      <c r="BT380" s="93"/>
      <c r="BU380" s="93"/>
      <c r="BV380" s="93"/>
      <c r="BW380" s="93"/>
      <c r="BX380" s="93"/>
      <c r="BY380" s="93"/>
      <c r="BZ380" s="93"/>
      <c r="CA380" s="93"/>
      <c r="CB380" s="180"/>
      <c r="CC380" s="178"/>
      <c r="CD380" s="178"/>
      <c r="CE380" s="180"/>
      <c r="CF380" s="180"/>
      <c r="CG380" s="180"/>
      <c r="CH380" s="180"/>
      <c r="CI380" s="178"/>
      <c r="CJ380" s="178"/>
      <c r="CK380" s="180"/>
      <c r="CL380" s="180"/>
      <c r="CM380" s="180"/>
      <c r="CN380" s="116"/>
      <c r="CO380" s="218">
        <f t="shared" si="170"/>
        <v>0.05</v>
      </c>
      <c r="CP380" s="100">
        <f t="shared" si="171"/>
        <v>0.05</v>
      </c>
      <c r="CQ380" s="218">
        <f t="shared" si="172"/>
        <v>0.05</v>
      </c>
      <c r="CR380" s="101">
        <v>0.05</v>
      </c>
      <c r="CS380" s="101">
        <v>0.05</v>
      </c>
      <c r="CZ380" s="123"/>
      <c r="DA380" s="122"/>
      <c r="DB380" s="122"/>
      <c r="DC380" s="123"/>
      <c r="DD380" s="123"/>
      <c r="DE380" s="123"/>
      <c r="DF380" s="122"/>
      <c r="DG380" s="122"/>
      <c r="DH380" s="122"/>
      <c r="DI380" s="122"/>
      <c r="DJ380" s="122"/>
      <c r="DK380" s="123"/>
      <c r="DL380" s="23"/>
      <c r="DM380" s="150"/>
      <c r="DN380" s="150"/>
      <c r="DO380" s="116"/>
    </row>
    <row r="381" spans="51:119" s="101" customFormat="1" ht="18.75" hidden="1" customHeight="1" thickBot="1" x14ac:dyDescent="0.4">
      <c r="AY381" s="93"/>
      <c r="AZ381" s="93"/>
      <c r="BA381" s="93"/>
      <c r="BB381" s="93"/>
      <c r="BC381" s="93"/>
      <c r="BD381" s="93"/>
      <c r="BE381" s="93"/>
      <c r="BF381" s="93"/>
      <c r="BG381" s="93"/>
      <c r="BH381" s="93"/>
      <c r="BI381" s="93" t="s">
        <v>83</v>
      </c>
      <c r="BJ381" s="93" t="s">
        <v>78</v>
      </c>
      <c r="BK381" s="93">
        <v>43.4</v>
      </c>
      <c r="BL381" s="93" t="s">
        <v>422</v>
      </c>
      <c r="BM381" s="93">
        <v>0.05</v>
      </c>
      <c r="BN381" s="93">
        <v>0.05</v>
      </c>
      <c r="BO381" s="93" t="s">
        <v>77</v>
      </c>
      <c r="BP381" s="93"/>
      <c r="BQ381" s="93"/>
      <c r="BR381" s="93"/>
      <c r="BS381" s="93"/>
      <c r="BT381" s="93"/>
      <c r="BU381" s="93"/>
      <c r="BV381" s="93"/>
      <c r="BW381" s="93"/>
      <c r="BX381" s="93"/>
      <c r="BY381" s="93"/>
      <c r="BZ381" s="93"/>
      <c r="CA381" s="93"/>
      <c r="CB381" s="180"/>
      <c r="CC381" s="178"/>
      <c r="CD381" s="178"/>
      <c r="CE381" s="180"/>
      <c r="CF381" s="180"/>
      <c r="CG381" s="180"/>
      <c r="CH381" s="180"/>
      <c r="CI381" s="178"/>
      <c r="CJ381" s="178"/>
      <c r="CK381" s="180"/>
      <c r="CL381" s="180"/>
      <c r="CM381" s="180"/>
      <c r="CN381" s="116"/>
      <c r="CO381" s="218">
        <f t="shared" si="170"/>
        <v>0.05</v>
      </c>
      <c r="CP381" s="100">
        <f t="shared" si="171"/>
        <v>0.05</v>
      </c>
      <c r="CQ381" s="218">
        <f t="shared" si="172"/>
        <v>0.05</v>
      </c>
      <c r="CR381" s="101">
        <v>0.05</v>
      </c>
      <c r="CS381" s="101">
        <v>0.05</v>
      </c>
      <c r="CZ381" s="123"/>
      <c r="DA381" s="122"/>
      <c r="DB381" s="122"/>
      <c r="DC381" s="123"/>
      <c r="DD381" s="123"/>
      <c r="DE381" s="123"/>
      <c r="DF381" s="122"/>
      <c r="DG381" s="122"/>
      <c r="DH381" s="122"/>
      <c r="DI381" s="122"/>
      <c r="DJ381" s="122"/>
      <c r="DK381" s="123"/>
      <c r="DL381" s="23"/>
      <c r="DM381" s="150"/>
      <c r="DN381" s="150"/>
      <c r="DO381" s="116"/>
    </row>
    <row r="382" spans="51:119" s="101" customFormat="1" ht="18.75" hidden="1" customHeight="1" thickBot="1" x14ac:dyDescent="0.4">
      <c r="AY382" s="93"/>
      <c r="AZ382" s="93"/>
      <c r="BA382" s="93"/>
      <c r="BB382" s="93"/>
      <c r="BC382" s="93"/>
      <c r="BD382" s="93"/>
      <c r="BE382" s="93"/>
      <c r="BF382" s="93"/>
      <c r="BG382" s="93"/>
      <c r="BH382" s="93"/>
      <c r="BI382" s="93" t="s">
        <v>84</v>
      </c>
      <c r="BJ382" s="93" t="s">
        <v>78</v>
      </c>
      <c r="BK382" s="93">
        <v>229.26</v>
      </c>
      <c r="BL382" s="93" t="s">
        <v>422</v>
      </c>
      <c r="BM382" s="93">
        <v>0.05</v>
      </c>
      <c r="BN382" s="93">
        <v>0.05</v>
      </c>
      <c r="BO382" s="93" t="s">
        <v>77</v>
      </c>
      <c r="BP382" s="93"/>
      <c r="BQ382" s="93"/>
      <c r="BR382" s="93"/>
      <c r="BS382" s="93"/>
      <c r="BT382" s="93"/>
      <c r="BU382" s="93"/>
      <c r="BV382" s="93"/>
      <c r="BW382" s="93"/>
      <c r="BX382" s="93"/>
      <c r="BY382" s="93"/>
      <c r="BZ382" s="93"/>
      <c r="CA382" s="93"/>
      <c r="CB382" s="180"/>
      <c r="CC382" s="178"/>
      <c r="CD382" s="178"/>
      <c r="CE382" s="180"/>
      <c r="CF382" s="180"/>
      <c r="CG382" s="180"/>
      <c r="CH382" s="180"/>
      <c r="CI382" s="178"/>
      <c r="CJ382" s="178"/>
      <c r="CK382" s="180"/>
      <c r="CL382" s="180"/>
      <c r="CM382" s="180"/>
      <c r="CN382" s="116"/>
      <c r="CO382" s="218">
        <f t="shared" si="170"/>
        <v>0.05</v>
      </c>
      <c r="CP382" s="100">
        <f t="shared" si="171"/>
        <v>0.05</v>
      </c>
      <c r="CQ382" s="218">
        <f t="shared" si="172"/>
        <v>0.05</v>
      </c>
      <c r="CR382" s="101">
        <v>0.05</v>
      </c>
      <c r="CS382" s="101">
        <v>0.05</v>
      </c>
      <c r="CZ382" s="123"/>
      <c r="DA382" s="122"/>
      <c r="DB382" s="122"/>
      <c r="DC382" s="123"/>
      <c r="DD382" s="123"/>
      <c r="DE382" s="123"/>
      <c r="DF382" s="122"/>
      <c r="DG382" s="122"/>
      <c r="DH382" s="122"/>
      <c r="DI382" s="122"/>
      <c r="DJ382" s="122"/>
      <c r="DK382" s="123"/>
      <c r="DL382" s="23"/>
      <c r="DM382" s="150"/>
      <c r="DN382" s="150"/>
      <c r="DO382" s="116"/>
    </row>
    <row r="383" spans="51:119" s="101" customFormat="1" ht="18.75" hidden="1" customHeight="1" thickBot="1" x14ac:dyDescent="0.4">
      <c r="AY383" s="93"/>
      <c r="AZ383" s="93"/>
      <c r="BA383" s="93"/>
      <c r="BB383" s="93"/>
      <c r="BC383" s="93"/>
      <c r="BD383" s="93"/>
      <c r="BE383" s="93"/>
      <c r="BF383" s="93"/>
      <c r="BG383" s="93"/>
      <c r="BH383" s="93"/>
      <c r="BI383" s="93" t="s">
        <v>85</v>
      </c>
      <c r="BJ383" s="93" t="s">
        <v>78</v>
      </c>
      <c r="BK383" s="93">
        <v>55.15</v>
      </c>
      <c r="BL383" s="93" t="s">
        <v>422</v>
      </c>
      <c r="BM383" s="93">
        <v>0.05</v>
      </c>
      <c r="BN383" s="93">
        <v>0.05</v>
      </c>
      <c r="BO383" s="93" t="s">
        <v>77</v>
      </c>
      <c r="BP383" s="93"/>
      <c r="BQ383" s="93"/>
      <c r="BR383" s="93"/>
      <c r="BS383" s="93"/>
      <c r="BT383" s="93"/>
      <c r="BU383" s="93"/>
      <c r="BV383" s="93"/>
      <c r="BW383" s="93"/>
      <c r="BX383" s="93"/>
      <c r="BY383" s="93"/>
      <c r="BZ383" s="93"/>
      <c r="CA383" s="93"/>
      <c r="CB383" s="180"/>
      <c r="CC383" s="178"/>
      <c r="CD383" s="178"/>
      <c r="CE383" s="180"/>
      <c r="CF383" s="180"/>
      <c r="CG383" s="180"/>
      <c r="CH383" s="180"/>
      <c r="CI383" s="178"/>
      <c r="CJ383" s="178"/>
      <c r="CK383" s="180"/>
      <c r="CL383" s="180"/>
      <c r="CM383" s="180"/>
      <c r="CN383" s="116"/>
      <c r="CO383" s="218">
        <f t="shared" si="170"/>
        <v>0.05</v>
      </c>
      <c r="CP383" s="100">
        <f t="shared" si="171"/>
        <v>0.05</v>
      </c>
      <c r="CQ383" s="218">
        <f t="shared" si="172"/>
        <v>0.05</v>
      </c>
      <c r="CR383" s="101">
        <v>0.05</v>
      </c>
      <c r="CS383" s="101">
        <v>0.05</v>
      </c>
      <c r="CZ383" s="123"/>
      <c r="DA383" s="122"/>
      <c r="DB383" s="122"/>
      <c r="DC383" s="123"/>
      <c r="DD383" s="123"/>
      <c r="DE383" s="123"/>
      <c r="DF383" s="122"/>
      <c r="DG383" s="122"/>
      <c r="DH383" s="122"/>
      <c r="DI383" s="122"/>
      <c r="DJ383" s="122"/>
      <c r="DK383" s="123"/>
      <c r="DL383" s="23"/>
      <c r="DM383" s="150"/>
      <c r="DN383" s="150"/>
      <c r="DO383" s="116"/>
    </row>
    <row r="384" spans="51:119" s="101" customFormat="1" ht="18.75" hidden="1" customHeight="1" thickBot="1" x14ac:dyDescent="0.4">
      <c r="AY384" s="93"/>
      <c r="AZ384" s="93"/>
      <c r="BA384" s="93"/>
      <c r="BB384" s="93"/>
      <c r="BC384" s="93"/>
      <c r="BD384" s="93"/>
      <c r="BE384" s="93"/>
      <c r="BF384" s="93"/>
      <c r="BG384" s="93"/>
      <c r="BH384" s="93"/>
      <c r="BI384" s="93" t="s">
        <v>86</v>
      </c>
      <c r="BJ384" s="93" t="s">
        <v>78</v>
      </c>
      <c r="BK384" s="93">
        <v>84.94</v>
      </c>
      <c r="BL384" s="93" t="s">
        <v>422</v>
      </c>
      <c r="BM384" s="93">
        <v>0.05</v>
      </c>
      <c r="BN384" s="93">
        <v>0.05</v>
      </c>
      <c r="BO384" s="93" t="s">
        <v>77</v>
      </c>
      <c r="BP384" s="93"/>
      <c r="BQ384" s="93"/>
      <c r="BR384" s="93"/>
      <c r="BS384" s="93"/>
      <c r="BT384" s="93"/>
      <c r="BU384" s="93"/>
      <c r="BV384" s="93"/>
      <c r="BW384" s="93"/>
      <c r="BX384" s="93"/>
      <c r="BY384" s="93"/>
      <c r="BZ384" s="93"/>
      <c r="CA384" s="93"/>
      <c r="CB384" s="180"/>
      <c r="CC384" s="178"/>
      <c r="CD384" s="178"/>
      <c r="CE384" s="180"/>
      <c r="CF384" s="180"/>
      <c r="CG384" s="180"/>
      <c r="CH384" s="180"/>
      <c r="CI384" s="178"/>
      <c r="CJ384" s="178"/>
      <c r="CK384" s="180"/>
      <c r="CL384" s="180"/>
      <c r="CM384" s="180"/>
      <c r="CN384" s="116"/>
      <c r="CO384" s="218">
        <f t="shared" si="170"/>
        <v>0.05</v>
      </c>
      <c r="CP384" s="100">
        <f t="shared" si="171"/>
        <v>0.05</v>
      </c>
      <c r="CQ384" s="218">
        <f t="shared" si="172"/>
        <v>0.05</v>
      </c>
      <c r="CR384" s="101">
        <v>0.05</v>
      </c>
      <c r="CS384" s="101">
        <v>0.05</v>
      </c>
      <c r="CZ384" s="123"/>
      <c r="DA384" s="122"/>
      <c r="DB384" s="122"/>
      <c r="DC384" s="123"/>
      <c r="DD384" s="123"/>
      <c r="DE384" s="123"/>
      <c r="DF384" s="122"/>
      <c r="DG384" s="122"/>
      <c r="DH384" s="122"/>
      <c r="DI384" s="122"/>
      <c r="DJ384" s="122"/>
      <c r="DK384" s="123"/>
      <c r="DL384" s="23"/>
      <c r="DM384" s="150"/>
      <c r="DN384" s="150"/>
      <c r="DO384" s="116"/>
    </row>
    <row r="385" spans="51:119" s="101" customFormat="1" ht="18.75" hidden="1" customHeight="1" thickBot="1" x14ac:dyDescent="0.4">
      <c r="AY385" s="93"/>
      <c r="AZ385" s="93"/>
      <c r="BA385" s="93"/>
      <c r="BB385" s="93"/>
      <c r="BC385" s="93"/>
      <c r="BD385" s="93"/>
      <c r="BE385" s="93"/>
      <c r="BF385" s="93"/>
      <c r="BG385" s="93"/>
      <c r="BH385" s="93"/>
      <c r="BI385" s="93" t="s">
        <v>87</v>
      </c>
      <c r="BJ385" s="93" t="s">
        <v>78</v>
      </c>
      <c r="BK385" s="93">
        <v>169.75</v>
      </c>
      <c r="BL385" s="93" t="s">
        <v>422</v>
      </c>
      <c r="BM385" s="93">
        <v>0.05</v>
      </c>
      <c r="BN385" s="93">
        <v>0.05</v>
      </c>
      <c r="BO385" s="93" t="s">
        <v>77</v>
      </c>
      <c r="BP385" s="93"/>
      <c r="BQ385" s="93"/>
      <c r="BR385" s="93"/>
      <c r="BS385" s="93"/>
      <c r="BT385" s="93"/>
      <c r="BU385" s="93"/>
      <c r="BV385" s="93"/>
      <c r="BW385" s="93"/>
      <c r="BX385" s="93"/>
      <c r="BY385" s="93"/>
      <c r="BZ385" s="93"/>
      <c r="CA385" s="93"/>
      <c r="CB385" s="180"/>
      <c r="CC385" s="178"/>
      <c r="CD385" s="178"/>
      <c r="CE385" s="180"/>
      <c r="CF385" s="180"/>
      <c r="CG385" s="180"/>
      <c r="CH385" s="180"/>
      <c r="CI385" s="178"/>
      <c r="CJ385" s="178"/>
      <c r="CK385" s="180"/>
      <c r="CL385" s="180"/>
      <c r="CM385" s="180"/>
      <c r="CN385" s="116"/>
      <c r="CO385" s="218">
        <f t="shared" si="170"/>
        <v>0.05</v>
      </c>
      <c r="CP385" s="100">
        <f t="shared" si="171"/>
        <v>0.05</v>
      </c>
      <c r="CQ385" s="218">
        <f t="shared" si="172"/>
        <v>0.05</v>
      </c>
      <c r="CR385" s="101">
        <v>0.05</v>
      </c>
      <c r="CS385" s="101">
        <v>0.05</v>
      </c>
      <c r="CZ385" s="123"/>
      <c r="DA385" s="122"/>
      <c r="DB385" s="122"/>
      <c r="DC385" s="123"/>
      <c r="DD385" s="123"/>
      <c r="DE385" s="123"/>
      <c r="DF385" s="122"/>
      <c r="DG385" s="122"/>
      <c r="DH385" s="122"/>
      <c r="DI385" s="122"/>
      <c r="DJ385" s="122"/>
      <c r="DK385" s="123"/>
      <c r="DL385" s="23"/>
      <c r="DM385" s="150"/>
      <c r="DN385" s="150"/>
      <c r="DO385" s="116"/>
    </row>
    <row r="386" spans="51:119" s="101" customFormat="1" ht="18.75" hidden="1" customHeight="1" thickBot="1" x14ac:dyDescent="0.4">
      <c r="AY386" s="93"/>
      <c r="AZ386" s="93"/>
      <c r="BA386" s="93"/>
      <c r="BB386" s="93"/>
      <c r="BC386" s="93"/>
      <c r="BD386" s="93"/>
      <c r="BE386" s="93"/>
      <c r="BF386" s="93"/>
      <c r="BG386" s="93"/>
      <c r="BH386" s="93"/>
      <c r="BI386" s="93" t="s">
        <v>340</v>
      </c>
      <c r="BJ386" s="93" t="s">
        <v>78</v>
      </c>
      <c r="BK386" s="93">
        <v>137.47</v>
      </c>
      <c r="BL386" s="93" t="s">
        <v>422</v>
      </c>
      <c r="BM386" s="93">
        <v>0.05</v>
      </c>
      <c r="BN386" s="93">
        <v>0.05</v>
      </c>
      <c r="BO386" s="93" t="s">
        <v>77</v>
      </c>
      <c r="BP386" s="93"/>
      <c r="BQ386" s="93"/>
      <c r="BR386" s="93"/>
      <c r="BS386" s="93"/>
      <c r="BT386" s="93"/>
      <c r="BU386" s="93"/>
      <c r="BV386" s="93"/>
      <c r="BW386" s="93"/>
      <c r="BX386" s="93"/>
      <c r="BY386" s="93"/>
      <c r="BZ386" s="93"/>
      <c r="CA386" s="93"/>
      <c r="CB386" s="180"/>
      <c r="CC386" s="178"/>
      <c r="CD386" s="178"/>
      <c r="CE386" s="180"/>
      <c r="CF386" s="180"/>
      <c r="CG386" s="180"/>
      <c r="CH386" s="180"/>
      <c r="CI386" s="178"/>
      <c r="CJ386" s="178"/>
      <c r="CK386" s="180"/>
      <c r="CL386" s="180"/>
      <c r="CM386" s="180"/>
      <c r="CN386" s="116"/>
      <c r="CO386" s="218">
        <f t="shared" si="170"/>
        <v>0.05</v>
      </c>
      <c r="CP386" s="100">
        <f t="shared" si="171"/>
        <v>0.05</v>
      </c>
      <c r="CQ386" s="218">
        <f t="shared" si="172"/>
        <v>0.05</v>
      </c>
      <c r="CR386" s="101">
        <v>0.05</v>
      </c>
      <c r="CS386" s="101">
        <v>0.05</v>
      </c>
      <c r="CZ386" s="123"/>
      <c r="DA386" s="122"/>
      <c r="DB386" s="122"/>
      <c r="DC386" s="123"/>
      <c r="DD386" s="123"/>
      <c r="DE386" s="123"/>
      <c r="DF386" s="122"/>
      <c r="DG386" s="122"/>
      <c r="DH386" s="122"/>
      <c r="DI386" s="122"/>
      <c r="DJ386" s="122"/>
      <c r="DK386" s="123"/>
      <c r="DL386" s="23"/>
      <c r="DM386" s="150"/>
      <c r="DN386" s="150"/>
      <c r="DO386" s="116"/>
    </row>
    <row r="387" spans="51:119" s="101" customFormat="1" ht="18.75" hidden="1" customHeight="1" thickBot="1" x14ac:dyDescent="0.4">
      <c r="AY387" s="93"/>
      <c r="AZ387" s="93"/>
      <c r="BA387" s="93"/>
      <c r="BB387" s="93"/>
      <c r="BC387" s="93"/>
      <c r="BD387" s="93"/>
      <c r="BE387" s="93"/>
      <c r="BF387" s="93"/>
      <c r="BG387" s="93"/>
      <c r="BH387" s="93"/>
      <c r="BI387" s="93" t="s">
        <v>88</v>
      </c>
      <c r="BJ387" s="93" t="s">
        <v>78</v>
      </c>
      <c r="BK387" s="93">
        <v>75.37</v>
      </c>
      <c r="BL387" s="93" t="s">
        <v>422</v>
      </c>
      <c r="BM387" s="93">
        <v>0.05</v>
      </c>
      <c r="BN387" s="93">
        <v>0.05</v>
      </c>
      <c r="BO387" s="93" t="s">
        <v>77</v>
      </c>
      <c r="BP387" s="93"/>
      <c r="BQ387" s="93"/>
      <c r="BR387" s="93"/>
      <c r="BS387" s="93"/>
      <c r="BT387" s="93"/>
      <c r="BU387" s="93"/>
      <c r="BV387" s="93"/>
      <c r="BW387" s="93"/>
      <c r="BX387" s="93"/>
      <c r="BY387" s="93"/>
      <c r="BZ387" s="93"/>
      <c r="CA387" s="93"/>
      <c r="CB387" s="180"/>
      <c r="CC387" s="178"/>
      <c r="CD387" s="178"/>
      <c r="CE387" s="180"/>
      <c r="CF387" s="180"/>
      <c r="CG387" s="180"/>
      <c r="CH387" s="180"/>
      <c r="CI387" s="178"/>
      <c r="CJ387" s="178"/>
      <c r="CK387" s="180"/>
      <c r="CL387" s="180"/>
      <c r="CM387" s="180"/>
      <c r="CN387" s="116"/>
      <c r="CO387" s="218">
        <f t="shared" si="170"/>
        <v>0.05</v>
      </c>
      <c r="CP387" s="100">
        <f t="shared" si="171"/>
        <v>0.05</v>
      </c>
      <c r="CQ387" s="218">
        <f t="shared" si="172"/>
        <v>0.05</v>
      </c>
      <c r="CR387" s="101">
        <v>0.05</v>
      </c>
      <c r="CS387" s="101">
        <v>0.05</v>
      </c>
      <c r="CZ387" s="123"/>
      <c r="DA387" s="122"/>
      <c r="DB387" s="122"/>
      <c r="DC387" s="123"/>
      <c r="DD387" s="123"/>
      <c r="DE387" s="123"/>
      <c r="DF387" s="122"/>
      <c r="DG387" s="122"/>
      <c r="DH387" s="122"/>
      <c r="DI387" s="122"/>
      <c r="DJ387" s="122"/>
      <c r="DK387" s="123"/>
      <c r="DL387" s="23"/>
      <c r="DM387" s="150"/>
      <c r="DN387" s="150"/>
      <c r="DO387" s="116"/>
    </row>
    <row r="388" spans="51:119" s="101" customFormat="1" ht="18.75" hidden="1" customHeight="1" thickBot="1" x14ac:dyDescent="0.4">
      <c r="AY388" s="93"/>
      <c r="AZ388" s="93"/>
      <c r="BA388" s="93"/>
      <c r="BB388" s="93"/>
      <c r="BC388" s="93"/>
      <c r="BD388" s="93"/>
      <c r="BE388" s="93"/>
      <c r="BF388" s="93"/>
      <c r="BG388" s="93"/>
      <c r="BH388" s="93"/>
      <c r="BI388" s="93" t="s">
        <v>89</v>
      </c>
      <c r="BJ388" s="93" t="s">
        <v>78</v>
      </c>
      <c r="BK388" s="93">
        <v>130.97999999999999</v>
      </c>
      <c r="BL388" s="93" t="s">
        <v>422</v>
      </c>
      <c r="BM388" s="93">
        <v>0.05</v>
      </c>
      <c r="BN388" s="93">
        <v>0.05</v>
      </c>
      <c r="BO388" s="93" t="s">
        <v>77</v>
      </c>
      <c r="BP388" s="93"/>
      <c r="BQ388" s="93"/>
      <c r="BR388" s="93"/>
      <c r="BS388" s="93"/>
      <c r="BT388" s="93"/>
      <c r="BU388" s="93"/>
      <c r="BV388" s="93"/>
      <c r="BW388" s="93"/>
      <c r="BX388" s="93"/>
      <c r="BY388" s="93"/>
      <c r="BZ388" s="93"/>
      <c r="CA388" s="93"/>
      <c r="CB388" s="180"/>
      <c r="CC388" s="178"/>
      <c r="CD388" s="178"/>
      <c r="CE388" s="180"/>
      <c r="CF388" s="180"/>
      <c r="CG388" s="180"/>
      <c r="CH388" s="180"/>
      <c r="CI388" s="178"/>
      <c r="CJ388" s="178"/>
      <c r="CK388" s="180"/>
      <c r="CL388" s="180"/>
      <c r="CM388" s="180"/>
      <c r="CN388" s="116"/>
      <c r="CO388" s="218">
        <f t="shared" si="170"/>
        <v>0.05</v>
      </c>
      <c r="CP388" s="100">
        <f t="shared" si="171"/>
        <v>0.05</v>
      </c>
      <c r="CQ388" s="218">
        <f t="shared" si="172"/>
        <v>0.05</v>
      </c>
      <c r="CR388" s="101">
        <v>0.05</v>
      </c>
      <c r="CS388" s="101">
        <v>0.05</v>
      </c>
      <c r="CZ388" s="123"/>
      <c r="DA388" s="122"/>
      <c r="DB388" s="122"/>
      <c r="DC388" s="123"/>
      <c r="DD388" s="123"/>
      <c r="DE388" s="123"/>
      <c r="DF388" s="122"/>
      <c r="DG388" s="122"/>
      <c r="DH388" s="122"/>
      <c r="DI388" s="122"/>
      <c r="DJ388" s="122"/>
      <c r="DK388" s="123"/>
      <c r="DL388" s="23"/>
      <c r="DM388" s="150"/>
      <c r="DN388" s="150"/>
      <c r="DO388" s="116"/>
    </row>
    <row r="389" spans="51:119" s="101" customFormat="1" ht="18.75" hidden="1" customHeight="1" thickBot="1" x14ac:dyDescent="0.4">
      <c r="AY389" s="93"/>
      <c r="AZ389" s="93"/>
      <c r="BA389" s="93"/>
      <c r="BB389" s="93"/>
      <c r="BC389" s="93"/>
      <c r="BD389" s="93"/>
      <c r="BE389" s="93"/>
      <c r="BF389" s="93"/>
      <c r="BG389" s="93"/>
      <c r="BH389" s="93"/>
      <c r="BI389" s="93" t="s">
        <v>90</v>
      </c>
      <c r="BJ389" s="93" t="s">
        <v>78</v>
      </c>
      <c r="BK389" s="93">
        <v>79.5</v>
      </c>
      <c r="BL389" s="93" t="s">
        <v>422</v>
      </c>
      <c r="BM389" s="93">
        <v>0.05</v>
      </c>
      <c r="BN389" s="93">
        <v>0.05</v>
      </c>
      <c r="BO389" s="93" t="s">
        <v>77</v>
      </c>
      <c r="BP389" s="93"/>
      <c r="BQ389" s="93"/>
      <c r="BR389" s="93"/>
      <c r="BS389" s="93"/>
      <c r="BT389" s="93"/>
      <c r="BU389" s="93"/>
      <c r="BV389" s="93"/>
      <c r="BW389" s="93"/>
      <c r="BX389" s="93"/>
      <c r="BY389" s="93"/>
      <c r="BZ389" s="93"/>
      <c r="CA389" s="93"/>
      <c r="CB389" s="180"/>
      <c r="CC389" s="178"/>
      <c r="CD389" s="178"/>
      <c r="CE389" s="180"/>
      <c r="CF389" s="180"/>
      <c r="CG389" s="180"/>
      <c r="CH389" s="180"/>
      <c r="CI389" s="178"/>
      <c r="CJ389" s="178"/>
      <c r="CK389" s="180"/>
      <c r="CL389" s="180"/>
      <c r="CM389" s="180"/>
      <c r="CN389" s="116"/>
      <c r="CO389" s="218">
        <f t="shared" si="170"/>
        <v>0.05</v>
      </c>
      <c r="CP389" s="100">
        <f t="shared" si="171"/>
        <v>0.05</v>
      </c>
      <c r="CQ389" s="218">
        <f t="shared" si="172"/>
        <v>0.05</v>
      </c>
      <c r="CR389" s="101">
        <v>0.05</v>
      </c>
      <c r="CS389" s="101">
        <v>0.05</v>
      </c>
      <c r="CZ389" s="123"/>
      <c r="DA389" s="122"/>
      <c r="DB389" s="122"/>
      <c r="DC389" s="123"/>
      <c r="DD389" s="123"/>
      <c r="DE389" s="123"/>
      <c r="DF389" s="122"/>
      <c r="DG389" s="122"/>
      <c r="DH389" s="122"/>
      <c r="DI389" s="122"/>
      <c r="DJ389" s="122"/>
      <c r="DK389" s="123"/>
      <c r="DL389" s="23"/>
      <c r="DM389" s="150"/>
      <c r="DN389" s="150"/>
      <c r="DO389" s="116"/>
    </row>
    <row r="390" spans="51:119" s="101" customFormat="1" ht="18.75" hidden="1" customHeight="1" thickBot="1" x14ac:dyDescent="0.4">
      <c r="AY390" s="93"/>
      <c r="AZ390" s="93"/>
      <c r="BA390" s="93"/>
      <c r="BB390" s="93"/>
      <c r="BC390" s="93"/>
      <c r="BD390" s="93"/>
      <c r="BE390" s="93"/>
      <c r="BF390" s="93"/>
      <c r="BG390" s="93"/>
      <c r="BH390" s="93"/>
      <c r="BI390" s="93" t="s">
        <v>91</v>
      </c>
      <c r="BJ390" s="93" t="s">
        <v>78</v>
      </c>
      <c r="BK390" s="93">
        <v>73.42</v>
      </c>
      <c r="BL390" s="93" t="s">
        <v>422</v>
      </c>
      <c r="BM390" s="93">
        <v>0.05</v>
      </c>
      <c r="BN390" s="93">
        <v>0.05</v>
      </c>
      <c r="BO390" s="93" t="s">
        <v>77</v>
      </c>
      <c r="BP390" s="93"/>
      <c r="BQ390" s="93"/>
      <c r="BR390" s="93"/>
      <c r="BS390" s="93"/>
      <c r="BT390" s="93"/>
      <c r="BU390" s="93"/>
      <c r="BV390" s="93"/>
      <c r="BW390" s="93"/>
      <c r="BX390" s="93"/>
      <c r="BY390" s="93"/>
      <c r="BZ390" s="93"/>
      <c r="CA390" s="93"/>
      <c r="CB390" s="180"/>
      <c r="CC390" s="178"/>
      <c r="CD390" s="178"/>
      <c r="CE390" s="180"/>
      <c r="CF390" s="180"/>
      <c r="CG390" s="180"/>
      <c r="CH390" s="180"/>
      <c r="CI390" s="178"/>
      <c r="CJ390" s="178"/>
      <c r="CK390" s="180"/>
      <c r="CL390" s="180"/>
      <c r="CM390" s="180"/>
      <c r="CN390" s="116"/>
      <c r="CO390" s="218">
        <f t="shared" si="170"/>
        <v>0.05</v>
      </c>
      <c r="CP390" s="100">
        <f t="shared" si="171"/>
        <v>0.05</v>
      </c>
      <c r="CQ390" s="218">
        <f t="shared" si="172"/>
        <v>0.05</v>
      </c>
      <c r="CR390" s="101">
        <v>0.05</v>
      </c>
      <c r="CS390" s="101">
        <v>0.05</v>
      </c>
      <c r="CZ390" s="123"/>
      <c r="DA390" s="122"/>
      <c r="DB390" s="122"/>
      <c r="DC390" s="123"/>
      <c r="DD390" s="123"/>
      <c r="DE390" s="123"/>
      <c r="DF390" s="122"/>
      <c r="DG390" s="122"/>
      <c r="DH390" s="122"/>
      <c r="DI390" s="122"/>
      <c r="DJ390" s="122"/>
      <c r="DK390" s="123"/>
      <c r="DL390" s="23"/>
      <c r="DM390" s="150"/>
      <c r="DN390" s="150"/>
      <c r="DO390" s="116"/>
    </row>
    <row r="391" spans="51:119" s="101" customFormat="1" ht="18.75" hidden="1" customHeight="1" thickBot="1" x14ac:dyDescent="0.4">
      <c r="AY391" s="93"/>
      <c r="AZ391" s="93"/>
      <c r="BA391" s="93"/>
      <c r="BB391" s="93"/>
      <c r="BC391" s="93"/>
      <c r="BD391" s="93"/>
      <c r="BE391" s="93"/>
      <c r="BF391" s="93"/>
      <c r="BG391" s="93"/>
      <c r="BH391" s="93"/>
      <c r="BI391" s="93" t="s">
        <v>332</v>
      </c>
      <c r="BJ391" s="93" t="s">
        <v>78</v>
      </c>
      <c r="BK391" s="93">
        <v>131.06</v>
      </c>
      <c r="BL391" s="93" t="s">
        <v>422</v>
      </c>
      <c r="BM391" s="93">
        <v>0.05</v>
      </c>
      <c r="BN391" s="93">
        <v>0.05</v>
      </c>
      <c r="BO391" s="93" t="s">
        <v>77</v>
      </c>
      <c r="BP391" s="93"/>
      <c r="BQ391" s="93"/>
      <c r="BR391" s="93"/>
      <c r="BS391" s="93"/>
      <c r="BT391" s="93"/>
      <c r="BU391" s="93"/>
      <c r="BV391" s="93"/>
      <c r="BW391" s="93"/>
      <c r="BX391" s="93"/>
      <c r="BY391" s="93"/>
      <c r="BZ391" s="93"/>
      <c r="CA391" s="93"/>
      <c r="CB391" s="180"/>
      <c r="CC391" s="178"/>
      <c r="CD391" s="178"/>
      <c r="CE391" s="180"/>
      <c r="CF391" s="180"/>
      <c r="CG391" s="180"/>
      <c r="CH391" s="180"/>
      <c r="CI391" s="178"/>
      <c r="CJ391" s="178"/>
      <c r="CK391" s="180"/>
      <c r="CL391" s="180"/>
      <c r="CM391" s="180"/>
      <c r="CN391" s="116"/>
      <c r="CO391" s="218">
        <f t="shared" si="170"/>
        <v>0.05</v>
      </c>
      <c r="CP391" s="100">
        <f t="shared" si="171"/>
        <v>0.05</v>
      </c>
      <c r="CQ391" s="218">
        <f t="shared" si="172"/>
        <v>0.05</v>
      </c>
      <c r="CR391" s="101">
        <v>0.05</v>
      </c>
      <c r="CS391" s="101">
        <v>0.05</v>
      </c>
      <c r="CZ391" s="123"/>
      <c r="DA391" s="122"/>
      <c r="DB391" s="122"/>
      <c r="DC391" s="123"/>
      <c r="DD391" s="123"/>
      <c r="DE391" s="123"/>
      <c r="DF391" s="122"/>
      <c r="DG391" s="122"/>
      <c r="DH391" s="122"/>
      <c r="DI391" s="122"/>
      <c r="DJ391" s="122"/>
      <c r="DK391" s="123"/>
      <c r="DL391" s="23"/>
      <c r="DM391" s="150"/>
      <c r="DN391" s="150"/>
      <c r="DO391" s="116"/>
    </row>
    <row r="392" spans="51:119" s="101" customFormat="1" ht="18.75" hidden="1" customHeight="1" thickBot="1" x14ac:dyDescent="0.4">
      <c r="AY392" s="93"/>
      <c r="AZ392" s="93"/>
      <c r="BA392" s="93"/>
      <c r="BB392" s="93"/>
      <c r="BC392" s="93"/>
      <c r="BD392" s="93"/>
      <c r="BE392" s="93"/>
      <c r="BF392" s="93"/>
      <c r="BG392" s="93"/>
      <c r="BH392" s="93"/>
      <c r="BI392" s="93" t="s">
        <v>92</v>
      </c>
      <c r="BJ392" s="93" t="s">
        <v>78</v>
      </c>
      <c r="BK392" s="93">
        <v>196.94</v>
      </c>
      <c r="BL392" s="93" t="s">
        <v>422</v>
      </c>
      <c r="BM392" s="93">
        <v>0.05</v>
      </c>
      <c r="BN392" s="93">
        <v>0.05</v>
      </c>
      <c r="BO392" s="93" t="s">
        <v>77</v>
      </c>
      <c r="BP392" s="93"/>
      <c r="BQ392" s="93"/>
      <c r="BR392" s="93"/>
      <c r="BS392" s="93"/>
      <c r="BT392" s="93"/>
      <c r="BU392" s="93"/>
      <c r="BV392" s="93"/>
      <c r="BW392" s="93"/>
      <c r="BX392" s="93"/>
      <c r="BY392" s="93"/>
      <c r="BZ392" s="93"/>
      <c r="CA392" s="93"/>
      <c r="CB392" s="180"/>
      <c r="CC392" s="178"/>
      <c r="CD392" s="178"/>
      <c r="CE392" s="180"/>
      <c r="CF392" s="180"/>
      <c r="CG392" s="180"/>
      <c r="CH392" s="180"/>
      <c r="CI392" s="178"/>
      <c r="CJ392" s="178"/>
      <c r="CK392" s="180"/>
      <c r="CL392" s="180"/>
      <c r="CM392" s="180"/>
      <c r="CN392" s="116"/>
      <c r="CO392" s="218">
        <f t="shared" si="170"/>
        <v>0.05</v>
      </c>
      <c r="CP392" s="100">
        <f t="shared" si="171"/>
        <v>0.05</v>
      </c>
      <c r="CQ392" s="218">
        <f t="shared" si="172"/>
        <v>0.05</v>
      </c>
      <c r="CR392" s="101">
        <v>0.05</v>
      </c>
      <c r="CS392" s="101">
        <v>0.05</v>
      </c>
      <c r="CZ392" s="123"/>
      <c r="DA392" s="122"/>
      <c r="DB392" s="122"/>
      <c r="DC392" s="123"/>
      <c r="DD392" s="123"/>
      <c r="DE392" s="123"/>
      <c r="DF392" s="122"/>
      <c r="DG392" s="122"/>
      <c r="DH392" s="122"/>
      <c r="DI392" s="122"/>
      <c r="DJ392" s="122"/>
      <c r="DK392" s="123"/>
      <c r="DL392" s="23"/>
      <c r="DM392" s="150"/>
      <c r="DN392" s="150"/>
      <c r="DO392" s="116"/>
    </row>
    <row r="393" spans="51:119" s="101" customFormat="1" ht="18.75" hidden="1" customHeight="1" thickBot="1" x14ac:dyDescent="0.4">
      <c r="AY393" s="93"/>
      <c r="AZ393" s="93"/>
      <c r="BA393" s="93"/>
      <c r="BB393" s="93"/>
      <c r="BC393" s="93"/>
      <c r="BD393" s="93"/>
      <c r="BE393" s="93"/>
      <c r="BF393" s="93"/>
      <c r="BG393" s="93"/>
      <c r="BH393" s="93"/>
      <c r="BI393" s="93" t="s">
        <v>331</v>
      </c>
      <c r="BJ393" s="93" t="s">
        <v>78</v>
      </c>
      <c r="BK393" s="93">
        <v>188.24</v>
      </c>
      <c r="BL393" s="93" t="s">
        <v>422</v>
      </c>
      <c r="BM393" s="93">
        <v>0.05</v>
      </c>
      <c r="BN393" s="93">
        <v>0.05</v>
      </c>
      <c r="BO393" s="93" t="s">
        <v>77</v>
      </c>
      <c r="BP393" s="93"/>
      <c r="BQ393" s="93"/>
      <c r="BR393" s="93"/>
      <c r="BS393" s="93"/>
      <c r="BT393" s="93"/>
      <c r="BU393" s="93"/>
      <c r="BV393" s="93"/>
      <c r="BW393" s="93"/>
      <c r="BX393" s="93"/>
      <c r="BY393" s="93"/>
      <c r="BZ393" s="93"/>
      <c r="CA393" s="93"/>
      <c r="CB393" s="180"/>
      <c r="CC393" s="178"/>
      <c r="CD393" s="178"/>
      <c r="CE393" s="180"/>
      <c r="CF393" s="180"/>
      <c r="CG393" s="180"/>
      <c r="CH393" s="180"/>
      <c r="CI393" s="178"/>
      <c r="CJ393" s="178"/>
      <c r="CK393" s="180"/>
      <c r="CL393" s="180"/>
      <c r="CM393" s="180"/>
      <c r="CN393" s="116"/>
      <c r="CO393" s="218">
        <f t="shared" si="170"/>
        <v>0.05</v>
      </c>
      <c r="CP393" s="100">
        <f t="shared" si="171"/>
        <v>0.05</v>
      </c>
      <c r="CQ393" s="218">
        <f t="shared" si="172"/>
        <v>0.05</v>
      </c>
      <c r="CR393" s="101">
        <v>0.05</v>
      </c>
      <c r="CS393" s="101">
        <v>0.05</v>
      </c>
      <c r="CZ393" s="123"/>
      <c r="DA393" s="122"/>
      <c r="DB393" s="122"/>
      <c r="DC393" s="123"/>
      <c r="DD393" s="123"/>
      <c r="DE393" s="123"/>
      <c r="DF393" s="122"/>
      <c r="DG393" s="122"/>
      <c r="DH393" s="122"/>
      <c r="DI393" s="122"/>
      <c r="DJ393" s="122"/>
      <c r="DK393" s="123"/>
      <c r="DL393" s="23"/>
      <c r="DM393" s="150"/>
      <c r="DN393" s="150"/>
      <c r="DO393" s="116"/>
    </row>
    <row r="394" spans="51:119" s="101" customFormat="1" ht="18.75" hidden="1" customHeight="1" thickBot="1" x14ac:dyDescent="0.4">
      <c r="AY394" s="93"/>
      <c r="AZ394" s="93"/>
      <c r="BA394" s="93"/>
      <c r="BB394" s="93"/>
      <c r="BC394" s="93"/>
      <c r="BD394" s="93"/>
      <c r="BE394" s="93"/>
      <c r="BF394" s="93"/>
      <c r="BG394" s="93"/>
      <c r="BH394" s="93"/>
      <c r="BI394" s="93" t="s">
        <v>305</v>
      </c>
      <c r="BJ394" s="93" t="s">
        <v>78</v>
      </c>
      <c r="BK394" s="93">
        <v>166.07</v>
      </c>
      <c r="BL394" s="93" t="s">
        <v>422</v>
      </c>
      <c r="BM394" s="93">
        <v>0.05</v>
      </c>
      <c r="BN394" s="93">
        <v>0.05</v>
      </c>
      <c r="BO394" s="93" t="s">
        <v>77</v>
      </c>
      <c r="BP394" s="93"/>
      <c r="BQ394" s="93"/>
      <c r="BR394" s="93"/>
      <c r="BS394" s="93"/>
      <c r="BT394" s="93"/>
      <c r="BU394" s="93"/>
      <c r="BV394" s="93"/>
      <c r="BW394" s="93"/>
      <c r="BX394" s="93"/>
      <c r="BY394" s="93"/>
      <c r="BZ394" s="93"/>
      <c r="CA394" s="93"/>
      <c r="CB394" s="180"/>
      <c r="CC394" s="178"/>
      <c r="CD394" s="178"/>
      <c r="CE394" s="180"/>
      <c r="CF394" s="180"/>
      <c r="CG394" s="180"/>
      <c r="CH394" s="180"/>
      <c r="CI394" s="178"/>
      <c r="CJ394" s="178"/>
      <c r="CK394" s="180"/>
      <c r="CL394" s="180"/>
      <c r="CM394" s="180"/>
      <c r="CN394" s="116"/>
      <c r="CO394" s="218">
        <f t="shared" si="170"/>
        <v>0.05</v>
      </c>
      <c r="CP394" s="100">
        <f t="shared" si="171"/>
        <v>0.05</v>
      </c>
      <c r="CQ394" s="218">
        <f t="shared" si="172"/>
        <v>0.05</v>
      </c>
      <c r="CR394" s="101">
        <v>0.05</v>
      </c>
      <c r="CS394" s="101">
        <v>0.05</v>
      </c>
      <c r="CZ394" s="123"/>
      <c r="DA394" s="122"/>
      <c r="DB394" s="122"/>
      <c r="DC394" s="123"/>
      <c r="DD394" s="123"/>
      <c r="DE394" s="123"/>
      <c r="DF394" s="122"/>
      <c r="DG394" s="122"/>
      <c r="DH394" s="122"/>
      <c r="DI394" s="122"/>
      <c r="DJ394" s="122"/>
      <c r="DK394" s="123"/>
      <c r="DL394" s="23"/>
      <c r="DM394" s="150"/>
      <c r="DN394" s="150"/>
      <c r="DO394" s="116"/>
    </row>
    <row r="395" spans="51:119" s="101" customFormat="1" ht="18.75" hidden="1" customHeight="1" thickBot="1" x14ac:dyDescent="0.4">
      <c r="AY395" s="93"/>
      <c r="AZ395" s="93"/>
      <c r="BA395" s="93"/>
      <c r="BB395" s="93"/>
      <c r="BC395" s="93"/>
      <c r="BD395" s="93"/>
      <c r="BE395" s="93"/>
      <c r="BF395" s="93"/>
      <c r="BG395" s="93"/>
      <c r="BH395" s="93"/>
      <c r="BI395" s="93" t="s">
        <v>93</v>
      </c>
      <c r="BJ395" s="93" t="s">
        <v>78</v>
      </c>
      <c r="BK395" s="93">
        <v>176.09</v>
      </c>
      <c r="BL395" s="93" t="s">
        <v>422</v>
      </c>
      <c r="BM395" s="93">
        <v>0.05</v>
      </c>
      <c r="BN395" s="93">
        <v>0.05</v>
      </c>
      <c r="BO395" s="93" t="s">
        <v>77</v>
      </c>
      <c r="BP395" s="93"/>
      <c r="BQ395" s="93"/>
      <c r="BR395" s="93"/>
      <c r="BS395" s="93"/>
      <c r="BT395" s="93"/>
      <c r="BU395" s="93"/>
      <c r="BV395" s="93"/>
      <c r="BW395" s="93"/>
      <c r="BX395" s="93"/>
      <c r="BY395" s="93"/>
      <c r="BZ395" s="93"/>
      <c r="CA395" s="93"/>
      <c r="CB395" s="180"/>
      <c r="CC395" s="178"/>
      <c r="CD395" s="178"/>
      <c r="CE395" s="180"/>
      <c r="CF395" s="180"/>
      <c r="CG395" s="180"/>
      <c r="CH395" s="180"/>
      <c r="CI395" s="178"/>
      <c r="CJ395" s="178"/>
      <c r="CK395" s="180"/>
      <c r="CL395" s="180"/>
      <c r="CM395" s="180"/>
      <c r="CN395" s="116"/>
      <c r="CO395" s="218">
        <f t="shared" si="170"/>
        <v>0.05</v>
      </c>
      <c r="CP395" s="100">
        <f t="shared" si="171"/>
        <v>0.05</v>
      </c>
      <c r="CQ395" s="218">
        <f t="shared" si="172"/>
        <v>0.05</v>
      </c>
      <c r="CR395" s="101">
        <v>0.05</v>
      </c>
      <c r="CS395" s="101">
        <v>0.05</v>
      </c>
      <c r="CZ395" s="123"/>
      <c r="DA395" s="122"/>
      <c r="DB395" s="122"/>
      <c r="DC395" s="123"/>
      <c r="DD395" s="123"/>
      <c r="DE395" s="123"/>
      <c r="DF395" s="122"/>
      <c r="DG395" s="122"/>
      <c r="DH395" s="122"/>
      <c r="DI395" s="122"/>
      <c r="DJ395" s="122"/>
      <c r="DK395" s="123"/>
      <c r="DL395" s="23"/>
      <c r="DM395" s="150"/>
      <c r="DN395" s="150"/>
      <c r="DO395" s="116"/>
    </row>
    <row r="396" spans="51:119" s="101" customFormat="1" ht="18.75" hidden="1" customHeight="1" thickBot="1" x14ac:dyDescent="0.4">
      <c r="AY396" s="93"/>
      <c r="AZ396" s="93"/>
      <c r="BA396" s="93"/>
      <c r="BB396" s="93"/>
      <c r="BC396" s="93"/>
      <c r="BD396" s="93"/>
      <c r="BE396" s="93"/>
      <c r="BF396" s="93"/>
      <c r="BG396" s="93"/>
      <c r="BH396" s="93"/>
      <c r="BI396" s="93" t="s">
        <v>94</v>
      </c>
      <c r="BJ396" s="93" t="s">
        <v>78</v>
      </c>
      <c r="BK396" s="93">
        <v>162.44</v>
      </c>
      <c r="BL396" s="93" t="s">
        <v>422</v>
      </c>
      <c r="BM396" s="93">
        <v>0.05</v>
      </c>
      <c r="BN396" s="93">
        <v>0.05</v>
      </c>
      <c r="BO396" s="93" t="s">
        <v>77</v>
      </c>
      <c r="BP396" s="93"/>
      <c r="BQ396" s="93"/>
      <c r="BR396" s="93"/>
      <c r="BS396" s="93"/>
      <c r="BT396" s="93"/>
      <c r="BU396" s="93"/>
      <c r="BV396" s="93"/>
      <c r="BW396" s="93"/>
      <c r="BX396" s="93"/>
      <c r="BY396" s="93"/>
      <c r="BZ396" s="93"/>
      <c r="CA396" s="93"/>
      <c r="CB396" s="180"/>
      <c r="CC396" s="178"/>
      <c r="CD396" s="178"/>
      <c r="CE396" s="180"/>
      <c r="CF396" s="180"/>
      <c r="CG396" s="180"/>
      <c r="CH396" s="180"/>
      <c r="CI396" s="178"/>
      <c r="CJ396" s="178"/>
      <c r="CK396" s="180"/>
      <c r="CL396" s="180"/>
      <c r="CM396" s="180"/>
      <c r="CN396" s="116"/>
      <c r="CO396" s="218">
        <f t="shared" si="170"/>
        <v>0.05</v>
      </c>
      <c r="CP396" s="100">
        <f t="shared" si="171"/>
        <v>0.05</v>
      </c>
      <c r="CQ396" s="218">
        <f t="shared" si="172"/>
        <v>0.05</v>
      </c>
      <c r="CR396" s="101">
        <v>0.05</v>
      </c>
      <c r="CS396" s="101">
        <v>0.05</v>
      </c>
      <c r="CZ396" s="123"/>
      <c r="DA396" s="122"/>
      <c r="DB396" s="122"/>
      <c r="DC396" s="123"/>
      <c r="DD396" s="123"/>
      <c r="DE396" s="123"/>
      <c r="DF396" s="122"/>
      <c r="DG396" s="122"/>
      <c r="DH396" s="122"/>
      <c r="DI396" s="122"/>
      <c r="DJ396" s="122"/>
      <c r="DK396" s="123"/>
      <c r="DL396" s="23"/>
      <c r="DM396" s="150"/>
      <c r="DN396" s="150"/>
      <c r="DO396" s="116"/>
    </row>
    <row r="397" spans="51:119" s="101" customFormat="1" ht="18.75" hidden="1" customHeight="1" thickBot="1" x14ac:dyDescent="0.4">
      <c r="AY397" s="93"/>
      <c r="AZ397" s="93"/>
      <c r="BA397" s="93"/>
      <c r="BB397" s="93"/>
      <c r="BC397" s="93"/>
      <c r="BD397" s="93"/>
      <c r="BE397" s="93"/>
      <c r="BF397" s="93"/>
      <c r="BG397" s="93"/>
      <c r="BH397" s="93"/>
      <c r="BI397" s="93" t="s">
        <v>95</v>
      </c>
      <c r="BJ397" s="93" t="s">
        <v>78</v>
      </c>
      <c r="BK397" s="93">
        <v>39.6</v>
      </c>
      <c r="BL397" s="93" t="s">
        <v>422</v>
      </c>
      <c r="BM397" s="93">
        <v>0.05</v>
      </c>
      <c r="BN397" s="93">
        <v>0.05</v>
      </c>
      <c r="BO397" s="93" t="s">
        <v>77</v>
      </c>
      <c r="BP397" s="93"/>
      <c r="BQ397" s="93"/>
      <c r="BR397" s="93"/>
      <c r="BS397" s="93"/>
      <c r="BT397" s="93"/>
      <c r="BU397" s="93"/>
      <c r="BV397" s="93"/>
      <c r="BW397" s="93"/>
      <c r="BX397" s="93"/>
      <c r="BY397" s="93"/>
      <c r="BZ397" s="93"/>
      <c r="CA397" s="93"/>
      <c r="CB397" s="180"/>
      <c r="CC397" s="178"/>
      <c r="CD397" s="178"/>
      <c r="CE397" s="180"/>
      <c r="CF397" s="180"/>
      <c r="CG397" s="180"/>
      <c r="CH397" s="180"/>
      <c r="CI397" s="178"/>
      <c r="CJ397" s="178"/>
      <c r="CK397" s="180"/>
      <c r="CL397" s="180"/>
      <c r="CM397" s="180"/>
      <c r="CN397" s="116"/>
      <c r="CO397" s="218">
        <f t="shared" si="170"/>
        <v>0.05</v>
      </c>
      <c r="CP397" s="100">
        <f t="shared" si="171"/>
        <v>0.05</v>
      </c>
      <c r="CQ397" s="218">
        <f t="shared" si="172"/>
        <v>0.05</v>
      </c>
      <c r="CR397" s="101">
        <v>0.05</v>
      </c>
      <c r="CS397" s="101">
        <v>0.05</v>
      </c>
      <c r="CZ397" s="123"/>
      <c r="DA397" s="122"/>
      <c r="DB397" s="122"/>
      <c r="DC397" s="123"/>
      <c r="DD397" s="123"/>
      <c r="DE397" s="123"/>
      <c r="DF397" s="122"/>
      <c r="DG397" s="122"/>
      <c r="DH397" s="122"/>
      <c r="DI397" s="122"/>
      <c r="DJ397" s="122"/>
      <c r="DK397" s="123"/>
      <c r="DL397" s="23"/>
      <c r="DM397" s="150"/>
      <c r="DN397" s="150"/>
      <c r="DO397" s="116"/>
    </row>
    <row r="398" spans="51:119" s="101" customFormat="1" ht="18.75" hidden="1" customHeight="1" thickBot="1" x14ac:dyDescent="0.4">
      <c r="AY398" s="93"/>
      <c r="AZ398" s="93"/>
      <c r="BA398" s="93"/>
      <c r="BB398" s="93"/>
      <c r="BC398" s="93"/>
      <c r="BD398" s="93"/>
      <c r="BE398" s="93"/>
      <c r="BF398" s="93"/>
      <c r="BG398" s="93"/>
      <c r="BH398" s="93"/>
      <c r="BI398" s="93" t="s">
        <v>96</v>
      </c>
      <c r="BJ398" s="93" t="s">
        <v>78</v>
      </c>
      <c r="BK398" s="93">
        <v>83.35</v>
      </c>
      <c r="BL398" s="93" t="s">
        <v>422</v>
      </c>
      <c r="BM398" s="93">
        <v>0.05</v>
      </c>
      <c r="BN398" s="93">
        <v>0.05</v>
      </c>
      <c r="BO398" s="93" t="s">
        <v>77</v>
      </c>
      <c r="BP398" s="93"/>
      <c r="BQ398" s="93"/>
      <c r="BR398" s="93"/>
      <c r="BS398" s="93"/>
      <c r="BT398" s="93"/>
      <c r="BU398" s="93"/>
      <c r="BV398" s="93"/>
      <c r="BW398" s="93"/>
      <c r="BX398" s="93"/>
      <c r="BY398" s="93"/>
      <c r="BZ398" s="93"/>
      <c r="CA398" s="93"/>
      <c r="CB398" s="180"/>
      <c r="CC398" s="178"/>
      <c r="CD398" s="178"/>
      <c r="CE398" s="180"/>
      <c r="CF398" s="180"/>
      <c r="CG398" s="180"/>
      <c r="CH398" s="180"/>
      <c r="CI398" s="178"/>
      <c r="CJ398" s="178"/>
      <c r="CK398" s="180"/>
      <c r="CL398" s="180"/>
      <c r="CM398" s="180"/>
      <c r="CN398" s="116"/>
      <c r="CO398" s="218">
        <f t="shared" si="170"/>
        <v>0.05</v>
      </c>
      <c r="CP398" s="100">
        <f t="shared" si="171"/>
        <v>0.05</v>
      </c>
      <c r="CQ398" s="218">
        <f t="shared" si="172"/>
        <v>0.05</v>
      </c>
      <c r="CR398" s="101">
        <v>0.05</v>
      </c>
      <c r="CS398" s="101">
        <v>0.05</v>
      </c>
      <c r="CZ398" s="123"/>
      <c r="DA398" s="122"/>
      <c r="DB398" s="122"/>
      <c r="DC398" s="123"/>
      <c r="DD398" s="123"/>
      <c r="DE398" s="123"/>
      <c r="DF398" s="122"/>
      <c r="DG398" s="122"/>
      <c r="DH398" s="122"/>
      <c r="DI398" s="122"/>
      <c r="DJ398" s="122"/>
      <c r="DK398" s="123"/>
      <c r="DL398" s="23"/>
      <c r="DM398" s="150"/>
      <c r="DN398" s="150"/>
      <c r="DO398" s="116"/>
    </row>
    <row r="399" spans="51:119" s="101" customFormat="1" ht="15.75" hidden="1" customHeight="1" thickBot="1" x14ac:dyDescent="0.3">
      <c r="AY399" s="93"/>
      <c r="AZ399" s="93"/>
      <c r="BA399" s="93"/>
      <c r="BB399" s="93"/>
      <c r="BC399" s="93"/>
      <c r="BD399" s="93"/>
      <c r="BE399" s="93"/>
      <c r="BF399" s="93"/>
      <c r="BG399" s="93"/>
      <c r="BH399" s="93"/>
      <c r="BI399" s="93" t="s">
        <v>350</v>
      </c>
      <c r="BJ399" s="93" t="s">
        <v>632</v>
      </c>
      <c r="BK399" s="93">
        <v>1.05</v>
      </c>
      <c r="BL399" s="93" t="s">
        <v>633</v>
      </c>
      <c r="BM399" s="93">
        <v>0.05</v>
      </c>
      <c r="BN399" s="93">
        <v>0.05</v>
      </c>
      <c r="BO399" s="93" t="s">
        <v>351</v>
      </c>
      <c r="BP399" s="93"/>
      <c r="BQ399" s="93"/>
      <c r="BR399" s="93"/>
      <c r="BS399" s="93"/>
      <c r="BT399" s="93"/>
      <c r="BU399" s="93"/>
      <c r="BV399" s="93"/>
      <c r="BW399" s="93"/>
      <c r="BX399" s="93"/>
      <c r="BY399" s="93"/>
      <c r="BZ399" s="93"/>
      <c r="CA399" s="93"/>
      <c r="CB399" s="180"/>
      <c r="CC399" s="178"/>
      <c r="CD399" s="178"/>
      <c r="CE399" s="180"/>
      <c r="CF399" s="180"/>
      <c r="CG399" s="180"/>
      <c r="CH399" s="180"/>
      <c r="CI399" s="178"/>
      <c r="CJ399" s="178"/>
      <c r="CK399" s="180"/>
      <c r="CL399" s="180"/>
      <c r="CM399" s="180"/>
      <c r="CN399" s="116"/>
      <c r="CO399" s="218">
        <f t="shared" si="170"/>
        <v>0.05</v>
      </c>
      <c r="CP399" s="100">
        <f t="shared" si="171"/>
        <v>0.05</v>
      </c>
      <c r="CQ399" s="218">
        <f t="shared" si="172"/>
        <v>0.05</v>
      </c>
      <c r="CR399" s="101">
        <v>0.05</v>
      </c>
      <c r="CS399" s="101">
        <v>0.05</v>
      </c>
      <c r="CZ399" s="123"/>
      <c r="DA399" s="122"/>
      <c r="DB399" s="122"/>
      <c r="DC399" s="123"/>
      <c r="DD399" s="123"/>
      <c r="DE399" s="123"/>
      <c r="DF399" s="122"/>
      <c r="DG399" s="122"/>
      <c r="DH399" s="122"/>
      <c r="DI399" s="122"/>
      <c r="DJ399" s="122"/>
      <c r="DK399" s="123"/>
      <c r="DL399" s="23"/>
      <c r="DM399" s="150"/>
      <c r="DN399" s="150"/>
      <c r="DO399" s="116"/>
    </row>
    <row r="400" spans="51:119" s="101" customFormat="1" ht="26.25" hidden="1" customHeight="1" thickBot="1" x14ac:dyDescent="0.3">
      <c r="AY400" s="93"/>
      <c r="AZ400" s="93"/>
      <c r="BA400" s="93"/>
      <c r="BB400" s="93"/>
      <c r="BC400" s="93"/>
      <c r="BD400" s="93"/>
      <c r="BE400" s="93"/>
      <c r="BF400" s="93"/>
      <c r="BG400" s="93"/>
      <c r="BH400" s="93"/>
      <c r="BI400" s="93" t="s">
        <v>352</v>
      </c>
      <c r="BJ400" s="93" t="s">
        <v>632</v>
      </c>
      <c r="BK400" s="93">
        <v>1.44E-2</v>
      </c>
      <c r="BL400" s="93" t="s">
        <v>633</v>
      </c>
      <c r="BM400" s="93">
        <v>0.05</v>
      </c>
      <c r="BN400" s="93">
        <v>0.05</v>
      </c>
      <c r="BO400" s="93" t="s">
        <v>353</v>
      </c>
      <c r="BP400" s="93"/>
      <c r="BQ400" s="93"/>
      <c r="BR400" s="93"/>
      <c r="BS400" s="93"/>
      <c r="BT400" s="93"/>
      <c r="BU400" s="93"/>
      <c r="BV400" s="93"/>
      <c r="BW400" s="93"/>
      <c r="BX400" s="93"/>
      <c r="BY400" s="93"/>
      <c r="BZ400" s="93"/>
      <c r="CA400" s="93"/>
      <c r="CB400" s="180"/>
      <c r="CC400" s="178"/>
      <c r="CD400" s="178"/>
      <c r="CE400" s="180"/>
      <c r="CF400" s="180"/>
      <c r="CG400" s="180"/>
      <c r="CH400" s="180"/>
      <c r="CI400" s="178"/>
      <c r="CJ400" s="178"/>
      <c r="CK400" s="180"/>
      <c r="CL400" s="180"/>
      <c r="CM400" s="180"/>
      <c r="CN400" s="116"/>
      <c r="CO400" s="218">
        <f t="shared" si="170"/>
        <v>0.05</v>
      </c>
      <c r="CP400" s="100">
        <f t="shared" si="171"/>
        <v>0.05</v>
      </c>
      <c r="CQ400" s="218">
        <f t="shared" si="172"/>
        <v>0.05</v>
      </c>
      <c r="CR400" s="101">
        <v>0.05</v>
      </c>
      <c r="CS400" s="101">
        <v>0.05</v>
      </c>
      <c r="CZ400" s="123"/>
      <c r="DA400" s="122"/>
      <c r="DB400" s="122"/>
      <c r="DC400" s="123"/>
      <c r="DD400" s="123"/>
      <c r="DE400" s="123"/>
      <c r="DF400" s="122"/>
      <c r="DG400" s="122"/>
      <c r="DH400" s="122"/>
      <c r="DI400" s="122"/>
      <c r="DJ400" s="122"/>
      <c r="DK400" s="123"/>
      <c r="DL400" s="23"/>
      <c r="DM400" s="150"/>
      <c r="DN400" s="150"/>
      <c r="DO400" s="116"/>
    </row>
    <row r="401" spans="51:119" s="101" customFormat="1" ht="15.75" hidden="1" customHeight="1" thickBot="1" x14ac:dyDescent="0.3">
      <c r="AY401" s="93"/>
      <c r="AZ401" s="93"/>
      <c r="BA401" s="93"/>
      <c r="BB401" s="93"/>
      <c r="BC401" s="93"/>
      <c r="BD401" s="93"/>
      <c r="BE401" s="93"/>
      <c r="BF401" s="93"/>
      <c r="BG401" s="93"/>
      <c r="BH401" s="93"/>
      <c r="BI401" s="93" t="s">
        <v>354</v>
      </c>
      <c r="BJ401" s="93" t="s">
        <v>632</v>
      </c>
      <c r="BK401" s="93">
        <v>7.8200000000000006E-2</v>
      </c>
      <c r="BL401" s="93" t="s">
        <v>633</v>
      </c>
      <c r="BM401" s="93">
        <v>0.05</v>
      </c>
      <c r="BN401" s="93">
        <v>0.05</v>
      </c>
      <c r="BO401" s="93" t="s">
        <v>355</v>
      </c>
      <c r="BP401" s="93"/>
      <c r="BQ401" s="93"/>
      <c r="BR401" s="93"/>
      <c r="BS401" s="93"/>
      <c r="BT401" s="93"/>
      <c r="BU401" s="93"/>
      <c r="BV401" s="93"/>
      <c r="BW401" s="93"/>
      <c r="BX401" s="93"/>
      <c r="BY401" s="93"/>
      <c r="BZ401" s="93"/>
      <c r="CA401" s="93"/>
      <c r="CB401" s="180"/>
      <c r="CC401" s="178"/>
      <c r="CD401" s="178"/>
      <c r="CE401" s="180"/>
      <c r="CF401" s="180"/>
      <c r="CG401" s="180"/>
      <c r="CH401" s="180"/>
      <c r="CI401" s="178"/>
      <c r="CJ401" s="178"/>
      <c r="CK401" s="180"/>
      <c r="CL401" s="180"/>
      <c r="CM401" s="180"/>
      <c r="CN401" s="116"/>
      <c r="CO401" s="218">
        <f t="shared" si="170"/>
        <v>0.05</v>
      </c>
      <c r="CP401" s="100">
        <f t="shared" si="171"/>
        <v>0.05</v>
      </c>
      <c r="CQ401" s="218">
        <f t="shared" si="172"/>
        <v>0.05</v>
      </c>
      <c r="CR401" s="101">
        <v>0.05</v>
      </c>
      <c r="CS401" s="101">
        <v>0.05</v>
      </c>
      <c r="CZ401" s="123"/>
      <c r="DA401" s="122"/>
      <c r="DB401" s="122"/>
      <c r="DC401" s="123"/>
      <c r="DD401" s="123"/>
      <c r="DE401" s="123"/>
      <c r="DF401" s="122"/>
      <c r="DG401" s="122"/>
      <c r="DH401" s="122"/>
      <c r="DI401" s="122"/>
      <c r="DJ401" s="122"/>
      <c r="DK401" s="123"/>
      <c r="DL401" s="23"/>
      <c r="DM401" s="150"/>
      <c r="DN401" s="150"/>
      <c r="DO401" s="116"/>
    </row>
    <row r="402" spans="51:119" s="101" customFormat="1" ht="15" hidden="1" customHeight="1" x14ac:dyDescent="0.25">
      <c r="AY402" s="93"/>
      <c r="AZ402" s="93"/>
      <c r="BA402" s="93"/>
      <c r="BB402" s="93"/>
      <c r="BC402" s="93"/>
      <c r="BD402" s="93"/>
      <c r="BE402" s="93"/>
      <c r="BF402" s="93"/>
      <c r="BG402" s="93"/>
      <c r="BH402" s="93"/>
      <c r="BI402" s="93"/>
      <c r="BJ402" s="93"/>
      <c r="BK402" s="93"/>
      <c r="BL402" s="93"/>
      <c r="BM402" s="93"/>
      <c r="BN402" s="93"/>
      <c r="BO402" s="93"/>
      <c r="BP402" s="93"/>
      <c r="BQ402" s="93"/>
      <c r="BR402" s="93"/>
      <c r="BS402" s="93"/>
      <c r="BT402" s="93"/>
      <c r="BU402" s="93"/>
      <c r="BV402" s="93"/>
      <c r="BW402" s="93"/>
      <c r="BX402" s="93"/>
      <c r="BY402" s="93"/>
      <c r="BZ402" s="93"/>
      <c r="CA402" s="93"/>
      <c r="CB402" s="180"/>
      <c r="CC402" s="178"/>
      <c r="CD402" s="178"/>
      <c r="CE402" s="180"/>
      <c r="CF402" s="180"/>
      <c r="CG402" s="180"/>
      <c r="CH402" s="180"/>
      <c r="CI402" s="178"/>
      <c r="CJ402" s="178"/>
      <c r="CK402" s="180"/>
      <c r="CL402" s="180"/>
      <c r="CM402" s="180"/>
      <c r="CN402" s="116"/>
      <c r="CO402" s="218">
        <f t="shared" si="170"/>
        <v>0</v>
      </c>
      <c r="CP402" s="100">
        <f t="shared" si="171"/>
        <v>0</v>
      </c>
      <c r="CQ402" s="218">
        <f t="shared" si="172"/>
        <v>0</v>
      </c>
      <c r="CZ402" s="123"/>
      <c r="DA402" s="122"/>
      <c r="DB402" s="122"/>
      <c r="DC402" s="123"/>
      <c r="DD402" s="123"/>
      <c r="DE402" s="123"/>
      <c r="DF402" s="122"/>
      <c r="DG402" s="122"/>
      <c r="DH402" s="122"/>
      <c r="DI402" s="122"/>
      <c r="DJ402" s="122"/>
      <c r="DK402" s="123"/>
      <c r="DL402" s="23"/>
      <c r="DM402" s="150"/>
      <c r="DN402" s="150"/>
      <c r="DO402" s="116"/>
    </row>
    <row r="403" spans="51:119" s="101" customFormat="1" ht="15" hidden="1" customHeight="1" x14ac:dyDescent="0.25">
      <c r="AY403" s="93"/>
      <c r="AZ403" s="93"/>
      <c r="BA403" s="93"/>
      <c r="BB403" s="93"/>
      <c r="BC403" s="93"/>
      <c r="BD403" s="93"/>
      <c r="BE403" s="93"/>
      <c r="BF403" s="93"/>
      <c r="BG403" s="93"/>
      <c r="BH403" s="93"/>
      <c r="BI403" s="93"/>
      <c r="BJ403" s="93"/>
      <c r="BK403" s="93"/>
      <c r="BL403" s="93"/>
      <c r="BM403" s="93"/>
      <c r="BN403" s="93"/>
      <c r="BO403" s="93"/>
      <c r="BP403" s="93"/>
      <c r="BQ403" s="93"/>
      <c r="BR403" s="93"/>
      <c r="BS403" s="93"/>
      <c r="BT403" s="93"/>
      <c r="BU403" s="93"/>
      <c r="BV403" s="93"/>
      <c r="BW403" s="93"/>
      <c r="BX403" s="93"/>
      <c r="BY403" s="93"/>
      <c r="BZ403" s="93"/>
      <c r="CA403" s="93"/>
      <c r="CB403" s="180"/>
      <c r="CC403" s="178"/>
      <c r="CD403" s="178"/>
      <c r="CE403" s="180"/>
      <c r="CF403" s="180"/>
      <c r="CG403" s="180"/>
      <c r="CH403" s="180"/>
      <c r="CI403" s="178"/>
      <c r="CJ403" s="178"/>
      <c r="CK403" s="180"/>
      <c r="CL403" s="180"/>
      <c r="CM403" s="180"/>
      <c r="CN403" s="116"/>
      <c r="CO403" s="218">
        <f t="shared" si="170"/>
        <v>0</v>
      </c>
      <c r="CP403" s="100">
        <f t="shared" si="171"/>
        <v>0</v>
      </c>
      <c r="CQ403" s="218">
        <f t="shared" si="172"/>
        <v>0</v>
      </c>
      <c r="CZ403" s="123"/>
      <c r="DA403" s="122"/>
      <c r="DB403" s="122"/>
      <c r="DC403" s="123"/>
      <c r="DD403" s="123"/>
      <c r="DE403" s="123"/>
      <c r="DF403" s="122"/>
      <c r="DG403" s="122"/>
      <c r="DH403" s="122"/>
      <c r="DI403" s="122"/>
      <c r="DJ403" s="122"/>
      <c r="DK403" s="123"/>
      <c r="DL403" s="23"/>
      <c r="DM403" s="150"/>
      <c r="DN403" s="150"/>
      <c r="DO403" s="116"/>
    </row>
    <row r="404" spans="51:119" s="101" customFormat="1" ht="15" hidden="1" customHeight="1" x14ac:dyDescent="0.25">
      <c r="AY404" s="93"/>
      <c r="AZ404" s="93"/>
      <c r="BA404" s="93"/>
      <c r="BB404" s="93"/>
      <c r="BC404" s="93"/>
      <c r="BD404" s="93"/>
      <c r="BE404" s="93"/>
      <c r="BF404" s="93"/>
      <c r="BG404" s="93"/>
      <c r="BH404" s="93"/>
      <c r="BI404" s="93"/>
      <c r="BJ404" s="93"/>
      <c r="BK404" s="93"/>
      <c r="BL404" s="93"/>
      <c r="BM404" s="93"/>
      <c r="BN404" s="93"/>
      <c r="BO404" s="93"/>
      <c r="BP404" s="93"/>
      <c r="BQ404" s="93"/>
      <c r="BR404" s="93"/>
      <c r="BS404" s="93"/>
      <c r="BT404" s="93"/>
      <c r="BU404" s="93"/>
      <c r="BV404" s="93"/>
      <c r="BW404" s="93"/>
      <c r="BX404" s="93"/>
      <c r="BY404" s="93"/>
      <c r="BZ404" s="93"/>
      <c r="CA404" s="93"/>
      <c r="CB404" s="180"/>
      <c r="CC404" s="178"/>
      <c r="CD404" s="178"/>
      <c r="CE404" s="180"/>
      <c r="CF404" s="180"/>
      <c r="CG404" s="180"/>
      <c r="CH404" s="180"/>
      <c r="CI404" s="178"/>
      <c r="CJ404" s="178"/>
      <c r="CK404" s="180"/>
      <c r="CL404" s="180"/>
      <c r="CM404" s="180"/>
      <c r="CN404" s="116"/>
      <c r="CO404" s="218">
        <f t="shared" si="170"/>
        <v>0</v>
      </c>
      <c r="CP404" s="100">
        <f t="shared" si="171"/>
        <v>0</v>
      </c>
      <c r="CQ404" s="218">
        <f t="shared" si="172"/>
        <v>0</v>
      </c>
      <c r="CZ404" s="123"/>
      <c r="DA404" s="122"/>
      <c r="DB404" s="122"/>
      <c r="DC404" s="123"/>
      <c r="DD404" s="123"/>
      <c r="DE404" s="123"/>
      <c r="DF404" s="122"/>
      <c r="DG404" s="122"/>
      <c r="DH404" s="122"/>
      <c r="DI404" s="122"/>
      <c r="DJ404" s="122"/>
      <c r="DK404" s="123"/>
      <c r="DL404" s="23"/>
      <c r="DM404" s="150"/>
      <c r="DN404" s="150"/>
      <c r="DO404" s="116"/>
    </row>
    <row r="405" spans="51:119" s="101" customFormat="1" ht="15" hidden="1" customHeight="1" x14ac:dyDescent="0.25">
      <c r="AY405" s="93"/>
      <c r="AZ405" s="93"/>
      <c r="BA405" s="93"/>
      <c r="BB405" s="93"/>
      <c r="BC405" s="93"/>
      <c r="BD405" s="93"/>
      <c r="BE405" s="93"/>
      <c r="BF405" s="93"/>
      <c r="BG405" s="93"/>
      <c r="BH405" s="93"/>
      <c r="BI405" s="93" t="s">
        <v>301</v>
      </c>
      <c r="BJ405" s="93"/>
      <c r="BK405" s="93" t="s">
        <v>302</v>
      </c>
      <c r="BL405" s="93"/>
      <c r="BM405" s="93" t="s">
        <v>233</v>
      </c>
      <c r="BN405" s="93" t="s">
        <v>233</v>
      </c>
      <c r="BO405" s="93" t="s">
        <v>240</v>
      </c>
      <c r="BP405" s="93"/>
      <c r="BQ405" s="93"/>
      <c r="BR405" s="93"/>
      <c r="BS405" s="93"/>
      <c r="BT405" s="93"/>
      <c r="BU405" s="93"/>
      <c r="BV405" s="93"/>
      <c r="BW405" s="93"/>
      <c r="BX405" s="93"/>
      <c r="BY405" s="93"/>
      <c r="BZ405" s="93"/>
      <c r="CA405" s="93"/>
      <c r="CB405" s="180"/>
      <c r="CC405" s="178"/>
      <c r="CD405" s="178"/>
      <c r="CE405" s="180"/>
      <c r="CF405" s="180"/>
      <c r="CG405" s="180"/>
      <c r="CH405" s="180"/>
      <c r="CI405" s="178"/>
      <c r="CJ405" s="178"/>
      <c r="CK405" s="180"/>
      <c r="CL405" s="180"/>
      <c r="CM405" s="180"/>
      <c r="CN405" s="116"/>
      <c r="CO405" s="218" t="str">
        <f t="shared" si="170"/>
        <v>Incertidumbre (+/- %)</v>
      </c>
      <c r="CP405" s="100" t="e">
        <f t="shared" si="171"/>
        <v>#VALUE!</v>
      </c>
      <c r="CQ405" s="218" t="str">
        <f t="shared" si="172"/>
        <v>Incertidumbre (+/- %)</v>
      </c>
      <c r="CZ405" s="123"/>
      <c r="DA405" s="122"/>
      <c r="DB405" s="122"/>
      <c r="DC405" s="123"/>
      <c r="DD405" s="123"/>
      <c r="DE405" s="123"/>
      <c r="DF405" s="122"/>
      <c r="DG405" s="122"/>
      <c r="DH405" s="122"/>
      <c r="DI405" s="122"/>
      <c r="DJ405" s="122"/>
      <c r="DK405" s="123"/>
      <c r="DL405" s="23"/>
      <c r="DM405" s="150"/>
      <c r="DN405" s="150"/>
      <c r="DO405" s="116"/>
    </row>
    <row r="406" spans="51:119" s="101" customFormat="1" ht="15.75" hidden="1" customHeight="1" thickBot="1" x14ac:dyDescent="0.3">
      <c r="AY406" s="93"/>
      <c r="AZ406" s="93"/>
      <c r="BA406" s="93"/>
      <c r="BB406" s="93"/>
      <c r="BC406" s="93"/>
      <c r="BD406" s="93"/>
      <c r="BE406" s="93"/>
      <c r="BF406" s="93"/>
      <c r="BG406" s="93"/>
      <c r="BH406" s="93"/>
      <c r="BI406" s="93"/>
      <c r="BJ406" s="93" t="s">
        <v>253</v>
      </c>
      <c r="BK406" s="93"/>
      <c r="BL406" s="93" t="s">
        <v>251</v>
      </c>
      <c r="BM406" s="93"/>
      <c r="BN406" s="93"/>
      <c r="BO406" s="93"/>
      <c r="BP406" s="93"/>
      <c r="BQ406" s="93"/>
      <c r="BR406" s="93"/>
      <c r="BS406" s="93"/>
      <c r="BT406" s="93"/>
      <c r="BU406" s="93"/>
      <c r="BV406" s="93"/>
      <c r="BW406" s="93"/>
      <c r="BX406" s="93"/>
      <c r="BY406" s="93"/>
      <c r="BZ406" s="93"/>
      <c r="CA406" s="93"/>
      <c r="CB406" s="180"/>
      <c r="CC406" s="178"/>
      <c r="CD406" s="178"/>
      <c r="CE406" s="180"/>
      <c r="CF406" s="180"/>
      <c r="CG406" s="180"/>
      <c r="CH406" s="180"/>
      <c r="CI406" s="178"/>
      <c r="CJ406" s="178"/>
      <c r="CK406" s="180"/>
      <c r="CL406" s="180"/>
      <c r="CM406" s="180"/>
      <c r="CN406" s="116"/>
      <c r="CO406" s="218">
        <f t="shared" si="170"/>
        <v>0</v>
      </c>
      <c r="CP406" s="100">
        <f t="shared" si="171"/>
        <v>0</v>
      </c>
      <c r="CQ406" s="218">
        <f t="shared" si="172"/>
        <v>0</v>
      </c>
      <c r="CZ406" s="123"/>
      <c r="DA406" s="122"/>
      <c r="DB406" s="122"/>
      <c r="DC406" s="123"/>
      <c r="DD406" s="123"/>
      <c r="DE406" s="123"/>
      <c r="DF406" s="122"/>
      <c r="DG406" s="122"/>
      <c r="DH406" s="122"/>
      <c r="DI406" s="122"/>
      <c r="DJ406" s="122"/>
      <c r="DK406" s="123"/>
      <c r="DL406" s="23"/>
      <c r="DM406" s="150"/>
      <c r="DN406" s="150"/>
      <c r="DO406" s="116"/>
    </row>
    <row r="407" spans="51:119" s="101" customFormat="1" ht="18.75" hidden="1" customHeight="1" x14ac:dyDescent="0.35">
      <c r="AY407" s="93"/>
      <c r="AZ407" s="93"/>
      <c r="BA407" s="93"/>
      <c r="BB407" s="93"/>
      <c r="BC407" s="93"/>
      <c r="BD407" s="93"/>
      <c r="BE407" s="93"/>
      <c r="BF407" s="93"/>
      <c r="BG407" s="93"/>
      <c r="BH407" s="93"/>
      <c r="BI407" s="93" t="s">
        <v>68</v>
      </c>
      <c r="BJ407" s="93" t="s">
        <v>49</v>
      </c>
      <c r="BK407" s="93">
        <v>1.05</v>
      </c>
      <c r="BL407" s="93" t="s">
        <v>418</v>
      </c>
      <c r="BM407" s="93">
        <v>0.01</v>
      </c>
      <c r="BN407" s="93">
        <v>0.5</v>
      </c>
      <c r="BO407" s="93" t="s">
        <v>341</v>
      </c>
      <c r="BP407" s="93"/>
      <c r="BQ407" s="93"/>
      <c r="BR407" s="93"/>
      <c r="BS407" s="93"/>
      <c r="BT407" s="93"/>
      <c r="BU407" s="93"/>
      <c r="BV407" s="93"/>
      <c r="BW407" s="93"/>
      <c r="BX407" s="93"/>
      <c r="BY407" s="93"/>
      <c r="BZ407" s="93"/>
      <c r="CA407" s="93"/>
      <c r="CB407" s="180"/>
      <c r="CC407" s="178"/>
      <c r="CD407" s="178"/>
      <c r="CE407" s="180"/>
      <c r="CF407" s="180"/>
      <c r="CG407" s="180"/>
      <c r="CH407" s="180"/>
      <c r="CI407" s="178"/>
      <c r="CJ407" s="178"/>
      <c r="CK407" s="180"/>
      <c r="CL407" s="180"/>
      <c r="CM407" s="180"/>
      <c r="CN407" s="116"/>
      <c r="CO407" s="218">
        <f t="shared" si="170"/>
        <v>0.01</v>
      </c>
      <c r="CP407" s="100">
        <f t="shared" si="171"/>
        <v>0.255</v>
      </c>
      <c r="CQ407" s="218">
        <f t="shared" si="172"/>
        <v>0.5</v>
      </c>
      <c r="CR407" s="101">
        <v>0.01</v>
      </c>
      <c r="CS407" s="101">
        <v>0.5</v>
      </c>
      <c r="CZ407" s="123"/>
      <c r="DA407" s="122"/>
      <c r="DB407" s="122"/>
      <c r="DC407" s="123"/>
      <c r="DD407" s="123"/>
      <c r="DE407" s="123"/>
      <c r="DF407" s="122"/>
      <c r="DG407" s="122"/>
      <c r="DH407" s="122"/>
      <c r="DI407" s="122"/>
      <c r="DJ407" s="122"/>
      <c r="DK407" s="123"/>
      <c r="DL407" s="23"/>
      <c r="DM407" s="150"/>
      <c r="DN407" s="150"/>
      <c r="DO407" s="116"/>
    </row>
    <row r="408" spans="51:119" s="101" customFormat="1" ht="18.75" hidden="1" customHeight="1" x14ac:dyDescent="0.35">
      <c r="AY408" s="93"/>
      <c r="AZ408" s="93"/>
      <c r="BA408" s="93"/>
      <c r="BB408" s="93"/>
      <c r="BC408" s="93"/>
      <c r="BD408" s="93"/>
      <c r="BE408" s="93"/>
      <c r="BF408" s="93"/>
      <c r="BG408" s="93"/>
      <c r="BH408" s="93"/>
      <c r="BI408" s="93" t="s">
        <v>69</v>
      </c>
      <c r="BJ408" s="93" t="s">
        <v>49</v>
      </c>
      <c r="BK408" s="93">
        <v>0.81</v>
      </c>
      <c r="BL408" s="93" t="s">
        <v>418</v>
      </c>
      <c r="BM408" s="93">
        <v>0.01</v>
      </c>
      <c r="BN408" s="93">
        <v>0.5</v>
      </c>
      <c r="BO408" s="93" t="s">
        <v>320</v>
      </c>
      <c r="BP408" s="93"/>
      <c r="BQ408" s="93"/>
      <c r="BR408" s="93"/>
      <c r="BS408" s="93"/>
      <c r="BT408" s="93"/>
      <c r="BU408" s="93"/>
      <c r="BV408" s="93"/>
      <c r="BW408" s="93"/>
      <c r="BX408" s="93"/>
      <c r="BY408" s="93"/>
      <c r="BZ408" s="93"/>
      <c r="CA408" s="93"/>
      <c r="CB408" s="180"/>
      <c r="CC408" s="178"/>
      <c r="CD408" s="178"/>
      <c r="CE408" s="180"/>
      <c r="CF408" s="180"/>
      <c r="CG408" s="180"/>
      <c r="CH408" s="180"/>
      <c r="CI408" s="178"/>
      <c r="CJ408" s="178"/>
      <c r="CK408" s="180"/>
      <c r="CL408" s="180"/>
      <c r="CM408" s="180"/>
      <c r="CN408" s="116"/>
      <c r="CO408" s="218">
        <f t="shared" si="170"/>
        <v>0.01</v>
      </c>
      <c r="CP408" s="100">
        <f t="shared" si="171"/>
        <v>0.255</v>
      </c>
      <c r="CQ408" s="218">
        <f t="shared" si="172"/>
        <v>0.5</v>
      </c>
      <c r="CR408" s="101">
        <v>0.01</v>
      </c>
      <c r="CS408" s="101">
        <v>0.5</v>
      </c>
      <c r="CZ408" s="123"/>
      <c r="DA408" s="122"/>
      <c r="DB408" s="122"/>
      <c r="DC408" s="123"/>
      <c r="DD408" s="123"/>
      <c r="DE408" s="123"/>
      <c r="DF408" s="122"/>
      <c r="DG408" s="122"/>
      <c r="DH408" s="122"/>
      <c r="DI408" s="122"/>
      <c r="DJ408" s="122"/>
      <c r="DK408" s="123"/>
      <c r="DL408" s="23"/>
      <c r="DM408" s="150"/>
      <c r="DN408" s="150"/>
      <c r="DO408" s="116"/>
    </row>
    <row r="409" spans="51:119" s="101" customFormat="1" ht="18.75" hidden="1" customHeight="1" x14ac:dyDescent="0.35">
      <c r="AY409" s="93"/>
      <c r="AZ409" s="93"/>
      <c r="BA409" s="93"/>
      <c r="BB409" s="93"/>
      <c r="BC409" s="93"/>
      <c r="BD409" s="93"/>
      <c r="BE409" s="93"/>
      <c r="BF409" s="93"/>
      <c r="BG409" s="93"/>
      <c r="BH409" s="93"/>
      <c r="BI409" s="93" t="s">
        <v>317</v>
      </c>
      <c r="BJ409" s="93" t="s">
        <v>49</v>
      </c>
      <c r="BK409" s="93">
        <v>0.83</v>
      </c>
      <c r="BL409" s="93" t="s">
        <v>418</v>
      </c>
      <c r="BM409" s="93">
        <v>0.01</v>
      </c>
      <c r="BN409" s="93">
        <v>0.5</v>
      </c>
      <c r="BO409" s="93" t="s">
        <v>342</v>
      </c>
      <c r="BP409" s="93"/>
      <c r="BQ409" s="93"/>
      <c r="BR409" s="93"/>
      <c r="BS409" s="93"/>
      <c r="BT409" s="93"/>
      <c r="BU409" s="93"/>
      <c r="BV409" s="93"/>
      <c r="BW409" s="93"/>
      <c r="BX409" s="93"/>
      <c r="BY409" s="93"/>
      <c r="BZ409" s="93"/>
      <c r="CA409" s="93"/>
      <c r="CB409" s="180"/>
      <c r="CC409" s="178"/>
      <c r="CD409" s="178"/>
      <c r="CE409" s="180"/>
      <c r="CF409" s="180"/>
      <c r="CG409" s="180"/>
      <c r="CH409" s="180"/>
      <c r="CI409" s="178"/>
      <c r="CJ409" s="178"/>
      <c r="CK409" s="180"/>
      <c r="CL409" s="180"/>
      <c r="CM409" s="180"/>
      <c r="CN409" s="116"/>
      <c r="CO409" s="218">
        <f t="shared" si="170"/>
        <v>0.01</v>
      </c>
      <c r="CP409" s="100">
        <f t="shared" si="171"/>
        <v>0.255</v>
      </c>
      <c r="CQ409" s="218">
        <f t="shared" si="172"/>
        <v>0.5</v>
      </c>
      <c r="CR409" s="101">
        <v>0.01</v>
      </c>
      <c r="CS409" s="101">
        <v>0.5</v>
      </c>
      <c r="CZ409" s="123"/>
      <c r="DA409" s="122"/>
      <c r="DB409" s="122"/>
      <c r="DC409" s="123"/>
      <c r="DD409" s="123"/>
      <c r="DE409" s="123"/>
      <c r="DF409" s="122"/>
      <c r="DG409" s="122"/>
      <c r="DH409" s="122"/>
      <c r="DI409" s="122"/>
      <c r="DJ409" s="122"/>
      <c r="DK409" s="123"/>
      <c r="DL409" s="23"/>
      <c r="DM409" s="150"/>
      <c r="DN409" s="150"/>
      <c r="DO409" s="116"/>
    </row>
    <row r="410" spans="51:119" s="101" customFormat="1" ht="18.75" hidden="1" customHeight="1" x14ac:dyDescent="0.35">
      <c r="AY410" s="93"/>
      <c r="AZ410" s="93"/>
      <c r="BA410" s="93"/>
      <c r="BB410" s="93"/>
      <c r="BC410" s="93"/>
      <c r="BD410" s="93"/>
      <c r="BE410" s="93"/>
      <c r="BF410" s="93"/>
      <c r="BG410" s="93"/>
      <c r="BH410" s="93"/>
      <c r="BI410" s="93" t="s">
        <v>318</v>
      </c>
      <c r="BJ410" s="93" t="s">
        <v>49</v>
      </c>
      <c r="BK410" s="93">
        <v>1.39</v>
      </c>
      <c r="BL410" s="93" t="s">
        <v>418</v>
      </c>
      <c r="BM410" s="93">
        <v>0.01</v>
      </c>
      <c r="BN410" s="93">
        <v>0.5</v>
      </c>
      <c r="BO410" s="93" t="s">
        <v>342</v>
      </c>
      <c r="BP410" s="93"/>
      <c r="BQ410" s="93"/>
      <c r="BR410" s="93"/>
      <c r="BS410" s="93"/>
      <c r="BT410" s="93"/>
      <c r="BU410" s="93"/>
      <c r="BV410" s="93"/>
      <c r="BW410" s="93"/>
      <c r="BX410" s="93"/>
      <c r="BY410" s="93"/>
      <c r="BZ410" s="93"/>
      <c r="CA410" s="93"/>
      <c r="CB410" s="180"/>
      <c r="CC410" s="178"/>
      <c r="CD410" s="178"/>
      <c r="CE410" s="180"/>
      <c r="CF410" s="180"/>
      <c r="CG410" s="180"/>
      <c r="CH410" s="180"/>
      <c r="CI410" s="178"/>
      <c r="CJ410" s="178"/>
      <c r="CK410" s="180"/>
      <c r="CL410" s="180"/>
      <c r="CM410" s="180"/>
      <c r="CN410" s="116"/>
      <c r="CO410" s="218">
        <f t="shared" ref="CO410:CO470" si="173">BM410</f>
        <v>0.01</v>
      </c>
      <c r="CP410" s="100">
        <f t="shared" ref="CP410:CP470" si="174">(CO410+CQ410)/2</f>
        <v>0.255</v>
      </c>
      <c r="CQ410" s="218">
        <f t="shared" ref="CQ410:CQ470" si="175">BN410</f>
        <v>0.5</v>
      </c>
      <c r="CR410" s="101">
        <v>0.01</v>
      </c>
      <c r="CS410" s="101">
        <v>0.5</v>
      </c>
      <c r="CZ410" s="123"/>
      <c r="DA410" s="122"/>
      <c r="DB410" s="122"/>
      <c r="DC410" s="123"/>
      <c r="DD410" s="123"/>
      <c r="DE410" s="123"/>
      <c r="DF410" s="122"/>
      <c r="DG410" s="122"/>
      <c r="DH410" s="122"/>
      <c r="DI410" s="122"/>
      <c r="DJ410" s="122"/>
      <c r="DK410" s="123"/>
      <c r="DL410" s="23"/>
      <c r="DM410" s="150"/>
      <c r="DN410" s="150"/>
      <c r="DO410" s="116"/>
    </row>
    <row r="411" spans="51:119" s="101" customFormat="1" ht="18.75" hidden="1" customHeight="1" x14ac:dyDescent="0.35">
      <c r="AY411" s="93"/>
      <c r="AZ411" s="93"/>
      <c r="BA411" s="93"/>
      <c r="BB411" s="93"/>
      <c r="BC411" s="93"/>
      <c r="BD411" s="93"/>
      <c r="BE411" s="93"/>
      <c r="BF411" s="93"/>
      <c r="BG411" s="93"/>
      <c r="BH411" s="93"/>
      <c r="BI411" s="93" t="s">
        <v>326</v>
      </c>
      <c r="BJ411" s="93" t="s">
        <v>49</v>
      </c>
      <c r="BK411" s="93">
        <v>2.87</v>
      </c>
      <c r="BL411" s="93" t="s">
        <v>418</v>
      </c>
      <c r="BM411" s="93">
        <v>0.01</v>
      </c>
      <c r="BN411" s="93">
        <v>0.5</v>
      </c>
      <c r="BO411" s="93" t="s">
        <v>319</v>
      </c>
      <c r="BP411" s="93"/>
      <c r="BQ411" s="93"/>
      <c r="BR411" s="93"/>
      <c r="BS411" s="93"/>
      <c r="BT411" s="93"/>
      <c r="BU411" s="93"/>
      <c r="BV411" s="93"/>
      <c r="BW411" s="93"/>
      <c r="BX411" s="93"/>
      <c r="BY411" s="93"/>
      <c r="BZ411" s="93"/>
      <c r="CA411" s="93"/>
      <c r="CB411" s="180"/>
      <c r="CC411" s="178"/>
      <c r="CD411" s="178"/>
      <c r="CE411" s="180"/>
      <c r="CF411" s="180"/>
      <c r="CG411" s="180"/>
      <c r="CH411" s="180"/>
      <c r="CI411" s="178"/>
      <c r="CJ411" s="178"/>
      <c r="CK411" s="180"/>
      <c r="CL411" s="180"/>
      <c r="CM411" s="180"/>
      <c r="CN411" s="116"/>
      <c r="CO411" s="218">
        <f t="shared" si="173"/>
        <v>0.01</v>
      </c>
      <c r="CP411" s="100">
        <f t="shared" si="174"/>
        <v>0.255</v>
      </c>
      <c r="CQ411" s="218">
        <f t="shared" si="175"/>
        <v>0.5</v>
      </c>
      <c r="CR411" s="101">
        <v>0.01</v>
      </c>
      <c r="CS411" s="101">
        <v>0.5</v>
      </c>
      <c r="CZ411" s="123"/>
      <c r="DA411" s="122"/>
      <c r="DB411" s="122"/>
      <c r="DC411" s="123"/>
      <c r="DD411" s="123"/>
      <c r="DE411" s="123"/>
      <c r="DF411" s="122"/>
      <c r="DG411" s="122"/>
      <c r="DH411" s="122"/>
      <c r="DI411" s="122"/>
      <c r="DJ411" s="122"/>
      <c r="DK411" s="123"/>
      <c r="DL411" s="23"/>
      <c r="DM411" s="150"/>
      <c r="DN411" s="150"/>
      <c r="DO411" s="116"/>
    </row>
    <row r="412" spans="51:119" s="101" customFormat="1" ht="18.75" hidden="1" customHeight="1" x14ac:dyDescent="0.35">
      <c r="AY412" s="93"/>
      <c r="AZ412" s="93"/>
      <c r="BA412" s="93"/>
      <c r="BB412" s="93"/>
      <c r="BC412" s="93"/>
      <c r="BD412" s="93"/>
      <c r="BE412" s="93"/>
      <c r="BF412" s="93"/>
      <c r="BG412" s="93"/>
      <c r="BH412" s="93"/>
      <c r="BI412" s="93" t="s">
        <v>327</v>
      </c>
      <c r="BJ412" s="93" t="s">
        <v>49</v>
      </c>
      <c r="BK412" s="93">
        <v>2.08</v>
      </c>
      <c r="BL412" s="93" t="s">
        <v>418</v>
      </c>
      <c r="BM412" s="93">
        <v>0.01</v>
      </c>
      <c r="BN412" s="93">
        <v>0.5</v>
      </c>
      <c r="BO412" s="93" t="s">
        <v>322</v>
      </c>
      <c r="BP412" s="93"/>
      <c r="BQ412" s="93"/>
      <c r="BR412" s="93"/>
      <c r="BS412" s="93"/>
      <c r="BT412" s="93"/>
      <c r="BU412" s="93"/>
      <c r="BV412" s="93"/>
      <c r="BW412" s="93"/>
      <c r="BX412" s="93"/>
      <c r="BY412" s="93"/>
      <c r="BZ412" s="93"/>
      <c r="CA412" s="93"/>
      <c r="CB412" s="180"/>
      <c r="CC412" s="178"/>
      <c r="CD412" s="178"/>
      <c r="CE412" s="180"/>
      <c r="CF412" s="180"/>
      <c r="CG412" s="180"/>
      <c r="CH412" s="180"/>
      <c r="CI412" s="178"/>
      <c r="CJ412" s="178"/>
      <c r="CK412" s="180"/>
      <c r="CL412" s="180"/>
      <c r="CM412" s="180"/>
      <c r="CN412" s="116"/>
      <c r="CO412" s="218">
        <f t="shared" si="173"/>
        <v>0.01</v>
      </c>
      <c r="CP412" s="100">
        <f t="shared" si="174"/>
        <v>0.255</v>
      </c>
      <c r="CQ412" s="218">
        <f t="shared" si="175"/>
        <v>0.5</v>
      </c>
      <c r="CR412" s="101">
        <v>0.01</v>
      </c>
      <c r="CS412" s="101">
        <v>0.5</v>
      </c>
      <c r="CZ412" s="123"/>
      <c r="DA412" s="122"/>
      <c r="DB412" s="122"/>
      <c r="DC412" s="123"/>
      <c r="DD412" s="123"/>
      <c r="DE412" s="123"/>
      <c r="DF412" s="122"/>
      <c r="DG412" s="122"/>
      <c r="DH412" s="122"/>
      <c r="DI412" s="122"/>
      <c r="DJ412" s="122"/>
      <c r="DK412" s="123"/>
      <c r="DL412" s="23"/>
      <c r="DM412" s="150"/>
      <c r="DN412" s="150"/>
      <c r="DO412" s="116"/>
    </row>
    <row r="413" spans="51:119" s="101" customFormat="1" ht="18.75" hidden="1" customHeight="1" x14ac:dyDescent="0.35">
      <c r="AY413" s="93"/>
      <c r="AZ413" s="93"/>
      <c r="BA413" s="93"/>
      <c r="BB413" s="93"/>
      <c r="BC413" s="93"/>
      <c r="BD413" s="93"/>
      <c r="BE413" s="93"/>
      <c r="BF413" s="93"/>
      <c r="BG413" s="93"/>
      <c r="BH413" s="93"/>
      <c r="BI413" s="93" t="s">
        <v>328</v>
      </c>
      <c r="BJ413" s="93" t="s">
        <v>49</v>
      </c>
      <c r="BK413" s="93">
        <v>2.89</v>
      </c>
      <c r="BL413" s="93" t="s">
        <v>418</v>
      </c>
      <c r="BM413" s="93">
        <v>0.01</v>
      </c>
      <c r="BN413" s="93">
        <v>0.5</v>
      </c>
      <c r="BO413" s="93" t="s">
        <v>321</v>
      </c>
      <c r="BP413" s="93"/>
      <c r="BQ413" s="93"/>
      <c r="BR413" s="93"/>
      <c r="BS413" s="93"/>
      <c r="BT413" s="93"/>
      <c r="BU413" s="93"/>
      <c r="BV413" s="93"/>
      <c r="BW413" s="93"/>
      <c r="BX413" s="93"/>
      <c r="BY413" s="93"/>
      <c r="BZ413" s="93"/>
      <c r="CA413" s="93"/>
      <c r="CB413" s="180"/>
      <c r="CC413" s="178"/>
      <c r="CD413" s="178"/>
      <c r="CE413" s="180"/>
      <c r="CF413" s="180"/>
      <c r="CG413" s="180"/>
      <c r="CH413" s="180"/>
      <c r="CI413" s="178"/>
      <c r="CJ413" s="178"/>
      <c r="CK413" s="180"/>
      <c r="CL413" s="180"/>
      <c r="CM413" s="180"/>
      <c r="CN413" s="116"/>
      <c r="CO413" s="218">
        <f t="shared" si="173"/>
        <v>0.01</v>
      </c>
      <c r="CP413" s="100">
        <f t="shared" si="174"/>
        <v>0.255</v>
      </c>
      <c r="CQ413" s="218">
        <f t="shared" si="175"/>
        <v>0.5</v>
      </c>
      <c r="CR413" s="101">
        <v>0.01</v>
      </c>
      <c r="CS413" s="101">
        <v>0.5</v>
      </c>
      <c r="CZ413" s="123"/>
      <c r="DA413" s="122"/>
      <c r="DB413" s="122"/>
      <c r="DC413" s="123"/>
      <c r="DD413" s="123"/>
      <c r="DE413" s="123"/>
      <c r="DF413" s="122"/>
      <c r="DG413" s="122"/>
      <c r="DH413" s="122"/>
      <c r="DI413" s="122"/>
      <c r="DJ413" s="122"/>
      <c r="DK413" s="123"/>
      <c r="DL413" s="23"/>
      <c r="DM413" s="150"/>
      <c r="DN413" s="150"/>
      <c r="DO413" s="116"/>
    </row>
    <row r="414" spans="51:119" s="101" customFormat="1" ht="18.75" hidden="1" customHeight="1" x14ac:dyDescent="0.35">
      <c r="AY414" s="93"/>
      <c r="AZ414" s="93"/>
      <c r="BA414" s="93"/>
      <c r="BB414" s="93"/>
      <c r="BC414" s="93"/>
      <c r="BD414" s="93"/>
      <c r="BE414" s="93"/>
      <c r="BF414" s="93"/>
      <c r="BG414" s="93"/>
      <c r="BH414" s="93"/>
      <c r="BI414" s="93" t="s">
        <v>323</v>
      </c>
      <c r="BJ414" s="93" t="s">
        <v>49</v>
      </c>
      <c r="BK414" s="93">
        <v>11.1</v>
      </c>
      <c r="BL414" s="93" t="s">
        <v>418</v>
      </c>
      <c r="BM414" s="93">
        <v>0.01</v>
      </c>
      <c r="BN414" s="93">
        <v>0.5</v>
      </c>
      <c r="BO414" s="93" t="s">
        <v>325</v>
      </c>
      <c r="BP414" s="93"/>
      <c r="BQ414" s="93"/>
      <c r="BR414" s="93"/>
      <c r="BS414" s="93"/>
      <c r="BT414" s="93"/>
      <c r="BU414" s="93"/>
      <c r="BV414" s="93"/>
      <c r="BW414" s="93"/>
      <c r="BX414" s="93"/>
      <c r="BY414" s="93"/>
      <c r="BZ414" s="93"/>
      <c r="CA414" s="93"/>
      <c r="CB414" s="180"/>
      <c r="CC414" s="178"/>
      <c r="CD414" s="178"/>
      <c r="CE414" s="180"/>
      <c r="CF414" s="180"/>
      <c r="CG414" s="180"/>
      <c r="CH414" s="180"/>
      <c r="CI414" s="178"/>
      <c r="CJ414" s="178"/>
      <c r="CK414" s="180"/>
      <c r="CL414" s="180"/>
      <c r="CM414" s="180"/>
      <c r="CN414" s="116"/>
      <c r="CO414" s="218">
        <f t="shared" si="173"/>
        <v>0.01</v>
      </c>
      <c r="CP414" s="100">
        <f t="shared" si="174"/>
        <v>0.255</v>
      </c>
      <c r="CQ414" s="218">
        <f t="shared" si="175"/>
        <v>0.5</v>
      </c>
      <c r="CR414" s="101">
        <v>0.01</v>
      </c>
      <c r="CS414" s="101">
        <v>0.5</v>
      </c>
      <c r="CZ414" s="123"/>
      <c r="DA414" s="122"/>
      <c r="DB414" s="122"/>
      <c r="DC414" s="123"/>
      <c r="DD414" s="123"/>
      <c r="DE414" s="123"/>
      <c r="DF414" s="122"/>
      <c r="DG414" s="122"/>
      <c r="DH414" s="122"/>
      <c r="DI414" s="122"/>
      <c r="DJ414" s="122"/>
      <c r="DK414" s="123"/>
      <c r="DL414" s="23"/>
      <c r="DM414" s="150"/>
      <c r="DN414" s="150"/>
      <c r="DO414" s="116"/>
    </row>
    <row r="415" spans="51:119" s="101" customFormat="1" ht="18.75" hidden="1" customHeight="1" x14ac:dyDescent="0.35">
      <c r="AY415" s="93"/>
      <c r="AZ415" s="93"/>
      <c r="BA415" s="93"/>
      <c r="BB415" s="93"/>
      <c r="BC415" s="93"/>
      <c r="BD415" s="93"/>
      <c r="BE415" s="93"/>
      <c r="BF415" s="93"/>
      <c r="BG415" s="93"/>
      <c r="BH415" s="93"/>
      <c r="BI415" s="93" t="s">
        <v>324</v>
      </c>
      <c r="BJ415" s="93" t="s">
        <v>49</v>
      </c>
      <c r="BK415" s="93">
        <v>2.33</v>
      </c>
      <c r="BL415" s="93" t="s">
        <v>418</v>
      </c>
      <c r="BM415" s="93">
        <v>0.01</v>
      </c>
      <c r="BN415" s="93">
        <v>0.5</v>
      </c>
      <c r="BO415" s="93" t="s">
        <v>329</v>
      </c>
      <c r="BP415" s="93"/>
      <c r="BQ415" s="93"/>
      <c r="BR415" s="93"/>
      <c r="BS415" s="93"/>
      <c r="BT415" s="93"/>
      <c r="BU415" s="93"/>
      <c r="BV415" s="93"/>
      <c r="BW415" s="93"/>
      <c r="BX415" s="93"/>
      <c r="BY415" s="93"/>
      <c r="BZ415" s="93"/>
      <c r="CA415" s="93"/>
      <c r="CB415" s="180"/>
      <c r="CC415" s="178"/>
      <c r="CD415" s="178"/>
      <c r="CE415" s="180"/>
      <c r="CF415" s="180"/>
      <c r="CG415" s="180"/>
      <c r="CH415" s="180"/>
      <c r="CI415" s="178"/>
      <c r="CJ415" s="178"/>
      <c r="CK415" s="180"/>
      <c r="CL415" s="180"/>
      <c r="CM415" s="180"/>
      <c r="CN415" s="116"/>
      <c r="CO415" s="218">
        <f t="shared" si="173"/>
        <v>0.01</v>
      </c>
      <c r="CP415" s="100">
        <f t="shared" si="174"/>
        <v>0.255</v>
      </c>
      <c r="CQ415" s="218">
        <f t="shared" si="175"/>
        <v>0.5</v>
      </c>
      <c r="CR415" s="101">
        <v>0.01</v>
      </c>
      <c r="CS415" s="101">
        <v>0.5</v>
      </c>
      <c r="CZ415" s="123"/>
      <c r="DA415" s="122"/>
      <c r="DB415" s="122"/>
      <c r="DC415" s="123"/>
      <c r="DD415" s="123"/>
      <c r="DE415" s="123"/>
      <c r="DF415" s="122"/>
      <c r="DG415" s="122"/>
      <c r="DH415" s="122"/>
      <c r="DI415" s="122"/>
      <c r="DJ415" s="122"/>
      <c r="DK415" s="123"/>
      <c r="DL415" s="23"/>
      <c r="DM415" s="150"/>
      <c r="DN415" s="150"/>
      <c r="DO415" s="116"/>
    </row>
    <row r="416" spans="51:119" s="101" customFormat="1" ht="18.75" hidden="1" customHeight="1" x14ac:dyDescent="0.25">
      <c r="AY416" s="93"/>
      <c r="AZ416" s="93"/>
      <c r="BA416" s="93"/>
      <c r="BB416" s="93"/>
      <c r="BC416" s="93"/>
      <c r="BD416" s="93"/>
      <c r="BE416" s="93"/>
      <c r="BF416" s="93"/>
      <c r="BG416" s="93"/>
      <c r="BH416" s="93"/>
      <c r="BI416" s="93"/>
      <c r="BJ416" s="93"/>
      <c r="BK416" s="93"/>
      <c r="BL416" s="93"/>
      <c r="BM416" s="93"/>
      <c r="BN416" s="93"/>
      <c r="BO416" s="93"/>
      <c r="BP416" s="93"/>
      <c r="BQ416" s="93"/>
      <c r="BR416" s="93"/>
      <c r="BS416" s="93"/>
      <c r="BT416" s="93"/>
      <c r="BU416" s="93"/>
      <c r="BV416" s="93"/>
      <c r="BW416" s="93"/>
      <c r="BX416" s="93"/>
      <c r="BY416" s="93"/>
      <c r="BZ416" s="93"/>
      <c r="CA416" s="93"/>
      <c r="CB416" s="180"/>
      <c r="CC416" s="178"/>
      <c r="CD416" s="178"/>
      <c r="CE416" s="180"/>
      <c r="CF416" s="180"/>
      <c r="CG416" s="180"/>
      <c r="CH416" s="180"/>
      <c r="CI416" s="178"/>
      <c r="CJ416" s="178"/>
      <c r="CK416" s="180"/>
      <c r="CL416" s="180"/>
      <c r="CM416" s="180"/>
      <c r="CN416" s="116"/>
      <c r="CO416" s="218">
        <f t="shared" si="173"/>
        <v>0</v>
      </c>
      <c r="CP416" s="100">
        <f t="shared" si="174"/>
        <v>0</v>
      </c>
      <c r="CQ416" s="218">
        <f t="shared" si="175"/>
        <v>0</v>
      </c>
      <c r="CR416" s="101">
        <v>0.01</v>
      </c>
      <c r="CS416" s="101">
        <v>0.5</v>
      </c>
      <c r="CZ416" s="123"/>
      <c r="DA416" s="122"/>
      <c r="DB416" s="122"/>
      <c r="DC416" s="123"/>
      <c r="DD416" s="123"/>
      <c r="DE416" s="123"/>
      <c r="DF416" s="122"/>
      <c r="DG416" s="122"/>
      <c r="DH416" s="122"/>
      <c r="DI416" s="122"/>
      <c r="DJ416" s="122"/>
      <c r="DK416" s="123"/>
      <c r="DL416" s="23"/>
      <c r="DM416" s="150"/>
      <c r="DN416" s="150"/>
      <c r="DO416" s="116"/>
    </row>
    <row r="417" spans="51:120" s="101" customFormat="1" ht="15" hidden="1" customHeight="1" x14ac:dyDescent="0.25">
      <c r="AY417" s="93"/>
      <c r="AZ417" s="93"/>
      <c r="BA417" s="93"/>
      <c r="BB417" s="93"/>
      <c r="BC417" s="93"/>
      <c r="BD417" s="93"/>
      <c r="BE417" s="93"/>
      <c r="BF417" s="93"/>
      <c r="BG417" s="93"/>
      <c r="BH417" s="93"/>
      <c r="BI417" s="93"/>
      <c r="BJ417" s="93"/>
      <c r="BK417" s="93"/>
      <c r="BL417" s="93"/>
      <c r="BM417" s="93"/>
      <c r="BN417" s="93"/>
      <c r="BO417" s="93"/>
      <c r="BP417" s="93"/>
      <c r="BQ417" s="93"/>
      <c r="BR417" s="93"/>
      <c r="BS417" s="93"/>
      <c r="BT417" s="93"/>
      <c r="BU417" s="93"/>
      <c r="BV417" s="93"/>
      <c r="BW417" s="93"/>
      <c r="BX417" s="93"/>
      <c r="BY417" s="93"/>
      <c r="BZ417" s="93"/>
      <c r="CA417" s="93"/>
      <c r="CB417" s="180"/>
      <c r="CC417" s="178"/>
      <c r="CD417" s="178"/>
      <c r="CE417" s="180"/>
      <c r="CF417" s="180"/>
      <c r="CG417" s="180"/>
      <c r="CH417" s="180"/>
      <c r="CI417" s="178"/>
      <c r="CJ417" s="178"/>
      <c r="CK417" s="180"/>
      <c r="CL417" s="180"/>
      <c r="CM417" s="180"/>
      <c r="CN417" s="116"/>
      <c r="CO417" s="218">
        <f t="shared" si="173"/>
        <v>0</v>
      </c>
      <c r="CP417" s="100">
        <f t="shared" si="174"/>
        <v>0</v>
      </c>
      <c r="CQ417" s="218">
        <f t="shared" si="175"/>
        <v>0</v>
      </c>
      <c r="CZ417" s="123"/>
      <c r="DA417" s="122"/>
      <c r="DB417" s="122"/>
      <c r="DC417" s="123"/>
      <c r="DD417" s="123"/>
      <c r="DE417" s="123"/>
      <c r="DF417" s="122"/>
      <c r="DG417" s="122"/>
      <c r="DH417" s="122"/>
      <c r="DI417" s="122"/>
      <c r="DJ417" s="122"/>
      <c r="DK417" s="123"/>
      <c r="DL417" s="23"/>
      <c r="DM417" s="150"/>
      <c r="DN417" s="150"/>
      <c r="DO417" s="116"/>
    </row>
    <row r="418" spans="51:120" s="101" customFormat="1" ht="15" hidden="1" customHeight="1" x14ac:dyDescent="0.25">
      <c r="AY418" s="93"/>
      <c r="AZ418" s="93"/>
      <c r="BA418" s="93"/>
      <c r="BB418" s="93"/>
      <c r="BC418" s="93"/>
      <c r="BD418" s="93"/>
      <c r="BE418" s="93"/>
      <c r="BF418" s="93"/>
      <c r="BG418" s="93"/>
      <c r="BH418" s="93"/>
      <c r="BI418" s="93"/>
      <c r="BJ418" s="93"/>
      <c r="BK418" s="93"/>
      <c r="BL418" s="93"/>
      <c r="BM418" s="93"/>
      <c r="BN418" s="93"/>
      <c r="BO418" s="93"/>
      <c r="BP418" s="93"/>
      <c r="BQ418" s="93"/>
      <c r="BR418" s="93"/>
      <c r="BS418" s="93"/>
      <c r="BT418" s="93"/>
      <c r="BU418" s="93"/>
      <c r="BV418" s="93"/>
      <c r="BW418" s="93"/>
      <c r="BX418" s="93"/>
      <c r="BY418" s="93"/>
      <c r="BZ418" s="93"/>
      <c r="CA418" s="93"/>
      <c r="CB418" s="180"/>
      <c r="CC418" s="178"/>
      <c r="CD418" s="178"/>
      <c r="CE418" s="180"/>
      <c r="CF418" s="180"/>
      <c r="CG418" s="180"/>
      <c r="CH418" s="180"/>
      <c r="CI418" s="178"/>
      <c r="CJ418" s="178"/>
      <c r="CK418" s="180"/>
      <c r="CL418" s="180"/>
      <c r="CM418" s="180"/>
      <c r="CN418" s="116"/>
      <c r="CO418" s="218">
        <f t="shared" si="173"/>
        <v>0</v>
      </c>
      <c r="CP418" s="100">
        <f t="shared" si="174"/>
        <v>0</v>
      </c>
      <c r="CQ418" s="218">
        <f t="shared" si="175"/>
        <v>0</v>
      </c>
      <c r="CZ418" s="123"/>
      <c r="DA418" s="122"/>
      <c r="DB418" s="122"/>
      <c r="DC418" s="123"/>
      <c r="DD418" s="123"/>
      <c r="DE418" s="123"/>
      <c r="DF418" s="122"/>
      <c r="DG418" s="122"/>
      <c r="DH418" s="122"/>
      <c r="DI418" s="122"/>
      <c r="DJ418" s="122"/>
      <c r="DK418" s="123"/>
      <c r="DL418" s="23"/>
      <c r="DM418" s="150"/>
      <c r="DN418" s="150"/>
      <c r="DO418" s="116"/>
    </row>
    <row r="419" spans="51:120" s="101" customFormat="1" ht="15" hidden="1" customHeight="1" x14ac:dyDescent="0.25">
      <c r="AY419" s="93"/>
      <c r="AZ419" s="93"/>
      <c r="BA419" s="93"/>
      <c r="BB419" s="93"/>
      <c r="BC419" s="93"/>
      <c r="BD419" s="93"/>
      <c r="BE419" s="93"/>
      <c r="BF419" s="93"/>
      <c r="BG419" s="93"/>
      <c r="BH419" s="93"/>
      <c r="BI419" s="93"/>
      <c r="BJ419" s="93"/>
      <c r="BK419" s="93"/>
      <c r="BL419" s="93"/>
      <c r="BM419" s="93"/>
      <c r="BN419" s="93"/>
      <c r="BO419" s="93"/>
      <c r="BP419" s="93"/>
      <c r="BQ419" s="93"/>
      <c r="BR419" s="93"/>
      <c r="BS419" s="93"/>
      <c r="BT419" s="93"/>
      <c r="BU419" s="93"/>
      <c r="BV419" s="93"/>
      <c r="BW419" s="93"/>
      <c r="BX419" s="93"/>
      <c r="BY419" s="93"/>
      <c r="BZ419" s="93"/>
      <c r="CA419" s="93"/>
      <c r="CB419" s="180"/>
      <c r="CC419" s="178"/>
      <c r="CD419" s="178"/>
      <c r="CE419" s="180"/>
      <c r="CF419" s="180"/>
      <c r="CG419" s="180"/>
      <c r="CH419" s="180"/>
      <c r="CI419" s="178"/>
      <c r="CJ419" s="178"/>
      <c r="CK419" s="180"/>
      <c r="CL419" s="180"/>
      <c r="CM419" s="180"/>
      <c r="CN419" s="116"/>
      <c r="CO419" s="218">
        <f t="shared" si="173"/>
        <v>0</v>
      </c>
      <c r="CP419" s="100">
        <f t="shared" si="174"/>
        <v>0</v>
      </c>
      <c r="CQ419" s="218">
        <f t="shared" si="175"/>
        <v>0</v>
      </c>
      <c r="CZ419" s="123"/>
      <c r="DA419" s="122"/>
      <c r="DB419" s="122"/>
      <c r="DC419" s="123"/>
      <c r="DD419" s="123"/>
      <c r="DE419" s="123"/>
      <c r="DF419" s="122"/>
      <c r="DG419" s="122"/>
      <c r="DH419" s="122"/>
      <c r="DI419" s="122"/>
      <c r="DJ419" s="122"/>
      <c r="DK419" s="123"/>
      <c r="DL419" s="23"/>
      <c r="DM419" s="150"/>
      <c r="DN419" s="150"/>
      <c r="DO419" s="116"/>
    </row>
    <row r="420" spans="51:120" s="101" customFormat="1" ht="15" hidden="1" customHeight="1" x14ac:dyDescent="0.25">
      <c r="AY420" s="93"/>
      <c r="AZ420" s="93"/>
      <c r="BA420" s="93"/>
      <c r="BB420" s="93"/>
      <c r="BC420" s="93"/>
      <c r="BD420" s="93"/>
      <c r="BE420" s="93"/>
      <c r="BF420" s="93"/>
      <c r="BG420" s="93"/>
      <c r="BH420" s="93"/>
      <c r="BI420" s="93"/>
      <c r="BJ420" s="93"/>
      <c r="BK420" s="93"/>
      <c r="BL420" s="93"/>
      <c r="BM420" s="93"/>
      <c r="BN420" s="93"/>
      <c r="BO420" s="93"/>
      <c r="BP420" s="93"/>
      <c r="BQ420" s="93"/>
      <c r="BR420" s="93"/>
      <c r="BS420" s="93"/>
      <c r="BT420" s="93"/>
      <c r="BU420" s="93"/>
      <c r="BV420" s="93"/>
      <c r="BW420" s="93"/>
      <c r="BX420" s="93"/>
      <c r="BY420" s="93"/>
      <c r="BZ420" s="93"/>
      <c r="CA420" s="93"/>
      <c r="CB420" s="180"/>
      <c r="CC420" s="178"/>
      <c r="CD420" s="178"/>
      <c r="CE420" s="180"/>
      <c r="CF420" s="180"/>
      <c r="CG420" s="180"/>
      <c r="CH420" s="180"/>
      <c r="CI420" s="178"/>
      <c r="CJ420" s="178"/>
      <c r="CK420" s="180"/>
      <c r="CL420" s="180"/>
      <c r="CM420" s="180"/>
      <c r="CN420" s="116"/>
      <c r="CO420" s="218">
        <f t="shared" si="173"/>
        <v>0</v>
      </c>
      <c r="CP420" s="100">
        <f t="shared" si="174"/>
        <v>0</v>
      </c>
      <c r="CQ420" s="218">
        <f t="shared" si="175"/>
        <v>0</v>
      </c>
      <c r="CZ420" s="123"/>
      <c r="DA420" s="122"/>
      <c r="DB420" s="122"/>
      <c r="DC420" s="123"/>
      <c r="DD420" s="123"/>
      <c r="DE420" s="123"/>
      <c r="DF420" s="122"/>
      <c r="DG420" s="122"/>
      <c r="DH420" s="122"/>
      <c r="DI420" s="122"/>
      <c r="DJ420" s="122"/>
      <c r="DK420" s="123"/>
      <c r="DL420" s="23"/>
      <c r="DM420" s="150"/>
      <c r="DN420" s="150"/>
      <c r="DO420" s="116"/>
    </row>
    <row r="421" spans="51:120" s="101" customFormat="1" ht="15" hidden="1" customHeight="1" x14ac:dyDescent="0.25">
      <c r="AY421" s="93"/>
      <c r="AZ421" s="93"/>
      <c r="BA421" s="93"/>
      <c r="BB421" s="93"/>
      <c r="BC421" s="93"/>
      <c r="BD421" s="93"/>
      <c r="BE421" s="93"/>
      <c r="BF421" s="93"/>
      <c r="BG421" s="93"/>
      <c r="BH421" s="93"/>
      <c r="BI421" s="93"/>
      <c r="BJ421" s="93"/>
      <c r="BK421" s="93"/>
      <c r="BL421" s="93"/>
      <c r="BM421" s="93"/>
      <c r="BN421" s="93"/>
      <c r="BO421" s="93"/>
      <c r="BP421" s="93"/>
      <c r="BQ421" s="93"/>
      <c r="BR421" s="93"/>
      <c r="BS421" s="93"/>
      <c r="BT421" s="93"/>
      <c r="BU421" s="93"/>
      <c r="BV421" s="93"/>
      <c r="BW421" s="93"/>
      <c r="BX421" s="93"/>
      <c r="BY421" s="93"/>
      <c r="BZ421" s="93"/>
      <c r="CA421" s="93"/>
      <c r="CB421" s="180"/>
      <c r="CC421" s="178"/>
      <c r="CD421" s="178"/>
      <c r="CE421" s="180"/>
      <c r="CF421" s="180"/>
      <c r="CG421" s="180"/>
      <c r="CH421" s="180"/>
      <c r="CI421" s="178"/>
      <c r="CJ421" s="178"/>
      <c r="CK421" s="180"/>
      <c r="CL421" s="180"/>
      <c r="CM421" s="180"/>
      <c r="CN421" s="116"/>
      <c r="CO421" s="218">
        <f t="shared" si="173"/>
        <v>0</v>
      </c>
      <c r="CP421" s="100">
        <f t="shared" si="174"/>
        <v>0</v>
      </c>
      <c r="CQ421" s="218">
        <f t="shared" si="175"/>
        <v>0</v>
      </c>
      <c r="CZ421" s="123"/>
      <c r="DA421" s="122"/>
      <c r="DB421" s="122"/>
      <c r="DC421" s="123"/>
      <c r="DD421" s="123"/>
      <c r="DE421" s="123"/>
      <c r="DF421" s="122"/>
      <c r="DG421" s="122"/>
      <c r="DH421" s="122"/>
      <c r="DI421" s="122"/>
      <c r="DJ421" s="122"/>
      <c r="DK421" s="123"/>
      <c r="DL421" s="23"/>
      <c r="DM421" s="150"/>
      <c r="DN421" s="150"/>
      <c r="DO421" s="116"/>
    </row>
    <row r="422" spans="51:120" s="101" customFormat="1" ht="15" hidden="1" customHeight="1" x14ac:dyDescent="0.25">
      <c r="AY422" s="93"/>
      <c r="AZ422" s="93"/>
      <c r="BA422" s="93"/>
      <c r="BB422" s="93"/>
      <c r="BC422" s="93"/>
      <c r="BD422" s="93"/>
      <c r="BE422" s="93"/>
      <c r="BF422" s="93"/>
      <c r="BG422" s="93"/>
      <c r="BH422" s="93"/>
      <c r="BI422" s="93"/>
      <c r="BJ422" s="93"/>
      <c r="BK422" s="93"/>
      <c r="BL422" s="93"/>
      <c r="BM422" s="93"/>
      <c r="BN422" s="93"/>
      <c r="BO422" s="93"/>
      <c r="BP422" s="93"/>
      <c r="BQ422" s="93"/>
      <c r="BR422" s="93"/>
      <c r="BS422" s="93"/>
      <c r="BT422" s="93"/>
      <c r="BU422" s="93"/>
      <c r="BV422" s="93"/>
      <c r="BW422" s="93"/>
      <c r="BX422" s="93"/>
      <c r="BY422" s="93"/>
      <c r="BZ422" s="93"/>
      <c r="CA422" s="93"/>
      <c r="CB422" s="180"/>
      <c r="CC422" s="178"/>
      <c r="CD422" s="178"/>
      <c r="CE422" s="180"/>
      <c r="CF422" s="180"/>
      <c r="CG422" s="180"/>
      <c r="CH422" s="180"/>
      <c r="CI422" s="178"/>
      <c r="CJ422" s="178"/>
      <c r="CK422" s="180"/>
      <c r="CL422" s="180"/>
      <c r="CM422" s="180"/>
      <c r="CN422" s="116"/>
      <c r="CO422" s="218">
        <f t="shared" si="173"/>
        <v>0</v>
      </c>
      <c r="CP422" s="100">
        <f t="shared" si="174"/>
        <v>0</v>
      </c>
      <c r="CQ422" s="218">
        <f t="shared" si="175"/>
        <v>0</v>
      </c>
      <c r="CZ422" s="123"/>
      <c r="DA422" s="122"/>
      <c r="DB422" s="122"/>
      <c r="DC422" s="123"/>
      <c r="DD422" s="123"/>
      <c r="DE422" s="123"/>
      <c r="DF422" s="122"/>
      <c r="DG422" s="122"/>
      <c r="DH422" s="122"/>
      <c r="DI422" s="122"/>
      <c r="DJ422" s="122"/>
      <c r="DK422" s="123"/>
      <c r="DL422" s="23"/>
      <c r="DM422" s="150"/>
      <c r="DN422" s="150"/>
      <c r="DO422" s="116"/>
    </row>
    <row r="423" spans="51:120" s="101" customFormat="1" ht="15" hidden="1" customHeight="1" x14ac:dyDescent="0.25">
      <c r="AY423" s="93"/>
      <c r="AZ423" s="93"/>
      <c r="BA423" s="93"/>
      <c r="BB423" s="93"/>
      <c r="BC423" s="93"/>
      <c r="BD423" s="93"/>
      <c r="BE423" s="93"/>
      <c r="BF423" s="93"/>
      <c r="BG423" s="93"/>
      <c r="BH423" s="93"/>
      <c r="BI423" s="93"/>
      <c r="BJ423" s="93"/>
      <c r="BK423" s="93"/>
      <c r="BL423" s="93"/>
      <c r="BM423" s="93"/>
      <c r="BN423" s="93"/>
      <c r="BO423" s="93"/>
      <c r="BP423" s="93"/>
      <c r="BQ423" s="93"/>
      <c r="BR423" s="93"/>
      <c r="BS423" s="93"/>
      <c r="BT423" s="93"/>
      <c r="BU423" s="93"/>
      <c r="BV423" s="93"/>
      <c r="BW423" s="93"/>
      <c r="BX423" s="93"/>
      <c r="BY423" s="93"/>
      <c r="BZ423" s="93"/>
      <c r="CA423" s="93"/>
      <c r="CB423" s="180"/>
      <c r="CC423" s="178"/>
      <c r="CD423" s="178"/>
      <c r="CE423" s="180"/>
      <c r="CF423" s="180"/>
      <c r="CG423" s="180"/>
      <c r="CH423" s="180"/>
      <c r="CI423" s="178"/>
      <c r="CJ423" s="178"/>
      <c r="CK423" s="180"/>
      <c r="CL423" s="180"/>
      <c r="CM423" s="180"/>
      <c r="CN423" s="116"/>
      <c r="CO423" s="218">
        <f t="shared" si="173"/>
        <v>0</v>
      </c>
      <c r="CP423" s="100">
        <f t="shared" si="174"/>
        <v>0</v>
      </c>
      <c r="CQ423" s="218">
        <f t="shared" si="175"/>
        <v>0</v>
      </c>
      <c r="CZ423" s="123"/>
      <c r="DA423" s="122"/>
      <c r="DB423" s="122"/>
      <c r="DC423" s="123"/>
      <c r="DD423" s="123"/>
      <c r="DE423" s="123"/>
      <c r="DF423" s="122"/>
      <c r="DG423" s="122"/>
      <c r="DH423" s="122"/>
      <c r="DI423" s="122"/>
      <c r="DJ423" s="122"/>
      <c r="DK423" s="123"/>
      <c r="DL423" s="23"/>
      <c r="DM423" s="150"/>
      <c r="DN423" s="150"/>
      <c r="DO423" s="116"/>
    </row>
    <row r="424" spans="51:120" s="101" customFormat="1" ht="15.75" hidden="1" customHeight="1" thickBot="1" x14ac:dyDescent="0.3">
      <c r="AY424" s="93"/>
      <c r="AZ424" s="93"/>
      <c r="BA424" s="93"/>
      <c r="BB424" s="93"/>
      <c r="BC424" s="93"/>
      <c r="BD424" s="93"/>
      <c r="BE424" s="93"/>
      <c r="BF424" s="93"/>
      <c r="BG424" s="93"/>
      <c r="BH424" s="93"/>
      <c r="BI424" s="93" t="s">
        <v>116</v>
      </c>
      <c r="BJ424" s="93" t="s">
        <v>117</v>
      </c>
      <c r="BK424" s="93"/>
      <c r="BL424" s="93"/>
      <c r="BM424" s="93"/>
      <c r="BN424" s="93"/>
      <c r="BO424" s="93"/>
      <c r="BP424" s="93"/>
      <c r="BQ424" s="93"/>
      <c r="BR424" s="93"/>
      <c r="BS424" s="93"/>
      <c r="BT424" s="93"/>
      <c r="BU424" s="93"/>
      <c r="BV424" s="93"/>
      <c r="BW424" s="93"/>
      <c r="BX424" s="93"/>
      <c r="BY424" s="93"/>
      <c r="BZ424" s="93"/>
      <c r="CA424" s="93"/>
      <c r="CB424" s="180"/>
      <c r="CC424" s="178"/>
      <c r="CD424" s="178"/>
      <c r="CE424" s="180"/>
      <c r="CF424" s="180"/>
      <c r="CG424" s="180"/>
      <c r="CH424" s="180"/>
      <c r="CI424" s="178"/>
      <c r="CJ424" s="178"/>
      <c r="CK424" s="180"/>
      <c r="CL424" s="180"/>
      <c r="CM424" s="180"/>
      <c r="CN424" s="116"/>
      <c r="CO424" s="218">
        <f t="shared" si="173"/>
        <v>0</v>
      </c>
      <c r="CP424" s="100">
        <f t="shared" si="174"/>
        <v>0</v>
      </c>
      <c r="CQ424" s="218">
        <f t="shared" si="175"/>
        <v>0</v>
      </c>
      <c r="CZ424" s="123"/>
      <c r="DA424" s="122"/>
      <c r="DB424" s="122"/>
      <c r="DC424" s="123"/>
      <c r="DD424" s="123"/>
      <c r="DE424" s="123"/>
      <c r="DF424" s="122"/>
      <c r="DG424" s="122"/>
      <c r="DH424" s="122"/>
      <c r="DI424" s="122"/>
      <c r="DJ424" s="122"/>
      <c r="DK424" s="123"/>
      <c r="DL424" s="23"/>
      <c r="DM424" s="150"/>
      <c r="DN424" s="150"/>
      <c r="DO424" s="116"/>
    </row>
    <row r="425" spans="51:120" s="101" customFormat="1" ht="15.75" hidden="1" customHeight="1" thickBot="1" x14ac:dyDescent="0.3">
      <c r="AY425" s="93"/>
      <c r="AZ425" s="93"/>
      <c r="BA425" s="93"/>
      <c r="BB425" s="93"/>
      <c r="BC425" s="93"/>
      <c r="BD425" s="93"/>
      <c r="BE425" s="93"/>
      <c r="BF425" s="93"/>
      <c r="BG425" s="93"/>
      <c r="BH425" s="93"/>
      <c r="BI425" s="93">
        <v>0</v>
      </c>
      <c r="BJ425" s="93">
        <v>0</v>
      </c>
      <c r="BK425" s="93"/>
      <c r="BL425" s="93"/>
      <c r="BM425" s="93"/>
      <c r="BN425" s="93"/>
      <c r="BO425" s="93"/>
      <c r="BP425" s="93"/>
      <c r="BQ425" s="93"/>
      <c r="BR425" s="93"/>
      <c r="BS425" s="93"/>
      <c r="BT425" s="93"/>
      <c r="BU425" s="93"/>
      <c r="BV425" s="93"/>
      <c r="BW425" s="93"/>
      <c r="BX425" s="93"/>
      <c r="BY425" s="93"/>
      <c r="BZ425" s="93"/>
      <c r="CA425" s="93"/>
      <c r="CB425" s="180"/>
      <c r="CC425" s="178"/>
      <c r="CD425" s="178"/>
      <c r="CE425" s="180"/>
      <c r="CF425" s="180"/>
      <c r="CG425" s="180"/>
      <c r="CH425" s="180"/>
      <c r="CI425" s="178"/>
      <c r="CJ425" s="178"/>
      <c r="CK425" s="180"/>
      <c r="CL425" s="180"/>
      <c r="CM425" s="180"/>
      <c r="CN425" s="116"/>
      <c r="CO425" s="218">
        <f t="shared" si="173"/>
        <v>0</v>
      </c>
      <c r="CP425" s="100">
        <f t="shared" si="174"/>
        <v>0</v>
      </c>
      <c r="CQ425" s="218">
        <f t="shared" si="175"/>
        <v>0</v>
      </c>
      <c r="CZ425" s="123"/>
      <c r="DA425" s="122"/>
      <c r="DB425" s="122"/>
      <c r="DC425" s="123"/>
      <c r="DD425" s="123"/>
      <c r="DE425" s="123"/>
      <c r="DF425" s="122"/>
      <c r="DG425" s="122"/>
      <c r="DH425" s="122"/>
      <c r="DI425" s="122"/>
      <c r="DJ425" s="122"/>
      <c r="DK425" s="123"/>
      <c r="DL425" s="23"/>
      <c r="DM425" s="150"/>
      <c r="DN425" s="150"/>
      <c r="DO425" s="116"/>
    </row>
    <row r="426" spans="51:120" s="101" customFormat="1" ht="15.75" hidden="1" customHeight="1" thickBot="1" x14ac:dyDescent="0.3">
      <c r="AY426" s="93"/>
      <c r="AZ426" s="93"/>
      <c r="BA426" s="93"/>
      <c r="BB426" s="93"/>
      <c r="BC426" s="93"/>
      <c r="BD426" s="93"/>
      <c r="BE426" s="93"/>
      <c r="BF426" s="93"/>
      <c r="BG426" s="93"/>
      <c r="BH426" s="93"/>
      <c r="BI426" s="93">
        <v>2</v>
      </c>
      <c r="BJ426" s="93">
        <v>12.71</v>
      </c>
      <c r="BK426" s="93"/>
      <c r="BL426" s="93"/>
      <c r="BM426" s="93"/>
      <c r="BN426" s="93"/>
      <c r="BO426" s="93"/>
      <c r="BP426" s="93"/>
      <c r="BQ426" s="93"/>
      <c r="BR426" s="93"/>
      <c r="BS426" s="93"/>
      <c r="BT426" s="93"/>
      <c r="BU426" s="93"/>
      <c r="BV426" s="93"/>
      <c r="BW426" s="93"/>
      <c r="BX426" s="93"/>
      <c r="BY426" s="93"/>
      <c r="BZ426" s="93"/>
      <c r="CA426" s="93"/>
      <c r="CB426" s="180"/>
      <c r="CC426" s="178"/>
      <c r="CD426" s="178"/>
      <c r="CE426" s="180"/>
      <c r="CF426" s="180"/>
      <c r="CG426" s="180"/>
      <c r="CH426" s="180"/>
      <c r="CI426" s="178"/>
      <c r="CJ426" s="178"/>
      <c r="CK426" s="180"/>
      <c r="CL426" s="180"/>
      <c r="CM426" s="180"/>
      <c r="CN426" s="116"/>
      <c r="CO426" s="218">
        <f t="shared" si="173"/>
        <v>0</v>
      </c>
      <c r="CP426" s="100">
        <f t="shared" si="174"/>
        <v>0</v>
      </c>
      <c r="CQ426" s="218">
        <f t="shared" si="175"/>
        <v>0</v>
      </c>
      <c r="CZ426" s="116"/>
      <c r="DA426" s="116"/>
      <c r="DB426" s="116"/>
      <c r="DC426" s="116"/>
      <c r="DD426" s="116"/>
      <c r="DE426" s="116"/>
      <c r="DF426" s="116"/>
      <c r="DG426" s="116"/>
      <c r="DH426" s="116"/>
      <c r="DI426" s="116"/>
      <c r="DJ426" s="116"/>
      <c r="DK426" s="116"/>
      <c r="DL426" s="116"/>
    </row>
    <row r="427" spans="51:120" s="101" customFormat="1" ht="15.75" hidden="1" customHeight="1" thickBot="1" x14ac:dyDescent="0.3">
      <c r="AY427" s="93"/>
      <c r="AZ427" s="93"/>
      <c r="BA427" s="93"/>
      <c r="BB427" s="93"/>
      <c r="BC427" s="93"/>
      <c r="BD427" s="93"/>
      <c r="BE427" s="93"/>
      <c r="BF427" s="93"/>
      <c r="BG427" s="93"/>
      <c r="BH427" s="93"/>
      <c r="BI427" s="93">
        <v>3</v>
      </c>
      <c r="BJ427" s="93">
        <v>4.3</v>
      </c>
      <c r="BK427" s="93"/>
      <c r="BL427" s="93"/>
      <c r="BM427" s="93"/>
      <c r="BN427" s="93"/>
      <c r="BO427" s="93"/>
      <c r="BP427" s="93"/>
      <c r="BQ427" s="93"/>
      <c r="BR427" s="93"/>
      <c r="BS427" s="93"/>
      <c r="BT427" s="93"/>
      <c r="BU427" s="93"/>
      <c r="BV427" s="93"/>
      <c r="BW427" s="93"/>
      <c r="BX427" s="93"/>
      <c r="BY427" s="93"/>
      <c r="BZ427" s="93"/>
      <c r="CA427" s="93"/>
      <c r="CB427" s="180"/>
      <c r="CC427" s="178"/>
      <c r="CD427" s="178"/>
      <c r="CE427" s="180"/>
      <c r="CF427" s="180"/>
      <c r="CG427" s="180"/>
      <c r="CH427" s="180"/>
      <c r="CI427" s="178"/>
      <c r="CJ427" s="178"/>
      <c r="CK427" s="180"/>
      <c r="CL427" s="180"/>
      <c r="CM427" s="180"/>
      <c r="CN427" s="116"/>
      <c r="CO427" s="218">
        <f t="shared" si="173"/>
        <v>0</v>
      </c>
      <c r="CP427" s="100">
        <f t="shared" si="174"/>
        <v>0</v>
      </c>
      <c r="CQ427" s="218">
        <f t="shared" si="175"/>
        <v>0</v>
      </c>
      <c r="CZ427" s="116"/>
      <c r="DA427" s="116"/>
      <c r="DB427" s="116"/>
      <c r="DC427" s="116"/>
      <c r="DD427" s="116"/>
      <c r="DE427" s="116"/>
      <c r="DF427" s="116"/>
      <c r="DG427" s="116"/>
      <c r="DH427" s="116"/>
      <c r="DI427" s="116"/>
      <c r="DJ427" s="116"/>
      <c r="DK427" s="116"/>
      <c r="DL427" s="116"/>
      <c r="DM427" s="116"/>
      <c r="DN427" s="116"/>
      <c r="DO427" s="116"/>
    </row>
    <row r="428" spans="51:120" s="101" customFormat="1" ht="15.75" hidden="1" customHeight="1" thickBot="1" x14ac:dyDescent="0.3">
      <c r="AY428" s="93"/>
      <c r="AZ428" s="93"/>
      <c r="BA428" s="93"/>
      <c r="BB428" s="93"/>
      <c r="BC428" s="93"/>
      <c r="BD428" s="93"/>
      <c r="BE428" s="93"/>
      <c r="BF428" s="93"/>
      <c r="BG428" s="93"/>
      <c r="BH428" s="93"/>
      <c r="BI428" s="93">
        <v>4</v>
      </c>
      <c r="BJ428" s="93">
        <v>3.18</v>
      </c>
      <c r="BK428" s="93"/>
      <c r="BL428" s="93"/>
      <c r="BM428" s="93"/>
      <c r="BN428" s="93"/>
      <c r="BO428" s="93"/>
      <c r="BP428" s="93"/>
      <c r="BQ428" s="93"/>
      <c r="BR428" s="93"/>
      <c r="BS428" s="93"/>
      <c r="BT428" s="93"/>
      <c r="BU428" s="93"/>
      <c r="BV428" s="93"/>
      <c r="BW428" s="93"/>
      <c r="BX428" s="93"/>
      <c r="BY428" s="93"/>
      <c r="BZ428" s="93"/>
      <c r="CA428" s="93"/>
      <c r="CB428" s="180"/>
      <c r="CC428" s="178"/>
      <c r="CD428" s="178"/>
      <c r="CE428" s="180"/>
      <c r="CF428" s="180"/>
      <c r="CG428" s="180"/>
      <c r="CH428" s="180"/>
      <c r="CI428" s="178"/>
      <c r="CJ428" s="178"/>
      <c r="CK428" s="180"/>
      <c r="CL428" s="180"/>
      <c r="CM428" s="180"/>
      <c r="CN428" s="116"/>
      <c r="CO428" s="218">
        <f t="shared" si="173"/>
        <v>0</v>
      </c>
      <c r="CP428" s="100">
        <f t="shared" si="174"/>
        <v>0</v>
      </c>
      <c r="CQ428" s="218">
        <f t="shared" si="175"/>
        <v>0</v>
      </c>
      <c r="CZ428" s="116"/>
      <c r="DA428" s="115"/>
      <c r="DB428" s="115"/>
      <c r="DC428" s="116"/>
      <c r="DD428" s="116"/>
      <c r="DE428" s="116"/>
      <c r="DF428" s="116"/>
      <c r="DG428" s="115"/>
      <c r="DH428" s="115"/>
      <c r="DI428" s="116"/>
      <c r="DJ428" s="116"/>
      <c r="DK428" s="116"/>
      <c r="DL428" s="116"/>
      <c r="DM428" s="116"/>
      <c r="DN428" s="116"/>
      <c r="DP428" s="116"/>
    </row>
    <row r="429" spans="51:120" s="101" customFormat="1" ht="15.75" hidden="1" customHeight="1" thickBot="1" x14ac:dyDescent="0.3">
      <c r="AY429" s="93"/>
      <c r="AZ429" s="93"/>
      <c r="BA429" s="93"/>
      <c r="BB429" s="93"/>
      <c r="BC429" s="93"/>
      <c r="BD429" s="93"/>
      <c r="BE429" s="93"/>
      <c r="BF429" s="93"/>
      <c r="BG429" s="93"/>
      <c r="BH429" s="93"/>
      <c r="BI429" s="93">
        <v>5</v>
      </c>
      <c r="BJ429" s="93">
        <v>2.78</v>
      </c>
      <c r="BK429" s="93"/>
      <c r="BL429" s="93"/>
      <c r="BM429" s="93"/>
      <c r="BN429" s="93"/>
      <c r="BO429" s="93"/>
      <c r="BP429" s="93"/>
      <c r="BQ429" s="93"/>
      <c r="BR429" s="93"/>
      <c r="BS429" s="93"/>
      <c r="BT429" s="93"/>
      <c r="BU429" s="93"/>
      <c r="BV429" s="93"/>
      <c r="BW429" s="93"/>
      <c r="BX429" s="93"/>
      <c r="BY429" s="93"/>
      <c r="BZ429" s="93"/>
      <c r="CA429" s="93"/>
      <c r="CB429" s="180"/>
      <c r="CC429" s="178"/>
      <c r="CD429" s="178"/>
      <c r="CE429" s="180"/>
      <c r="CF429" s="180"/>
      <c r="CG429" s="180"/>
      <c r="CH429" s="180"/>
      <c r="CI429" s="178"/>
      <c r="CJ429" s="178"/>
      <c r="CK429" s="180"/>
      <c r="CL429" s="180"/>
      <c r="CM429" s="180"/>
      <c r="CN429" s="116"/>
      <c r="CO429" s="218">
        <f t="shared" si="173"/>
        <v>0</v>
      </c>
      <c r="CP429" s="100">
        <f t="shared" si="174"/>
        <v>0</v>
      </c>
      <c r="CQ429" s="218">
        <f t="shared" si="175"/>
        <v>0</v>
      </c>
      <c r="CZ429" s="116"/>
      <c r="DA429" s="115"/>
      <c r="DB429" s="115"/>
      <c r="DC429" s="116"/>
      <c r="DD429" s="116"/>
      <c r="DE429" s="116"/>
      <c r="DF429" s="116"/>
      <c r="DG429" s="115"/>
      <c r="DH429" s="115"/>
      <c r="DI429" s="116"/>
      <c r="DJ429" s="116"/>
      <c r="DK429" s="116"/>
      <c r="DL429" s="116"/>
    </row>
    <row r="430" spans="51:120" s="101" customFormat="1" ht="15.75" hidden="1" customHeight="1" thickBot="1" x14ac:dyDescent="0.3">
      <c r="AY430" s="93"/>
      <c r="AZ430" s="93"/>
      <c r="BA430" s="93"/>
      <c r="BB430" s="93"/>
      <c r="BC430" s="93"/>
      <c r="BD430" s="93"/>
      <c r="BE430" s="93"/>
      <c r="BF430" s="93"/>
      <c r="BG430" s="93"/>
      <c r="BH430" s="93"/>
      <c r="BI430" s="93">
        <v>6</v>
      </c>
      <c r="BJ430" s="93">
        <v>2.57</v>
      </c>
      <c r="BK430" s="93"/>
      <c r="BL430" s="93"/>
      <c r="BM430" s="93"/>
      <c r="BN430" s="93"/>
      <c r="BO430" s="93"/>
      <c r="BP430" s="93"/>
      <c r="BQ430" s="93"/>
      <c r="BR430" s="93"/>
      <c r="BS430" s="93"/>
      <c r="BT430" s="93"/>
      <c r="BU430" s="93"/>
      <c r="BV430" s="93"/>
      <c r="BW430" s="93"/>
      <c r="BX430" s="93"/>
      <c r="BY430" s="93"/>
      <c r="BZ430" s="93"/>
      <c r="CA430" s="93"/>
      <c r="CB430" s="180"/>
      <c r="CC430" s="178"/>
      <c r="CD430" s="178"/>
      <c r="CE430" s="180"/>
      <c r="CF430" s="180"/>
      <c r="CG430" s="180"/>
      <c r="CH430" s="180"/>
      <c r="CI430" s="178"/>
      <c r="CJ430" s="178"/>
      <c r="CK430" s="180"/>
      <c r="CL430" s="180"/>
      <c r="CM430" s="180"/>
      <c r="CN430" s="116"/>
      <c r="CO430" s="218">
        <f t="shared" si="173"/>
        <v>0</v>
      </c>
      <c r="CP430" s="100">
        <f t="shared" si="174"/>
        <v>0</v>
      </c>
      <c r="CQ430" s="218">
        <f t="shared" si="175"/>
        <v>0</v>
      </c>
      <c r="CR430" s="116"/>
    </row>
    <row r="431" spans="51:120" s="101" customFormat="1" ht="15.75" hidden="1" customHeight="1" thickBot="1" x14ac:dyDescent="0.3">
      <c r="AY431" s="93"/>
      <c r="AZ431" s="93"/>
      <c r="BA431" s="93"/>
      <c r="BB431" s="93"/>
      <c r="BC431" s="93"/>
      <c r="BD431" s="93"/>
      <c r="BE431" s="93"/>
      <c r="BF431" s="93"/>
      <c r="BG431" s="93"/>
      <c r="BH431" s="93"/>
      <c r="BI431" s="93">
        <v>7</v>
      </c>
      <c r="BJ431" s="93">
        <v>2.4500000000000002</v>
      </c>
      <c r="BK431" s="93"/>
      <c r="BL431" s="93"/>
      <c r="BM431" s="93"/>
      <c r="BN431" s="93"/>
      <c r="BO431" s="93"/>
      <c r="BP431" s="93"/>
      <c r="BQ431" s="93"/>
      <c r="BR431" s="93"/>
      <c r="BS431" s="93"/>
      <c r="BT431" s="93"/>
      <c r="BU431" s="93"/>
      <c r="BV431" s="93"/>
      <c r="BW431" s="93"/>
      <c r="BX431" s="93"/>
      <c r="BY431" s="93"/>
      <c r="BZ431" s="93"/>
      <c r="CA431" s="93"/>
      <c r="CB431" s="180"/>
      <c r="CC431" s="178"/>
      <c r="CD431" s="178"/>
      <c r="CE431" s="180"/>
      <c r="CF431" s="180"/>
      <c r="CG431" s="180"/>
      <c r="CH431" s="180"/>
      <c r="CI431" s="178"/>
      <c r="CJ431" s="178"/>
      <c r="CK431" s="180"/>
      <c r="CL431" s="180"/>
      <c r="CM431" s="180"/>
      <c r="CN431" s="116"/>
      <c r="CO431" s="218">
        <f t="shared" si="173"/>
        <v>0</v>
      </c>
      <c r="CP431" s="100">
        <f t="shared" si="174"/>
        <v>0</v>
      </c>
      <c r="CQ431" s="218">
        <f t="shared" si="175"/>
        <v>0</v>
      </c>
    </row>
    <row r="432" spans="51:120" s="101" customFormat="1" ht="15.75" hidden="1" customHeight="1" thickBot="1" x14ac:dyDescent="0.3">
      <c r="AY432" s="93"/>
      <c r="AZ432" s="93"/>
      <c r="BA432" s="93"/>
      <c r="BB432" s="93"/>
      <c r="BC432" s="93"/>
      <c r="BD432" s="93"/>
      <c r="BE432" s="93"/>
      <c r="BF432" s="93"/>
      <c r="BG432" s="93"/>
      <c r="BH432" s="93"/>
      <c r="BI432" s="93">
        <v>8</v>
      </c>
      <c r="BJ432" s="93">
        <v>2.36</v>
      </c>
      <c r="BK432" s="93"/>
      <c r="BL432" s="93"/>
      <c r="BM432" s="93"/>
      <c r="BN432" s="93"/>
      <c r="BO432" s="93"/>
      <c r="BP432" s="93"/>
      <c r="BQ432" s="93"/>
      <c r="BR432" s="93"/>
      <c r="BS432" s="93"/>
      <c r="BT432" s="93"/>
      <c r="BU432" s="93"/>
      <c r="BV432" s="93"/>
      <c r="BW432" s="93"/>
      <c r="BX432" s="93"/>
      <c r="BY432" s="93"/>
      <c r="BZ432" s="93"/>
      <c r="CA432" s="93"/>
      <c r="CB432" s="180"/>
      <c r="CC432" s="178"/>
      <c r="CD432" s="178"/>
      <c r="CE432" s="180"/>
      <c r="CF432" s="180"/>
      <c r="CG432" s="180"/>
      <c r="CH432" s="180"/>
      <c r="CI432" s="178"/>
      <c r="CJ432" s="178"/>
      <c r="CK432" s="180"/>
      <c r="CL432" s="180"/>
      <c r="CM432" s="180"/>
      <c r="CN432" s="116"/>
      <c r="CO432" s="218">
        <f t="shared" si="173"/>
        <v>0</v>
      </c>
      <c r="CP432" s="100">
        <f t="shared" si="174"/>
        <v>0</v>
      </c>
      <c r="CQ432" s="218">
        <f t="shared" si="175"/>
        <v>0</v>
      </c>
    </row>
    <row r="433" spans="1:97" s="101" customFormat="1" ht="15.75" hidden="1" customHeight="1" thickBot="1" x14ac:dyDescent="0.3">
      <c r="AY433" s="93"/>
      <c r="AZ433" s="93"/>
      <c r="BA433" s="93"/>
      <c r="BB433" s="93"/>
      <c r="BC433" s="93"/>
      <c r="BD433" s="93"/>
      <c r="BE433" s="93"/>
      <c r="BF433" s="93"/>
      <c r="BG433" s="93"/>
      <c r="BH433" s="93"/>
      <c r="BI433" s="93">
        <v>9</v>
      </c>
      <c r="BJ433" s="93">
        <v>2.31</v>
      </c>
      <c r="BK433" s="93"/>
      <c r="BL433" s="93"/>
      <c r="BM433" s="93"/>
      <c r="BN433" s="93"/>
      <c r="BO433" s="93"/>
      <c r="BP433" s="93"/>
      <c r="BQ433" s="93"/>
      <c r="BR433" s="93"/>
      <c r="BS433" s="93"/>
      <c r="BT433" s="93"/>
      <c r="BU433" s="93"/>
      <c r="BV433" s="93"/>
      <c r="BW433" s="93"/>
      <c r="BX433" s="93"/>
      <c r="BY433" s="93"/>
      <c r="BZ433" s="93"/>
      <c r="CA433" s="93"/>
      <c r="CB433" s="180"/>
      <c r="CC433" s="178"/>
      <c r="CD433" s="178"/>
      <c r="CE433" s="180"/>
      <c r="CF433" s="180"/>
      <c r="CG433" s="180"/>
      <c r="CH433" s="180"/>
      <c r="CI433" s="178"/>
      <c r="CJ433" s="178"/>
      <c r="CK433" s="180"/>
      <c r="CL433" s="180"/>
      <c r="CM433" s="180"/>
      <c r="CN433" s="116"/>
      <c r="CO433" s="218">
        <f t="shared" si="173"/>
        <v>0</v>
      </c>
      <c r="CP433" s="100">
        <f t="shared" si="174"/>
        <v>0</v>
      </c>
      <c r="CQ433" s="218">
        <f t="shared" si="175"/>
        <v>0</v>
      </c>
    </row>
    <row r="434" spans="1:97" s="101" customFormat="1" ht="15.75" hidden="1" customHeight="1" thickBot="1" x14ac:dyDescent="0.3">
      <c r="AY434" s="93"/>
      <c r="AZ434" s="93"/>
      <c r="BA434" s="93"/>
      <c r="BB434" s="93"/>
      <c r="BC434" s="93"/>
      <c r="BD434" s="93"/>
      <c r="BE434" s="93"/>
      <c r="BF434" s="93"/>
      <c r="BG434" s="93"/>
      <c r="BH434" s="93"/>
      <c r="BI434" s="93">
        <v>10</v>
      </c>
      <c r="BJ434" s="93">
        <v>2.2599999999999998</v>
      </c>
      <c r="BK434" s="93"/>
      <c r="BL434" s="93"/>
      <c r="BM434" s="93"/>
      <c r="BN434" s="93"/>
      <c r="BO434" s="93"/>
      <c r="BP434" s="93"/>
      <c r="BQ434" s="93"/>
      <c r="BR434" s="93"/>
      <c r="BS434" s="93"/>
      <c r="BT434" s="93"/>
      <c r="BU434" s="93"/>
      <c r="BV434" s="93"/>
      <c r="BW434" s="93"/>
      <c r="BX434" s="93"/>
      <c r="BY434" s="93"/>
      <c r="BZ434" s="93"/>
      <c r="CA434" s="93"/>
      <c r="CB434" s="180"/>
      <c r="CC434" s="178"/>
      <c r="CD434" s="178"/>
      <c r="CE434" s="180"/>
      <c r="CF434" s="180"/>
      <c r="CG434" s="180"/>
      <c r="CH434" s="180"/>
      <c r="CI434" s="178"/>
      <c r="CJ434" s="178"/>
      <c r="CK434" s="180"/>
      <c r="CL434" s="180"/>
      <c r="CM434" s="180"/>
      <c r="CN434" s="116"/>
      <c r="CO434" s="218">
        <f t="shared" si="173"/>
        <v>0</v>
      </c>
      <c r="CP434" s="100">
        <f t="shared" si="174"/>
        <v>0</v>
      </c>
      <c r="CQ434" s="218">
        <f t="shared" si="175"/>
        <v>0</v>
      </c>
    </row>
    <row r="435" spans="1:97" s="101" customFormat="1" ht="15.75" hidden="1" customHeight="1" thickBot="1" x14ac:dyDescent="0.3">
      <c r="AY435" s="93"/>
      <c r="AZ435" s="93"/>
      <c r="BA435" s="93"/>
      <c r="BB435" s="93"/>
      <c r="BC435" s="93"/>
      <c r="BD435" s="93"/>
      <c r="BE435" s="93"/>
      <c r="BF435" s="93"/>
      <c r="BG435" s="93"/>
      <c r="BH435" s="93"/>
      <c r="BI435" s="93">
        <v>11</v>
      </c>
      <c r="BJ435" s="93">
        <v>2.23</v>
      </c>
      <c r="BK435" s="93"/>
      <c r="BL435" s="93"/>
      <c r="BM435" s="93"/>
      <c r="BN435" s="93"/>
      <c r="BO435" s="93"/>
      <c r="BP435" s="93"/>
      <c r="BQ435" s="93"/>
      <c r="BR435" s="93"/>
      <c r="BS435" s="93"/>
      <c r="BT435" s="93"/>
      <c r="BU435" s="93"/>
      <c r="BV435" s="93"/>
      <c r="BW435" s="93"/>
      <c r="BX435" s="93"/>
      <c r="BY435" s="93"/>
      <c r="BZ435" s="93"/>
      <c r="CA435" s="93"/>
      <c r="CB435" s="180"/>
      <c r="CC435" s="178"/>
      <c r="CD435" s="178"/>
      <c r="CE435" s="180"/>
      <c r="CF435" s="180"/>
      <c r="CG435" s="180"/>
      <c r="CH435" s="180"/>
      <c r="CI435" s="178"/>
      <c r="CJ435" s="178"/>
      <c r="CK435" s="180"/>
      <c r="CL435" s="180"/>
      <c r="CM435" s="180"/>
      <c r="CN435" s="116"/>
      <c r="CO435" s="218">
        <f t="shared" si="173"/>
        <v>0</v>
      </c>
      <c r="CP435" s="100">
        <f t="shared" si="174"/>
        <v>0</v>
      </c>
      <c r="CQ435" s="218">
        <f t="shared" si="175"/>
        <v>0</v>
      </c>
    </row>
    <row r="436" spans="1:97" s="101" customFormat="1" ht="15.75" hidden="1" customHeight="1" thickBot="1" x14ac:dyDescent="0.3">
      <c r="AY436" s="93"/>
      <c r="AZ436" s="93"/>
      <c r="BA436" s="93"/>
      <c r="BB436" s="93"/>
      <c r="BC436" s="93"/>
      <c r="BD436" s="93"/>
      <c r="BE436" s="93"/>
      <c r="BF436" s="93"/>
      <c r="BG436" s="93"/>
      <c r="BH436" s="93"/>
      <c r="BI436" s="93">
        <v>12</v>
      </c>
      <c r="BJ436" s="93">
        <v>2.2000000000000002</v>
      </c>
      <c r="BK436" s="93"/>
      <c r="BL436" s="93"/>
      <c r="BM436" s="93"/>
      <c r="BN436" s="93"/>
      <c r="BO436" s="93"/>
      <c r="BP436" s="93"/>
      <c r="BQ436" s="93"/>
      <c r="BR436" s="93"/>
      <c r="BS436" s="93"/>
      <c r="BT436" s="93"/>
      <c r="BU436" s="93"/>
      <c r="BV436" s="93"/>
      <c r="BW436" s="93"/>
      <c r="BX436" s="93"/>
      <c r="BY436" s="93"/>
      <c r="BZ436" s="93"/>
      <c r="CA436" s="93"/>
      <c r="CB436" s="180"/>
      <c r="CC436" s="178"/>
      <c r="CD436" s="178"/>
      <c r="CE436" s="180"/>
      <c r="CF436" s="180"/>
      <c r="CG436" s="180"/>
      <c r="CH436" s="180"/>
      <c r="CI436" s="178"/>
      <c r="CJ436" s="178"/>
      <c r="CK436" s="180"/>
      <c r="CL436" s="180"/>
      <c r="CM436" s="180"/>
      <c r="CN436" s="116"/>
      <c r="CO436" s="218">
        <f t="shared" si="173"/>
        <v>0</v>
      </c>
      <c r="CP436" s="100">
        <f t="shared" si="174"/>
        <v>0</v>
      </c>
      <c r="CQ436" s="218">
        <f t="shared" si="175"/>
        <v>0</v>
      </c>
    </row>
    <row r="437" spans="1:97" s="101" customFormat="1" ht="15" hidden="1" customHeight="1" x14ac:dyDescent="0.25">
      <c r="AY437" s="93"/>
      <c r="AZ437" s="93"/>
      <c r="BA437" s="93"/>
      <c r="BB437" s="93"/>
      <c r="BC437" s="93"/>
      <c r="BD437" s="93"/>
      <c r="BE437" s="93"/>
      <c r="BF437" s="93"/>
      <c r="BG437" s="93"/>
      <c r="BH437" s="93"/>
      <c r="BI437" s="93"/>
      <c r="BJ437" s="93"/>
      <c r="BK437" s="93"/>
      <c r="BL437" s="93"/>
      <c r="BM437" s="93"/>
      <c r="BN437" s="93"/>
      <c r="BO437" s="93"/>
      <c r="BP437" s="93"/>
      <c r="BQ437" s="93"/>
      <c r="BR437" s="93"/>
      <c r="BS437" s="93"/>
      <c r="BT437" s="93"/>
      <c r="BU437" s="93"/>
      <c r="BV437" s="93"/>
      <c r="BW437" s="93"/>
      <c r="BX437" s="93"/>
      <c r="BY437" s="93"/>
      <c r="BZ437" s="93"/>
      <c r="CA437" s="93"/>
      <c r="CB437" s="180"/>
      <c r="CC437" s="178"/>
      <c r="CD437" s="178"/>
      <c r="CE437" s="180"/>
      <c r="CF437" s="180"/>
      <c r="CG437" s="180"/>
      <c r="CH437" s="180"/>
      <c r="CI437" s="178"/>
      <c r="CJ437" s="178"/>
      <c r="CK437" s="180"/>
      <c r="CL437" s="180"/>
      <c r="CM437" s="180"/>
      <c r="CN437" s="116"/>
      <c r="CO437" s="218">
        <f t="shared" si="173"/>
        <v>0</v>
      </c>
      <c r="CP437" s="100">
        <f t="shared" si="174"/>
        <v>0</v>
      </c>
      <c r="CQ437" s="218">
        <f t="shared" si="175"/>
        <v>0</v>
      </c>
      <c r="CR437" s="124"/>
      <c r="CS437" s="115"/>
    </row>
    <row r="438" spans="1:97" s="101" customFormat="1" ht="15" hidden="1" customHeight="1" x14ac:dyDescent="0.25">
      <c r="A438" s="99"/>
      <c r="V438" s="103"/>
      <c r="AA438" s="104"/>
      <c r="AB438" s="104"/>
      <c r="AD438" s="104"/>
      <c r="AE438" s="105"/>
      <c r="AH438" s="106"/>
      <c r="AI438" s="106"/>
      <c r="AK438" s="104"/>
      <c r="AR438" s="104"/>
      <c r="AV438" s="104"/>
      <c r="AX438" s="104"/>
      <c r="AY438" s="93"/>
      <c r="AZ438" s="93"/>
      <c r="BA438" s="93"/>
      <c r="BB438" s="93"/>
      <c r="BC438" s="93"/>
      <c r="BD438" s="93"/>
      <c r="BE438" s="93"/>
      <c r="BF438" s="93"/>
      <c r="BG438" s="93"/>
      <c r="BH438" s="93"/>
      <c r="BI438" s="93"/>
      <c r="BJ438" s="93"/>
      <c r="BK438" s="93"/>
      <c r="BL438" s="93"/>
      <c r="BM438" s="93"/>
      <c r="BN438" s="93"/>
      <c r="BO438" s="93"/>
      <c r="BP438" s="93"/>
      <c r="BQ438" s="93"/>
      <c r="BR438" s="93"/>
      <c r="BS438" s="93"/>
      <c r="BT438" s="93"/>
      <c r="BU438" s="93"/>
      <c r="BV438" s="93"/>
      <c r="BW438" s="93"/>
      <c r="BX438" s="93"/>
      <c r="BY438" s="93"/>
      <c r="BZ438" s="93"/>
      <c r="CA438" s="93"/>
      <c r="CB438" s="180"/>
      <c r="CC438" s="178"/>
      <c r="CD438" s="178"/>
      <c r="CE438" s="180"/>
      <c r="CF438" s="180"/>
      <c r="CG438" s="180"/>
      <c r="CH438" s="180"/>
      <c r="CI438" s="178"/>
      <c r="CJ438" s="178"/>
      <c r="CK438" s="180"/>
      <c r="CL438" s="180"/>
      <c r="CM438" s="180"/>
      <c r="CN438" s="116"/>
      <c r="CO438" s="218">
        <f t="shared" si="173"/>
        <v>0</v>
      </c>
      <c r="CP438" s="100">
        <f t="shared" si="174"/>
        <v>0</v>
      </c>
      <c r="CQ438" s="218">
        <f t="shared" si="175"/>
        <v>0</v>
      </c>
    </row>
    <row r="439" spans="1:97" s="101" customFormat="1" ht="15" hidden="1" customHeight="1" x14ac:dyDescent="0.25">
      <c r="A439" s="99"/>
      <c r="V439" s="103"/>
      <c r="AA439" s="104"/>
      <c r="AB439" s="104"/>
      <c r="AD439" s="104"/>
      <c r="AE439" s="105"/>
      <c r="AH439" s="106"/>
      <c r="AI439" s="106"/>
      <c r="AK439" s="104"/>
      <c r="AR439" s="104"/>
      <c r="AV439" s="104"/>
      <c r="AX439" s="104"/>
      <c r="AY439" s="93"/>
      <c r="AZ439" s="93"/>
      <c r="BA439" s="93"/>
      <c r="BB439" s="93"/>
      <c r="BC439" s="93"/>
      <c r="BD439" s="93"/>
      <c r="BE439" s="93"/>
      <c r="BF439" s="93"/>
      <c r="BG439" s="93"/>
      <c r="BH439" s="93"/>
      <c r="BI439" s="93"/>
      <c r="BJ439" s="93"/>
      <c r="BK439" s="93"/>
      <c r="BL439" s="93"/>
      <c r="BM439" s="93"/>
      <c r="BN439" s="93"/>
      <c r="BO439" s="93"/>
      <c r="BP439" s="93"/>
      <c r="BQ439" s="93"/>
      <c r="BR439" s="93"/>
      <c r="BS439" s="93"/>
      <c r="BT439" s="93"/>
      <c r="BU439" s="93"/>
      <c r="BV439" s="93"/>
      <c r="BW439" s="93"/>
      <c r="BX439" s="93"/>
      <c r="BY439" s="93"/>
      <c r="BZ439" s="93"/>
      <c r="CA439" s="93"/>
      <c r="CB439" s="180"/>
      <c r="CC439" s="178"/>
      <c r="CD439" s="178"/>
      <c r="CE439" s="180"/>
      <c r="CF439" s="180"/>
      <c r="CG439" s="180"/>
      <c r="CH439" s="180"/>
      <c r="CI439" s="178"/>
      <c r="CJ439" s="178"/>
      <c r="CK439" s="180"/>
      <c r="CL439" s="180"/>
      <c r="CM439" s="180"/>
      <c r="CN439" s="116"/>
      <c r="CO439" s="218">
        <f t="shared" si="173"/>
        <v>0</v>
      </c>
      <c r="CP439" s="100">
        <f t="shared" si="174"/>
        <v>0</v>
      </c>
      <c r="CQ439" s="218">
        <f t="shared" si="175"/>
        <v>0</v>
      </c>
    </row>
    <row r="440" spans="1:97" s="101" customFormat="1" ht="15.75" hidden="1" customHeight="1" thickBot="1" x14ac:dyDescent="0.3">
      <c r="A440" s="99"/>
      <c r="V440" s="103"/>
      <c r="AA440" s="104"/>
      <c r="AB440" s="104"/>
      <c r="AD440" s="104"/>
      <c r="AE440" s="105"/>
      <c r="AH440" s="106"/>
      <c r="AI440" s="106"/>
      <c r="AK440" s="104"/>
      <c r="AR440" s="104"/>
      <c r="AV440" s="104"/>
      <c r="AX440" s="104"/>
      <c r="AY440" s="93"/>
      <c r="AZ440" s="93"/>
      <c r="BA440" s="93"/>
      <c r="BB440" s="93"/>
      <c r="BC440" s="93"/>
      <c r="BD440" s="93"/>
      <c r="BE440" s="93"/>
      <c r="BF440" s="93"/>
      <c r="BG440" s="93"/>
      <c r="BH440" s="93"/>
      <c r="BI440" s="93"/>
      <c r="BJ440" s="93" t="s">
        <v>309</v>
      </c>
      <c r="BK440" s="93" t="s">
        <v>310</v>
      </c>
      <c r="BL440" s="93" t="s">
        <v>567</v>
      </c>
      <c r="BM440" s="93"/>
      <c r="BN440" s="93"/>
      <c r="BO440" s="93"/>
      <c r="BP440" s="93"/>
      <c r="BQ440" s="93"/>
      <c r="BR440" s="93"/>
      <c r="BS440" s="93"/>
      <c r="BT440" s="93"/>
      <c r="BU440" s="93"/>
      <c r="BV440" s="93"/>
      <c r="BW440" s="93"/>
      <c r="BX440" s="93"/>
      <c r="BY440" s="93"/>
      <c r="BZ440" s="93"/>
      <c r="CA440" s="93"/>
      <c r="CB440" s="180"/>
      <c r="CC440" s="178"/>
      <c r="CD440" s="178"/>
      <c r="CE440" s="180"/>
      <c r="CF440" s="180"/>
      <c r="CG440" s="180"/>
      <c r="CH440" s="180"/>
      <c r="CI440" s="178"/>
      <c r="CJ440" s="178"/>
      <c r="CK440" s="180"/>
      <c r="CL440" s="180"/>
      <c r="CM440" s="180"/>
      <c r="CN440" s="116"/>
      <c r="CO440" s="218">
        <f t="shared" si="173"/>
        <v>0</v>
      </c>
      <c r="CP440" s="100">
        <f t="shared" si="174"/>
        <v>0</v>
      </c>
      <c r="CQ440" s="218">
        <f t="shared" si="175"/>
        <v>0</v>
      </c>
    </row>
    <row r="441" spans="1:97" s="101" customFormat="1" ht="25.5" hidden="1" customHeight="1" x14ac:dyDescent="0.25">
      <c r="A441" s="99"/>
      <c r="V441" s="103"/>
      <c r="AA441" s="104"/>
      <c r="AB441" s="104"/>
      <c r="AD441" s="104"/>
      <c r="AE441" s="105"/>
      <c r="AH441" s="106"/>
      <c r="AI441" s="106"/>
      <c r="AK441" s="104"/>
      <c r="AR441" s="104"/>
      <c r="AV441" s="104"/>
      <c r="AX441" s="104"/>
      <c r="AY441" s="93"/>
      <c r="AZ441" s="93"/>
      <c r="BA441" s="93"/>
      <c r="BB441" s="93"/>
      <c r="BC441" s="93"/>
      <c r="BD441" s="93"/>
      <c r="BE441" s="93"/>
      <c r="BF441" s="93"/>
      <c r="BG441" s="93"/>
      <c r="BH441" s="93"/>
      <c r="BI441" s="93" t="s">
        <v>307</v>
      </c>
      <c r="BJ441" s="93" t="s">
        <v>308</v>
      </c>
      <c r="BK441" s="93" t="s">
        <v>308</v>
      </c>
      <c r="BL441" s="93" t="s">
        <v>308</v>
      </c>
      <c r="BM441" s="93"/>
      <c r="BN441" s="93"/>
      <c r="BO441" s="93"/>
      <c r="BP441" s="93"/>
      <c r="BQ441" s="93"/>
      <c r="BR441" s="93"/>
      <c r="BS441" s="93"/>
      <c r="BT441" s="93"/>
      <c r="BU441" s="93"/>
      <c r="BV441" s="93"/>
      <c r="BW441" s="93"/>
      <c r="BX441" s="93"/>
      <c r="BY441" s="93"/>
      <c r="BZ441" s="93"/>
      <c r="CA441" s="93"/>
      <c r="CB441" s="180"/>
      <c r="CC441" s="178"/>
      <c r="CD441" s="178"/>
      <c r="CE441" s="180"/>
      <c r="CF441" s="180"/>
      <c r="CG441" s="180"/>
      <c r="CH441" s="180"/>
      <c r="CI441" s="178"/>
      <c r="CJ441" s="178"/>
      <c r="CK441" s="180"/>
      <c r="CL441" s="180"/>
      <c r="CM441" s="180"/>
      <c r="CN441" s="116"/>
      <c r="CO441" s="218">
        <f t="shared" si="173"/>
        <v>0</v>
      </c>
      <c r="CP441" s="100">
        <f t="shared" si="174"/>
        <v>0</v>
      </c>
      <c r="CQ441" s="218">
        <f t="shared" si="175"/>
        <v>0</v>
      </c>
    </row>
    <row r="442" spans="1:97" s="101" customFormat="1" ht="15.75" hidden="1" customHeight="1" thickBot="1" x14ac:dyDescent="0.3">
      <c r="A442" s="99"/>
      <c r="V442" s="103"/>
      <c r="AA442" s="104"/>
      <c r="AB442" s="104"/>
      <c r="AD442" s="104"/>
      <c r="AE442" s="105"/>
      <c r="AH442" s="106"/>
      <c r="AI442" s="106"/>
      <c r="AK442" s="104"/>
      <c r="AR442" s="104"/>
      <c r="AV442" s="104"/>
      <c r="AX442" s="104"/>
      <c r="AY442" s="93"/>
      <c r="AZ442" s="93"/>
      <c r="BA442" s="93"/>
      <c r="BB442" s="93"/>
      <c r="BC442" s="93"/>
      <c r="BD442" s="93"/>
      <c r="BE442" s="93"/>
      <c r="BF442" s="93"/>
      <c r="BG442" s="93"/>
      <c r="BH442" s="93"/>
      <c r="BI442" s="93" t="s">
        <v>170</v>
      </c>
      <c r="BJ442" s="93">
        <v>1</v>
      </c>
      <c r="BK442" s="93">
        <v>1</v>
      </c>
      <c r="BL442" s="93">
        <v>1</v>
      </c>
      <c r="BM442" s="93"/>
      <c r="BN442" s="93"/>
      <c r="BO442" s="93"/>
      <c r="BP442" s="93"/>
      <c r="BQ442" s="93"/>
      <c r="BR442" s="93"/>
      <c r="BS442" s="93"/>
      <c r="BT442" s="93"/>
      <c r="BU442" s="93"/>
      <c r="BV442" s="93"/>
      <c r="BW442" s="93"/>
      <c r="BX442" s="93"/>
      <c r="BY442" s="93"/>
      <c r="BZ442" s="93"/>
      <c r="CA442" s="93"/>
      <c r="CB442" s="180"/>
      <c r="CC442" s="178"/>
      <c r="CD442" s="178"/>
      <c r="CE442" s="180"/>
      <c r="CF442" s="180"/>
      <c r="CG442" s="180"/>
      <c r="CH442" s="180"/>
      <c r="CI442" s="178"/>
      <c r="CJ442" s="178"/>
      <c r="CK442" s="180"/>
      <c r="CL442" s="180"/>
      <c r="CM442" s="180"/>
      <c r="CN442" s="116"/>
      <c r="CO442" s="218">
        <f t="shared" si="173"/>
        <v>0</v>
      </c>
      <c r="CP442" s="100">
        <f t="shared" si="174"/>
        <v>0</v>
      </c>
      <c r="CQ442" s="218">
        <f t="shared" si="175"/>
        <v>0</v>
      </c>
    </row>
    <row r="443" spans="1:97" s="101" customFormat="1" ht="15.75" hidden="1" customHeight="1" thickBot="1" x14ac:dyDescent="0.3">
      <c r="A443" s="99"/>
      <c r="V443" s="103"/>
      <c r="AA443" s="104"/>
      <c r="AB443" s="104"/>
      <c r="AD443" s="104"/>
      <c r="AE443" s="105"/>
      <c r="AH443" s="106"/>
      <c r="AI443" s="106"/>
      <c r="AK443" s="104"/>
      <c r="AR443" s="104"/>
      <c r="AV443" s="104"/>
      <c r="AX443" s="104"/>
      <c r="AY443" s="93"/>
      <c r="AZ443" s="93"/>
      <c r="BA443" s="93"/>
      <c r="BB443" s="93"/>
      <c r="BC443" s="93"/>
      <c r="BD443" s="93"/>
      <c r="BE443" s="93"/>
      <c r="BF443" s="93"/>
      <c r="BG443" s="93"/>
      <c r="BH443" s="93"/>
      <c r="BI443" s="93" t="s">
        <v>106</v>
      </c>
      <c r="BJ443" s="93">
        <v>28</v>
      </c>
      <c r="BK443" s="93">
        <v>25</v>
      </c>
      <c r="BL443" s="93">
        <v>21</v>
      </c>
      <c r="BM443" s="93"/>
      <c r="BN443" s="93"/>
      <c r="BO443" s="93"/>
      <c r="BP443" s="93"/>
      <c r="BQ443" s="93"/>
      <c r="BR443" s="93"/>
      <c r="BS443" s="93"/>
      <c r="BT443" s="93"/>
      <c r="BU443" s="93"/>
      <c r="BV443" s="93"/>
      <c r="BW443" s="93"/>
      <c r="BX443" s="93"/>
      <c r="BY443" s="93"/>
      <c r="BZ443" s="93"/>
      <c r="CA443" s="93"/>
      <c r="CB443" s="180"/>
      <c r="CC443" s="178"/>
      <c r="CD443" s="178"/>
      <c r="CE443" s="180"/>
      <c r="CF443" s="180"/>
      <c r="CG443" s="180"/>
      <c r="CH443" s="180"/>
      <c r="CI443" s="178"/>
      <c r="CJ443" s="178"/>
      <c r="CK443" s="180"/>
      <c r="CL443" s="180"/>
      <c r="CM443" s="180"/>
      <c r="CN443" s="116"/>
      <c r="CO443" s="218">
        <f t="shared" si="173"/>
        <v>0</v>
      </c>
      <c r="CP443" s="100">
        <f t="shared" si="174"/>
        <v>0</v>
      </c>
      <c r="CQ443" s="218">
        <f t="shared" si="175"/>
        <v>0</v>
      </c>
    </row>
    <row r="444" spans="1:97" s="101" customFormat="1" ht="15.75" hidden="1" customHeight="1" thickBot="1" x14ac:dyDescent="0.3">
      <c r="A444" s="99"/>
      <c r="V444" s="103"/>
      <c r="AA444" s="104"/>
      <c r="AB444" s="104"/>
      <c r="AD444" s="104"/>
      <c r="AE444" s="105"/>
      <c r="AH444" s="106"/>
      <c r="AI444" s="106"/>
      <c r="AK444" s="104"/>
      <c r="AR444" s="104"/>
      <c r="AV444" s="104"/>
      <c r="AX444" s="104"/>
      <c r="AY444" s="93"/>
      <c r="AZ444" s="93"/>
      <c r="BA444" s="93"/>
      <c r="BB444" s="93"/>
      <c r="BC444" s="93"/>
      <c r="BD444" s="93"/>
      <c r="BE444" s="93"/>
      <c r="BF444" s="93"/>
      <c r="BG444" s="93"/>
      <c r="BH444" s="93"/>
      <c r="BI444" s="93" t="s">
        <v>110</v>
      </c>
      <c r="BJ444" s="93">
        <v>265</v>
      </c>
      <c r="BK444" s="93">
        <v>298</v>
      </c>
      <c r="BL444" s="93">
        <v>310</v>
      </c>
      <c r="BM444" s="93"/>
      <c r="BN444" s="93"/>
      <c r="BO444" s="93"/>
      <c r="BP444" s="93"/>
      <c r="BQ444" s="93"/>
      <c r="BR444" s="93"/>
      <c r="BS444" s="93"/>
      <c r="BT444" s="93"/>
      <c r="BU444" s="93"/>
      <c r="BV444" s="93"/>
      <c r="BW444" s="93"/>
      <c r="BX444" s="93"/>
      <c r="BY444" s="93"/>
      <c r="BZ444" s="93"/>
      <c r="CA444" s="93"/>
      <c r="CB444" s="180"/>
      <c r="CC444" s="178"/>
      <c r="CD444" s="178"/>
      <c r="CE444" s="180"/>
      <c r="CF444" s="180"/>
      <c r="CG444" s="180"/>
      <c r="CH444" s="180"/>
      <c r="CI444" s="178"/>
      <c r="CJ444" s="178"/>
      <c r="CK444" s="180"/>
      <c r="CL444" s="180"/>
      <c r="CM444" s="180"/>
      <c r="CN444" s="116"/>
      <c r="CO444" s="218">
        <f t="shared" si="173"/>
        <v>0</v>
      </c>
      <c r="CP444" s="100">
        <f t="shared" si="174"/>
        <v>0</v>
      </c>
      <c r="CQ444" s="218">
        <f t="shared" si="175"/>
        <v>0</v>
      </c>
    </row>
    <row r="445" spans="1:97" s="101" customFormat="1" ht="15.75" hidden="1" customHeight="1" thickBot="1" x14ac:dyDescent="0.3">
      <c r="A445" s="99"/>
      <c r="V445" s="103"/>
      <c r="AA445" s="104"/>
      <c r="AB445" s="104"/>
      <c r="AD445" s="104"/>
      <c r="AE445" s="105"/>
      <c r="AH445" s="106"/>
      <c r="AI445" s="106"/>
      <c r="AK445" s="104"/>
      <c r="AR445" s="104"/>
      <c r="AV445" s="104"/>
      <c r="AX445" s="104"/>
      <c r="AY445" s="93"/>
      <c r="AZ445" s="93"/>
      <c r="BA445" s="93"/>
      <c r="BB445" s="93"/>
      <c r="BC445" s="93"/>
      <c r="BD445" s="93"/>
      <c r="BE445" s="93"/>
      <c r="BF445" s="93"/>
      <c r="BG445" s="93"/>
      <c r="BH445" s="93"/>
      <c r="BI445" s="93" t="s">
        <v>8</v>
      </c>
      <c r="BJ445" s="93">
        <v>23500</v>
      </c>
      <c r="BK445" s="93">
        <v>22800</v>
      </c>
      <c r="BL445" s="93"/>
      <c r="BM445" s="93"/>
      <c r="BN445" s="93"/>
      <c r="BO445" s="93"/>
      <c r="BP445" s="93"/>
      <c r="BQ445" s="93"/>
      <c r="BR445" s="93"/>
      <c r="BS445" s="93"/>
      <c r="BT445" s="93"/>
      <c r="BU445" s="93"/>
      <c r="BV445" s="93"/>
      <c r="BW445" s="93"/>
      <c r="BX445" s="93"/>
      <c r="BY445" s="93"/>
      <c r="BZ445" s="93"/>
      <c r="CA445" s="93"/>
      <c r="CB445" s="180"/>
      <c r="CC445" s="178"/>
      <c r="CD445" s="178"/>
      <c r="CE445" s="180"/>
      <c r="CF445" s="180"/>
      <c r="CG445" s="180"/>
      <c r="CH445" s="180"/>
      <c r="CI445" s="178"/>
      <c r="CJ445" s="178"/>
      <c r="CK445" s="180"/>
      <c r="CL445" s="180"/>
      <c r="CM445" s="180"/>
      <c r="CN445" s="116"/>
      <c r="CO445" s="218">
        <f t="shared" si="173"/>
        <v>0</v>
      </c>
      <c r="CP445" s="100">
        <f t="shared" si="174"/>
        <v>0</v>
      </c>
      <c r="CQ445" s="218">
        <f t="shared" si="175"/>
        <v>0</v>
      </c>
    </row>
    <row r="446" spans="1:97" s="101" customFormat="1" ht="15.75" hidden="1" customHeight="1" thickBot="1" x14ac:dyDescent="0.3">
      <c r="A446" s="99"/>
      <c r="V446" s="103"/>
      <c r="AA446" s="104"/>
      <c r="AB446" s="104"/>
      <c r="AD446" s="104"/>
      <c r="AE446" s="105"/>
      <c r="AH446" s="106"/>
      <c r="AI446" s="106"/>
      <c r="AK446" s="104"/>
      <c r="AR446" s="104"/>
      <c r="AV446" s="104"/>
      <c r="AX446" s="104"/>
      <c r="AY446" s="93"/>
      <c r="AZ446" s="93"/>
      <c r="BA446" s="93"/>
      <c r="BB446" s="93"/>
      <c r="BC446" s="93"/>
      <c r="BD446" s="93"/>
      <c r="BE446" s="93"/>
      <c r="BF446" s="93"/>
      <c r="BG446" s="93"/>
      <c r="BH446" s="93"/>
      <c r="BI446" s="93" t="s">
        <v>313</v>
      </c>
      <c r="BJ446" s="93">
        <v>16100</v>
      </c>
      <c r="BK446" s="93">
        <v>17200</v>
      </c>
      <c r="BL446" s="93" t="s">
        <v>314</v>
      </c>
      <c r="BM446" s="93"/>
      <c r="BN446" s="93"/>
      <c r="BO446" s="93"/>
      <c r="BP446" s="93"/>
      <c r="BQ446" s="93"/>
      <c r="BR446" s="93"/>
      <c r="BS446" s="93"/>
      <c r="BT446" s="93"/>
      <c r="BU446" s="93"/>
      <c r="BV446" s="93"/>
      <c r="BW446" s="93"/>
      <c r="BX446" s="93"/>
      <c r="BY446" s="93"/>
      <c r="BZ446" s="93"/>
      <c r="CA446" s="93"/>
      <c r="CB446" s="180"/>
      <c r="CC446" s="178"/>
      <c r="CD446" s="178"/>
      <c r="CE446" s="180"/>
      <c r="CF446" s="180"/>
      <c r="CG446" s="180"/>
      <c r="CH446" s="180"/>
      <c r="CI446" s="178"/>
      <c r="CJ446" s="178"/>
      <c r="CK446" s="180"/>
      <c r="CL446" s="180"/>
      <c r="CM446" s="180"/>
      <c r="CN446" s="116"/>
      <c r="CO446" s="218">
        <f t="shared" si="173"/>
        <v>0</v>
      </c>
      <c r="CP446" s="100">
        <f t="shared" si="174"/>
        <v>0</v>
      </c>
      <c r="CQ446" s="218">
        <f t="shared" si="175"/>
        <v>0</v>
      </c>
    </row>
    <row r="447" spans="1:97" s="101" customFormat="1" ht="15.75" hidden="1" customHeight="1" thickBot="1" x14ac:dyDescent="0.3">
      <c r="A447" s="99"/>
      <c r="V447" s="103"/>
      <c r="AA447" s="104"/>
      <c r="AB447" s="104"/>
      <c r="AD447" s="104"/>
      <c r="AE447" s="105"/>
      <c r="AH447" s="106"/>
      <c r="AI447" s="106"/>
      <c r="AK447" s="104"/>
      <c r="AR447" s="104"/>
      <c r="AV447" s="104"/>
      <c r="AX447" s="104"/>
      <c r="AY447" s="93"/>
      <c r="AZ447" s="93"/>
      <c r="BA447" s="93"/>
      <c r="BB447" s="93"/>
      <c r="BC447" s="93"/>
      <c r="BD447" s="93"/>
      <c r="BE447" s="93"/>
      <c r="BF447" s="93"/>
      <c r="BG447" s="93"/>
      <c r="BH447" s="93"/>
      <c r="BI447" s="93"/>
      <c r="BJ447" s="93"/>
      <c r="BK447" s="93"/>
      <c r="BL447" s="93"/>
      <c r="BM447" s="93"/>
      <c r="BN447" s="93"/>
      <c r="BO447" s="93"/>
      <c r="BP447" s="93"/>
      <c r="BQ447" s="93"/>
      <c r="BR447" s="93"/>
      <c r="BS447" s="93"/>
      <c r="BT447" s="93"/>
      <c r="BU447" s="93"/>
      <c r="BV447" s="93"/>
      <c r="BW447" s="93"/>
      <c r="BX447" s="93"/>
      <c r="BY447" s="93"/>
      <c r="BZ447" s="93"/>
      <c r="CA447" s="93"/>
      <c r="CB447" s="180"/>
      <c r="CC447" s="178"/>
      <c r="CD447" s="178"/>
      <c r="CE447" s="180"/>
      <c r="CF447" s="180"/>
      <c r="CG447" s="180"/>
      <c r="CH447" s="180"/>
      <c r="CI447" s="178"/>
      <c r="CJ447" s="178"/>
      <c r="CK447" s="180"/>
      <c r="CL447" s="180"/>
      <c r="CM447" s="180"/>
      <c r="CN447" s="116"/>
      <c r="CO447" s="218">
        <f t="shared" si="173"/>
        <v>0</v>
      </c>
      <c r="CP447" s="100">
        <f t="shared" si="174"/>
        <v>0</v>
      </c>
      <c r="CQ447" s="218">
        <f t="shared" si="175"/>
        <v>0</v>
      </c>
    </row>
    <row r="448" spans="1:97" s="101" customFormat="1" ht="15.75" hidden="1" customHeight="1" thickBot="1" x14ac:dyDescent="0.3">
      <c r="A448" s="99"/>
      <c r="V448" s="103"/>
      <c r="AA448" s="104"/>
      <c r="AB448" s="104"/>
      <c r="AD448" s="104"/>
      <c r="AE448" s="105"/>
      <c r="AH448" s="106"/>
      <c r="AI448" s="106"/>
      <c r="AK448" s="104"/>
      <c r="AR448" s="104"/>
      <c r="AV448" s="104"/>
      <c r="AX448" s="104"/>
      <c r="AY448" s="93"/>
      <c r="AZ448" s="93"/>
      <c r="BA448" s="93"/>
      <c r="BB448" s="93"/>
      <c r="BC448" s="93"/>
      <c r="BD448" s="93"/>
      <c r="BE448" s="93"/>
      <c r="BF448" s="93"/>
      <c r="BG448" s="93"/>
      <c r="BH448" s="93"/>
      <c r="BI448" s="93"/>
      <c r="BJ448" s="93"/>
      <c r="BK448" s="93"/>
      <c r="BL448" s="93"/>
      <c r="BM448" s="93"/>
      <c r="BN448" s="93"/>
      <c r="BO448" s="93"/>
      <c r="BP448" s="93"/>
      <c r="BQ448" s="93"/>
      <c r="BR448" s="93"/>
      <c r="BS448" s="93"/>
      <c r="BT448" s="93"/>
      <c r="BU448" s="93"/>
      <c r="BV448" s="93"/>
      <c r="BW448" s="93"/>
      <c r="BX448" s="93"/>
      <c r="BY448" s="93"/>
      <c r="BZ448" s="93"/>
      <c r="CA448" s="93"/>
      <c r="CB448" s="180"/>
      <c r="CC448" s="178"/>
      <c r="CD448" s="178"/>
      <c r="CE448" s="180"/>
      <c r="CF448" s="180"/>
      <c r="CG448" s="180"/>
      <c r="CH448" s="180"/>
      <c r="CI448" s="178"/>
      <c r="CJ448" s="178"/>
      <c r="CK448" s="180"/>
      <c r="CL448" s="180"/>
      <c r="CM448" s="180"/>
      <c r="CN448" s="116"/>
      <c r="CO448" s="218">
        <f t="shared" si="173"/>
        <v>0</v>
      </c>
      <c r="CP448" s="100">
        <f t="shared" si="174"/>
        <v>0</v>
      </c>
      <c r="CQ448" s="218">
        <f t="shared" si="175"/>
        <v>0</v>
      </c>
    </row>
    <row r="449" spans="1:137" s="101" customFormat="1" ht="15.75" hidden="1" customHeight="1" thickBot="1" x14ac:dyDescent="0.3">
      <c r="A449" s="99"/>
      <c r="V449" s="103"/>
      <c r="AA449" s="104"/>
      <c r="AB449" s="104"/>
      <c r="AD449" s="104"/>
      <c r="AE449" s="105"/>
      <c r="AH449" s="106"/>
      <c r="AI449" s="106"/>
      <c r="AK449" s="104"/>
      <c r="AR449" s="104"/>
      <c r="AV449" s="104"/>
      <c r="AX449" s="104"/>
      <c r="AY449" s="93"/>
      <c r="AZ449" s="93"/>
      <c r="BA449" s="93"/>
      <c r="BB449" s="93"/>
      <c r="BC449" s="93"/>
      <c r="BD449" s="93"/>
      <c r="BE449" s="93"/>
      <c r="BF449" s="93"/>
      <c r="BG449" s="93"/>
      <c r="BH449" s="93"/>
      <c r="BI449" s="93"/>
      <c r="BJ449" s="93"/>
      <c r="BK449" s="93"/>
      <c r="BL449" s="93"/>
      <c r="BM449" s="93"/>
      <c r="BN449" s="93"/>
      <c r="BO449" s="93"/>
      <c r="BP449" s="93"/>
      <c r="BQ449" s="93"/>
      <c r="BR449" s="93"/>
      <c r="BS449" s="93"/>
      <c r="BT449" s="93"/>
      <c r="BU449" s="93"/>
      <c r="BV449" s="93"/>
      <c r="BW449" s="93"/>
      <c r="BX449" s="93"/>
      <c r="BY449" s="93"/>
      <c r="BZ449" s="93"/>
      <c r="CA449" s="93"/>
      <c r="CB449" s="180"/>
      <c r="CC449" s="178"/>
      <c r="CD449" s="178"/>
      <c r="CE449" s="180"/>
      <c r="CF449" s="180"/>
      <c r="CG449" s="180"/>
      <c r="CH449" s="180"/>
      <c r="CI449" s="178"/>
      <c r="CJ449" s="178"/>
      <c r="CK449" s="180"/>
      <c r="CL449" s="180"/>
      <c r="CM449" s="180"/>
      <c r="CN449" s="116"/>
      <c r="CO449" s="218">
        <f t="shared" si="173"/>
        <v>0</v>
      </c>
      <c r="CP449" s="100">
        <f t="shared" si="174"/>
        <v>0</v>
      </c>
      <c r="CQ449" s="218">
        <f t="shared" si="175"/>
        <v>0</v>
      </c>
    </row>
    <row r="450" spans="1:137" s="101" customFormat="1" ht="15" hidden="1" customHeight="1" x14ac:dyDescent="0.25">
      <c r="A450" s="99"/>
      <c r="V450" s="103"/>
      <c r="AA450" s="104"/>
      <c r="AB450" s="104"/>
      <c r="AD450" s="104"/>
      <c r="AE450" s="105"/>
      <c r="AH450" s="106"/>
      <c r="AI450" s="106"/>
      <c r="AK450" s="104"/>
      <c r="AR450" s="104"/>
      <c r="AV450" s="104"/>
      <c r="AX450" s="104"/>
      <c r="AY450" s="93"/>
      <c r="AZ450" s="93"/>
      <c r="BA450" s="93"/>
      <c r="BB450" s="93"/>
      <c r="BC450" s="93"/>
      <c r="BD450" s="93"/>
      <c r="BE450" s="93"/>
      <c r="BF450" s="93"/>
      <c r="BG450" s="93"/>
      <c r="BH450" s="93"/>
      <c r="BI450" s="93"/>
      <c r="BJ450" s="93"/>
      <c r="BK450" s="93"/>
      <c r="BL450" s="93"/>
      <c r="BM450" s="93"/>
      <c r="BN450" s="93"/>
      <c r="BO450" s="93"/>
      <c r="BP450" s="93"/>
      <c r="BQ450" s="93"/>
      <c r="BR450" s="93"/>
      <c r="BS450" s="93"/>
      <c r="BT450" s="93"/>
      <c r="BU450" s="93"/>
      <c r="BV450" s="93"/>
      <c r="BW450" s="93"/>
      <c r="BX450" s="93"/>
      <c r="BY450" s="93"/>
      <c r="BZ450" s="93"/>
      <c r="CA450" s="93"/>
      <c r="CB450" s="180"/>
      <c r="CC450" s="178"/>
      <c r="CD450" s="178"/>
      <c r="CE450" s="180"/>
      <c r="CF450" s="180"/>
      <c r="CG450" s="180"/>
      <c r="CH450" s="180"/>
      <c r="CI450" s="178"/>
      <c r="CJ450" s="178"/>
      <c r="CK450" s="180"/>
      <c r="CL450" s="180"/>
      <c r="CM450" s="180"/>
      <c r="CN450" s="116"/>
      <c r="CO450" s="218">
        <f t="shared" si="173"/>
        <v>0</v>
      </c>
      <c r="CP450" s="100">
        <f t="shared" si="174"/>
        <v>0</v>
      </c>
      <c r="CQ450" s="218">
        <f t="shared" si="175"/>
        <v>0</v>
      </c>
    </row>
    <row r="451" spans="1:137" s="101" customFormat="1" ht="15" hidden="1" customHeight="1" x14ac:dyDescent="0.25">
      <c r="A451" s="99"/>
      <c r="V451" s="103"/>
      <c r="AA451" s="104"/>
      <c r="AB451" s="104"/>
      <c r="AD451" s="104"/>
      <c r="AE451" s="105"/>
      <c r="AH451" s="106"/>
      <c r="AI451" s="106"/>
      <c r="AK451" s="104"/>
      <c r="AR451" s="104"/>
      <c r="AV451" s="104"/>
      <c r="AX451" s="104"/>
      <c r="AY451" s="93"/>
      <c r="AZ451" s="93"/>
      <c r="BA451" s="93"/>
      <c r="BB451" s="93"/>
      <c r="BC451" s="93"/>
      <c r="BD451" s="93"/>
      <c r="BE451" s="93"/>
      <c r="BF451" s="93"/>
      <c r="BG451" s="93"/>
      <c r="BH451" s="93"/>
      <c r="BI451" s="93"/>
      <c r="BJ451" s="93"/>
      <c r="BK451" s="93"/>
      <c r="BL451" s="93"/>
      <c r="BM451" s="93"/>
      <c r="BN451" s="93"/>
      <c r="BO451" s="93"/>
      <c r="BP451" s="93"/>
      <c r="BQ451" s="93"/>
      <c r="BR451" s="93"/>
      <c r="BS451" s="93"/>
      <c r="BT451" s="93"/>
      <c r="BU451" s="93"/>
      <c r="BV451" s="93"/>
      <c r="BW451" s="93"/>
      <c r="BX451" s="93"/>
      <c r="BY451" s="93"/>
      <c r="BZ451" s="93"/>
      <c r="CA451" s="93"/>
      <c r="CB451" s="180"/>
      <c r="CC451" s="178"/>
      <c r="CD451" s="178"/>
      <c r="CE451" s="180"/>
      <c r="CF451" s="180"/>
      <c r="CG451" s="180"/>
      <c r="CH451" s="180"/>
      <c r="CI451" s="178"/>
      <c r="CJ451" s="178"/>
      <c r="CK451" s="180"/>
      <c r="CL451" s="180"/>
      <c r="CM451" s="180"/>
      <c r="CN451" s="116"/>
      <c r="CO451" s="218">
        <f t="shared" si="173"/>
        <v>0</v>
      </c>
      <c r="CP451" s="100">
        <f t="shared" si="174"/>
        <v>0</v>
      </c>
      <c r="CQ451" s="218">
        <f t="shared" si="175"/>
        <v>0</v>
      </c>
    </row>
    <row r="452" spans="1:137" s="101" customFormat="1" ht="15" hidden="1" customHeight="1" x14ac:dyDescent="0.25">
      <c r="A452" s="99"/>
      <c r="V452" s="103"/>
      <c r="AA452" s="104"/>
      <c r="AB452" s="104"/>
      <c r="AD452" s="104"/>
      <c r="AE452" s="105"/>
      <c r="AH452" s="106"/>
      <c r="AI452" s="106"/>
      <c r="AK452" s="104"/>
      <c r="AR452" s="104"/>
      <c r="AV452" s="104"/>
      <c r="AX452" s="104"/>
      <c r="AY452" s="93"/>
      <c r="AZ452" s="93"/>
      <c r="BA452" s="93"/>
      <c r="BB452" s="93"/>
      <c r="BC452" s="93"/>
      <c r="BD452" s="93"/>
      <c r="BE452" s="93"/>
      <c r="BF452" s="93"/>
      <c r="BG452" s="93"/>
      <c r="BH452" s="93"/>
      <c r="BI452" s="93"/>
      <c r="BJ452" s="93"/>
      <c r="BK452" s="93"/>
      <c r="BL452" s="93"/>
      <c r="BM452" s="93"/>
      <c r="BN452" s="93"/>
      <c r="BO452" s="93"/>
      <c r="BP452" s="93"/>
      <c r="BQ452" s="93"/>
      <c r="BR452" s="93"/>
      <c r="BS452" s="93"/>
      <c r="BT452" s="93"/>
      <c r="BU452" s="93"/>
      <c r="BV452" s="93"/>
      <c r="BW452" s="93"/>
      <c r="BX452" s="93"/>
      <c r="BY452" s="93"/>
      <c r="BZ452" s="93"/>
      <c r="CA452" s="93"/>
      <c r="CB452" s="180"/>
      <c r="CC452" s="178"/>
      <c r="CD452" s="178"/>
      <c r="CE452" s="180"/>
      <c r="CF452" s="180"/>
      <c r="CG452" s="180"/>
      <c r="CH452" s="180"/>
      <c r="CI452" s="178"/>
      <c r="CJ452" s="178"/>
      <c r="CK452" s="180"/>
      <c r="CL452" s="180"/>
      <c r="CM452" s="180"/>
      <c r="CN452" s="116"/>
      <c r="CO452" s="218">
        <f t="shared" si="173"/>
        <v>0</v>
      </c>
      <c r="CP452" s="100">
        <f t="shared" si="174"/>
        <v>0</v>
      </c>
      <c r="CQ452" s="218">
        <f t="shared" si="175"/>
        <v>0</v>
      </c>
    </row>
    <row r="453" spans="1:137" s="101" customFormat="1" ht="15" hidden="1" customHeight="1" x14ac:dyDescent="0.25">
      <c r="A453" s="99"/>
      <c r="V453" s="103"/>
      <c r="AA453" s="104"/>
      <c r="AB453" s="104"/>
      <c r="AD453" s="104"/>
      <c r="AE453" s="105"/>
      <c r="AH453" s="106"/>
      <c r="AI453" s="106"/>
      <c r="AK453" s="104"/>
      <c r="AR453" s="104"/>
      <c r="AV453" s="104"/>
      <c r="AX453" s="104"/>
      <c r="AY453" s="93"/>
      <c r="AZ453" s="93"/>
      <c r="BA453" s="93"/>
      <c r="BB453" s="93"/>
      <c r="BC453" s="93"/>
      <c r="BD453" s="93"/>
      <c r="BE453" s="93"/>
      <c r="BF453" s="93"/>
      <c r="BG453" s="93"/>
      <c r="BH453" s="93"/>
      <c r="BI453" s="93"/>
      <c r="BJ453" s="93"/>
      <c r="BK453" s="93"/>
      <c r="BL453" s="93"/>
      <c r="BM453" s="93"/>
      <c r="BN453" s="93"/>
      <c r="BO453" s="93"/>
      <c r="BP453" s="93"/>
      <c r="BQ453" s="93"/>
      <c r="BR453" s="93"/>
      <c r="BS453" s="93"/>
      <c r="BT453" s="93"/>
      <c r="BU453" s="93"/>
      <c r="BV453" s="93"/>
      <c r="BW453" s="93"/>
      <c r="BX453" s="93"/>
      <c r="BY453" s="93"/>
      <c r="BZ453" s="93"/>
      <c r="CA453" s="93"/>
      <c r="CB453" s="180"/>
      <c r="CC453" s="178"/>
      <c r="CD453" s="178"/>
      <c r="CE453" s="180"/>
      <c r="CF453" s="180"/>
      <c r="CG453" s="180"/>
      <c r="CH453" s="180"/>
      <c r="CI453" s="178"/>
      <c r="CJ453" s="178"/>
      <c r="CK453" s="180"/>
      <c r="CL453" s="180"/>
      <c r="CM453" s="180"/>
      <c r="CN453" s="116"/>
      <c r="CO453" s="218">
        <f t="shared" si="173"/>
        <v>0</v>
      </c>
      <c r="CP453" s="100">
        <f t="shared" si="174"/>
        <v>0</v>
      </c>
      <c r="CQ453" s="218">
        <f t="shared" si="175"/>
        <v>0</v>
      </c>
    </row>
    <row r="454" spans="1:137" ht="15" hidden="1" customHeight="1" x14ac:dyDescent="0.25">
      <c r="AY454" s="93"/>
      <c r="AZ454" s="93"/>
      <c r="BA454" s="93"/>
      <c r="BB454" s="93"/>
      <c r="BC454" s="93"/>
      <c r="BD454" s="93"/>
      <c r="BE454" s="93"/>
      <c r="BF454" s="93"/>
      <c r="BG454" s="93"/>
      <c r="BH454" s="93"/>
      <c r="BI454" s="93" t="s">
        <v>232</v>
      </c>
      <c r="BJ454" s="93"/>
      <c r="BK454" s="93" t="s">
        <v>607</v>
      </c>
      <c r="BL454" s="93"/>
      <c r="BM454" s="93" t="s">
        <v>233</v>
      </c>
      <c r="BN454" s="93" t="s">
        <v>233</v>
      </c>
      <c r="BO454" s="93" t="s">
        <v>240</v>
      </c>
      <c r="BP454" s="93" t="s">
        <v>645</v>
      </c>
      <c r="BQ454" s="93"/>
      <c r="BR454" s="93"/>
      <c r="BS454" s="93"/>
      <c r="BT454" s="93"/>
      <c r="BU454" s="93"/>
      <c r="BV454" s="93"/>
      <c r="BW454" s="93"/>
      <c r="BX454" s="93"/>
      <c r="BY454" s="93"/>
      <c r="BZ454" s="93"/>
      <c r="CA454" s="93"/>
      <c r="CO454" s="218" t="str">
        <f t="shared" si="173"/>
        <v>Incertidumbre (+/- %)</v>
      </c>
      <c r="CP454" s="100" t="e">
        <f t="shared" si="174"/>
        <v>#VALUE!</v>
      </c>
      <c r="CQ454" s="218" t="str">
        <f t="shared" si="175"/>
        <v>Incertidumbre (+/- %)</v>
      </c>
      <c r="CR454" s="98"/>
      <c r="CS454" s="98"/>
      <c r="CT454" s="98"/>
      <c r="CU454" s="98"/>
      <c r="CV454" s="98"/>
      <c r="CW454" s="98"/>
      <c r="CX454" s="98"/>
      <c r="CY454" s="98"/>
      <c r="CZ454" s="98"/>
      <c r="DA454" s="98"/>
      <c r="DB454" s="98"/>
      <c r="DC454" s="98"/>
      <c r="DD454" s="98"/>
      <c r="DE454" s="98"/>
      <c r="DF454" s="98"/>
      <c r="DG454" s="98"/>
      <c r="DH454" s="98"/>
      <c r="DI454" s="98"/>
      <c r="DJ454" s="98"/>
      <c r="DK454" s="98"/>
      <c r="DL454" s="98"/>
      <c r="DM454" s="98"/>
      <c r="DN454" s="98"/>
      <c r="DO454" s="98"/>
      <c r="DP454" s="98"/>
      <c r="DQ454" s="98"/>
      <c r="DR454" s="98"/>
      <c r="DS454" s="98"/>
      <c r="DT454" s="98"/>
      <c r="DU454" s="98"/>
      <c r="DV454" s="98"/>
      <c r="DW454" s="98"/>
      <c r="DX454" s="98"/>
      <c r="DY454" s="98"/>
      <c r="DZ454" s="98"/>
      <c r="EA454" s="98"/>
      <c r="EB454" s="98"/>
      <c r="EC454" s="98"/>
      <c r="ED454" s="98"/>
      <c r="EE454" s="98"/>
      <c r="EF454" s="98"/>
      <c r="EG454" s="98"/>
    </row>
    <row r="455" spans="1:137" ht="15" hidden="1" customHeight="1" x14ac:dyDescent="0.25">
      <c r="AY455" s="93"/>
      <c r="AZ455" s="93"/>
      <c r="BA455" s="93"/>
      <c r="BB455" s="93"/>
      <c r="BC455" s="93"/>
      <c r="BD455" s="93"/>
      <c r="BE455" s="93"/>
      <c r="BF455" s="93"/>
      <c r="BG455" s="93"/>
      <c r="BH455" s="93"/>
      <c r="BI455" s="93"/>
      <c r="BJ455" s="93" t="s">
        <v>253</v>
      </c>
      <c r="BK455" s="93"/>
      <c r="BL455" s="93" t="s">
        <v>251</v>
      </c>
      <c r="BM455" s="93"/>
      <c r="BN455" s="93"/>
      <c r="BO455" s="93"/>
      <c r="BP455" s="93"/>
      <c r="BQ455" s="93"/>
      <c r="BR455" s="93"/>
      <c r="BS455" s="93"/>
      <c r="BT455" s="93"/>
      <c r="BU455" s="93"/>
      <c r="BV455" s="93"/>
      <c r="BW455" s="93"/>
      <c r="BX455" s="93"/>
      <c r="BY455" s="93"/>
      <c r="BZ455" s="93"/>
      <c r="CA455" s="93"/>
      <c r="CO455" s="218">
        <f t="shared" si="173"/>
        <v>0</v>
      </c>
      <c r="CP455" s="100">
        <f t="shared" si="174"/>
        <v>0</v>
      </c>
      <c r="CQ455" s="218">
        <f t="shared" si="175"/>
        <v>0</v>
      </c>
      <c r="CR455" s="98"/>
      <c r="CS455" s="98"/>
      <c r="CT455" s="98"/>
      <c r="CU455" s="98"/>
      <c r="CV455" s="98"/>
      <c r="CW455" s="98"/>
      <c r="CX455" s="98"/>
      <c r="CY455" s="98"/>
      <c r="CZ455" s="98"/>
      <c r="DA455" s="98"/>
      <c r="DB455" s="98"/>
      <c r="DC455" s="98"/>
      <c r="DD455" s="98"/>
      <c r="DE455" s="98"/>
      <c r="DF455" s="98"/>
      <c r="DG455" s="98"/>
      <c r="DH455" s="98"/>
      <c r="DI455" s="98"/>
      <c r="DJ455" s="98"/>
      <c r="DK455" s="98"/>
      <c r="DL455" s="98"/>
      <c r="DM455" s="98"/>
      <c r="DN455" s="98"/>
      <c r="DO455" s="98"/>
      <c r="DP455" s="98"/>
      <c r="DQ455" s="98"/>
      <c r="DR455" s="98"/>
      <c r="DS455" s="98"/>
      <c r="DT455" s="98"/>
      <c r="DU455" s="98"/>
      <c r="DV455" s="98"/>
      <c r="DW455" s="98"/>
      <c r="DX455" s="98"/>
      <c r="DY455" s="98"/>
      <c r="DZ455" s="98"/>
      <c r="EA455" s="98"/>
      <c r="EB455" s="98"/>
      <c r="EC455" s="98"/>
      <c r="ED455" s="98"/>
      <c r="EE455" s="98"/>
      <c r="EF455" s="98"/>
      <c r="EG455" s="98"/>
    </row>
    <row r="456" spans="1:137" ht="15" hidden="1" customHeight="1" x14ac:dyDescent="0.25">
      <c r="AY456" s="93"/>
      <c r="AZ456" s="93"/>
      <c r="BA456" s="93"/>
      <c r="BB456" s="93"/>
      <c r="BC456" s="93"/>
      <c r="BD456" s="93"/>
      <c r="BE456" s="93"/>
      <c r="BF456" s="93"/>
      <c r="BG456" s="93"/>
      <c r="BH456" s="93"/>
      <c r="BI456" s="93" t="s">
        <v>1</v>
      </c>
      <c r="BJ456" s="93" t="s">
        <v>615</v>
      </c>
      <c r="BK456" s="93">
        <v>1664.9169999999999</v>
      </c>
      <c r="BL456" s="93" t="s">
        <v>641</v>
      </c>
      <c r="BM456" s="93">
        <v>4.3E-3</v>
      </c>
      <c r="BN456" s="93">
        <v>4.3E-3</v>
      </c>
      <c r="BO456" s="93" t="s">
        <v>241</v>
      </c>
      <c r="BP456" s="93">
        <v>1</v>
      </c>
      <c r="BQ456" s="93"/>
      <c r="BR456" s="93"/>
      <c r="BS456" s="93"/>
      <c r="BT456" s="93"/>
      <c r="BU456" s="93"/>
      <c r="BV456" s="93"/>
      <c r="BW456" s="93"/>
      <c r="BX456" s="93"/>
      <c r="BY456" s="93"/>
      <c r="BZ456" s="93"/>
      <c r="CA456" s="93"/>
      <c r="CO456" s="218">
        <f t="shared" si="173"/>
        <v>4.3E-3</v>
      </c>
      <c r="CP456" s="100">
        <f t="shared" si="174"/>
        <v>4.3E-3</v>
      </c>
      <c r="CQ456" s="218">
        <f t="shared" si="175"/>
        <v>4.3E-3</v>
      </c>
      <c r="CR456" s="98"/>
      <c r="CS456" s="98"/>
      <c r="CT456" s="98"/>
      <c r="CU456" s="98"/>
      <c r="CV456" s="98"/>
      <c r="CW456" s="98"/>
      <c r="CX456" s="98"/>
      <c r="CY456" s="98"/>
      <c r="CZ456" s="98"/>
      <c r="DA456" s="98"/>
      <c r="DB456" s="98"/>
      <c r="DC456" s="98"/>
      <c r="DD456" s="98"/>
      <c r="DE456" s="98"/>
      <c r="DF456" s="98"/>
      <c r="DG456" s="98"/>
      <c r="DH456" s="98"/>
      <c r="DI456" s="98"/>
      <c r="DJ456" s="98"/>
      <c r="DK456" s="98"/>
      <c r="DL456" s="98"/>
      <c r="DM456" s="98"/>
      <c r="DN456" s="98"/>
      <c r="DO456" s="98"/>
      <c r="DP456" s="98"/>
      <c r="DQ456" s="98"/>
      <c r="DR456" s="98"/>
      <c r="DS456" s="98"/>
      <c r="DT456" s="98"/>
      <c r="DU456" s="98"/>
      <c r="DV456" s="98"/>
      <c r="DW456" s="98"/>
      <c r="DX456" s="98"/>
      <c r="DY456" s="98"/>
      <c r="DZ456" s="98"/>
      <c r="EA456" s="98"/>
      <c r="EB456" s="98"/>
      <c r="EC456" s="98"/>
      <c r="ED456" s="98"/>
      <c r="EE456" s="98"/>
      <c r="EF456" s="98"/>
      <c r="EG456" s="98"/>
    </row>
    <row r="457" spans="1:137" ht="15" hidden="1" customHeight="1" x14ac:dyDescent="0.25">
      <c r="AY457" s="93"/>
      <c r="AZ457" s="93"/>
      <c r="BA457" s="93"/>
      <c r="BB457" s="93"/>
      <c r="BC457" s="93"/>
      <c r="BD457" s="93"/>
      <c r="BE457" s="93"/>
      <c r="BF457" s="93"/>
      <c r="BG457" s="93"/>
      <c r="BH457" s="93"/>
      <c r="BI457" s="93" t="s">
        <v>221</v>
      </c>
      <c r="BJ457" s="93" t="s">
        <v>615</v>
      </c>
      <c r="BK457" s="93">
        <v>1869.837</v>
      </c>
      <c r="BL457" s="93" t="s">
        <v>641</v>
      </c>
      <c r="BM457" s="93">
        <v>3.82E-3</v>
      </c>
      <c r="BN457" s="93">
        <v>3.82E-3</v>
      </c>
      <c r="BO457" s="93" t="s">
        <v>241</v>
      </c>
      <c r="BP457" s="93">
        <v>1</v>
      </c>
      <c r="BQ457" s="93"/>
      <c r="BR457" s="93"/>
      <c r="BS457" s="93"/>
      <c r="BT457" s="93"/>
      <c r="BU457" s="93"/>
      <c r="BV457" s="93"/>
      <c r="BW457" s="93"/>
      <c r="BX457" s="93"/>
      <c r="BY457" s="93"/>
      <c r="BZ457" s="93"/>
      <c r="CA457" s="93"/>
      <c r="CO457" s="218">
        <f t="shared" si="173"/>
        <v>3.82E-3</v>
      </c>
      <c r="CP457" s="100">
        <f t="shared" si="174"/>
        <v>3.82E-3</v>
      </c>
      <c r="CQ457" s="218">
        <f t="shared" si="175"/>
        <v>3.82E-3</v>
      </c>
      <c r="CR457" s="98"/>
      <c r="CS457" s="98"/>
      <c r="CT457" s="98"/>
      <c r="CU457" s="98"/>
      <c r="CV457" s="98"/>
      <c r="CW457" s="98"/>
      <c r="CX457" s="98"/>
      <c r="CY457" s="98"/>
      <c r="CZ457" s="98"/>
      <c r="DA457" s="98"/>
      <c r="DB457" s="98"/>
      <c r="DC457" s="98"/>
      <c r="DD457" s="98"/>
      <c r="DE457" s="98"/>
      <c r="DF457" s="98"/>
      <c r="DG457" s="98"/>
      <c r="DH457" s="98"/>
      <c r="DI457" s="98"/>
      <c r="DJ457" s="98"/>
      <c r="DK457" s="98"/>
      <c r="DL457" s="98"/>
      <c r="DM457" s="98"/>
      <c r="DN457" s="98"/>
      <c r="DO457" s="98"/>
      <c r="DP457" s="98"/>
      <c r="DQ457" s="98"/>
      <c r="DR457" s="98"/>
      <c r="DS457" s="98"/>
      <c r="DT457" s="98"/>
      <c r="DU457" s="98"/>
      <c r="DV457" s="98"/>
      <c r="DW457" s="98"/>
      <c r="DX457" s="98"/>
      <c r="DY457" s="98"/>
      <c r="DZ457" s="98"/>
      <c r="EA457" s="98"/>
      <c r="EB457" s="98"/>
      <c r="EC457" s="98"/>
      <c r="ED457" s="98"/>
      <c r="EE457" s="98"/>
      <c r="EF457" s="98"/>
      <c r="EG457" s="98"/>
    </row>
    <row r="458" spans="1:137" ht="15" hidden="1" customHeight="1" x14ac:dyDescent="0.25">
      <c r="AY458" s="93"/>
      <c r="AZ458" s="93"/>
      <c r="BA458" s="93"/>
      <c r="BB458" s="93"/>
      <c r="BC458" s="93"/>
      <c r="BD458" s="93"/>
      <c r="BE458" s="93"/>
      <c r="BF458" s="93"/>
      <c r="BG458" s="93"/>
      <c r="BH458" s="93"/>
      <c r="BI458" s="93" t="s">
        <v>222</v>
      </c>
      <c r="BJ458" s="93" t="s">
        <v>615</v>
      </c>
      <c r="BK458" s="93">
        <v>1758.4449999999999</v>
      </c>
      <c r="BL458" s="93" t="s">
        <v>641</v>
      </c>
      <c r="BM458" s="93">
        <v>3.98E-3</v>
      </c>
      <c r="BN458" s="93">
        <v>3.98E-3</v>
      </c>
      <c r="BO458" s="93" t="s">
        <v>241</v>
      </c>
      <c r="BP458" s="93">
        <v>1</v>
      </c>
      <c r="BQ458" s="93"/>
      <c r="BR458" s="93"/>
      <c r="BS458" s="93"/>
      <c r="BT458" s="93"/>
      <c r="BU458" s="93"/>
      <c r="BV458" s="93"/>
      <c r="BW458" s="93"/>
      <c r="BX458" s="93"/>
      <c r="BY458" s="93"/>
      <c r="BZ458" s="93"/>
      <c r="CA458" s="93"/>
      <c r="CO458" s="218">
        <f t="shared" si="173"/>
        <v>3.98E-3</v>
      </c>
      <c r="CP458" s="100">
        <f t="shared" si="174"/>
        <v>3.98E-3</v>
      </c>
      <c r="CQ458" s="218">
        <f t="shared" si="175"/>
        <v>3.98E-3</v>
      </c>
      <c r="CR458" s="98"/>
      <c r="CS458" s="98"/>
      <c r="CT458" s="98"/>
      <c r="CU458" s="98"/>
      <c r="CV458" s="98"/>
      <c r="CW458" s="98"/>
      <c r="CX458" s="98"/>
      <c r="CY458" s="98"/>
      <c r="CZ458" s="98"/>
      <c r="DA458" s="98"/>
      <c r="DB458" s="98"/>
      <c r="DC458" s="98"/>
      <c r="DD458" s="98"/>
      <c r="DE458" s="98"/>
      <c r="DF458" s="98"/>
      <c r="DG458" s="98"/>
      <c r="DH458" s="98"/>
      <c r="DI458" s="98"/>
      <c r="DJ458" s="98"/>
      <c r="DK458" s="98"/>
      <c r="DL458" s="98"/>
      <c r="DM458" s="98"/>
      <c r="DN458" s="98"/>
      <c r="DO458" s="98"/>
      <c r="DP458" s="98"/>
      <c r="DQ458" s="98"/>
      <c r="DR458" s="98"/>
      <c r="DS458" s="98"/>
      <c r="DT458" s="98"/>
      <c r="DU458" s="98"/>
      <c r="DV458" s="98"/>
      <c r="DW458" s="98"/>
      <c r="DX458" s="98"/>
      <c r="DY458" s="98"/>
      <c r="DZ458" s="98"/>
      <c r="EA458" s="98"/>
      <c r="EB458" s="98"/>
      <c r="EC458" s="98"/>
      <c r="ED458" s="98"/>
      <c r="EE458" s="98"/>
      <c r="EF458" s="98"/>
      <c r="EG458" s="98"/>
    </row>
    <row r="459" spans="1:137" ht="15" hidden="1" customHeight="1" x14ac:dyDescent="0.25">
      <c r="AY459" s="93"/>
      <c r="AZ459" s="93"/>
      <c r="BA459" s="93"/>
      <c r="BB459" s="93"/>
      <c r="BC459" s="93"/>
      <c r="BD459" s="93"/>
      <c r="BE459" s="93"/>
      <c r="BF459" s="93"/>
      <c r="BG459" s="93"/>
      <c r="BH459" s="93"/>
      <c r="BI459" s="93" t="s">
        <v>223</v>
      </c>
      <c r="BJ459" s="93" t="s">
        <v>615</v>
      </c>
      <c r="BK459" s="93" t="s">
        <v>403</v>
      </c>
      <c r="BL459" s="93" t="s">
        <v>641</v>
      </c>
      <c r="BM459" s="93">
        <v>3.5799999999999998E-3</v>
      </c>
      <c r="BN459" s="93">
        <v>3.5799999999999998E-3</v>
      </c>
      <c r="BO459" s="93" t="s">
        <v>241</v>
      </c>
      <c r="BP459" s="93">
        <v>1</v>
      </c>
      <c r="BQ459" s="93"/>
      <c r="BR459" s="93"/>
      <c r="BS459" s="93"/>
      <c r="BT459" s="93"/>
      <c r="BU459" s="93"/>
      <c r="BV459" s="93"/>
      <c r="BW459" s="93"/>
      <c r="BX459" s="93"/>
      <c r="BY459" s="93"/>
      <c r="BZ459" s="93"/>
      <c r="CA459" s="93"/>
      <c r="CO459" s="218">
        <f t="shared" si="173"/>
        <v>3.5799999999999998E-3</v>
      </c>
      <c r="CP459" s="100">
        <f t="shared" si="174"/>
        <v>3.5799999999999998E-3</v>
      </c>
      <c r="CQ459" s="218">
        <f t="shared" si="175"/>
        <v>3.5799999999999998E-3</v>
      </c>
      <c r="CR459" s="98"/>
      <c r="CS459" s="98"/>
      <c r="CT459" s="98"/>
      <c r="CU459" s="98"/>
      <c r="CV459" s="98"/>
      <c r="CW459" s="98"/>
      <c r="CX459" s="98"/>
      <c r="CY459" s="98"/>
      <c r="CZ459" s="98"/>
      <c r="DA459" s="98"/>
      <c r="DB459" s="98"/>
      <c r="DC459" s="98"/>
      <c r="DD459" s="98"/>
      <c r="DE459" s="98"/>
      <c r="DF459" s="98"/>
      <c r="DG459" s="98"/>
      <c r="DH459" s="98"/>
      <c r="DI459" s="98"/>
      <c r="DJ459" s="98"/>
      <c r="DK459" s="98"/>
      <c r="DL459" s="98"/>
      <c r="DM459" s="98"/>
      <c r="DN459" s="98"/>
      <c r="DO459" s="98"/>
      <c r="DP459" s="98"/>
      <c r="DQ459" s="98"/>
      <c r="DR459" s="98"/>
      <c r="DS459" s="98"/>
      <c r="DT459" s="98"/>
      <c r="DU459" s="98"/>
      <c r="DV459" s="98"/>
      <c r="DW459" s="98"/>
      <c r="DX459" s="98"/>
      <c r="DY459" s="98"/>
      <c r="DZ459" s="98"/>
      <c r="EA459" s="98"/>
      <c r="EB459" s="98"/>
      <c r="EC459" s="98"/>
      <c r="ED459" s="98"/>
      <c r="EE459" s="98"/>
      <c r="EF459" s="98"/>
      <c r="EG459" s="98"/>
    </row>
    <row r="460" spans="1:137" ht="15" hidden="1" customHeight="1" x14ac:dyDescent="0.25">
      <c r="AY460" s="93"/>
      <c r="AZ460" s="93"/>
      <c r="BA460" s="93"/>
      <c r="BB460" s="93"/>
      <c r="BC460" s="93"/>
      <c r="BD460" s="93"/>
      <c r="BE460" s="93"/>
      <c r="BF460" s="93"/>
      <c r="BG460" s="93"/>
      <c r="BH460" s="93"/>
      <c r="BI460" s="93" t="s">
        <v>224</v>
      </c>
      <c r="BJ460" s="93" t="s">
        <v>615</v>
      </c>
      <c r="BK460" s="93">
        <v>1553.251</v>
      </c>
      <c r="BL460" s="93" t="s">
        <v>641</v>
      </c>
      <c r="BM460" s="93">
        <v>4.4900000000000001E-3</v>
      </c>
      <c r="BN460" s="93">
        <v>4.4900000000000001E-3</v>
      </c>
      <c r="BO460" s="93" t="s">
        <v>241</v>
      </c>
      <c r="BP460" s="93">
        <v>1</v>
      </c>
      <c r="BQ460" s="93"/>
      <c r="BR460" s="93"/>
      <c r="BS460" s="93"/>
      <c r="BT460" s="93"/>
      <c r="BU460" s="93"/>
      <c r="BV460" s="93"/>
      <c r="BW460" s="93"/>
      <c r="BX460" s="93"/>
      <c r="BY460" s="93"/>
      <c r="BZ460" s="93"/>
      <c r="CA460" s="93"/>
      <c r="CO460" s="218">
        <f t="shared" si="173"/>
        <v>4.4900000000000001E-3</v>
      </c>
      <c r="CP460" s="100">
        <f t="shared" si="174"/>
        <v>4.4900000000000001E-3</v>
      </c>
      <c r="CQ460" s="218">
        <f t="shared" si="175"/>
        <v>4.4900000000000001E-3</v>
      </c>
      <c r="CR460" s="98"/>
      <c r="CS460" s="98"/>
      <c r="CT460" s="98"/>
      <c r="CU460" s="98"/>
      <c r="CV460" s="98"/>
      <c r="CW460" s="98"/>
      <c r="CX460" s="98"/>
      <c r="CY460" s="98"/>
      <c r="CZ460" s="98"/>
      <c r="DA460" s="98"/>
      <c r="DB460" s="98"/>
      <c r="DC460" s="98"/>
      <c r="DD460" s="98"/>
      <c r="DE460" s="98"/>
      <c r="DF460" s="98"/>
      <c r="DG460" s="98"/>
      <c r="DH460" s="98"/>
      <c r="DI460" s="98"/>
      <c r="DJ460" s="98"/>
      <c r="DK460" s="98"/>
      <c r="DL460" s="98"/>
      <c r="DM460" s="98"/>
      <c r="DN460" s="98"/>
      <c r="DO460" s="98"/>
      <c r="DP460" s="98"/>
      <c r="DQ460" s="98"/>
      <c r="DR460" s="98"/>
      <c r="DS460" s="98"/>
      <c r="DT460" s="98"/>
      <c r="DU460" s="98"/>
      <c r="DV460" s="98"/>
      <c r="DW460" s="98"/>
      <c r="DX460" s="98"/>
      <c r="DY460" s="98"/>
      <c r="DZ460" s="98"/>
      <c r="EA460" s="98"/>
      <c r="EB460" s="98"/>
      <c r="EC460" s="98"/>
      <c r="ED460" s="98"/>
      <c r="EE460" s="98"/>
      <c r="EF460" s="98"/>
      <c r="EG460" s="98"/>
    </row>
    <row r="461" spans="1:137" ht="15" hidden="1" customHeight="1" x14ac:dyDescent="0.25">
      <c r="AY461" s="93"/>
      <c r="AZ461" s="93"/>
      <c r="BA461" s="93"/>
      <c r="BB461" s="93"/>
      <c r="BC461" s="93"/>
      <c r="BD461" s="93"/>
      <c r="BE461" s="93"/>
      <c r="BF461" s="93"/>
      <c r="BG461" s="93"/>
      <c r="BH461" s="93"/>
      <c r="BI461" s="93" t="s">
        <v>225</v>
      </c>
      <c r="BJ461" s="93" t="s">
        <v>615</v>
      </c>
      <c r="BK461" s="93">
        <v>2222.1489999999999</v>
      </c>
      <c r="BL461" s="93" t="s">
        <v>641</v>
      </c>
      <c r="BM461" s="93">
        <v>3.0299999999999997E-3</v>
      </c>
      <c r="BN461" s="93">
        <v>3.0299999999999997E-3</v>
      </c>
      <c r="BO461" s="93" t="s">
        <v>241</v>
      </c>
      <c r="BP461" s="93">
        <v>1</v>
      </c>
      <c r="BQ461" s="93"/>
      <c r="BR461" s="93"/>
      <c r="BS461" s="93"/>
      <c r="BT461" s="93"/>
      <c r="BU461" s="93"/>
      <c r="BV461" s="93"/>
      <c r="BW461" s="93"/>
      <c r="BX461" s="93"/>
      <c r="BY461" s="93"/>
      <c r="BZ461" s="93"/>
      <c r="CA461" s="93"/>
      <c r="CO461" s="218">
        <f t="shared" si="173"/>
        <v>3.0299999999999997E-3</v>
      </c>
      <c r="CP461" s="100">
        <f t="shared" si="174"/>
        <v>3.0299999999999997E-3</v>
      </c>
      <c r="CQ461" s="218">
        <f t="shared" si="175"/>
        <v>3.0299999999999997E-3</v>
      </c>
      <c r="CR461" s="98"/>
      <c r="CS461" s="98"/>
      <c r="CT461" s="98"/>
      <c r="CU461" s="98"/>
      <c r="CV461" s="98"/>
      <c r="CW461" s="98"/>
      <c r="CX461" s="98"/>
      <c r="CY461" s="98"/>
      <c r="CZ461" s="98"/>
      <c r="DA461" s="98"/>
      <c r="DB461" s="98"/>
      <c r="DC461" s="98"/>
      <c r="DD461" s="98"/>
      <c r="DE461" s="98"/>
      <c r="DF461" s="98"/>
      <c r="DG461" s="98"/>
      <c r="DH461" s="98"/>
      <c r="DI461" s="98"/>
      <c r="DJ461" s="98"/>
      <c r="DK461" s="98"/>
      <c r="DL461" s="98"/>
      <c r="DM461" s="98"/>
      <c r="DN461" s="98"/>
      <c r="DO461" s="98"/>
      <c r="DP461" s="98"/>
      <c r="DQ461" s="98"/>
      <c r="DR461" s="98"/>
      <c r="DS461" s="98"/>
      <c r="DT461" s="98"/>
      <c r="DU461" s="98"/>
      <c r="DV461" s="98"/>
      <c r="DW461" s="98"/>
      <c r="DX461" s="98"/>
      <c r="DY461" s="98"/>
      <c r="DZ461" s="98"/>
      <c r="EA461" s="98"/>
      <c r="EB461" s="98"/>
      <c r="EC461" s="98"/>
      <c r="ED461" s="98"/>
      <c r="EE461" s="98"/>
      <c r="EF461" s="98"/>
      <c r="EG461" s="98"/>
    </row>
    <row r="462" spans="1:137" ht="15" hidden="1" customHeight="1" x14ac:dyDescent="0.25">
      <c r="AY462" s="93"/>
      <c r="AZ462" s="93"/>
      <c r="BA462" s="93"/>
      <c r="BB462" s="93"/>
      <c r="BC462" s="93"/>
      <c r="BD462" s="93"/>
      <c r="BE462" s="93"/>
      <c r="BF462" s="93"/>
      <c r="BG462" s="93"/>
      <c r="BH462" s="93"/>
      <c r="BI462" s="93" t="s">
        <v>226</v>
      </c>
      <c r="BJ462" s="93" t="s">
        <v>615</v>
      </c>
      <c r="BK462" s="93">
        <v>1871.6690000000001</v>
      </c>
      <c r="BL462" s="93" t="s">
        <v>641</v>
      </c>
      <c r="BM462" s="93">
        <v>3.7299999999999998E-3</v>
      </c>
      <c r="BN462" s="93">
        <v>3.7299999999999998E-3</v>
      </c>
      <c r="BO462" s="93" t="s">
        <v>241</v>
      </c>
      <c r="BP462" s="93">
        <v>1</v>
      </c>
      <c r="BQ462" s="93"/>
      <c r="BR462" s="93"/>
      <c r="BS462" s="93"/>
      <c r="BT462" s="93"/>
      <c r="BU462" s="93"/>
      <c r="BV462" s="93"/>
      <c r="BW462" s="93"/>
      <c r="BX462" s="93"/>
      <c r="BY462" s="93"/>
      <c r="BZ462" s="93"/>
      <c r="CA462" s="93"/>
      <c r="CO462" s="218">
        <f t="shared" si="173"/>
        <v>3.7299999999999998E-3</v>
      </c>
      <c r="CP462" s="100">
        <f t="shared" si="174"/>
        <v>3.7299999999999998E-3</v>
      </c>
      <c r="CQ462" s="218">
        <f t="shared" si="175"/>
        <v>3.7299999999999998E-3</v>
      </c>
      <c r="CR462" s="98"/>
      <c r="CS462" s="98"/>
      <c r="CT462" s="98"/>
      <c r="CU462" s="98"/>
      <c r="CV462" s="98"/>
      <c r="CW462" s="98"/>
      <c r="CX462" s="98"/>
      <c r="CY462" s="98"/>
      <c r="CZ462" s="98"/>
      <c r="DA462" s="98"/>
      <c r="DB462" s="98"/>
      <c r="DC462" s="98"/>
      <c r="DD462" s="98"/>
      <c r="DE462" s="98"/>
      <c r="DF462" s="98"/>
      <c r="DG462" s="98"/>
      <c r="DH462" s="98"/>
      <c r="DI462" s="98"/>
      <c r="DJ462" s="98"/>
      <c r="DK462" s="98"/>
      <c r="DL462" s="98"/>
      <c r="DM462" s="98"/>
      <c r="DN462" s="98"/>
      <c r="DO462" s="98"/>
      <c r="DP462" s="98"/>
      <c r="DQ462" s="98"/>
      <c r="DR462" s="98"/>
      <c r="DS462" s="98"/>
      <c r="DT462" s="98"/>
      <c r="DU462" s="98"/>
      <c r="DV462" s="98"/>
      <c r="DW462" s="98"/>
      <c r="DX462" s="98"/>
      <c r="DY462" s="98"/>
      <c r="DZ462" s="98"/>
      <c r="EA462" s="98"/>
      <c r="EB462" s="98"/>
      <c r="EC462" s="98"/>
      <c r="ED462" s="98"/>
      <c r="EE462" s="98"/>
      <c r="EF462" s="98"/>
      <c r="EG462" s="98"/>
    </row>
    <row r="463" spans="1:137" ht="15" hidden="1" customHeight="1" x14ac:dyDescent="0.25">
      <c r="AY463" s="93"/>
      <c r="AZ463" s="93"/>
      <c r="BA463" s="93"/>
      <c r="BB463" s="93"/>
      <c r="BC463" s="93"/>
      <c r="BD463" s="93"/>
      <c r="BE463" s="93"/>
      <c r="BF463" s="93"/>
      <c r="BG463" s="93"/>
      <c r="BH463" s="93"/>
      <c r="BI463" s="93" t="s">
        <v>3</v>
      </c>
      <c r="BJ463" s="93" t="s">
        <v>615</v>
      </c>
      <c r="BK463" s="93">
        <v>1521.3389999999999</v>
      </c>
      <c r="BL463" s="93" t="s">
        <v>641</v>
      </c>
      <c r="BM463" s="93">
        <v>4.4099999999999999E-3</v>
      </c>
      <c r="BN463" s="93">
        <v>4.4099999999999999E-3</v>
      </c>
      <c r="BO463" s="93" t="s">
        <v>241</v>
      </c>
      <c r="BP463" s="93">
        <v>1</v>
      </c>
      <c r="BQ463" s="93"/>
      <c r="BR463" s="93"/>
      <c r="BS463" s="93"/>
      <c r="BT463" s="93"/>
      <c r="BU463" s="93"/>
      <c r="BV463" s="93"/>
      <c r="BW463" s="93"/>
      <c r="BX463" s="93"/>
      <c r="BY463" s="93"/>
      <c r="BZ463" s="93"/>
      <c r="CA463" s="93"/>
      <c r="CO463" s="218">
        <f t="shared" si="173"/>
        <v>4.4099999999999999E-3</v>
      </c>
      <c r="CP463" s="100">
        <f t="shared" si="174"/>
        <v>4.4099999999999999E-3</v>
      </c>
      <c r="CQ463" s="218">
        <f t="shared" si="175"/>
        <v>4.4099999999999999E-3</v>
      </c>
      <c r="CR463" s="98"/>
      <c r="CS463" s="98"/>
      <c r="CT463" s="98"/>
      <c r="CU463" s="98"/>
      <c r="CV463" s="98"/>
      <c r="CW463" s="98"/>
      <c r="CX463" s="98"/>
      <c r="CY463" s="98"/>
      <c r="CZ463" s="98"/>
      <c r="DA463" s="98"/>
      <c r="DB463" s="98"/>
      <c r="DC463" s="98"/>
      <c r="DD463" s="98"/>
      <c r="DE463" s="98"/>
      <c r="DF463" s="98"/>
      <c r="DG463" s="98"/>
      <c r="DH463" s="98"/>
      <c r="DI463" s="98"/>
      <c r="DJ463" s="98"/>
      <c r="DK463" s="98"/>
      <c r="DL463" s="98"/>
      <c r="DM463" s="98"/>
      <c r="DN463" s="98"/>
      <c r="DO463" s="98"/>
      <c r="DP463" s="98"/>
      <c r="DQ463" s="98"/>
      <c r="DR463" s="98"/>
      <c r="DS463" s="98"/>
      <c r="DT463" s="98"/>
      <c r="DU463" s="98"/>
      <c r="DV463" s="98"/>
      <c r="DW463" s="98"/>
      <c r="DX463" s="98"/>
      <c r="DY463" s="98"/>
      <c r="DZ463" s="98"/>
      <c r="EA463" s="98"/>
      <c r="EB463" s="98"/>
      <c r="EC463" s="98"/>
      <c r="ED463" s="98"/>
      <c r="EE463" s="98"/>
      <c r="EF463" s="98"/>
      <c r="EG463" s="98"/>
    </row>
    <row r="464" spans="1:137" ht="15" hidden="1" customHeight="1" x14ac:dyDescent="0.25">
      <c r="AY464" s="93"/>
      <c r="AZ464" s="93"/>
      <c r="BA464" s="93"/>
      <c r="BB464" s="93"/>
      <c r="BC464" s="93"/>
      <c r="BD464" s="93"/>
      <c r="BE464" s="93"/>
      <c r="BF464" s="93"/>
      <c r="BG464" s="93"/>
      <c r="BH464" s="93"/>
      <c r="BI464" s="93" t="s">
        <v>227</v>
      </c>
      <c r="BJ464" s="93" t="s">
        <v>615</v>
      </c>
      <c r="BK464" s="93">
        <v>1958.4190000000001</v>
      </c>
      <c r="BL464" s="93" t="s">
        <v>641</v>
      </c>
      <c r="BM464" s="93">
        <v>3.6800000000000001E-3</v>
      </c>
      <c r="BN464" s="93">
        <v>3.6800000000000001E-3</v>
      </c>
      <c r="BO464" s="93" t="s">
        <v>241</v>
      </c>
      <c r="BP464" s="93">
        <v>1</v>
      </c>
      <c r="BQ464" s="93"/>
      <c r="BR464" s="93"/>
      <c r="BS464" s="93"/>
      <c r="BT464" s="93"/>
      <c r="BU464" s="93"/>
      <c r="BV464" s="93"/>
      <c r="BW464" s="93"/>
      <c r="BX464" s="93"/>
      <c r="BY464" s="93"/>
      <c r="BZ464" s="93"/>
      <c r="CA464" s="93"/>
      <c r="CO464" s="218">
        <f t="shared" si="173"/>
        <v>3.6800000000000001E-3</v>
      </c>
      <c r="CP464" s="100">
        <f t="shared" si="174"/>
        <v>3.6800000000000001E-3</v>
      </c>
      <c r="CQ464" s="218">
        <f t="shared" si="175"/>
        <v>3.6800000000000001E-3</v>
      </c>
      <c r="CR464" s="98"/>
      <c r="CS464" s="98"/>
      <c r="CT464" s="98"/>
      <c r="CU464" s="98"/>
      <c r="CV464" s="98"/>
      <c r="CW464" s="98"/>
      <c r="CX464" s="98"/>
      <c r="CY464" s="98"/>
      <c r="CZ464" s="98"/>
      <c r="DA464" s="98"/>
      <c r="DB464" s="98"/>
      <c r="DC464" s="98"/>
      <c r="DD464" s="98"/>
      <c r="DE464" s="98"/>
      <c r="DF464" s="98"/>
      <c r="DG464" s="98"/>
      <c r="DH464" s="98"/>
      <c r="DI464" s="98"/>
      <c r="DJ464" s="98"/>
      <c r="DK464" s="98"/>
      <c r="DL464" s="98"/>
      <c r="DM464" s="98"/>
      <c r="DN464" s="98"/>
      <c r="DO464" s="98"/>
      <c r="DP464" s="98"/>
      <c r="DQ464" s="98"/>
      <c r="DR464" s="98"/>
      <c r="DS464" s="98"/>
      <c r="DT464" s="98"/>
      <c r="DU464" s="98"/>
      <c r="DV464" s="98"/>
      <c r="DW464" s="98"/>
      <c r="DX464" s="98"/>
      <c r="DY464" s="98"/>
      <c r="DZ464" s="98"/>
      <c r="EA464" s="98"/>
      <c r="EB464" s="98"/>
      <c r="EC464" s="98"/>
      <c r="ED464" s="98"/>
      <c r="EE464" s="98"/>
      <c r="EF464" s="98"/>
      <c r="EG464" s="98"/>
    </row>
    <row r="465" spans="1:137" ht="15" hidden="1" customHeight="1" x14ac:dyDescent="0.25">
      <c r="AY465" s="93"/>
      <c r="AZ465" s="93"/>
      <c r="BA465" s="93"/>
      <c r="BB465" s="93"/>
      <c r="BC465" s="93"/>
      <c r="BD465" s="93"/>
      <c r="BE465" s="93"/>
      <c r="BF465" s="93"/>
      <c r="BG465" s="93"/>
      <c r="BH465" s="93"/>
      <c r="BI465" s="93" t="s">
        <v>228</v>
      </c>
      <c r="BJ465" s="93" t="s">
        <v>615</v>
      </c>
      <c r="BK465" s="93">
        <v>1953.38</v>
      </c>
      <c r="BL465" s="93" t="s">
        <v>641</v>
      </c>
      <c r="BM465" s="93">
        <v>3.5899999999999999E-3</v>
      </c>
      <c r="BN465" s="93">
        <v>3.5899999999999999E-3</v>
      </c>
      <c r="BO465" s="93" t="s">
        <v>241</v>
      </c>
      <c r="BP465" s="93">
        <v>1</v>
      </c>
      <c r="BQ465" s="93"/>
      <c r="BR465" s="93"/>
      <c r="BS465" s="93"/>
      <c r="BT465" s="93"/>
      <c r="BU465" s="93"/>
      <c r="BV465" s="93"/>
      <c r="BW465" s="93"/>
      <c r="BX465" s="93"/>
      <c r="BY465" s="93"/>
      <c r="BZ465" s="93"/>
      <c r="CA465" s="93"/>
      <c r="CO465" s="218">
        <f t="shared" si="173"/>
        <v>3.5899999999999999E-3</v>
      </c>
      <c r="CP465" s="100">
        <f t="shared" si="174"/>
        <v>3.5899999999999999E-3</v>
      </c>
      <c r="CQ465" s="218">
        <f t="shared" si="175"/>
        <v>3.5899999999999999E-3</v>
      </c>
      <c r="CR465" s="98"/>
      <c r="CS465" s="98"/>
      <c r="CT465" s="98"/>
      <c r="CU465" s="98"/>
      <c r="CV465" s="98"/>
      <c r="CW465" s="98"/>
      <c r="CX465" s="98"/>
      <c r="CY465" s="98"/>
      <c r="CZ465" s="98"/>
      <c r="DA465" s="98"/>
      <c r="DB465" s="98"/>
      <c r="DC465" s="98"/>
      <c r="DD465" s="98"/>
      <c r="DE465" s="98"/>
      <c r="DF465" s="98"/>
      <c r="DG465" s="98"/>
      <c r="DH465" s="98"/>
      <c r="DI465" s="98"/>
      <c r="DJ465" s="98"/>
      <c r="DK465" s="98"/>
      <c r="DL465" s="98"/>
      <c r="DM465" s="98"/>
      <c r="DN465" s="98"/>
      <c r="DO465" s="98"/>
      <c r="DP465" s="98"/>
      <c r="DQ465" s="98"/>
      <c r="DR465" s="98"/>
      <c r="DS465" s="98"/>
      <c r="DT465" s="98"/>
      <c r="DU465" s="98"/>
      <c r="DV465" s="98"/>
      <c r="DW465" s="98"/>
      <c r="DX465" s="98"/>
      <c r="DY465" s="98"/>
      <c r="DZ465" s="98"/>
      <c r="EA465" s="98"/>
      <c r="EB465" s="98"/>
      <c r="EC465" s="98"/>
      <c r="ED465" s="98"/>
      <c r="EE465" s="98"/>
      <c r="EF465" s="98"/>
      <c r="EG465" s="98"/>
    </row>
    <row r="466" spans="1:137" ht="15" hidden="1" customHeight="1" x14ac:dyDescent="0.25">
      <c r="AY466" s="93"/>
      <c r="AZ466" s="93"/>
      <c r="BA466" s="93"/>
      <c r="BB466" s="93"/>
      <c r="BC466" s="93"/>
      <c r="BD466" s="93"/>
      <c r="BE466" s="93"/>
      <c r="BF466" s="93"/>
      <c r="BG466" s="93"/>
      <c r="BH466" s="93"/>
      <c r="BI466" s="93" t="s">
        <v>229</v>
      </c>
      <c r="BJ466" s="93" t="s">
        <v>615</v>
      </c>
      <c r="BK466" s="93">
        <v>2005.412</v>
      </c>
      <c r="BL466" s="93" t="s">
        <v>641</v>
      </c>
      <c r="BM466" s="93">
        <v>3.4999999999999996E-3</v>
      </c>
      <c r="BN466" s="93">
        <v>3.4999999999999996E-3</v>
      </c>
      <c r="BO466" s="93" t="s">
        <v>241</v>
      </c>
      <c r="BP466" s="93">
        <v>1</v>
      </c>
      <c r="BQ466" s="93"/>
      <c r="BR466" s="93"/>
      <c r="BS466" s="93"/>
      <c r="BT466" s="93"/>
      <c r="BU466" s="93"/>
      <c r="BV466" s="93"/>
      <c r="BW466" s="93"/>
      <c r="BX466" s="93"/>
      <c r="BY466" s="93"/>
      <c r="BZ466" s="93"/>
      <c r="CA466" s="93"/>
      <c r="CO466" s="218">
        <f t="shared" si="173"/>
        <v>3.4999999999999996E-3</v>
      </c>
      <c r="CP466" s="100">
        <f t="shared" si="174"/>
        <v>3.4999999999999996E-3</v>
      </c>
      <c r="CQ466" s="218">
        <f t="shared" si="175"/>
        <v>3.4999999999999996E-3</v>
      </c>
      <c r="CR466" s="98"/>
      <c r="CS466" s="98"/>
      <c r="CT466" s="98"/>
      <c r="CU466" s="98"/>
      <c r="CV466" s="98"/>
      <c r="CW466" s="98"/>
      <c r="CX466" s="98"/>
      <c r="CY466" s="98"/>
      <c r="CZ466" s="98"/>
      <c r="DA466" s="98"/>
      <c r="DB466" s="98"/>
      <c r="DC466" s="98"/>
      <c r="DD466" s="98"/>
      <c r="DE466" s="98"/>
      <c r="DF466" s="98"/>
      <c r="DG466" s="98"/>
      <c r="DH466" s="98"/>
      <c r="DI466" s="98"/>
      <c r="DJ466" s="98"/>
      <c r="DK466" s="98"/>
      <c r="DL466" s="98"/>
      <c r="DM466" s="98"/>
      <c r="DN466" s="98"/>
      <c r="DO466" s="98"/>
      <c r="DP466" s="98"/>
      <c r="DQ466" s="98"/>
      <c r="DR466" s="98"/>
      <c r="DS466" s="98"/>
      <c r="DT466" s="98"/>
      <c r="DU466" s="98"/>
      <c r="DV466" s="98"/>
      <c r="DW466" s="98"/>
      <c r="DX466" s="98"/>
      <c r="DY466" s="98"/>
      <c r="DZ466" s="98"/>
      <c r="EA466" s="98"/>
      <c r="EB466" s="98"/>
      <c r="EC466" s="98"/>
      <c r="ED466" s="98"/>
      <c r="EE466" s="98"/>
      <c r="EF466" s="98"/>
      <c r="EG466" s="98"/>
    </row>
    <row r="467" spans="1:137" ht="15" hidden="1" customHeight="1" x14ac:dyDescent="0.25">
      <c r="AY467" s="93"/>
      <c r="AZ467" s="93"/>
      <c r="BA467" s="93"/>
      <c r="BB467" s="93"/>
      <c r="BC467" s="93"/>
      <c r="BD467" s="93"/>
      <c r="BE467" s="93"/>
      <c r="BF467" s="93"/>
      <c r="BG467" s="93"/>
      <c r="BH467" s="93"/>
      <c r="BI467" s="93" t="s">
        <v>230</v>
      </c>
      <c r="BJ467" s="93" t="s">
        <v>615</v>
      </c>
      <c r="BK467" s="93">
        <v>1942.7539999999999</v>
      </c>
      <c r="BL467" s="93" t="s">
        <v>641</v>
      </c>
      <c r="BM467" s="93">
        <v>3.5899999999999999E-3</v>
      </c>
      <c r="BN467" s="93">
        <v>3.5899999999999999E-3</v>
      </c>
      <c r="BO467" s="93" t="s">
        <v>241</v>
      </c>
      <c r="BP467" s="93">
        <v>1</v>
      </c>
      <c r="BQ467" s="93"/>
      <c r="BR467" s="93"/>
      <c r="BS467" s="93"/>
      <c r="BT467" s="93"/>
      <c r="BU467" s="93"/>
      <c r="BV467" s="93"/>
      <c r="BW467" s="93"/>
      <c r="BX467" s="93"/>
      <c r="BY467" s="93"/>
      <c r="BZ467" s="93"/>
      <c r="CA467" s="93"/>
      <c r="CO467" s="218">
        <f t="shared" si="173"/>
        <v>3.5899999999999999E-3</v>
      </c>
      <c r="CP467" s="100">
        <f t="shared" si="174"/>
        <v>3.5899999999999999E-3</v>
      </c>
      <c r="CQ467" s="218">
        <f t="shared" si="175"/>
        <v>3.5899999999999999E-3</v>
      </c>
      <c r="CR467" s="98"/>
      <c r="CS467" s="98"/>
      <c r="CT467" s="98"/>
      <c r="CU467" s="98"/>
      <c r="CV467" s="98"/>
      <c r="CW467" s="98"/>
      <c r="CX467" s="98"/>
      <c r="CY467" s="98"/>
      <c r="CZ467" s="98"/>
      <c r="DA467" s="98"/>
      <c r="DB467" s="98"/>
      <c r="DC467" s="98"/>
      <c r="DD467" s="98"/>
      <c r="DE467" s="98"/>
      <c r="DF467" s="98"/>
      <c r="DG467" s="98"/>
      <c r="DH467" s="98"/>
      <c r="DI467" s="98"/>
      <c r="DJ467" s="98"/>
      <c r="DK467" s="98"/>
      <c r="DL467" s="98"/>
      <c r="DM467" s="98"/>
      <c r="DN467" s="98"/>
      <c r="DO467" s="98"/>
      <c r="DP467" s="98"/>
      <c r="DQ467" s="98"/>
      <c r="DR467" s="98"/>
      <c r="DS467" s="98"/>
      <c r="DT467" s="98"/>
      <c r="DU467" s="98"/>
      <c r="DV467" s="98"/>
      <c r="DW467" s="98"/>
      <c r="DX467" s="98"/>
      <c r="DY467" s="98"/>
      <c r="DZ467" s="98"/>
      <c r="EA467" s="98"/>
      <c r="EB467" s="98"/>
      <c r="EC467" s="98"/>
      <c r="ED467" s="98"/>
      <c r="EE467" s="98"/>
      <c r="EF467" s="98"/>
      <c r="EG467" s="98"/>
    </row>
    <row r="468" spans="1:137" ht="15" hidden="1" customHeight="1" x14ac:dyDescent="0.25">
      <c r="AY468" s="93"/>
      <c r="AZ468" s="93"/>
      <c r="BA468" s="93"/>
      <c r="BB468" s="93"/>
      <c r="BC468" s="93"/>
      <c r="BD468" s="93"/>
      <c r="BE468" s="93"/>
      <c r="BF468" s="93"/>
      <c r="BG468" s="93"/>
      <c r="BH468" s="93"/>
      <c r="BI468" s="93" t="s">
        <v>231</v>
      </c>
      <c r="BJ468" s="93" t="s">
        <v>615</v>
      </c>
      <c r="BK468" s="93">
        <v>1932.1279999999999</v>
      </c>
      <c r="BL468" s="93" t="s">
        <v>641</v>
      </c>
      <c r="BM468" s="93">
        <v>3.6099999999999999E-3</v>
      </c>
      <c r="BN468" s="93">
        <v>3.6099999999999999E-3</v>
      </c>
      <c r="BO468" s="93" t="s">
        <v>241</v>
      </c>
      <c r="BP468" s="93">
        <v>1</v>
      </c>
      <c r="BQ468" s="93"/>
      <c r="BR468" s="93"/>
      <c r="BS468" s="93"/>
      <c r="BT468" s="93"/>
      <c r="BU468" s="93"/>
      <c r="BV468" s="93"/>
      <c r="BW468" s="93"/>
      <c r="BX468" s="93"/>
      <c r="BY468" s="93"/>
      <c r="BZ468" s="93"/>
      <c r="CA468" s="93"/>
      <c r="CO468" s="218">
        <f t="shared" si="173"/>
        <v>3.6099999999999999E-3</v>
      </c>
      <c r="CP468" s="100">
        <f t="shared" si="174"/>
        <v>3.6099999999999999E-3</v>
      </c>
      <c r="CQ468" s="218">
        <f t="shared" si="175"/>
        <v>3.6099999999999999E-3</v>
      </c>
      <c r="CR468" s="98"/>
      <c r="CS468" s="98"/>
      <c r="CT468" s="98"/>
      <c r="CU468" s="98"/>
      <c r="CV468" s="98"/>
      <c r="CW468" s="98"/>
      <c r="CX468" s="98"/>
      <c r="CY468" s="98"/>
      <c r="CZ468" s="98"/>
      <c r="DA468" s="98"/>
      <c r="DB468" s="98"/>
      <c r="DC468" s="98"/>
      <c r="DD468" s="98"/>
      <c r="DE468" s="98"/>
      <c r="DF468" s="98"/>
      <c r="DG468" s="98"/>
      <c r="DH468" s="98"/>
      <c r="DI468" s="98"/>
      <c r="DJ468" s="98"/>
      <c r="DK468" s="98"/>
      <c r="DL468" s="98"/>
      <c r="DM468" s="98"/>
      <c r="DN468" s="98"/>
      <c r="DO468" s="98"/>
      <c r="DP468" s="98"/>
      <c r="DQ468" s="98"/>
      <c r="DR468" s="98"/>
      <c r="DS468" s="98"/>
      <c r="DT468" s="98"/>
      <c r="DU468" s="98"/>
      <c r="DV468" s="98"/>
      <c r="DW468" s="98"/>
      <c r="DX468" s="98"/>
      <c r="DY468" s="98"/>
      <c r="DZ468" s="98"/>
      <c r="EA468" s="98"/>
      <c r="EB468" s="98"/>
      <c r="EC468" s="98"/>
      <c r="ED468" s="98"/>
      <c r="EE468" s="98"/>
      <c r="EF468" s="98"/>
      <c r="EG468" s="98"/>
    </row>
    <row r="469" spans="1:137" ht="15" hidden="1" customHeight="1" x14ac:dyDescent="0.25">
      <c r="A469" s="98"/>
      <c r="V469" s="98"/>
      <c r="AA469" s="98"/>
      <c r="AB469" s="98"/>
      <c r="AD469" s="98"/>
      <c r="AE469" s="98"/>
      <c r="AH469" s="98"/>
      <c r="AI469" s="98"/>
      <c r="AK469" s="98"/>
      <c r="AR469" s="98"/>
      <c r="AV469" s="98"/>
      <c r="AX469" s="98"/>
      <c r="AY469" s="93"/>
      <c r="AZ469" s="93"/>
      <c r="BA469" s="93"/>
      <c r="BB469" s="93"/>
      <c r="BC469" s="93"/>
      <c r="BD469" s="93"/>
      <c r="BE469" s="93"/>
      <c r="BF469" s="93"/>
      <c r="BG469" s="93"/>
      <c r="BH469" s="93"/>
      <c r="BI469" s="93" t="s">
        <v>602</v>
      </c>
      <c r="BJ469" s="93" t="s">
        <v>49</v>
      </c>
      <c r="BK469" s="93">
        <v>1.521339</v>
      </c>
      <c r="BL469" s="93" t="s">
        <v>259</v>
      </c>
      <c r="BM469" s="93">
        <v>4.4099999999999999E-3</v>
      </c>
      <c r="BN469" s="93">
        <v>4.4099999999999999E-3</v>
      </c>
      <c r="BO469" s="93" t="s">
        <v>241</v>
      </c>
      <c r="BP469" s="93">
        <v>1</v>
      </c>
      <c r="BQ469" s="93"/>
      <c r="BR469" s="93"/>
      <c r="BS469" s="93"/>
      <c r="BT469" s="93"/>
      <c r="BU469" s="93"/>
      <c r="BV469" s="93"/>
      <c r="BW469" s="93"/>
      <c r="BX469" s="93"/>
      <c r="BY469" s="93"/>
      <c r="BZ469" s="93"/>
      <c r="CA469" s="93"/>
      <c r="CB469" s="98"/>
      <c r="CC469" s="98"/>
      <c r="CD469" s="98"/>
      <c r="CE469" s="98"/>
      <c r="CF469" s="98"/>
      <c r="CG469" s="98"/>
      <c r="CH469" s="98"/>
      <c r="CI469" s="98"/>
      <c r="CJ469" s="98"/>
      <c r="CK469" s="98"/>
      <c r="CL469" s="98"/>
      <c r="CM469" s="98"/>
      <c r="CN469" s="98"/>
      <c r="CO469" s="218">
        <f t="shared" si="173"/>
        <v>4.4099999999999999E-3</v>
      </c>
      <c r="CP469" s="100">
        <f t="shared" si="174"/>
        <v>4.4099999999999999E-3</v>
      </c>
      <c r="CQ469" s="218">
        <f t="shared" si="175"/>
        <v>4.4099999999999999E-3</v>
      </c>
      <c r="CR469" s="98"/>
      <c r="CS469" s="98"/>
      <c r="CT469" s="98"/>
      <c r="CU469" s="98"/>
      <c r="CV469" s="98"/>
      <c r="CW469" s="98"/>
      <c r="CX469" s="98"/>
      <c r="CY469" s="98"/>
      <c r="CZ469" s="98"/>
      <c r="DA469" s="98"/>
      <c r="DB469" s="98"/>
      <c r="DC469" s="98"/>
      <c r="DD469" s="98"/>
      <c r="DE469" s="98"/>
      <c r="DF469" s="98"/>
      <c r="DG469" s="98"/>
      <c r="DH469" s="98"/>
      <c r="DI469" s="98"/>
      <c r="DJ469" s="98"/>
      <c r="DK469" s="98"/>
      <c r="DL469" s="98"/>
      <c r="DM469" s="98"/>
      <c r="DN469" s="98"/>
      <c r="DO469" s="98"/>
      <c r="DP469" s="98"/>
      <c r="DQ469" s="98"/>
      <c r="DR469" s="98"/>
      <c r="DS469" s="98"/>
      <c r="DT469" s="98"/>
      <c r="DU469" s="98"/>
      <c r="DV469" s="98"/>
      <c r="DW469" s="98"/>
      <c r="DX469" s="98"/>
      <c r="DY469" s="98"/>
      <c r="DZ469" s="98"/>
      <c r="EA469" s="98"/>
      <c r="EB469" s="98"/>
      <c r="EC469" s="98"/>
      <c r="ED469" s="98"/>
      <c r="EE469" s="98"/>
      <c r="EF469" s="98"/>
      <c r="EG469" s="98"/>
    </row>
    <row r="470" spans="1:137" ht="15" hidden="1" customHeight="1" x14ac:dyDescent="0.25">
      <c r="A470" s="98"/>
      <c r="V470" s="98"/>
      <c r="AA470" s="98"/>
      <c r="AB470" s="98"/>
      <c r="AD470" s="98"/>
      <c r="AE470" s="98"/>
      <c r="AH470" s="98"/>
      <c r="AI470" s="98"/>
      <c r="AK470" s="98"/>
      <c r="AR470" s="98"/>
      <c r="AV470" s="98"/>
      <c r="AX470" s="98"/>
      <c r="AY470" s="93"/>
      <c r="AZ470" s="93"/>
      <c r="BA470" s="93"/>
      <c r="BB470" s="93"/>
      <c r="BC470" s="93"/>
      <c r="BD470" s="93"/>
      <c r="BE470" s="93"/>
      <c r="BF470" s="93"/>
      <c r="BG470" s="93"/>
      <c r="BH470" s="93"/>
      <c r="BI470" s="93" t="s">
        <v>603</v>
      </c>
      <c r="BJ470" s="93" t="s">
        <v>49</v>
      </c>
      <c r="BK470" s="93">
        <v>1.521339</v>
      </c>
      <c r="BL470" s="93" t="s">
        <v>259</v>
      </c>
      <c r="BM470" s="93">
        <v>4.4099999999999999E-3</v>
      </c>
      <c r="BN470" s="93">
        <v>4.4099999999999999E-3</v>
      </c>
      <c r="BO470" s="93" t="s">
        <v>241</v>
      </c>
      <c r="BP470" s="93">
        <v>1</v>
      </c>
      <c r="BQ470" s="93"/>
      <c r="BR470" s="93"/>
      <c r="BS470" s="93"/>
      <c r="BT470" s="93"/>
      <c r="BU470" s="93"/>
      <c r="BV470" s="93"/>
      <c r="BW470" s="93"/>
      <c r="BX470" s="93"/>
      <c r="BY470" s="93"/>
      <c r="BZ470" s="93"/>
      <c r="CA470" s="93"/>
      <c r="CB470" s="98"/>
      <c r="CC470" s="98"/>
      <c r="CD470" s="98"/>
      <c r="CE470" s="98"/>
      <c r="CF470" s="98"/>
      <c r="CG470" s="98"/>
      <c r="CH470" s="98"/>
      <c r="CI470" s="98"/>
      <c r="CJ470" s="98"/>
      <c r="CK470" s="98"/>
      <c r="CL470" s="98"/>
      <c r="CM470" s="98"/>
      <c r="CN470" s="98"/>
      <c r="CO470" s="218">
        <f t="shared" si="173"/>
        <v>4.4099999999999999E-3</v>
      </c>
      <c r="CP470" s="100">
        <f t="shared" si="174"/>
        <v>4.4099999999999999E-3</v>
      </c>
      <c r="CQ470" s="218">
        <f t="shared" si="175"/>
        <v>4.4099999999999999E-3</v>
      </c>
      <c r="CR470" s="98"/>
      <c r="CS470" s="98"/>
      <c r="CT470" s="98"/>
      <c r="CU470" s="98"/>
      <c r="CV470" s="98"/>
      <c r="CW470" s="98"/>
      <c r="CX470" s="98"/>
      <c r="CY470" s="98"/>
      <c r="CZ470" s="98"/>
      <c r="DA470" s="98"/>
      <c r="DB470" s="98"/>
      <c r="DC470" s="98"/>
      <c r="DD470" s="98"/>
      <c r="DE470" s="98"/>
      <c r="DF470" s="98"/>
      <c r="DG470" s="98"/>
      <c r="DH470" s="98"/>
      <c r="DI470" s="98"/>
      <c r="DJ470" s="98"/>
      <c r="DK470" s="98"/>
      <c r="DL470" s="98"/>
      <c r="DM470" s="98"/>
      <c r="DN470" s="98"/>
      <c r="DO470" s="98"/>
      <c r="DP470" s="98"/>
      <c r="DQ470" s="98"/>
      <c r="DR470" s="98"/>
      <c r="DS470" s="98"/>
      <c r="DT470" s="98"/>
      <c r="DU470" s="98"/>
      <c r="DV470" s="98"/>
      <c r="DW470" s="98"/>
      <c r="DX470" s="98"/>
      <c r="DY470" s="98"/>
      <c r="DZ470" s="98"/>
      <c r="EA470" s="98"/>
      <c r="EB470" s="98"/>
      <c r="EC470" s="98"/>
      <c r="ED470" s="98"/>
      <c r="EE470" s="98"/>
      <c r="EF470" s="98"/>
      <c r="EG470" s="98"/>
    </row>
    <row r="471" spans="1:137" ht="15" hidden="1" customHeight="1" x14ac:dyDescent="0.25">
      <c r="A471" s="98"/>
      <c r="V471" s="98"/>
      <c r="AA471" s="98"/>
      <c r="AB471" s="98"/>
      <c r="AD471" s="98"/>
      <c r="AE471" s="98"/>
      <c r="AH471" s="98"/>
      <c r="AI471" s="98"/>
      <c r="AK471" s="98"/>
      <c r="AR471" s="98"/>
      <c r="AV471" s="98"/>
      <c r="AX471" s="98"/>
      <c r="AY471" s="93"/>
      <c r="AZ471" s="93"/>
      <c r="BA471" s="93"/>
      <c r="BB471" s="93"/>
      <c r="BC471" s="93"/>
      <c r="BD471" s="93"/>
      <c r="BE471" s="93"/>
      <c r="BF471" s="93"/>
      <c r="BG471" s="93"/>
      <c r="BH471" s="93"/>
      <c r="BI471" s="93">
        <v>0</v>
      </c>
      <c r="BJ471" s="93">
        <v>0</v>
      </c>
      <c r="BK471" s="93">
        <v>0</v>
      </c>
      <c r="BL471" s="93">
        <v>0</v>
      </c>
      <c r="BM471" s="93">
        <v>0</v>
      </c>
      <c r="BN471" s="93">
        <v>0</v>
      </c>
      <c r="BO471" s="93">
        <v>0</v>
      </c>
      <c r="BP471" s="93"/>
      <c r="BQ471" s="93"/>
      <c r="BR471" s="93"/>
      <c r="BS471" s="93"/>
      <c r="BT471" s="93"/>
      <c r="BU471" s="93"/>
      <c r="BV471" s="93"/>
      <c r="BW471" s="93"/>
      <c r="BX471" s="93"/>
      <c r="BY471" s="93"/>
      <c r="BZ471" s="93"/>
      <c r="CA471" s="93"/>
      <c r="CB471" s="98"/>
      <c r="CC471" s="98"/>
      <c r="CD471" s="98"/>
      <c r="CE471" s="98"/>
      <c r="CF471" s="98"/>
      <c r="CG471" s="98"/>
      <c r="CH471" s="98"/>
      <c r="CI471" s="98"/>
      <c r="CJ471" s="98"/>
      <c r="CK471" s="98"/>
      <c r="CL471" s="98"/>
      <c r="CM471" s="98"/>
      <c r="CN471" s="98"/>
      <c r="CR471" s="98"/>
      <c r="CS471" s="98"/>
      <c r="CT471" s="98"/>
      <c r="CU471" s="98"/>
      <c r="CV471" s="98"/>
      <c r="CW471" s="98"/>
      <c r="CX471" s="98"/>
      <c r="CY471" s="98"/>
      <c r="CZ471" s="98"/>
      <c r="DA471" s="98"/>
      <c r="DB471" s="98"/>
      <c r="DC471" s="98"/>
      <c r="DD471" s="98"/>
      <c r="DE471" s="98"/>
      <c r="DF471" s="98"/>
      <c r="DG471" s="98"/>
      <c r="DH471" s="98"/>
      <c r="DI471" s="98"/>
      <c r="DJ471" s="98"/>
      <c r="DK471" s="98"/>
      <c r="DL471" s="98"/>
      <c r="DM471" s="98"/>
      <c r="DN471" s="98"/>
      <c r="DO471" s="98"/>
      <c r="DP471" s="98"/>
      <c r="DQ471" s="98"/>
      <c r="DR471" s="98"/>
      <c r="DS471" s="98"/>
      <c r="DT471" s="98"/>
      <c r="DU471" s="98"/>
      <c r="DV471" s="98"/>
      <c r="DW471" s="98"/>
      <c r="DX471" s="98"/>
      <c r="DY471" s="98"/>
      <c r="DZ471" s="98"/>
      <c r="EA471" s="98"/>
      <c r="EB471" s="98"/>
      <c r="EC471" s="98"/>
      <c r="ED471" s="98"/>
      <c r="EE471" s="98"/>
      <c r="EF471" s="98"/>
      <c r="EG471" s="98"/>
    </row>
    <row r="472" spans="1:137" ht="15" hidden="1" customHeight="1" x14ac:dyDescent="0.25">
      <c r="A472" s="98"/>
      <c r="V472" s="98"/>
      <c r="AA472" s="98"/>
      <c r="AB472" s="98"/>
      <c r="AD472" s="98"/>
      <c r="AE472" s="98"/>
      <c r="AH472" s="98"/>
      <c r="AI472" s="98"/>
      <c r="AK472" s="98"/>
      <c r="AR472" s="98"/>
      <c r="AV472" s="98"/>
      <c r="AX472" s="98"/>
      <c r="AY472" s="93"/>
      <c r="AZ472" s="93"/>
      <c r="BA472" s="93"/>
      <c r="BB472" s="93"/>
      <c r="BC472" s="93"/>
      <c r="BD472" s="93"/>
      <c r="BE472" s="93"/>
      <c r="BF472" s="93"/>
      <c r="BG472" s="93"/>
      <c r="BH472" s="93"/>
      <c r="BI472" s="93"/>
      <c r="BJ472" s="93"/>
      <c r="BK472" s="93"/>
      <c r="BL472" s="93"/>
      <c r="BM472" s="93"/>
      <c r="BN472" s="93"/>
      <c r="BO472" s="93"/>
      <c r="BP472" s="93"/>
      <c r="BQ472" s="93"/>
      <c r="BR472" s="93"/>
      <c r="BS472" s="93"/>
      <c r="BT472" s="93"/>
      <c r="BU472" s="93"/>
      <c r="BV472" s="93"/>
      <c r="BW472" s="93"/>
      <c r="BX472" s="93"/>
      <c r="BY472" s="93"/>
      <c r="BZ472" s="93"/>
      <c r="CA472" s="93"/>
      <c r="CB472" s="98"/>
      <c r="CC472" s="98"/>
      <c r="CD472" s="98"/>
      <c r="CE472" s="98"/>
      <c r="CF472" s="98"/>
      <c r="CG472" s="98"/>
      <c r="CH472" s="98"/>
      <c r="CI472" s="98"/>
      <c r="CJ472" s="98"/>
      <c r="CK472" s="98"/>
      <c r="CL472" s="98"/>
      <c r="CM472" s="98"/>
      <c r="CN472" s="98"/>
      <c r="CR472" s="98"/>
      <c r="CS472" s="98"/>
      <c r="CT472" s="98"/>
      <c r="CU472" s="98"/>
      <c r="CV472" s="98"/>
      <c r="CW472" s="98"/>
      <c r="CX472" s="98"/>
      <c r="CY472" s="98"/>
      <c r="CZ472" s="98"/>
      <c r="DA472" s="98"/>
      <c r="DB472" s="98"/>
      <c r="DC472" s="98"/>
      <c r="DD472" s="98"/>
      <c r="DE472" s="98"/>
      <c r="DF472" s="98"/>
      <c r="DG472" s="98"/>
      <c r="DH472" s="98"/>
      <c r="DI472" s="98"/>
      <c r="DJ472" s="98"/>
      <c r="DK472" s="98"/>
      <c r="DL472" s="98"/>
      <c r="DM472" s="98"/>
      <c r="DN472" s="98"/>
      <c r="DO472" s="98"/>
      <c r="DP472" s="98"/>
      <c r="DQ472" s="98"/>
      <c r="DR472" s="98"/>
      <c r="DS472" s="98"/>
      <c r="DT472" s="98"/>
      <c r="DU472" s="98"/>
      <c r="DV472" s="98"/>
      <c r="DW472" s="98"/>
      <c r="DX472" s="98"/>
      <c r="DY472" s="98"/>
      <c r="DZ472" s="98"/>
      <c r="EA472" s="98"/>
      <c r="EB472" s="98"/>
      <c r="EC472" s="98"/>
      <c r="ED472" s="98"/>
      <c r="EE472" s="98"/>
      <c r="EF472" s="98"/>
      <c r="EG472" s="98"/>
    </row>
    <row r="473" spans="1:137" ht="15" hidden="1" customHeight="1" x14ac:dyDescent="0.25">
      <c r="A473" s="98"/>
      <c r="V473" s="98"/>
      <c r="AA473" s="98"/>
      <c r="AB473" s="98"/>
      <c r="AD473" s="98"/>
      <c r="AE473" s="98"/>
      <c r="AH473" s="98"/>
      <c r="AI473" s="98"/>
      <c r="AK473" s="98"/>
      <c r="AR473" s="98"/>
      <c r="AV473" s="98"/>
      <c r="AX473" s="98"/>
      <c r="AY473" s="93"/>
      <c r="AZ473" s="93"/>
      <c r="BA473" s="93"/>
      <c r="BB473" s="93"/>
      <c r="BC473" s="93"/>
      <c r="BD473" s="93"/>
      <c r="BE473" s="93"/>
      <c r="BF473" s="93"/>
      <c r="BG473" s="93"/>
      <c r="BH473" s="93"/>
      <c r="BI473" s="93" t="s">
        <v>232</v>
      </c>
      <c r="BJ473" s="93"/>
      <c r="BK473" s="93" t="s">
        <v>267</v>
      </c>
      <c r="BL473" s="93"/>
      <c r="BM473" s="93" t="s">
        <v>233</v>
      </c>
      <c r="BN473" s="93" t="s">
        <v>233</v>
      </c>
      <c r="BO473" s="93" t="s">
        <v>240</v>
      </c>
      <c r="BP473" s="93"/>
      <c r="BQ473" s="93"/>
      <c r="BR473" s="93"/>
      <c r="BS473" s="93"/>
      <c r="BT473" s="93"/>
      <c r="BU473" s="93"/>
      <c r="BV473" s="93"/>
      <c r="BW473" s="93"/>
      <c r="BX473" s="93"/>
      <c r="BY473" s="93"/>
      <c r="BZ473" s="93"/>
      <c r="CA473" s="93"/>
      <c r="CB473" s="98"/>
      <c r="CC473" s="98"/>
      <c r="CD473" s="98"/>
      <c r="CE473" s="98"/>
      <c r="CF473" s="98"/>
      <c r="CG473" s="98"/>
      <c r="CH473" s="98"/>
      <c r="CI473" s="98"/>
      <c r="CJ473" s="98"/>
      <c r="CK473" s="98"/>
      <c r="CL473" s="98"/>
      <c r="CM473" s="98"/>
      <c r="CN473" s="98"/>
      <c r="CR473" s="98"/>
      <c r="CS473" s="98"/>
      <c r="CT473" s="98"/>
      <c r="CU473" s="98"/>
      <c r="CV473" s="98"/>
      <c r="CW473" s="98"/>
      <c r="CX473" s="98"/>
      <c r="CY473" s="98"/>
      <c r="CZ473" s="98"/>
      <c r="DA473" s="98"/>
      <c r="DB473" s="98"/>
      <c r="DC473" s="98"/>
      <c r="DD473" s="98"/>
      <c r="DE473" s="98"/>
      <c r="DF473" s="98"/>
      <c r="DG473" s="98"/>
      <c r="DH473" s="98"/>
      <c r="DI473" s="98"/>
      <c r="DJ473" s="98"/>
      <c r="DK473" s="98"/>
      <c r="DL473" s="98"/>
      <c r="DM473" s="98"/>
      <c r="DN473" s="98"/>
      <c r="DO473" s="98"/>
      <c r="DP473" s="98"/>
      <c r="DQ473" s="98"/>
      <c r="DR473" s="98"/>
      <c r="DS473" s="98"/>
      <c r="DT473" s="98"/>
      <c r="DU473" s="98"/>
      <c r="DV473" s="98"/>
      <c r="DW473" s="98"/>
      <c r="DX473" s="98"/>
      <c r="DY473" s="98"/>
      <c r="DZ473" s="98"/>
      <c r="EA473" s="98"/>
      <c r="EB473" s="98"/>
      <c r="EC473" s="98"/>
      <c r="ED473" s="98"/>
      <c r="EE473" s="98"/>
      <c r="EF473" s="98"/>
      <c r="EG473" s="98"/>
    </row>
    <row r="474" spans="1:137" ht="15" hidden="1" customHeight="1" x14ac:dyDescent="0.25">
      <c r="A474" s="98"/>
      <c r="V474" s="98"/>
      <c r="AA474" s="98"/>
      <c r="AB474" s="98"/>
      <c r="AD474" s="98"/>
      <c r="AE474" s="98"/>
      <c r="AH474" s="98"/>
      <c r="AI474" s="98"/>
      <c r="AK474" s="98"/>
      <c r="AR474" s="98"/>
      <c r="AV474" s="98"/>
      <c r="AX474" s="98"/>
      <c r="AY474" s="93"/>
      <c r="AZ474" s="93"/>
      <c r="BA474" s="93"/>
      <c r="BB474" s="93"/>
      <c r="BC474" s="93"/>
      <c r="BD474" s="93"/>
      <c r="BE474" s="93"/>
      <c r="BF474" s="93"/>
      <c r="BG474" s="93"/>
      <c r="BH474" s="93"/>
      <c r="BI474" s="93"/>
      <c r="BJ474" s="93" t="s">
        <v>253</v>
      </c>
      <c r="BK474" s="93"/>
      <c r="BL474" s="93" t="s">
        <v>251</v>
      </c>
      <c r="BM474" s="93"/>
      <c r="BN474" s="93"/>
      <c r="BO474" s="93"/>
      <c r="BP474" s="93"/>
      <c r="BQ474" s="93"/>
      <c r="BR474" s="93"/>
      <c r="BS474" s="93"/>
      <c r="BT474" s="93"/>
      <c r="BU474" s="93"/>
      <c r="BV474" s="93"/>
      <c r="BW474" s="93"/>
      <c r="BX474" s="93"/>
      <c r="BY474" s="93"/>
      <c r="BZ474" s="93"/>
      <c r="CA474" s="93"/>
      <c r="CB474" s="98"/>
      <c r="CC474" s="98"/>
      <c r="CD474" s="98"/>
      <c r="CE474" s="98"/>
      <c r="CF474" s="98"/>
      <c r="CG474" s="98"/>
      <c r="CH474" s="98"/>
      <c r="CI474" s="98"/>
      <c r="CJ474" s="98"/>
      <c r="CK474" s="98"/>
      <c r="CL474" s="98"/>
      <c r="CM474" s="98"/>
      <c r="CN474" s="98"/>
      <c r="CR474" s="98"/>
      <c r="CS474" s="98"/>
      <c r="CT474" s="98"/>
      <c r="CU474" s="98"/>
      <c r="CV474" s="98"/>
      <c r="CW474" s="98"/>
      <c r="CX474" s="98"/>
      <c r="CY474" s="98"/>
      <c r="CZ474" s="98"/>
      <c r="DA474" s="98"/>
      <c r="DB474" s="98"/>
      <c r="DC474" s="98"/>
      <c r="DD474" s="98"/>
      <c r="DE474" s="98"/>
      <c r="DF474" s="98"/>
      <c r="DG474" s="98"/>
      <c r="DH474" s="98"/>
      <c r="DI474" s="98"/>
      <c r="DJ474" s="98"/>
      <c r="DK474" s="98"/>
      <c r="DL474" s="98"/>
      <c r="DM474" s="98"/>
      <c r="DN474" s="98"/>
      <c r="DO474" s="98"/>
      <c r="DP474" s="98"/>
      <c r="DQ474" s="98"/>
      <c r="DR474" s="98"/>
      <c r="DS474" s="98"/>
      <c r="DT474" s="98"/>
      <c r="DU474" s="98"/>
      <c r="DV474" s="98"/>
      <c r="DW474" s="98"/>
      <c r="DX474" s="98"/>
      <c r="DY474" s="98"/>
      <c r="DZ474" s="98"/>
      <c r="EA474" s="98"/>
      <c r="EB474" s="98"/>
      <c r="EC474" s="98"/>
      <c r="ED474" s="98"/>
      <c r="EE474" s="98"/>
      <c r="EF474" s="98"/>
      <c r="EG474" s="98"/>
    </row>
    <row r="475" spans="1:137" ht="15" hidden="1" customHeight="1" x14ac:dyDescent="0.25">
      <c r="A475" s="98"/>
      <c r="V475" s="98"/>
      <c r="AA475" s="98"/>
      <c r="AB475" s="98"/>
      <c r="AD475" s="98"/>
      <c r="AE475" s="98"/>
      <c r="AH475" s="98"/>
      <c r="AI475" s="98"/>
      <c r="AK475" s="98"/>
      <c r="AR475" s="98"/>
      <c r="AV475" s="98"/>
      <c r="AX475" s="98"/>
      <c r="AY475" s="93"/>
      <c r="AZ475" s="93"/>
      <c r="BA475" s="93"/>
      <c r="BB475" s="93"/>
      <c r="BC475" s="93"/>
      <c r="BD475" s="93"/>
      <c r="BE475" s="93"/>
      <c r="BF475" s="93"/>
      <c r="BG475" s="93"/>
      <c r="BH475" s="93"/>
      <c r="BI475" s="93" t="s">
        <v>237</v>
      </c>
      <c r="BJ475" s="93" t="s">
        <v>252</v>
      </c>
      <c r="BK475" s="93">
        <v>6.8822999999999999</v>
      </c>
      <c r="BL475" s="93" t="s">
        <v>642</v>
      </c>
      <c r="BM475" s="93">
        <v>2.98E-3</v>
      </c>
      <c r="BN475" s="93">
        <v>2.98E-3</v>
      </c>
      <c r="BO475" s="93" t="s">
        <v>241</v>
      </c>
      <c r="BP475" s="93">
        <v>1</v>
      </c>
      <c r="BQ475" s="93"/>
      <c r="BR475" s="93"/>
      <c r="BS475" s="93"/>
      <c r="BT475" s="93"/>
      <c r="BU475" s="93"/>
      <c r="BV475" s="93"/>
      <c r="BW475" s="93"/>
      <c r="BX475" s="93"/>
      <c r="BY475" s="93"/>
      <c r="BZ475" s="93"/>
      <c r="CA475" s="93"/>
      <c r="CB475" s="98"/>
      <c r="CC475" s="98"/>
      <c r="CD475" s="98"/>
      <c r="CE475" s="98"/>
      <c r="CF475" s="98"/>
      <c r="CG475" s="98"/>
      <c r="CH475" s="98"/>
      <c r="CI475" s="98"/>
      <c r="CJ475" s="98"/>
      <c r="CK475" s="98"/>
      <c r="CL475" s="98"/>
      <c r="CM475" s="98"/>
      <c r="CN475" s="98"/>
      <c r="CR475" s="98"/>
      <c r="CS475" s="98"/>
      <c r="CT475" s="98"/>
      <c r="CU475" s="98"/>
      <c r="CV475" s="98"/>
      <c r="CW475" s="98"/>
      <c r="CX475" s="98"/>
      <c r="CY475" s="98"/>
      <c r="CZ475" s="98"/>
      <c r="DA475" s="98"/>
      <c r="DB475" s="98"/>
      <c r="DC475" s="98"/>
      <c r="DD475" s="98"/>
      <c r="DE475" s="98"/>
      <c r="DF475" s="98"/>
      <c r="DG475" s="98"/>
      <c r="DH475" s="98"/>
      <c r="DI475" s="98"/>
      <c r="DJ475" s="98"/>
      <c r="DK475" s="98"/>
      <c r="DL475" s="98"/>
      <c r="DM475" s="98"/>
      <c r="DN475" s="98"/>
      <c r="DO475" s="98"/>
      <c r="DP475" s="98"/>
      <c r="DQ475" s="98"/>
      <c r="DR475" s="98"/>
      <c r="DS475" s="98"/>
      <c r="DT475" s="98"/>
      <c r="DU475" s="98"/>
      <c r="DV475" s="98"/>
      <c r="DW475" s="98"/>
      <c r="DX475" s="98"/>
      <c r="DY475" s="98"/>
      <c r="DZ475" s="98"/>
      <c r="EA475" s="98"/>
      <c r="EB475" s="98"/>
      <c r="EC475" s="98"/>
      <c r="ED475" s="98"/>
      <c r="EE475" s="98"/>
      <c r="EF475" s="98"/>
      <c r="EG475" s="98"/>
    </row>
    <row r="476" spans="1:137" ht="15" hidden="1" customHeight="1" x14ac:dyDescent="0.25">
      <c r="A476" s="98"/>
      <c r="V476" s="98"/>
      <c r="AA476" s="98"/>
      <c r="AB476" s="98"/>
      <c r="AD476" s="98"/>
      <c r="AE476" s="98"/>
      <c r="AH476" s="98"/>
      <c r="AI476" s="98"/>
      <c r="AK476" s="98"/>
      <c r="AR476" s="98"/>
      <c r="AV476" s="98"/>
      <c r="AX476" s="98"/>
      <c r="AY476" s="93"/>
      <c r="AZ476" s="93"/>
      <c r="BA476" s="93"/>
      <c r="BB476" s="93"/>
      <c r="BC476" s="93"/>
      <c r="BD476" s="93"/>
      <c r="BE476" s="93"/>
      <c r="BF476" s="93"/>
      <c r="BG476" s="93"/>
      <c r="BH476" s="93"/>
      <c r="BI476" s="93" t="s">
        <v>368</v>
      </c>
      <c r="BJ476" s="93" t="s">
        <v>252</v>
      </c>
      <c r="BK476" s="93">
        <v>5.9200999999999997</v>
      </c>
      <c r="BL476" s="93" t="s">
        <v>642</v>
      </c>
      <c r="BM476" s="93">
        <v>3.4799999999999996E-3</v>
      </c>
      <c r="BN476" s="93">
        <v>3.4799999999999996E-3</v>
      </c>
      <c r="BO476" s="93" t="s">
        <v>241</v>
      </c>
      <c r="BP476" s="93">
        <v>1</v>
      </c>
      <c r="BQ476" s="93"/>
      <c r="BR476" s="93"/>
      <c r="BS476" s="93"/>
      <c r="BT476" s="93"/>
      <c r="BU476" s="93"/>
      <c r="BV476" s="93"/>
      <c r="BW476" s="93"/>
      <c r="BX476" s="93"/>
      <c r="BY476" s="93"/>
      <c r="BZ476" s="93"/>
      <c r="CA476" s="93"/>
      <c r="CB476" s="98"/>
      <c r="CC476" s="98"/>
      <c r="CD476" s="98"/>
      <c r="CE476" s="98"/>
      <c r="CF476" s="98"/>
      <c r="CG476" s="98"/>
      <c r="CH476" s="98"/>
      <c r="CI476" s="98"/>
      <c r="CJ476" s="98"/>
      <c r="CK476" s="98"/>
      <c r="CL476" s="98"/>
      <c r="CM476" s="98"/>
      <c r="CN476" s="98"/>
      <c r="CR476" s="98"/>
      <c r="CS476" s="98"/>
      <c r="CT476" s="98"/>
      <c r="CU476" s="98"/>
      <c r="CV476" s="98"/>
      <c r="CW476" s="98"/>
      <c r="CX476" s="98"/>
      <c r="CY476" s="98"/>
      <c r="CZ476" s="98"/>
      <c r="DA476" s="98"/>
      <c r="DB476" s="98"/>
      <c r="DC476" s="98"/>
      <c r="DD476" s="98"/>
      <c r="DE476" s="98"/>
      <c r="DF476" s="98"/>
      <c r="DG476" s="98"/>
      <c r="DH476" s="98"/>
      <c r="DI476" s="98"/>
      <c r="DJ476" s="98"/>
      <c r="DK476" s="98"/>
      <c r="DL476" s="98"/>
      <c r="DM476" s="98"/>
      <c r="DN476" s="98"/>
      <c r="DO476" s="98"/>
      <c r="DP476" s="98"/>
      <c r="DQ476" s="98"/>
      <c r="DR476" s="98"/>
      <c r="DS476" s="98"/>
      <c r="DT476" s="98"/>
      <c r="DU476" s="98"/>
      <c r="DV476" s="98"/>
      <c r="DW476" s="98"/>
      <c r="DX476" s="98"/>
      <c r="DY476" s="98"/>
      <c r="DZ476" s="98"/>
      <c r="EA476" s="98"/>
      <c r="EB476" s="98"/>
      <c r="EC476" s="98"/>
      <c r="ED476" s="98"/>
      <c r="EE476" s="98"/>
      <c r="EF476" s="98"/>
      <c r="EG476" s="98"/>
    </row>
    <row r="477" spans="1:137" ht="15" hidden="1" customHeight="1" x14ac:dyDescent="0.25">
      <c r="A477" s="98"/>
      <c r="V477" s="98"/>
      <c r="AA477" s="98"/>
      <c r="AB477" s="98"/>
      <c r="AD477" s="98"/>
      <c r="AE477" s="98"/>
      <c r="AH477" s="98"/>
      <c r="AI477" s="98"/>
      <c r="AK477" s="98"/>
      <c r="AR477" s="98"/>
      <c r="AV477" s="98"/>
      <c r="AX477" s="98"/>
      <c r="AY477" s="93"/>
      <c r="AZ477" s="93"/>
      <c r="BA477" s="93"/>
      <c r="BB477" s="93"/>
      <c r="BC477" s="93"/>
      <c r="BD477" s="93"/>
      <c r="BE477" s="93"/>
      <c r="BF477" s="93"/>
      <c r="BG477" s="93"/>
      <c r="BH477" s="93"/>
      <c r="BI477" s="93"/>
      <c r="BJ477" s="93"/>
      <c r="BK477" s="93"/>
      <c r="BL477" s="93"/>
      <c r="BM477" s="93"/>
      <c r="BN477" s="93"/>
      <c r="BO477" s="93"/>
      <c r="BP477" s="93"/>
      <c r="BQ477" s="93"/>
      <c r="BR477" s="93"/>
      <c r="BS477" s="93"/>
      <c r="BT477" s="93"/>
      <c r="BU477" s="93"/>
      <c r="BV477" s="93"/>
      <c r="BW477" s="93"/>
      <c r="BX477" s="93"/>
      <c r="BY477" s="93"/>
      <c r="BZ477" s="93"/>
      <c r="CA477" s="93"/>
      <c r="CB477" s="98"/>
      <c r="CC477" s="98"/>
      <c r="CD477" s="98"/>
      <c r="CE477" s="98"/>
      <c r="CF477" s="98"/>
      <c r="CG477" s="98"/>
      <c r="CH477" s="98"/>
      <c r="CI477" s="98"/>
      <c r="CJ477" s="98"/>
      <c r="CK477" s="98"/>
      <c r="CL477" s="98"/>
      <c r="CM477" s="98"/>
      <c r="CN477" s="98"/>
      <c r="CR477" s="98"/>
      <c r="CS477" s="98"/>
      <c r="CT477" s="98"/>
      <c r="CU477" s="98"/>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row>
    <row r="478" spans="1:137" ht="15" hidden="1" customHeight="1" x14ac:dyDescent="0.25">
      <c r="A478" s="98"/>
      <c r="V478" s="98"/>
      <c r="AA478" s="98"/>
      <c r="AB478" s="98"/>
      <c r="AD478" s="98"/>
      <c r="AE478" s="98"/>
      <c r="AH478" s="98"/>
      <c r="AI478" s="98"/>
      <c r="AK478" s="98"/>
      <c r="AR478" s="98"/>
      <c r="AV478" s="98"/>
      <c r="AX478" s="98"/>
      <c r="AY478" s="93"/>
      <c r="AZ478" s="93"/>
      <c r="BA478" s="93"/>
      <c r="BB478" s="93"/>
      <c r="BC478" s="93"/>
      <c r="BD478" s="93"/>
      <c r="BE478" s="93"/>
      <c r="BF478" s="93"/>
      <c r="BG478" s="93"/>
      <c r="BH478" s="93"/>
      <c r="BI478" s="93"/>
      <c r="BJ478" s="93"/>
      <c r="BK478" s="93"/>
      <c r="BL478" s="93"/>
      <c r="BM478" s="93"/>
      <c r="BN478" s="93"/>
      <c r="BO478" s="93"/>
      <c r="BP478" s="93"/>
      <c r="BQ478" s="93"/>
      <c r="BR478" s="93"/>
      <c r="BS478" s="93"/>
      <c r="BT478" s="93"/>
      <c r="BU478" s="93"/>
      <c r="BV478" s="93"/>
      <c r="BW478" s="93"/>
      <c r="BX478" s="93"/>
      <c r="BY478" s="93"/>
      <c r="BZ478" s="93"/>
      <c r="CA478" s="93"/>
      <c r="CB478" s="98"/>
      <c r="CC478" s="98"/>
      <c r="CD478" s="98"/>
      <c r="CE478" s="98"/>
      <c r="CF478" s="98"/>
      <c r="CG478" s="98"/>
      <c r="CH478" s="98"/>
      <c r="CI478" s="98"/>
      <c r="CJ478" s="98"/>
      <c r="CK478" s="98"/>
      <c r="CL478" s="98"/>
      <c r="CM478" s="98"/>
      <c r="CN478" s="98"/>
      <c r="CR478" s="98"/>
      <c r="CS478" s="98"/>
      <c r="CT478" s="98"/>
      <c r="CU478" s="98"/>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row>
    <row r="479" spans="1:137" ht="15" hidden="1" customHeight="1" x14ac:dyDescent="0.25">
      <c r="A479" s="98"/>
      <c r="V479" s="98"/>
      <c r="AA479" s="98"/>
      <c r="AB479" s="98"/>
      <c r="AD479" s="98"/>
      <c r="AE479" s="98"/>
      <c r="AH479" s="98"/>
      <c r="AI479" s="98"/>
      <c r="AK479" s="98"/>
      <c r="AR479" s="98"/>
      <c r="AV479" s="98"/>
      <c r="AX479" s="98"/>
      <c r="AY479" s="93"/>
      <c r="AZ479" s="93"/>
      <c r="BA479" s="93"/>
      <c r="BB479" s="93"/>
      <c r="BC479" s="93"/>
      <c r="BD479" s="93"/>
      <c r="BE479" s="93"/>
      <c r="BF479" s="93"/>
      <c r="BG479" s="93"/>
      <c r="BH479" s="93"/>
      <c r="BI479" s="93" t="s">
        <v>232</v>
      </c>
      <c r="BJ479" s="93"/>
      <c r="BK479" s="93" t="s">
        <v>267</v>
      </c>
      <c r="BL479" s="93"/>
      <c r="BM479" s="93" t="s">
        <v>233</v>
      </c>
      <c r="BN479" s="93" t="s">
        <v>233</v>
      </c>
      <c r="BO479" s="93" t="s">
        <v>240</v>
      </c>
      <c r="BP479" s="93"/>
      <c r="BQ479" s="93"/>
      <c r="BR479" s="93"/>
      <c r="BS479" s="93"/>
      <c r="BT479" s="93"/>
      <c r="BU479" s="93"/>
      <c r="BV479" s="93"/>
      <c r="BW479" s="93"/>
      <c r="BX479" s="93"/>
      <c r="BY479" s="93"/>
      <c r="BZ479" s="93"/>
      <c r="CA479" s="93"/>
      <c r="CB479" s="98"/>
      <c r="CC479" s="98"/>
      <c r="CD479" s="98"/>
      <c r="CE479" s="98"/>
      <c r="CF479" s="98"/>
      <c r="CG479" s="98"/>
      <c r="CH479" s="98"/>
      <c r="CI479" s="98"/>
      <c r="CJ479" s="98"/>
      <c r="CK479" s="98"/>
      <c r="CL479" s="98"/>
      <c r="CM479" s="98"/>
      <c r="CN479" s="98"/>
      <c r="CR479" s="98"/>
      <c r="CS479" s="98"/>
      <c r="CT479" s="98"/>
      <c r="CU479" s="98"/>
      <c r="CV479" s="98"/>
      <c r="CW479" s="98"/>
      <c r="CX479" s="98"/>
      <c r="CY479" s="98"/>
      <c r="CZ479" s="98"/>
      <c r="DA479" s="98"/>
      <c r="DB479" s="98"/>
      <c r="DC479" s="98"/>
      <c r="DD479" s="98"/>
      <c r="DE479" s="98"/>
      <c r="DF479" s="98"/>
      <c r="DG479" s="98"/>
      <c r="DH479" s="98"/>
      <c r="DI479" s="98"/>
      <c r="DJ479" s="98"/>
      <c r="DK479" s="98"/>
      <c r="DL479" s="98"/>
      <c r="DM479" s="98"/>
      <c r="DN479" s="98"/>
      <c r="DO479" s="98"/>
      <c r="DP479" s="98"/>
      <c r="DQ479" s="98"/>
      <c r="DR479" s="98"/>
      <c r="DS479" s="98"/>
      <c r="DT479" s="98"/>
      <c r="DU479" s="98"/>
      <c r="DV479" s="98"/>
      <c r="DW479" s="98"/>
      <c r="DX479" s="98"/>
      <c r="DY479" s="98"/>
      <c r="DZ479" s="98"/>
      <c r="EA479" s="98"/>
      <c r="EB479" s="98"/>
      <c r="EC479" s="98"/>
      <c r="ED479" s="98"/>
      <c r="EE479" s="98"/>
      <c r="EF479" s="98"/>
      <c r="EG479" s="98"/>
    </row>
    <row r="480" spans="1:137" ht="15" hidden="1" customHeight="1" x14ac:dyDescent="0.25">
      <c r="A480" s="98"/>
      <c r="V480" s="98"/>
      <c r="AA480" s="98"/>
      <c r="AB480" s="98"/>
      <c r="AD480" s="98"/>
      <c r="AE480" s="98"/>
      <c r="AH480" s="98"/>
      <c r="AI480" s="98"/>
      <c r="AK480" s="98"/>
      <c r="AR480" s="98"/>
      <c r="AV480" s="98"/>
      <c r="AX480" s="98"/>
      <c r="AY480" s="93"/>
      <c r="AZ480" s="93"/>
      <c r="BA480" s="93"/>
      <c r="BB480" s="93"/>
      <c r="BC480" s="93"/>
      <c r="BD480" s="93"/>
      <c r="BE480" s="93"/>
      <c r="BF480" s="93"/>
      <c r="BG480" s="93"/>
      <c r="BH480" s="93"/>
      <c r="BI480" s="93"/>
      <c r="BJ480" s="93" t="s">
        <v>253</v>
      </c>
      <c r="BK480" s="93"/>
      <c r="BL480" s="93" t="s">
        <v>251</v>
      </c>
      <c r="BM480" s="93"/>
      <c r="BN480" s="93"/>
      <c r="BO480" s="93"/>
      <c r="BP480" s="93"/>
      <c r="BQ480" s="93"/>
      <c r="BR480" s="93"/>
      <c r="BS480" s="93"/>
      <c r="BT480" s="93"/>
      <c r="BU480" s="93"/>
      <c r="BV480" s="93"/>
      <c r="BW480" s="93"/>
      <c r="BX480" s="93"/>
      <c r="BY480" s="93"/>
      <c r="BZ480" s="93"/>
      <c r="CA480" s="93"/>
      <c r="CB480" s="98"/>
      <c r="CC480" s="98"/>
      <c r="CD480" s="98"/>
      <c r="CE480" s="98"/>
      <c r="CF480" s="98"/>
      <c r="CG480" s="98"/>
      <c r="CH480" s="98"/>
      <c r="CI480" s="98"/>
      <c r="CJ480" s="98"/>
      <c r="CK480" s="98"/>
      <c r="CL480" s="98"/>
      <c r="CM480" s="98"/>
      <c r="CN480" s="98"/>
      <c r="CR480" s="98"/>
      <c r="CS480" s="98"/>
      <c r="CT480" s="98"/>
      <c r="CU480" s="98"/>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row>
    <row r="481" spans="1:137" ht="15" hidden="1" customHeight="1" x14ac:dyDescent="0.25">
      <c r="A481" s="98"/>
      <c r="V481" s="98"/>
      <c r="AA481" s="98"/>
      <c r="AB481" s="98"/>
      <c r="AD481" s="98"/>
      <c r="AE481" s="98"/>
      <c r="AH481" s="98"/>
      <c r="AI481" s="98"/>
      <c r="AK481" s="98"/>
      <c r="AR481" s="98"/>
      <c r="AV481" s="98"/>
      <c r="AX481" s="98"/>
      <c r="AY481" s="93"/>
      <c r="AZ481" s="93"/>
      <c r="BA481" s="93"/>
      <c r="BB481" s="93"/>
      <c r="BC481" s="93"/>
      <c r="BD481" s="93"/>
      <c r="BE481" s="93"/>
      <c r="BF481" s="93"/>
      <c r="BG481" s="93"/>
      <c r="BH481" s="93"/>
      <c r="BI481" s="93" t="s">
        <v>274</v>
      </c>
      <c r="BJ481" s="93" t="s">
        <v>643</v>
      </c>
      <c r="BK481" s="93">
        <v>1.8565</v>
      </c>
      <c r="BL481" s="93" t="s">
        <v>644</v>
      </c>
      <c r="BM481" s="93">
        <v>8.8870000000000005E-2</v>
      </c>
      <c r="BN481" s="93">
        <v>8.8870000000000005E-2</v>
      </c>
      <c r="BO481" s="93" t="s">
        <v>241</v>
      </c>
      <c r="BP481" s="93">
        <v>1</v>
      </c>
      <c r="BQ481" s="93"/>
      <c r="BR481" s="93"/>
      <c r="BS481" s="93"/>
      <c r="BT481" s="93"/>
      <c r="BU481" s="93"/>
      <c r="BV481" s="93"/>
      <c r="BW481" s="93"/>
      <c r="BX481" s="93"/>
      <c r="BY481" s="93"/>
      <c r="BZ481" s="93"/>
      <c r="CA481" s="93"/>
      <c r="CB481" s="98"/>
      <c r="CC481" s="98"/>
      <c r="CD481" s="98"/>
      <c r="CE481" s="98"/>
      <c r="CF481" s="98"/>
      <c r="CG481" s="98"/>
      <c r="CH481" s="98"/>
      <c r="CI481" s="98"/>
      <c r="CJ481" s="98"/>
      <c r="CK481" s="98"/>
      <c r="CL481" s="98"/>
      <c r="CM481" s="98"/>
      <c r="CN481" s="98"/>
      <c r="CR481" s="98"/>
      <c r="CS481" s="98"/>
      <c r="CT481" s="98"/>
      <c r="CU481" s="98"/>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row>
    <row r="482" spans="1:137" ht="15" hidden="1" customHeight="1" x14ac:dyDescent="0.25">
      <c r="A482" s="98"/>
      <c r="V482" s="98"/>
      <c r="AA482" s="98"/>
      <c r="AB482" s="98"/>
      <c r="AD482" s="98"/>
      <c r="AE482" s="98"/>
      <c r="AH482" s="98"/>
      <c r="AI482" s="98"/>
      <c r="AK482" s="98"/>
      <c r="AR482" s="98"/>
      <c r="AV482" s="98"/>
      <c r="AX482" s="98"/>
      <c r="AY482" s="93"/>
      <c r="AZ482" s="93"/>
      <c r="BA482" s="93"/>
      <c r="BB482" s="93"/>
      <c r="BC482" s="93"/>
      <c r="BD482" s="93"/>
      <c r="BE482" s="93"/>
      <c r="BF482" s="93"/>
      <c r="BG482" s="93"/>
      <c r="BH482" s="93"/>
      <c r="BI482" s="93"/>
      <c r="BJ482" s="93"/>
      <c r="BK482" s="93"/>
      <c r="BL482" s="93"/>
      <c r="BM482" s="93"/>
      <c r="BN482" s="93"/>
      <c r="BO482" s="93"/>
      <c r="BP482" s="93"/>
      <c r="BQ482" s="93"/>
      <c r="BR482" s="93"/>
      <c r="BS482" s="93"/>
      <c r="BT482" s="93"/>
      <c r="BU482" s="93"/>
      <c r="BV482" s="93"/>
      <c r="BW482" s="93"/>
      <c r="BX482" s="93"/>
      <c r="BY482" s="93"/>
      <c r="BZ482" s="93"/>
      <c r="CA482" s="93"/>
      <c r="CB482" s="98"/>
      <c r="CC482" s="98"/>
      <c r="CD482" s="98"/>
      <c r="CE482" s="98"/>
      <c r="CF482" s="98"/>
      <c r="CG482" s="98"/>
      <c r="CH482" s="98"/>
      <c r="CI482" s="98"/>
      <c r="CJ482" s="98"/>
      <c r="CK482" s="98"/>
      <c r="CL482" s="98"/>
      <c r="CM482" s="98"/>
      <c r="CN482" s="98"/>
      <c r="CR482" s="98"/>
      <c r="CS482" s="98"/>
      <c r="CT482" s="98"/>
      <c r="CU482" s="98"/>
      <c r="CV482" s="98"/>
      <c r="CW482" s="98"/>
      <c r="CX482" s="98"/>
      <c r="CY482" s="98"/>
      <c r="CZ482" s="98"/>
      <c r="DA482" s="98"/>
      <c r="DB482" s="98"/>
      <c r="DC482" s="98"/>
      <c r="DD482" s="98"/>
      <c r="DE482" s="98"/>
      <c r="DF482" s="98"/>
      <c r="DG482" s="98"/>
      <c r="DH482" s="98"/>
      <c r="DI482" s="98"/>
      <c r="DJ482" s="98"/>
      <c r="DK482" s="98"/>
      <c r="DL482" s="98"/>
      <c r="DM482" s="98"/>
      <c r="DN482" s="98"/>
      <c r="DO482" s="98"/>
      <c r="DP482" s="98"/>
      <c r="DQ482" s="98"/>
      <c r="DR482" s="98"/>
      <c r="DS482" s="98"/>
      <c r="DT482" s="98"/>
      <c r="DU482" s="98"/>
      <c r="DV482" s="98"/>
      <c r="DW482" s="98"/>
      <c r="DX482" s="98"/>
      <c r="DY482" s="98"/>
      <c r="DZ482" s="98"/>
      <c r="EA482" s="98"/>
      <c r="EB482" s="98"/>
      <c r="EC482" s="98"/>
      <c r="ED482" s="98"/>
      <c r="EE482" s="98"/>
      <c r="EF482" s="98"/>
      <c r="EG482" s="98"/>
    </row>
    <row r="483" spans="1:137" ht="15" hidden="1" customHeight="1" x14ac:dyDescent="0.25">
      <c r="A483" s="98"/>
      <c r="V483" s="98"/>
      <c r="AA483" s="98"/>
      <c r="AB483" s="98"/>
      <c r="AD483" s="98"/>
      <c r="AE483" s="98"/>
      <c r="AH483" s="98"/>
      <c r="AI483" s="98"/>
      <c r="AK483" s="98"/>
      <c r="AR483" s="98"/>
      <c r="AV483" s="98"/>
      <c r="AX483" s="98"/>
      <c r="AY483" s="93"/>
      <c r="AZ483" s="93"/>
      <c r="BA483" s="93"/>
      <c r="BB483" s="93"/>
      <c r="BC483" s="93"/>
      <c r="BD483" s="93"/>
      <c r="BE483" s="93"/>
      <c r="BF483" s="93"/>
      <c r="BG483" s="93"/>
      <c r="BH483" s="93"/>
      <c r="BI483" s="93"/>
      <c r="BJ483" s="93"/>
      <c r="BK483" s="93"/>
      <c r="BL483" s="93"/>
      <c r="BM483" s="93"/>
      <c r="BN483" s="93"/>
      <c r="BO483" s="93"/>
      <c r="BP483" s="93"/>
      <c r="BQ483" s="93"/>
      <c r="BR483" s="93"/>
      <c r="BS483" s="93"/>
      <c r="BT483" s="93"/>
      <c r="BU483" s="93"/>
      <c r="BV483" s="93"/>
      <c r="BW483" s="93"/>
      <c r="BX483" s="93"/>
      <c r="BY483" s="93"/>
      <c r="BZ483" s="93"/>
      <c r="CA483" s="93"/>
      <c r="CB483" s="98"/>
      <c r="CC483" s="98"/>
      <c r="CD483" s="98"/>
      <c r="CE483" s="98"/>
      <c r="CF483" s="98"/>
      <c r="CG483" s="98"/>
      <c r="CH483" s="98"/>
      <c r="CI483" s="98"/>
      <c r="CJ483" s="98"/>
      <c r="CK483" s="98"/>
      <c r="CL483" s="98"/>
      <c r="CM483" s="98"/>
      <c r="CN483" s="98"/>
      <c r="CR483" s="98"/>
      <c r="CS483" s="98"/>
      <c r="CT483" s="98"/>
      <c r="CU483" s="98"/>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row>
    <row r="484" spans="1:137" x14ac:dyDescent="0.25">
      <c r="AY484" s="93"/>
      <c r="AZ484" s="93"/>
      <c r="BA484" s="93"/>
      <c r="BB484" s="93"/>
      <c r="BC484" s="93"/>
      <c r="BD484" s="93"/>
      <c r="BE484" s="93"/>
      <c r="BF484" s="93"/>
      <c r="BG484" s="93"/>
      <c r="BH484" s="93"/>
      <c r="BI484" s="93"/>
      <c r="BJ484" s="93"/>
      <c r="BK484" s="93"/>
      <c r="BL484" s="93"/>
      <c r="BM484" s="93"/>
      <c r="BN484" s="93"/>
      <c r="BO484" s="93"/>
      <c r="BP484" s="93"/>
      <c r="BQ484" s="93"/>
      <c r="BR484" s="93"/>
      <c r="BS484" s="93"/>
      <c r="BT484" s="93"/>
      <c r="BU484" s="93"/>
      <c r="BV484" s="93"/>
      <c r="BW484" s="93"/>
      <c r="BX484" s="93"/>
      <c r="BY484" s="93"/>
      <c r="BZ484" s="93"/>
      <c r="CA484" s="93"/>
    </row>
    <row r="485" spans="1:137" x14ac:dyDescent="0.25">
      <c r="AY485" s="93"/>
      <c r="AZ485" s="93"/>
      <c r="BA485" s="93"/>
      <c r="BB485" s="93"/>
      <c r="BC485" s="93"/>
      <c r="BD485" s="93"/>
      <c r="BE485" s="93"/>
      <c r="BF485" s="93"/>
      <c r="BG485" s="93"/>
      <c r="BH485" s="93"/>
      <c r="BI485" s="93"/>
      <c r="BJ485" s="93"/>
      <c r="BK485" s="93"/>
      <c r="BL485" s="93"/>
      <c r="BM485" s="93"/>
      <c r="BN485" s="93"/>
      <c r="BO485" s="93"/>
      <c r="BP485" s="93"/>
      <c r="BQ485" s="93"/>
      <c r="BR485" s="93"/>
      <c r="BS485" s="93"/>
      <c r="BT485" s="93"/>
      <c r="BU485" s="93"/>
      <c r="BV485" s="93"/>
      <c r="BW485" s="93"/>
      <c r="BX485" s="93"/>
      <c r="BY485" s="93"/>
      <c r="BZ485" s="93"/>
      <c r="CA485" s="93"/>
    </row>
    <row r="486" spans="1:137" x14ac:dyDescent="0.25">
      <c r="AY486" s="93"/>
      <c r="AZ486" s="93"/>
      <c r="BA486" s="93"/>
      <c r="BB486" s="93"/>
      <c r="BC486" s="93"/>
      <c r="BD486" s="93"/>
      <c r="BE486" s="93"/>
      <c r="BF486" s="93"/>
      <c r="BG486" s="93"/>
      <c r="BH486" s="93"/>
      <c r="BI486" s="93"/>
      <c r="BJ486" s="93"/>
      <c r="BK486" s="93"/>
      <c r="BL486" s="93"/>
      <c r="BM486" s="93"/>
      <c r="BN486" s="93"/>
      <c r="BO486" s="93"/>
      <c r="BP486" s="93"/>
      <c r="BQ486" s="93"/>
      <c r="BR486" s="93"/>
      <c r="BS486" s="93"/>
      <c r="BT486" s="93"/>
      <c r="BU486" s="93"/>
      <c r="BV486" s="93"/>
      <c r="BW486" s="93"/>
      <c r="BX486" s="93"/>
      <c r="BY486" s="93"/>
      <c r="BZ486" s="93"/>
      <c r="CA486" s="93"/>
    </row>
    <row r="487" spans="1:137" x14ac:dyDescent="0.25">
      <c r="AY487" s="93"/>
      <c r="AZ487" s="93"/>
      <c r="BA487" s="93"/>
      <c r="BB487" s="93"/>
      <c r="BC487" s="93"/>
      <c r="BD487" s="93"/>
      <c r="BE487" s="93"/>
      <c r="BF487" s="93"/>
      <c r="BG487" s="93"/>
      <c r="BH487" s="93"/>
      <c r="BI487" s="93"/>
      <c r="BJ487" s="93"/>
      <c r="BK487" s="93"/>
      <c r="BL487" s="93"/>
      <c r="BM487" s="93"/>
      <c r="BN487" s="93"/>
      <c r="BO487" s="93"/>
      <c r="BP487" s="93"/>
      <c r="BQ487" s="93"/>
      <c r="BR487" s="93"/>
      <c r="BS487" s="93"/>
      <c r="BT487" s="93"/>
      <c r="BU487" s="93"/>
      <c r="BV487" s="93"/>
      <c r="BW487" s="93"/>
      <c r="BX487" s="93"/>
      <c r="BY487" s="93"/>
      <c r="BZ487" s="93"/>
      <c r="CA487" s="93"/>
    </row>
    <row r="488" spans="1:137" x14ac:dyDescent="0.25">
      <c r="AY488" s="93"/>
      <c r="AZ488" s="93"/>
      <c r="BA488" s="93"/>
      <c r="BB488" s="93"/>
      <c r="BC488" s="93"/>
      <c r="BD488" s="93"/>
      <c r="BE488" s="93"/>
      <c r="BF488" s="93"/>
      <c r="BG488" s="93"/>
      <c r="BH488" s="93"/>
      <c r="BI488" s="93"/>
      <c r="BJ488" s="93"/>
      <c r="BK488" s="93"/>
      <c r="BL488" s="93"/>
      <c r="BM488" s="93"/>
      <c r="BN488" s="93"/>
      <c r="BO488" s="93"/>
      <c r="BP488" s="93"/>
      <c r="BQ488" s="93"/>
      <c r="BR488" s="93"/>
      <c r="BS488" s="93"/>
      <c r="BT488" s="93"/>
      <c r="BU488" s="93"/>
      <c r="BV488" s="93"/>
      <c r="BW488" s="93"/>
      <c r="BX488" s="93"/>
      <c r="BY488" s="93"/>
      <c r="BZ488" s="93"/>
      <c r="CA488" s="93"/>
    </row>
    <row r="489" spans="1:137" x14ac:dyDescent="0.25">
      <c r="AY489" s="93"/>
      <c r="AZ489" s="93"/>
      <c r="BA489" s="93"/>
      <c r="BB489" s="93"/>
      <c r="BC489" s="93"/>
      <c r="BD489" s="93"/>
      <c r="BE489" s="93"/>
      <c r="BF489" s="93"/>
      <c r="BG489" s="93"/>
      <c r="BH489" s="93"/>
      <c r="BI489" s="93"/>
      <c r="BJ489" s="93"/>
      <c r="BK489" s="93"/>
      <c r="BL489" s="93"/>
      <c r="BM489" s="93"/>
      <c r="BN489" s="93"/>
      <c r="BO489" s="93"/>
      <c r="BP489" s="93"/>
      <c r="BQ489" s="93"/>
      <c r="BR489" s="93"/>
      <c r="BS489" s="93"/>
      <c r="BT489" s="93"/>
      <c r="BU489" s="93"/>
      <c r="BV489" s="93"/>
      <c r="BW489" s="93"/>
      <c r="BX489" s="93"/>
      <c r="BY489" s="93"/>
      <c r="BZ489" s="93"/>
      <c r="CA489" s="93"/>
    </row>
    <row r="490" spans="1:137" x14ac:dyDescent="0.25">
      <c r="AY490" s="93"/>
      <c r="AZ490" s="93"/>
      <c r="BA490" s="93"/>
      <c r="BB490" s="93"/>
      <c r="BC490" s="93"/>
      <c r="BD490" s="93"/>
      <c r="BE490" s="93"/>
      <c r="BF490" s="93"/>
      <c r="BG490" s="93"/>
      <c r="BH490" s="93"/>
      <c r="BI490" s="93"/>
      <c r="BJ490" s="93"/>
      <c r="BK490" s="93"/>
      <c r="BL490" s="93"/>
      <c r="BM490" s="93"/>
      <c r="BN490" s="93"/>
      <c r="BO490" s="93"/>
      <c r="BP490" s="93"/>
      <c r="BQ490" s="93"/>
      <c r="BR490" s="93"/>
      <c r="BS490" s="93"/>
      <c r="BT490" s="93"/>
      <c r="BU490" s="93"/>
      <c r="BV490" s="93"/>
      <c r="BW490" s="93"/>
      <c r="BX490" s="93"/>
      <c r="BY490" s="93"/>
      <c r="BZ490" s="93"/>
      <c r="CA490" s="93"/>
    </row>
    <row r="491" spans="1:137" x14ac:dyDescent="0.25">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row>
    <row r="492" spans="1:137" x14ac:dyDescent="0.25">
      <c r="AY492" s="93"/>
      <c r="AZ492" s="93"/>
      <c r="BA492" s="93"/>
      <c r="BB492" s="93"/>
      <c r="BC492" s="93"/>
      <c r="BD492" s="93"/>
      <c r="BE492" s="93"/>
      <c r="BF492" s="93"/>
      <c r="BG492" s="93"/>
      <c r="BH492" s="93"/>
      <c r="BI492" s="93"/>
      <c r="BJ492" s="93"/>
      <c r="BK492" s="93"/>
      <c r="BL492" s="93"/>
      <c r="BM492" s="93"/>
      <c r="BN492" s="93"/>
      <c r="BO492" s="93"/>
      <c r="BP492" s="93"/>
      <c r="BQ492" s="93"/>
      <c r="BR492" s="93"/>
      <c r="BS492" s="93"/>
      <c r="BT492" s="93"/>
      <c r="BU492" s="93"/>
      <c r="BV492" s="93"/>
      <c r="BW492" s="93"/>
      <c r="BX492" s="93"/>
      <c r="BY492" s="93"/>
      <c r="BZ492" s="93"/>
      <c r="CA492" s="93"/>
    </row>
    <row r="493" spans="1:137" x14ac:dyDescent="0.25">
      <c r="AY493" s="93"/>
      <c r="AZ493" s="93"/>
      <c r="BA493" s="93"/>
      <c r="BB493" s="93"/>
      <c r="BC493" s="93"/>
      <c r="BD493" s="93"/>
      <c r="BE493" s="93"/>
      <c r="BF493" s="93"/>
      <c r="BG493" s="93"/>
      <c r="BH493" s="93"/>
      <c r="BI493" s="93"/>
      <c r="BJ493" s="93"/>
      <c r="BK493" s="93"/>
      <c r="BL493" s="93"/>
      <c r="BM493" s="93"/>
      <c r="BN493" s="93"/>
      <c r="BO493" s="93"/>
      <c r="BP493" s="93"/>
      <c r="BQ493" s="93"/>
      <c r="BR493" s="93"/>
      <c r="BS493" s="93"/>
      <c r="BT493" s="93"/>
      <c r="BU493" s="93"/>
      <c r="BV493" s="93"/>
      <c r="BW493" s="93"/>
      <c r="BX493" s="93"/>
      <c r="BY493" s="93"/>
      <c r="BZ493" s="93"/>
      <c r="CA493" s="93"/>
    </row>
    <row r="494" spans="1:137" x14ac:dyDescent="0.25">
      <c r="AY494" s="93"/>
      <c r="AZ494" s="93"/>
      <c r="BA494" s="93"/>
      <c r="BB494" s="93"/>
      <c r="BC494" s="93"/>
      <c r="BD494" s="93"/>
      <c r="BE494" s="93"/>
      <c r="BF494" s="93"/>
      <c r="BG494" s="93"/>
      <c r="BH494" s="93"/>
      <c r="BI494" s="93"/>
      <c r="BJ494" s="93"/>
      <c r="BK494" s="93"/>
      <c r="BL494" s="93"/>
      <c r="BM494" s="93"/>
      <c r="BN494" s="93"/>
      <c r="BO494" s="93"/>
      <c r="BP494" s="93"/>
      <c r="BQ494" s="93"/>
      <c r="BR494" s="93"/>
      <c r="BS494" s="93"/>
      <c r="BT494" s="93"/>
      <c r="BU494" s="93"/>
      <c r="BV494" s="93"/>
      <c r="BW494" s="93"/>
      <c r="BX494" s="93"/>
      <c r="BY494" s="93"/>
      <c r="BZ494" s="93"/>
      <c r="CA494" s="93"/>
    </row>
  </sheetData>
  <sheetProtection password="C935" sheet="1" objects="1" scenarios="1" formatCells="0" formatColumns="0" formatRows="0" insertRows="0"/>
  <protectedRanges>
    <protectedRange algorithmName="SHA-512" hashValue="JkwGMkyN6uDZy9K3UnLYKHbONkTneyvcBkZbw832pf3/OvzPn47/tOjWWFkoHruJFqsDNzL3ZtFhUW1rxpiesQ==" saltValue="hiIEQ6ppq6xjmWFZjcvCAg==" spinCount="100000" sqref="BP117:BS118 BP102:BP116 BP134:BS135 BW117:BX118 BW134:BX135 CC117:CD118 CC134:CD135 CI117:CJ118 CI134:CJ135 BU117:BU118 BU134:BU135 BS116 BT116:BT118 BS103:BT115 BS121:BT132 BT133:BT135 BS133 CI121:CI133 CC121:CC133 BW121:BW133 BP121:BQ133" name="Rango1_10"/>
  </protectedRanges>
  <mergeCells count="73">
    <mergeCell ref="DJ295:DK295"/>
    <mergeCell ref="DL295:DM295"/>
    <mergeCell ref="AI296:AM296"/>
    <mergeCell ref="DB295:DB296"/>
    <mergeCell ref="DC295:DD295"/>
    <mergeCell ref="DE295:DE296"/>
    <mergeCell ref="DF295:DF296"/>
    <mergeCell ref="CB136:CM136"/>
    <mergeCell ref="CB90:CM90"/>
    <mergeCell ref="DG295:DG296"/>
    <mergeCell ref="DH295:DH296"/>
    <mergeCell ref="DI295:DI296"/>
    <mergeCell ref="AE68:AE69"/>
    <mergeCell ref="AF68:AF69"/>
    <mergeCell ref="B76:AA76"/>
    <mergeCell ref="B53:B54"/>
    <mergeCell ref="CB119:CM119"/>
    <mergeCell ref="X68:AD68"/>
    <mergeCell ref="B70:B71"/>
    <mergeCell ref="B72:B73"/>
    <mergeCell ref="B68:B69"/>
    <mergeCell ref="C68:C69"/>
    <mergeCell ref="D68:R68"/>
    <mergeCell ref="S68:W68"/>
    <mergeCell ref="BF14:BF15"/>
    <mergeCell ref="BG14:BG15"/>
    <mergeCell ref="X15:Y15"/>
    <mergeCell ref="AE15:AF15"/>
    <mergeCell ref="AL15:AM15"/>
    <mergeCell ref="AS15:AT15"/>
    <mergeCell ref="AY15:AZ15"/>
    <mergeCell ref="Y6:AL6"/>
    <mergeCell ref="C7:K7"/>
    <mergeCell ref="Y7:AL7"/>
    <mergeCell ref="B29:B30"/>
    <mergeCell ref="AY14:BE14"/>
    <mergeCell ref="X39:Y39"/>
    <mergeCell ref="AE39:AF39"/>
    <mergeCell ref="AL39:AM39"/>
    <mergeCell ref="B2:AL3"/>
    <mergeCell ref="B12:BG12"/>
    <mergeCell ref="B13:BG13"/>
    <mergeCell ref="B14:B15"/>
    <mergeCell ref="C14:C15"/>
    <mergeCell ref="D14:R14"/>
    <mergeCell ref="S14:W14"/>
    <mergeCell ref="X14:AD14"/>
    <mergeCell ref="AE14:AK14"/>
    <mergeCell ref="AL14:AR14"/>
    <mergeCell ref="AS14:AX14"/>
    <mergeCell ref="B5:AL5"/>
    <mergeCell ref="C6:K6"/>
    <mergeCell ref="AY38:BE38"/>
    <mergeCell ref="BF38:BF39"/>
    <mergeCell ref="BG38:BG39"/>
    <mergeCell ref="AS39:AT39"/>
    <mergeCell ref="AY39:AZ39"/>
    <mergeCell ref="AL38:AR38"/>
    <mergeCell ref="AS38:AX38"/>
    <mergeCell ref="C8:K8"/>
    <mergeCell ref="Y8:AL8"/>
    <mergeCell ref="C9:K9"/>
    <mergeCell ref="Y9:AL9"/>
    <mergeCell ref="C10:K10"/>
    <mergeCell ref="Y10:AL10"/>
    <mergeCell ref="B36:BG36"/>
    <mergeCell ref="B37:BG37"/>
    <mergeCell ref="B38:B39"/>
    <mergeCell ref="C38:C39"/>
    <mergeCell ref="D38:R38"/>
    <mergeCell ref="S38:W38"/>
    <mergeCell ref="X38:AD38"/>
    <mergeCell ref="AE38:AK38"/>
  </mergeCells>
  <dataValidations count="6">
    <dataValidation type="list" allowBlank="1" showInputMessage="1" showErrorMessage="1" sqref="C72:C73">
      <formula1>$BI$481:$BI$482</formula1>
    </dataValidation>
    <dataValidation type="list" allowBlank="1" showInputMessage="1" showErrorMessage="1" sqref="C70:C71">
      <formula1>$BI$475:$BI$476</formula1>
    </dataValidation>
    <dataValidation type="list" allowBlank="1" showInputMessage="1" showErrorMessage="1" sqref="C25:C28 C49:C52">
      <formula1>$BI$159:$BI$180</formula1>
    </dataValidation>
    <dataValidation type="list" allowBlank="1" showInputMessage="1" showErrorMessage="1" sqref="C20:C23 C44:C47">
      <formula1>$BI$138:$BI$155</formula1>
    </dataValidation>
    <dataValidation type="list" allowBlank="1" showInputMessage="1" showErrorMessage="1" sqref="C16:C19 C40:C43">
      <formula1>$BI$121:$BI$133</formula1>
    </dataValidation>
    <dataValidation type="list" allowBlank="1" showInputMessage="1" showErrorMessage="1" sqref="C29:C30 C53:C54">
      <formula1>$BI$191:$BI$192</formula1>
    </dataValidation>
  </dataValidations>
  <hyperlinks>
    <hyperlink ref="Q15" location="'INSTRUCCIONES INCERTIDUMBRE'!C21" display="TOTAL"/>
    <hyperlink ref="R15" location="'INSTRUCCIONES INCERTIDUMBRE'!C22" display="No. DATOS"/>
    <hyperlink ref="S15" location="'INSTRUCCIONES INCERTIDUMBRE'!C23" display="PROMEDIO"/>
    <hyperlink ref="T15" location="'INSTRUCCIONES INCERTIDUMBRE'!C24" display="DESVIACION ESTÁNDAR"/>
    <hyperlink ref="U15" location="'INSTRUCCIONES INCERTIDUMBRE'!C25" display="FACTOR T"/>
    <hyperlink ref="W15" location="'INSTRUCCIONES INCERTIDUMBRE'!C26" display="INCERTIDUMBRE"/>
    <hyperlink ref="BF14:BF15" location="'INSTRUCCIONES INCERTIDUMBRE'!C32" display="'INSTRUCCIONES INCERTIDUMBRE'!C32"/>
    <hyperlink ref="BG14:BG15" location="'INSTRUCCIONES INCERTIDUMBRE'!C34" display="INCERTIDUMBRE DE LA FUENTE"/>
    <hyperlink ref="D15" location="'INSTRUCCIONES INCERTIDUMBRE'!C19" display="UNIDAD"/>
    <hyperlink ref="E15" location="'HC CORPORATIVA-INCERTIDUMBRE'!C20" display="DATO 1"/>
    <hyperlink ref="BU171" r:id="rId1"/>
    <hyperlink ref="BO177" r:id="rId2"/>
    <hyperlink ref="Q69" location="'INSTRUCCIONES INCERTIDUMBRE'!C21" display="TOTAL"/>
    <hyperlink ref="R69" location="'INSTRUCCIONES INCERTIDUMBRE'!C22" display="No. DATOS"/>
    <hyperlink ref="S69" location="'INSTRUCCIONES INCERTIDUMBRE'!C23" display="PROMEDIO"/>
    <hyperlink ref="T69" location="'INSTRUCCIONES INCERTIDUMBRE'!C24" display="DESVIACION ESTÁNDAR"/>
    <hyperlink ref="U69" location="'INSTRUCCIONES INCERTIDUMBRE'!C25" display="FACTOR T"/>
    <hyperlink ref="W69" location="'INSTRUCCIONES INCERTIDUMBRE'!C26" display="INCERTIDUMBRE"/>
    <hyperlink ref="D69" location="'INSTRUCCIONES INCERTIDUMBRE'!C19" display="UNIDAD"/>
    <hyperlink ref="E69" location="'HC CORPORATIVA-INCERTIDUMBRE'!C20" display="DATO 1"/>
    <hyperlink ref="AE68:AE69" location="'INSTRUCCIONES INCERTIDUMBRE'!C32" display="'INSTRUCCIONES INCERTIDUMBRE'!C32"/>
    <hyperlink ref="AF68:AF69" location="'INSTRUCCIONES INCERTIDUMBRE'!C34" display="INCERTIDUMBRE DE LA FUENTE"/>
    <hyperlink ref="Q39" location="'INSTRUCCIONES INCERTIDUMBRE'!C21" display="TOTAL"/>
    <hyperlink ref="R39" location="'INSTRUCCIONES INCERTIDUMBRE'!C22" display="No. DATOS"/>
    <hyperlink ref="S39" location="'INSTRUCCIONES INCERTIDUMBRE'!C23" display="PROMEDIO"/>
    <hyperlink ref="T39" location="'INSTRUCCIONES INCERTIDUMBRE'!C24" display="DESVIACION ESTÁNDAR"/>
    <hyperlink ref="U39" location="'INSTRUCCIONES INCERTIDUMBRE'!C25" display="FACTOR T"/>
    <hyperlink ref="W39" location="'INSTRUCCIONES INCERTIDUMBRE'!C26" display="INCERTIDUMBRE"/>
    <hyperlink ref="BF38:BF39" location="'INSTRUCCIONES INCERTIDUMBRE'!C32" display="'INSTRUCCIONES INCERTIDUMBRE'!C32"/>
    <hyperlink ref="BG38:BG39" location="'INSTRUCCIONES INCERTIDUMBRE'!C34" display="INCERTIDUMBRE DE LA FUENTE"/>
    <hyperlink ref="D39" location="'INSTRUCCIONES INCERTIDUMBRE'!C19" display="UNIDAD"/>
    <hyperlink ref="E39" location="'HC CORPORATIVA-INCERTIDUMBRE'!C20" display="DATO 1"/>
  </hyperlinks>
  <pageMargins left="0.7" right="0.7" top="0.75" bottom="0.75" header="0.3" footer="0.3"/>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2:EG488"/>
  <sheetViews>
    <sheetView topLeftCell="B1" zoomScale="80" zoomScaleNormal="80" workbookViewId="0">
      <selection activeCell="D86" sqref="D86"/>
    </sheetView>
  </sheetViews>
  <sheetFormatPr baseColWidth="10" defaultColWidth="11.42578125" defaultRowHeight="15" x14ac:dyDescent="0.25"/>
  <cols>
    <col min="1" max="1" width="5.5703125" style="97" customWidth="1"/>
    <col min="2" max="2" width="37.85546875" style="98" customWidth="1"/>
    <col min="3" max="3" width="59.42578125" style="98" customWidth="1"/>
    <col min="4" max="4" width="16.42578125" style="98" customWidth="1"/>
    <col min="5" max="5" width="20.7109375" style="98" customWidth="1"/>
    <col min="6" max="16" width="14.42578125" style="98" hidden="1" customWidth="1"/>
    <col min="17" max="17" width="16.7109375" style="98" hidden="1" customWidth="1"/>
    <col min="18" max="18" width="10" style="98" hidden="1" customWidth="1"/>
    <col min="19" max="19" width="13.42578125" style="98" hidden="1" customWidth="1"/>
    <col min="20" max="20" width="13" style="98" hidden="1" customWidth="1"/>
    <col min="21" max="21" width="11.42578125" style="98" hidden="1" customWidth="1"/>
    <col min="22" max="22" width="16.140625" style="93" hidden="1" customWidth="1"/>
    <col min="23" max="23" width="17" style="98" hidden="1" customWidth="1"/>
    <col min="24" max="24" width="13.85546875" style="98" customWidth="1"/>
    <col min="25" max="25" width="15.7109375" style="98" customWidth="1"/>
    <col min="26" max="26" width="16.140625" style="98" hidden="1" customWidth="1"/>
    <col min="27" max="27" width="13.85546875" style="94" customWidth="1"/>
    <col min="28" max="28" width="14" style="94" customWidth="1"/>
    <col min="29" max="29" width="15.85546875" style="98" hidden="1" customWidth="1"/>
    <col min="30" max="30" width="12.85546875" style="94" hidden="1" customWidth="1"/>
    <col min="31" max="31" width="11.42578125" style="95" customWidth="1"/>
    <col min="32" max="32" width="20.5703125" style="98" customWidth="1"/>
    <col min="33" max="33" width="17.140625" style="98" hidden="1" customWidth="1"/>
    <col min="34" max="35" width="12.85546875" style="96" customWidth="1"/>
    <col min="36" max="36" width="16.7109375" style="98" hidden="1" customWidth="1"/>
    <col min="37" max="37" width="12.85546875" style="94" hidden="1" customWidth="1"/>
    <col min="38" max="38" width="11.42578125" style="98" customWidth="1"/>
    <col min="39" max="39" width="20.5703125" style="98" customWidth="1"/>
    <col min="40" max="40" width="17" style="98" hidden="1" customWidth="1"/>
    <col min="41" max="42" width="12.85546875" style="98" customWidth="1"/>
    <col min="43" max="43" width="16.140625" style="98" hidden="1" customWidth="1"/>
    <col min="44" max="44" width="15.140625" style="94" hidden="1" customWidth="1"/>
    <col min="45" max="45" width="11.42578125" style="98" customWidth="1"/>
    <col min="46" max="46" width="20.5703125" style="98" customWidth="1"/>
    <col min="47" max="47" width="16.140625" style="98" hidden="1" customWidth="1"/>
    <col min="48" max="48" width="12.85546875" style="94" customWidth="1"/>
    <col min="49" max="49" width="17.28515625" style="98" hidden="1" customWidth="1"/>
    <col min="50" max="50" width="12.85546875" style="94" hidden="1" customWidth="1"/>
    <col min="51" max="51" width="11.42578125" style="98" customWidth="1"/>
    <col min="52" max="52" width="20.5703125" style="98" customWidth="1"/>
    <col min="53" max="53" width="16.5703125" style="98" hidden="1" customWidth="1"/>
    <col min="54" max="54" width="12.85546875" style="94" customWidth="1"/>
    <col min="55" max="55" width="16" style="94" customWidth="1"/>
    <col min="56" max="56" width="17" style="98" hidden="1" customWidth="1"/>
    <col min="57" max="57" width="12.85546875" style="94" hidden="1" customWidth="1"/>
    <col min="58" max="58" width="21.5703125" style="98" customWidth="1"/>
    <col min="59" max="59" width="20" style="98" customWidth="1"/>
    <col min="60" max="60" width="16.5703125" style="99" customWidth="1"/>
    <col min="61" max="61" width="52.85546875" style="102" customWidth="1"/>
    <col min="62" max="62" width="18.5703125" style="178" customWidth="1"/>
    <col min="63" max="64" width="16.7109375" style="178" customWidth="1"/>
    <col min="65" max="66" width="11.7109375" style="169" customWidth="1"/>
    <col min="67" max="67" width="18.42578125" style="169" customWidth="1"/>
    <col min="68" max="68" width="16.28515625" style="178" customWidth="1"/>
    <col min="69" max="69" width="16" style="178" customWidth="1"/>
    <col min="70" max="70" width="13.42578125" style="178" customWidth="1"/>
    <col min="71" max="72" width="11.7109375" style="178" customWidth="1"/>
    <col min="73" max="73" width="14.85546875" style="178" bestFit="1" customWidth="1"/>
    <col min="74" max="78" width="11.7109375" style="178" customWidth="1"/>
    <col min="79" max="79" width="14.85546875" style="178" bestFit="1" customWidth="1"/>
    <col min="80" max="80" width="11.7109375" style="180" customWidth="1"/>
    <col min="81" max="82" width="11.7109375" style="178" customWidth="1"/>
    <col min="83" max="84" width="11.7109375" style="180" customWidth="1"/>
    <col min="85" max="85" width="14.85546875" style="180" bestFit="1" customWidth="1"/>
    <col min="86" max="86" width="11.7109375" style="180" customWidth="1"/>
    <col min="87" max="88" width="11.7109375" style="178" customWidth="1"/>
    <col min="89" max="90" width="11.7109375" style="180" customWidth="1"/>
    <col min="91" max="91" width="14.85546875" style="180" bestFit="1" customWidth="1"/>
    <col min="92" max="92" width="11.7109375" style="116" customWidth="1"/>
    <col min="93" max="95" width="11.7109375" style="100" customWidth="1"/>
    <col min="96" max="102" width="11.7109375" style="101" customWidth="1"/>
    <col min="103" max="103" width="11.42578125" style="101" customWidth="1"/>
    <col min="104" max="104" width="13.42578125" style="101" customWidth="1"/>
    <col min="105" max="105" width="14.85546875" style="101" customWidth="1"/>
    <col min="106" max="106" width="11.5703125" style="101" customWidth="1"/>
    <col min="107" max="114" width="11.42578125" style="101" customWidth="1"/>
    <col min="115" max="129" width="11.42578125" style="101"/>
    <col min="130" max="137" width="11.42578125" style="100"/>
    <col min="138" max="16384" width="11.42578125" style="98"/>
  </cols>
  <sheetData>
    <row r="2" spans="1:137" s="27" customFormat="1" ht="18.75" customHeight="1" x14ac:dyDescent="0.25">
      <c r="A2" s="26"/>
      <c r="B2" s="1716" t="s">
        <v>1340</v>
      </c>
      <c r="C2" s="1716"/>
      <c r="D2" s="1716"/>
      <c r="E2" s="1716"/>
      <c r="F2" s="1716"/>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31"/>
      <c r="AN2" s="32"/>
      <c r="AO2" s="32"/>
      <c r="AP2" s="32"/>
      <c r="AQ2" s="32"/>
      <c r="AR2" s="33"/>
      <c r="AS2" s="30"/>
      <c r="AT2" s="31"/>
      <c r="AU2" s="32"/>
      <c r="AV2" s="33"/>
      <c r="AW2" s="32"/>
      <c r="AX2" s="33"/>
      <c r="AY2" s="30"/>
      <c r="AZ2" s="31"/>
      <c r="BA2" s="32"/>
      <c r="BB2" s="33"/>
      <c r="BC2" s="33"/>
      <c r="BD2" s="32"/>
      <c r="BE2" s="33"/>
      <c r="BF2" s="34"/>
      <c r="BG2" s="35"/>
      <c r="BH2" s="28"/>
      <c r="BI2" s="64"/>
      <c r="BJ2" s="168"/>
      <c r="BK2" s="168"/>
      <c r="BL2" s="168"/>
      <c r="BM2" s="169"/>
      <c r="BN2" s="169"/>
      <c r="BO2" s="169"/>
      <c r="BP2" s="168"/>
      <c r="BQ2" s="168"/>
      <c r="BR2" s="168"/>
      <c r="BS2" s="168"/>
      <c r="BT2" s="168"/>
      <c r="BU2" s="168"/>
      <c r="BV2" s="168"/>
      <c r="BW2" s="168"/>
      <c r="BX2" s="168"/>
      <c r="BY2" s="168"/>
      <c r="BZ2" s="168"/>
      <c r="CA2" s="168"/>
      <c r="CB2" s="170"/>
      <c r="CC2" s="168"/>
      <c r="CD2" s="168"/>
      <c r="CE2" s="170"/>
      <c r="CF2" s="170"/>
      <c r="CG2" s="170"/>
      <c r="CH2" s="170"/>
      <c r="CI2" s="168"/>
      <c r="CJ2" s="168"/>
      <c r="CK2" s="170"/>
      <c r="CL2" s="170"/>
      <c r="CM2" s="170"/>
      <c r="CN2" s="113"/>
      <c r="CO2" s="36"/>
      <c r="CP2" s="36"/>
      <c r="CQ2" s="36"/>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6"/>
      <c r="EA2" s="36"/>
      <c r="EB2" s="36"/>
      <c r="EC2" s="36"/>
      <c r="ED2" s="36"/>
      <c r="EE2" s="36"/>
      <c r="EF2" s="36"/>
      <c r="EG2" s="36"/>
    </row>
    <row r="3" spans="1:137" s="27" customFormat="1" ht="49.5" customHeight="1" x14ac:dyDescent="0.25">
      <c r="A3" s="26"/>
      <c r="B3" s="1716"/>
      <c r="C3" s="1716"/>
      <c r="D3" s="1716"/>
      <c r="E3" s="1716"/>
      <c r="F3" s="1716"/>
      <c r="G3" s="1716"/>
      <c r="H3" s="1716"/>
      <c r="I3" s="1716"/>
      <c r="J3" s="1716"/>
      <c r="K3" s="1716"/>
      <c r="L3" s="1716"/>
      <c r="M3" s="1716"/>
      <c r="N3" s="1716"/>
      <c r="O3" s="1716"/>
      <c r="P3" s="1716"/>
      <c r="Q3" s="1716"/>
      <c r="R3" s="1716"/>
      <c r="S3" s="1716"/>
      <c r="T3" s="1716"/>
      <c r="U3" s="1716"/>
      <c r="V3" s="1716"/>
      <c r="W3" s="1716"/>
      <c r="X3" s="1716"/>
      <c r="Y3" s="1716"/>
      <c r="Z3" s="1716"/>
      <c r="AA3" s="1716"/>
      <c r="AB3" s="1716"/>
      <c r="AC3" s="1716"/>
      <c r="AD3" s="1716"/>
      <c r="AE3" s="1716"/>
      <c r="AF3" s="1716"/>
      <c r="AG3" s="1716"/>
      <c r="AH3" s="1716"/>
      <c r="AI3" s="1716"/>
      <c r="AJ3" s="1716"/>
      <c r="AK3" s="1716"/>
      <c r="AL3" s="1716"/>
      <c r="AM3" s="39"/>
      <c r="AN3" s="40"/>
      <c r="AO3" s="40"/>
      <c r="AP3" s="40"/>
      <c r="AQ3" s="40"/>
      <c r="AR3" s="41"/>
      <c r="AS3" s="38"/>
      <c r="AT3" s="39"/>
      <c r="AU3" s="40"/>
      <c r="AV3" s="41"/>
      <c r="AW3" s="40"/>
      <c r="AX3" s="41"/>
      <c r="AY3" s="38"/>
      <c r="AZ3" s="39"/>
      <c r="BA3" s="40"/>
      <c r="BB3" s="41"/>
      <c r="BC3" s="41"/>
      <c r="BD3" s="40"/>
      <c r="BE3" s="41"/>
      <c r="BF3" s="42"/>
      <c r="BG3" s="32"/>
      <c r="BH3" s="28"/>
      <c r="BI3" s="64"/>
      <c r="BJ3" s="168"/>
      <c r="BK3" s="168"/>
      <c r="BL3" s="168"/>
      <c r="BM3" s="169"/>
      <c r="BN3" s="169"/>
      <c r="BO3" s="169"/>
      <c r="BP3" s="168"/>
      <c r="BQ3" s="168"/>
      <c r="BR3" s="168"/>
      <c r="BS3" s="168"/>
      <c r="BT3" s="168"/>
      <c r="BU3" s="168"/>
      <c r="BV3" s="168"/>
      <c r="BW3" s="168"/>
      <c r="BX3" s="168"/>
      <c r="BY3" s="168"/>
      <c r="BZ3" s="168"/>
      <c r="CA3" s="168"/>
      <c r="CB3" s="170"/>
      <c r="CC3" s="168"/>
      <c r="CD3" s="168"/>
      <c r="CE3" s="170"/>
      <c r="CF3" s="170"/>
      <c r="CG3" s="170"/>
      <c r="CH3" s="170"/>
      <c r="CI3" s="168"/>
      <c r="CJ3" s="168"/>
      <c r="CK3" s="170"/>
      <c r="CL3" s="170"/>
      <c r="CM3" s="170"/>
      <c r="CN3" s="113"/>
      <c r="CO3" s="36"/>
      <c r="CP3" s="36"/>
      <c r="CQ3" s="36"/>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6"/>
      <c r="EA3" s="36"/>
      <c r="EB3" s="36"/>
      <c r="EC3" s="36"/>
      <c r="ED3" s="36"/>
      <c r="EE3" s="36"/>
      <c r="EF3" s="36"/>
      <c r="EG3" s="36"/>
    </row>
    <row r="4" spans="1:137" s="26" customFormat="1" ht="18.75" customHeight="1" x14ac:dyDescent="0.25">
      <c r="A4" s="43"/>
      <c r="B4" s="31"/>
      <c r="C4" s="267"/>
      <c r="D4" s="43"/>
      <c r="E4" s="44"/>
      <c r="F4" s="44"/>
      <c r="G4" s="44"/>
      <c r="H4" s="44"/>
      <c r="I4" s="44"/>
      <c r="J4" s="44"/>
      <c r="K4" s="44"/>
      <c r="L4" s="44"/>
      <c r="M4" s="44"/>
      <c r="N4" s="44"/>
      <c r="O4" s="44"/>
      <c r="P4" s="44"/>
      <c r="Q4" s="44"/>
      <c r="R4" s="45"/>
      <c r="S4" s="44"/>
      <c r="T4" s="44"/>
      <c r="U4" s="44"/>
      <c r="V4" s="46"/>
      <c r="W4" s="46"/>
      <c r="X4" s="43"/>
      <c r="Y4" s="43"/>
      <c r="Z4" s="46"/>
      <c r="AA4" s="47"/>
      <c r="AB4" s="47"/>
      <c r="AC4" s="46"/>
      <c r="AD4" s="47"/>
      <c r="AE4" s="48"/>
      <c r="AF4" s="43"/>
      <c r="AG4" s="46"/>
      <c r="AH4" s="49"/>
      <c r="AI4" s="49"/>
      <c r="AJ4" s="46"/>
      <c r="AK4" s="47"/>
      <c r="AL4" s="43"/>
      <c r="AM4" s="43"/>
      <c r="AN4" s="46"/>
      <c r="AO4" s="46"/>
      <c r="AP4" s="46"/>
      <c r="AQ4" s="46"/>
      <c r="AR4" s="47"/>
      <c r="AS4" s="43"/>
      <c r="AT4" s="43"/>
      <c r="AU4" s="46"/>
      <c r="AV4" s="47"/>
      <c r="AW4" s="46"/>
      <c r="AX4" s="47"/>
      <c r="AY4" s="43"/>
      <c r="AZ4" s="43"/>
      <c r="BA4" s="46"/>
      <c r="BB4" s="47"/>
      <c r="BC4" s="47"/>
      <c r="BD4" s="46"/>
      <c r="BE4" s="47"/>
      <c r="BF4" s="50"/>
      <c r="BG4" s="51"/>
      <c r="BH4" s="28"/>
      <c r="BI4" s="164"/>
      <c r="BJ4" s="165"/>
      <c r="BK4" s="165"/>
      <c r="BL4" s="165"/>
      <c r="BM4" s="166"/>
      <c r="BN4" s="166"/>
      <c r="BO4" s="166"/>
      <c r="BP4" s="165"/>
      <c r="BQ4" s="165"/>
      <c r="BR4" s="165"/>
      <c r="BS4" s="165"/>
      <c r="BT4" s="165"/>
      <c r="BU4" s="165"/>
      <c r="BV4" s="165"/>
      <c r="BW4" s="165"/>
      <c r="BX4" s="165"/>
      <c r="BY4" s="165"/>
      <c r="BZ4" s="165"/>
      <c r="CA4" s="165"/>
      <c r="CB4" s="167"/>
      <c r="CC4" s="165"/>
      <c r="CD4" s="165"/>
      <c r="CE4" s="167"/>
      <c r="CF4" s="167"/>
      <c r="CG4" s="167"/>
      <c r="CH4" s="167"/>
      <c r="CI4" s="165"/>
      <c r="CJ4" s="165"/>
      <c r="CK4" s="167"/>
      <c r="CL4" s="167"/>
      <c r="CM4" s="167"/>
      <c r="CN4" s="112"/>
      <c r="CO4" s="29"/>
      <c r="CP4" s="29"/>
      <c r="CQ4" s="29"/>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9"/>
      <c r="EA4" s="29"/>
      <c r="EB4" s="29"/>
      <c r="EC4" s="29"/>
      <c r="ED4" s="29"/>
      <c r="EE4" s="29"/>
      <c r="EF4" s="29"/>
      <c r="EG4" s="29"/>
    </row>
    <row r="5" spans="1:137" s="27" customFormat="1" ht="18.75" customHeight="1" x14ac:dyDescent="0.25">
      <c r="A5" s="26"/>
      <c r="B5" s="1703" t="s">
        <v>647</v>
      </c>
      <c r="C5" s="1703"/>
      <c r="D5" s="1703"/>
      <c r="E5" s="1703"/>
      <c r="F5" s="1703"/>
      <c r="G5" s="1703"/>
      <c r="H5" s="1703"/>
      <c r="I5" s="1703"/>
      <c r="J5" s="1703"/>
      <c r="K5" s="1703"/>
      <c r="L5" s="1703"/>
      <c r="M5" s="1703"/>
      <c r="N5" s="1703"/>
      <c r="O5" s="1703"/>
      <c r="P5" s="1703"/>
      <c r="Q5" s="1703"/>
      <c r="R5" s="1703"/>
      <c r="S5" s="1703"/>
      <c r="T5" s="1703"/>
      <c r="U5" s="1703"/>
      <c r="V5" s="1703"/>
      <c r="W5" s="1703"/>
      <c r="X5" s="1703"/>
      <c r="Y5" s="1703"/>
      <c r="Z5" s="1703"/>
      <c r="AA5" s="1703"/>
      <c r="AB5" s="1703"/>
      <c r="AC5" s="1703"/>
      <c r="AD5" s="1703"/>
      <c r="AE5" s="1703"/>
      <c r="AF5" s="1703"/>
      <c r="AG5" s="1703"/>
      <c r="AH5" s="1703"/>
      <c r="AI5" s="1703"/>
      <c r="AJ5" s="1703"/>
      <c r="AK5" s="1703"/>
      <c r="AL5" s="1703"/>
      <c r="BH5" s="28"/>
      <c r="BI5" s="64"/>
      <c r="BJ5" s="168"/>
      <c r="BK5" s="168"/>
      <c r="BL5" s="168"/>
      <c r="BM5" s="169"/>
      <c r="BN5" s="169"/>
      <c r="BO5" s="169"/>
      <c r="BP5" s="168"/>
      <c r="BQ5" s="168"/>
      <c r="BR5" s="168"/>
      <c r="BS5" s="168"/>
      <c r="BT5" s="168"/>
      <c r="BU5" s="168"/>
      <c r="BV5" s="168"/>
      <c r="BW5" s="168"/>
      <c r="BX5" s="168"/>
      <c r="BY5" s="168"/>
      <c r="BZ5" s="168"/>
      <c r="CA5" s="168"/>
      <c r="CB5" s="170"/>
      <c r="CC5" s="168"/>
      <c r="CD5" s="168"/>
      <c r="CE5" s="170"/>
      <c r="CF5" s="170"/>
      <c r="CG5" s="170"/>
      <c r="CH5" s="170"/>
      <c r="CI5" s="168"/>
      <c r="CJ5" s="168"/>
      <c r="CK5" s="170"/>
      <c r="CL5" s="170"/>
      <c r="CM5" s="170"/>
      <c r="CN5" s="113"/>
      <c r="CO5" s="36"/>
      <c r="CP5" s="36"/>
      <c r="CQ5" s="36"/>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6"/>
      <c r="EA5" s="36"/>
      <c r="EB5" s="36"/>
      <c r="EC5" s="36"/>
      <c r="ED5" s="36"/>
      <c r="EE5" s="36"/>
      <c r="EF5" s="36"/>
      <c r="EG5" s="36"/>
    </row>
    <row r="6" spans="1:137" s="27" customFormat="1" x14ac:dyDescent="0.25">
      <c r="A6" s="26"/>
      <c r="B6" s="744" t="s">
        <v>17</v>
      </c>
      <c r="C6" s="1677" t="str">
        <f>TRANSPORTE!C6</f>
        <v>Chía</v>
      </c>
      <c r="D6" s="1677"/>
      <c r="E6" s="1677"/>
      <c r="F6" s="1677"/>
      <c r="G6" s="1677"/>
      <c r="H6" s="1677"/>
      <c r="I6" s="1677"/>
      <c r="J6" s="1677"/>
      <c r="K6" s="1677"/>
      <c r="L6" s="264" t="s">
        <v>16</v>
      </c>
      <c r="M6" s="265"/>
      <c r="N6" s="265"/>
      <c r="O6" s="265"/>
      <c r="P6" s="265"/>
      <c r="Q6" s="265"/>
      <c r="R6" s="265"/>
      <c r="S6" s="265"/>
      <c r="T6" s="265"/>
      <c r="U6" s="265"/>
      <c r="V6" s="265"/>
      <c r="W6" s="265"/>
      <c r="X6" s="744" t="s">
        <v>649</v>
      </c>
      <c r="Y6" s="1653" t="str">
        <f>TRANSPORTE!Y6</f>
        <v>Cra 11 # 17 - 50</v>
      </c>
      <c r="Z6" s="1653"/>
      <c r="AA6" s="1653"/>
      <c r="AB6" s="1653"/>
      <c r="AC6" s="1653"/>
      <c r="AD6" s="1653"/>
      <c r="AE6" s="1653"/>
      <c r="AF6" s="1653"/>
      <c r="AG6" s="1653"/>
      <c r="AH6" s="1653"/>
      <c r="AI6" s="1653"/>
      <c r="AJ6" s="1653"/>
      <c r="AK6" s="1653"/>
      <c r="AL6" s="1653"/>
      <c r="BH6" s="28"/>
      <c r="BI6" s="64"/>
      <c r="BJ6" s="168"/>
      <c r="BK6" s="168"/>
      <c r="BL6" s="168"/>
      <c r="BM6" s="169"/>
      <c r="BN6" s="169"/>
      <c r="BO6" s="169"/>
      <c r="BP6" s="168"/>
      <c r="BQ6" s="168"/>
      <c r="BR6" s="168"/>
      <c r="BS6" s="168"/>
      <c r="BT6" s="168"/>
      <c r="BU6" s="168"/>
      <c r="BV6" s="168"/>
      <c r="BW6" s="168"/>
      <c r="BX6" s="168"/>
      <c r="BY6" s="168"/>
      <c r="BZ6" s="168"/>
      <c r="CA6" s="168"/>
      <c r="CB6" s="170"/>
      <c r="CC6" s="168"/>
      <c r="CD6" s="168"/>
      <c r="CE6" s="170"/>
      <c r="CF6" s="170"/>
      <c r="CG6" s="170"/>
      <c r="CH6" s="170"/>
      <c r="CI6" s="168"/>
      <c r="CJ6" s="168"/>
      <c r="CK6" s="170"/>
      <c r="CL6" s="170"/>
      <c r="CM6" s="170"/>
      <c r="CN6" s="113"/>
      <c r="CO6" s="36"/>
      <c r="CP6" s="36"/>
      <c r="CQ6" s="36"/>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6"/>
      <c r="EA6" s="36"/>
      <c r="EB6" s="36"/>
      <c r="EC6" s="36"/>
      <c r="ED6" s="36"/>
      <c r="EE6" s="36"/>
      <c r="EF6" s="36"/>
      <c r="EG6" s="36"/>
    </row>
    <row r="7" spans="1:137" s="27" customFormat="1" x14ac:dyDescent="0.25">
      <c r="A7" s="26"/>
      <c r="B7" s="744" t="s">
        <v>648</v>
      </c>
      <c r="C7" s="1677" t="str">
        <f>TRANSPORTE!C7</f>
        <v>Secretaría de Medio Ambiente</v>
      </c>
      <c r="D7" s="1677"/>
      <c r="E7" s="1677"/>
      <c r="F7" s="1677"/>
      <c r="G7" s="1677"/>
      <c r="H7" s="1677"/>
      <c r="I7" s="1677"/>
      <c r="J7" s="1677"/>
      <c r="K7" s="1677"/>
      <c r="L7" s="264" t="s">
        <v>17</v>
      </c>
      <c r="M7" s="265"/>
      <c r="N7" s="265"/>
      <c r="O7" s="265"/>
      <c r="P7" s="265"/>
      <c r="Q7" s="265"/>
      <c r="R7" s="265"/>
      <c r="S7" s="265"/>
      <c r="T7" s="265"/>
      <c r="U7" s="265"/>
      <c r="V7" s="265"/>
      <c r="W7" s="265"/>
      <c r="X7" s="744" t="s">
        <v>16</v>
      </c>
      <c r="Y7" s="1653" t="str">
        <f>TRANSPORTE!Y7</f>
        <v>8844444 - 3200</v>
      </c>
      <c r="Z7" s="1653"/>
      <c r="AA7" s="1653"/>
      <c r="AB7" s="1653"/>
      <c r="AC7" s="1653"/>
      <c r="AD7" s="1653"/>
      <c r="AE7" s="1653"/>
      <c r="AF7" s="1653"/>
      <c r="AG7" s="1653"/>
      <c r="AH7" s="1653"/>
      <c r="AI7" s="1653"/>
      <c r="AJ7" s="1653"/>
      <c r="AK7" s="1653"/>
      <c r="AL7" s="1653"/>
      <c r="BH7" s="28"/>
      <c r="BI7" s="64"/>
      <c r="BJ7" s="168"/>
      <c r="BK7" s="168"/>
      <c r="BL7" s="168"/>
      <c r="BM7" s="169"/>
      <c r="BN7" s="169"/>
      <c r="BO7" s="169"/>
      <c r="BP7" s="168"/>
      <c r="BQ7" s="168"/>
      <c r="BR7" s="168"/>
      <c r="BS7" s="168"/>
      <c r="BT7" s="168"/>
      <c r="BU7" s="168"/>
      <c r="BV7" s="168"/>
      <c r="BW7" s="168"/>
      <c r="BX7" s="168"/>
      <c r="BY7" s="168"/>
      <c r="BZ7" s="168"/>
      <c r="CA7" s="168"/>
      <c r="CB7" s="170"/>
      <c r="CC7" s="168"/>
      <c r="CD7" s="168"/>
      <c r="CE7" s="170"/>
      <c r="CF7" s="170"/>
      <c r="CG7" s="170"/>
      <c r="CH7" s="170"/>
      <c r="CI7" s="168"/>
      <c r="CJ7" s="168"/>
      <c r="CK7" s="170"/>
      <c r="CL7" s="170"/>
      <c r="CM7" s="170"/>
      <c r="CN7" s="113"/>
      <c r="CO7" s="36"/>
      <c r="CP7" s="36"/>
      <c r="CQ7" s="36"/>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6"/>
      <c r="EA7" s="36"/>
      <c r="EB7" s="36"/>
      <c r="EC7" s="36"/>
      <c r="ED7" s="36"/>
      <c r="EE7" s="36"/>
      <c r="EF7" s="36"/>
      <c r="EG7" s="36"/>
    </row>
    <row r="8" spans="1:137" s="27" customFormat="1" x14ac:dyDescent="0.25">
      <c r="A8" s="26"/>
      <c r="B8" s="744" t="s">
        <v>18</v>
      </c>
      <c r="C8" s="1677" t="str">
        <f>TRANSPORTE!C8</f>
        <v>David Ricardo Murcia Cortés - Viviana Elisa Garzón</v>
      </c>
      <c r="D8" s="1677"/>
      <c r="E8" s="1677"/>
      <c r="F8" s="1677"/>
      <c r="G8" s="1677"/>
      <c r="H8" s="1677"/>
      <c r="I8" s="1677"/>
      <c r="J8" s="1677"/>
      <c r="K8" s="1677"/>
      <c r="L8" s="264" t="s">
        <v>19</v>
      </c>
      <c r="M8" s="265"/>
      <c r="N8" s="265"/>
      <c r="O8" s="265"/>
      <c r="P8" s="265"/>
      <c r="Q8" s="265"/>
      <c r="R8" s="265"/>
      <c r="S8" s="265"/>
      <c r="T8" s="265"/>
      <c r="U8" s="265"/>
      <c r="V8" s="265"/>
      <c r="W8" s="265"/>
      <c r="X8" s="744" t="s">
        <v>19</v>
      </c>
      <c r="Y8" s="1653">
        <f>TRANSPORTE!Y8</f>
        <v>3174291112</v>
      </c>
      <c r="Z8" s="1653"/>
      <c r="AA8" s="1653"/>
      <c r="AB8" s="1653"/>
      <c r="AC8" s="1653"/>
      <c r="AD8" s="1653"/>
      <c r="AE8" s="1653"/>
      <c r="AF8" s="1653"/>
      <c r="AG8" s="1653"/>
      <c r="AH8" s="1653"/>
      <c r="AI8" s="1653"/>
      <c r="AJ8" s="1653"/>
      <c r="AK8" s="1653"/>
      <c r="AL8" s="1653"/>
      <c r="BH8" s="28"/>
      <c r="BI8" s="64"/>
      <c r="BJ8" s="168"/>
      <c r="BK8" s="168"/>
      <c r="BL8" s="168"/>
      <c r="BM8" s="169"/>
      <c r="BN8" s="169"/>
      <c r="BO8" s="169"/>
      <c r="BP8" s="168"/>
      <c r="BQ8" s="168"/>
      <c r="BR8" s="168"/>
      <c r="BS8" s="168"/>
      <c r="BT8" s="168"/>
      <c r="BU8" s="168"/>
      <c r="BV8" s="168"/>
      <c r="BW8" s="168"/>
      <c r="BX8" s="168"/>
      <c r="BY8" s="168"/>
      <c r="BZ8" s="168"/>
      <c r="CA8" s="168"/>
      <c r="CB8" s="170"/>
      <c r="CC8" s="168"/>
      <c r="CD8" s="168"/>
      <c r="CE8" s="170"/>
      <c r="CF8" s="170"/>
      <c r="CG8" s="170"/>
      <c r="CH8" s="170"/>
      <c r="CI8" s="168"/>
      <c r="CJ8" s="168"/>
      <c r="CK8" s="170"/>
      <c r="CL8" s="170"/>
      <c r="CM8" s="170"/>
      <c r="CN8" s="113"/>
      <c r="CO8" s="36"/>
      <c r="CP8" s="36"/>
      <c r="CQ8" s="36"/>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6"/>
      <c r="EA8" s="36"/>
      <c r="EB8" s="36"/>
      <c r="EC8" s="36"/>
      <c r="ED8" s="36"/>
      <c r="EE8" s="36"/>
      <c r="EF8" s="36"/>
      <c r="EG8" s="36"/>
    </row>
    <row r="9" spans="1:137" s="27" customFormat="1" x14ac:dyDescent="0.25">
      <c r="A9" s="26"/>
      <c r="B9" s="744" t="s">
        <v>20</v>
      </c>
      <c r="C9" s="1677" t="str">
        <f>TRANSPORTE!C9</f>
        <v>Profesional Universitario - Profesional Universitario</v>
      </c>
      <c r="D9" s="1677"/>
      <c r="E9" s="1677"/>
      <c r="F9" s="1677"/>
      <c r="G9" s="1677"/>
      <c r="H9" s="1677"/>
      <c r="I9" s="1677"/>
      <c r="J9" s="1677"/>
      <c r="K9" s="1677"/>
      <c r="L9" s="264" t="s">
        <v>21</v>
      </c>
      <c r="M9" s="265"/>
      <c r="N9" s="265"/>
      <c r="O9" s="265"/>
      <c r="P9" s="265"/>
      <c r="Q9" s="265"/>
      <c r="R9" s="265"/>
      <c r="S9" s="265"/>
      <c r="T9" s="265"/>
      <c r="U9" s="265"/>
      <c r="V9" s="265"/>
      <c r="W9" s="265"/>
      <c r="X9" s="744" t="s">
        <v>21</v>
      </c>
      <c r="Y9" s="1653">
        <f>TRANSPORTE!Y9</f>
        <v>2019</v>
      </c>
      <c r="Z9" s="1653"/>
      <c r="AA9" s="1653"/>
      <c r="AB9" s="1653"/>
      <c r="AC9" s="1653"/>
      <c r="AD9" s="1653"/>
      <c r="AE9" s="1653"/>
      <c r="AF9" s="1653"/>
      <c r="AG9" s="1653"/>
      <c r="AH9" s="1653"/>
      <c r="AI9" s="1653"/>
      <c r="AJ9" s="1653"/>
      <c r="AK9" s="1653"/>
      <c r="AL9" s="1653"/>
      <c r="BH9" s="28"/>
      <c r="BI9" s="64"/>
      <c r="BJ9" s="168"/>
      <c r="BK9" s="168"/>
      <c r="BL9" s="168"/>
      <c r="BM9" s="169"/>
      <c r="BN9" s="169"/>
      <c r="BO9" s="169"/>
      <c r="BP9" s="168"/>
      <c r="BQ9" s="168"/>
      <c r="BR9" s="168"/>
      <c r="BS9" s="168"/>
      <c r="BT9" s="168"/>
      <c r="BU9" s="168"/>
      <c r="BV9" s="168"/>
      <c r="BW9" s="168"/>
      <c r="BX9" s="168"/>
      <c r="BY9" s="168"/>
      <c r="BZ9" s="168"/>
      <c r="CA9" s="168"/>
      <c r="CB9" s="170"/>
      <c r="CC9" s="168"/>
      <c r="CD9" s="168"/>
      <c r="CE9" s="170"/>
      <c r="CF9" s="170"/>
      <c r="CG9" s="170"/>
      <c r="CH9" s="170"/>
      <c r="CI9" s="168"/>
      <c r="CJ9" s="168"/>
      <c r="CK9" s="170"/>
      <c r="CL9" s="170"/>
      <c r="CM9" s="170"/>
      <c r="CN9" s="113"/>
      <c r="CO9" s="36"/>
      <c r="CP9" s="36"/>
      <c r="CQ9" s="36"/>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6"/>
      <c r="EA9" s="36"/>
      <c r="EB9" s="36"/>
      <c r="EC9" s="36"/>
      <c r="ED9" s="36"/>
      <c r="EE9" s="36"/>
      <c r="EF9" s="36"/>
      <c r="EG9" s="36"/>
    </row>
    <row r="10" spans="1:137" s="27" customFormat="1" x14ac:dyDescent="0.25">
      <c r="A10" s="26"/>
      <c r="B10" s="744" t="s">
        <v>121</v>
      </c>
      <c r="C10" s="1677" t="str">
        <f>TRANSPORTE!C10</f>
        <v>david.murcia@chia.gov.co, viviana.garzon@chia.gov.co</v>
      </c>
      <c r="D10" s="1677"/>
      <c r="E10" s="1677"/>
      <c r="F10" s="1677"/>
      <c r="G10" s="1677"/>
      <c r="H10" s="1677"/>
      <c r="I10" s="1677"/>
      <c r="J10" s="1677"/>
      <c r="K10" s="1677"/>
      <c r="L10" s="264" t="s">
        <v>22</v>
      </c>
      <c r="M10" s="266"/>
      <c r="N10" s="265"/>
      <c r="O10" s="265"/>
      <c r="P10" s="265"/>
      <c r="Q10" s="265"/>
      <c r="R10" s="265"/>
      <c r="S10" s="265"/>
      <c r="T10" s="265"/>
      <c r="U10" s="265"/>
      <c r="V10" s="265"/>
      <c r="W10" s="265"/>
      <c r="X10" s="744" t="s">
        <v>22</v>
      </c>
      <c r="Y10" s="1654">
        <f>TRANSPORTE!Y10</f>
        <v>44386</v>
      </c>
      <c r="Z10" s="1654"/>
      <c r="AA10" s="1654"/>
      <c r="AB10" s="1654"/>
      <c r="AC10" s="1654"/>
      <c r="AD10" s="1654"/>
      <c r="AE10" s="1654"/>
      <c r="AF10" s="1654"/>
      <c r="AG10" s="1654"/>
      <c r="AH10" s="1654"/>
      <c r="AI10" s="1654"/>
      <c r="AJ10" s="1654"/>
      <c r="AK10" s="1654"/>
      <c r="AL10" s="1654"/>
      <c r="BH10" s="28"/>
      <c r="BI10" s="64"/>
      <c r="BJ10" s="168"/>
      <c r="BK10" s="168"/>
      <c r="BL10" s="168"/>
      <c r="BM10" s="169"/>
      <c r="BN10" s="169"/>
      <c r="BO10" s="169"/>
      <c r="BP10" s="171"/>
      <c r="BQ10" s="171"/>
      <c r="BR10" s="171"/>
      <c r="BS10" s="171"/>
      <c r="BT10" s="171"/>
      <c r="BU10" s="171"/>
      <c r="BV10" s="168"/>
      <c r="BW10" s="171"/>
      <c r="BX10" s="171"/>
      <c r="BY10" s="168"/>
      <c r="BZ10" s="168"/>
      <c r="CA10" s="168"/>
      <c r="CB10" s="170"/>
      <c r="CC10" s="171"/>
      <c r="CD10" s="171"/>
      <c r="CE10" s="170"/>
      <c r="CF10" s="170"/>
      <c r="CG10" s="170"/>
      <c r="CH10" s="170"/>
      <c r="CI10" s="171"/>
      <c r="CJ10" s="171"/>
      <c r="CK10" s="170"/>
      <c r="CL10" s="170"/>
      <c r="CM10" s="170"/>
      <c r="CN10" s="113"/>
      <c r="CO10" s="36"/>
      <c r="CP10" s="36"/>
      <c r="CQ10" s="36"/>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6"/>
      <c r="EA10" s="36"/>
      <c r="EB10" s="36"/>
      <c r="EC10" s="36"/>
      <c r="ED10" s="36"/>
      <c r="EE10" s="36"/>
      <c r="EF10" s="36"/>
      <c r="EG10" s="36"/>
    </row>
    <row r="11" spans="1:137" s="26" customFormat="1" ht="15.75" thickBot="1" x14ac:dyDescent="0.3">
      <c r="B11" s="52"/>
      <c r="C11" s="53"/>
      <c r="D11" s="53"/>
      <c r="E11" s="54"/>
      <c r="F11" s="54"/>
      <c r="G11" s="54"/>
      <c r="H11" s="54"/>
      <c r="I11" s="54"/>
      <c r="J11" s="54"/>
      <c r="K11" s="54"/>
      <c r="L11" s="54"/>
      <c r="M11" s="54"/>
      <c r="N11" s="54"/>
      <c r="O11" s="54"/>
      <c r="P11" s="54"/>
      <c r="Q11" s="54"/>
      <c r="R11" s="55"/>
      <c r="S11" s="54"/>
      <c r="T11" s="54"/>
      <c r="U11" s="54"/>
      <c r="V11" s="56"/>
      <c r="W11" s="56"/>
      <c r="X11" s="53"/>
      <c r="Y11" s="57"/>
      <c r="Z11" s="58"/>
      <c r="AA11" s="59"/>
      <c r="AB11" s="59"/>
      <c r="AC11" s="58"/>
      <c r="AD11" s="59"/>
      <c r="AE11" s="60"/>
      <c r="AF11" s="57"/>
      <c r="AG11" s="58"/>
      <c r="AH11" s="61"/>
      <c r="AI11" s="61"/>
      <c r="AJ11" s="58"/>
      <c r="AK11" s="59"/>
      <c r="AL11" s="53"/>
      <c r="AM11" s="57"/>
      <c r="AN11" s="58"/>
      <c r="AO11" s="58"/>
      <c r="AP11" s="58"/>
      <c r="AQ11" s="58"/>
      <c r="AR11" s="59"/>
      <c r="AS11" s="53"/>
      <c r="AT11" s="57"/>
      <c r="AU11" s="58"/>
      <c r="AV11" s="59"/>
      <c r="AW11" s="58"/>
      <c r="AX11" s="59"/>
      <c r="AY11" s="53"/>
      <c r="AZ11" s="57"/>
      <c r="BA11" s="58"/>
      <c r="BB11" s="59"/>
      <c r="BC11" s="59"/>
      <c r="BD11" s="58"/>
      <c r="BE11" s="59"/>
      <c r="BF11" s="62"/>
      <c r="BG11" s="63"/>
      <c r="BH11" s="28"/>
      <c r="BI11" s="164"/>
      <c r="BJ11" s="165"/>
      <c r="BK11" s="165"/>
      <c r="BL11" s="165"/>
      <c r="BM11" s="166"/>
      <c r="BN11" s="166"/>
      <c r="BO11" s="166"/>
      <c r="BP11" s="172"/>
      <c r="BQ11" s="172"/>
      <c r="BR11" s="172"/>
      <c r="BS11" s="172"/>
      <c r="BT11" s="172"/>
      <c r="BU11" s="172"/>
      <c r="BV11" s="165"/>
      <c r="BW11" s="172"/>
      <c r="BX11" s="172"/>
      <c r="BY11" s="165"/>
      <c r="BZ11" s="165"/>
      <c r="CA11" s="165"/>
      <c r="CB11" s="167"/>
      <c r="CC11" s="172"/>
      <c r="CD11" s="172"/>
      <c r="CE11" s="167"/>
      <c r="CF11" s="167"/>
      <c r="CG11" s="167"/>
      <c r="CH11" s="167"/>
      <c r="CI11" s="172"/>
      <c r="CJ11" s="172"/>
      <c r="CK11" s="167"/>
      <c r="CL11" s="167"/>
      <c r="CM11" s="167"/>
      <c r="CN11" s="112"/>
      <c r="CO11" s="29"/>
      <c r="CP11" s="29"/>
      <c r="CQ11" s="29"/>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9"/>
      <c r="EA11" s="29"/>
      <c r="EB11" s="29"/>
      <c r="EC11" s="29"/>
      <c r="ED11" s="29"/>
      <c r="EE11" s="29"/>
      <c r="EF11" s="29"/>
      <c r="EG11" s="29"/>
    </row>
    <row r="12" spans="1:137" s="64" customFormat="1" ht="30.75" customHeight="1" x14ac:dyDescent="0.25">
      <c r="A12" s="26"/>
      <c r="B12" s="1713" t="s">
        <v>23</v>
      </c>
      <c r="C12" s="1714"/>
      <c r="D12" s="1714"/>
      <c r="E12" s="1714"/>
      <c r="F12" s="1714"/>
      <c r="G12" s="1714"/>
      <c r="H12" s="1714"/>
      <c r="I12" s="1714"/>
      <c r="J12" s="1714"/>
      <c r="K12" s="1714"/>
      <c r="L12" s="1714"/>
      <c r="M12" s="1714"/>
      <c r="N12" s="1714"/>
      <c r="O12" s="1714"/>
      <c r="P12" s="1714"/>
      <c r="Q12" s="1714"/>
      <c r="R12" s="1714"/>
      <c r="S12" s="1714"/>
      <c r="T12" s="1714"/>
      <c r="U12" s="1714"/>
      <c r="V12" s="1714"/>
      <c r="W12" s="1714"/>
      <c r="X12" s="1714"/>
      <c r="Y12" s="1714"/>
      <c r="Z12" s="1714"/>
      <c r="AA12" s="1714"/>
      <c r="AB12" s="1714"/>
      <c r="AC12" s="1714"/>
      <c r="AD12" s="1714"/>
      <c r="AE12" s="1714"/>
      <c r="AF12" s="1714"/>
      <c r="AG12" s="1714"/>
      <c r="AH12" s="1714"/>
      <c r="AI12" s="1714"/>
      <c r="AJ12" s="1714"/>
      <c r="AK12" s="1714"/>
      <c r="AL12" s="1714"/>
      <c r="AM12" s="1714"/>
      <c r="AN12" s="1714"/>
      <c r="AO12" s="1714"/>
      <c r="AP12" s="1714"/>
      <c r="AQ12" s="1714"/>
      <c r="AR12" s="1714"/>
      <c r="AS12" s="1714"/>
      <c r="AT12" s="1714"/>
      <c r="AU12" s="1714"/>
      <c r="AV12" s="1714"/>
      <c r="AW12" s="1714"/>
      <c r="AX12" s="1714"/>
      <c r="AY12" s="1714"/>
      <c r="AZ12" s="1714"/>
      <c r="BA12" s="1714"/>
      <c r="BB12" s="1714"/>
      <c r="BC12" s="1714"/>
      <c r="BD12" s="1714"/>
      <c r="BE12" s="1714"/>
      <c r="BF12" s="1714"/>
      <c r="BG12" s="1715"/>
      <c r="BH12" s="28"/>
      <c r="BJ12" s="168"/>
      <c r="BK12" s="168"/>
      <c r="BL12" s="168"/>
      <c r="BM12" s="169"/>
      <c r="BN12" s="169"/>
      <c r="BO12" s="169"/>
      <c r="BP12" s="168"/>
      <c r="BQ12" s="168"/>
      <c r="BR12" s="168"/>
      <c r="BS12" s="168"/>
      <c r="BT12" s="168"/>
      <c r="BU12" s="168"/>
      <c r="BV12" s="168"/>
      <c r="BW12" s="168"/>
      <c r="BX12" s="168"/>
      <c r="BY12" s="168"/>
      <c r="BZ12" s="168"/>
      <c r="CA12" s="168"/>
      <c r="CB12" s="170"/>
      <c r="CC12" s="168"/>
      <c r="CD12" s="168"/>
      <c r="CE12" s="170"/>
      <c r="CF12" s="170"/>
      <c r="CG12" s="170"/>
      <c r="CH12" s="170"/>
      <c r="CI12" s="168"/>
      <c r="CJ12" s="168"/>
      <c r="CK12" s="170"/>
      <c r="CL12" s="170"/>
      <c r="CM12" s="170"/>
      <c r="CN12" s="113"/>
      <c r="CO12" s="36"/>
      <c r="CP12" s="36"/>
      <c r="CQ12" s="36"/>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6"/>
      <c r="EA12" s="36"/>
      <c r="EB12" s="36"/>
      <c r="EC12" s="36"/>
      <c r="ED12" s="36"/>
      <c r="EE12" s="36"/>
      <c r="EF12" s="36"/>
      <c r="EG12" s="36"/>
    </row>
    <row r="13" spans="1:137" s="27" customFormat="1" ht="15.75" x14ac:dyDescent="0.25">
      <c r="A13" s="26"/>
      <c r="B13" s="763"/>
      <c r="C13" s="829"/>
      <c r="D13" s="829"/>
      <c r="E13" s="829"/>
      <c r="F13" s="829"/>
      <c r="G13" s="829"/>
      <c r="H13" s="829"/>
      <c r="I13" s="829"/>
      <c r="J13" s="829"/>
      <c r="K13" s="829"/>
      <c r="L13" s="829"/>
      <c r="M13" s="829"/>
      <c r="N13" s="829"/>
      <c r="O13" s="829"/>
      <c r="P13" s="829"/>
      <c r="Q13" s="829"/>
      <c r="R13" s="829"/>
      <c r="S13" s="829"/>
      <c r="T13" s="829"/>
      <c r="U13" s="829"/>
      <c r="V13" s="829"/>
      <c r="W13" s="829"/>
      <c r="X13" s="829"/>
      <c r="Y13" s="829"/>
      <c r="Z13" s="829"/>
      <c r="AA13" s="830"/>
      <c r="AB13" s="831"/>
      <c r="AC13" s="832"/>
      <c r="AD13" s="831"/>
      <c r="AE13" s="833"/>
      <c r="AF13" s="829"/>
      <c r="AG13" s="829"/>
      <c r="AH13" s="834"/>
      <c r="AI13" s="831"/>
      <c r="AJ13" s="832"/>
      <c r="AK13" s="831"/>
      <c r="AL13" s="829"/>
      <c r="AM13" s="829"/>
      <c r="AN13" s="829"/>
      <c r="AO13" s="829"/>
      <c r="AP13" s="831"/>
      <c r="AQ13" s="832"/>
      <c r="AR13" s="831"/>
      <c r="AS13" s="829"/>
      <c r="AT13" s="829"/>
      <c r="AU13" s="829"/>
      <c r="AV13" s="831"/>
      <c r="AW13" s="832"/>
      <c r="AX13" s="831"/>
      <c r="AY13" s="829"/>
      <c r="AZ13" s="829"/>
      <c r="BA13" s="835"/>
      <c r="BB13" s="836"/>
      <c r="BC13" s="831"/>
      <c r="BD13" s="832"/>
      <c r="BE13" s="831"/>
      <c r="BF13" s="831"/>
      <c r="BG13" s="764"/>
      <c r="BH13" s="28"/>
      <c r="BI13" s="64"/>
      <c r="BJ13" s="168"/>
      <c r="BK13" s="168"/>
      <c r="BL13" s="168"/>
      <c r="BM13" s="169"/>
      <c r="BN13" s="169"/>
      <c r="BO13" s="169"/>
      <c r="BP13" s="168"/>
      <c r="BQ13" s="168"/>
      <c r="BR13" s="168"/>
      <c r="BS13" s="168"/>
      <c r="BT13" s="168"/>
      <c r="BU13" s="168"/>
      <c r="BV13" s="168"/>
      <c r="BW13" s="168"/>
      <c r="BX13" s="168"/>
      <c r="BY13" s="168"/>
      <c r="BZ13" s="168"/>
      <c r="CA13" s="168"/>
      <c r="CB13" s="170"/>
      <c r="CC13" s="168"/>
      <c r="CD13" s="168"/>
      <c r="CE13" s="170"/>
      <c r="CF13" s="170"/>
      <c r="CG13" s="170"/>
      <c r="CH13" s="170"/>
      <c r="CI13" s="168"/>
      <c r="CJ13" s="168"/>
      <c r="CK13" s="170"/>
      <c r="CL13" s="170"/>
      <c r="CM13" s="170"/>
      <c r="CN13" s="113"/>
      <c r="CO13" s="36"/>
      <c r="CP13" s="36"/>
      <c r="CQ13" s="36"/>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6"/>
      <c r="EA13" s="36"/>
      <c r="EB13" s="36"/>
      <c r="EC13" s="36"/>
      <c r="ED13" s="36"/>
      <c r="EE13" s="36"/>
      <c r="EF13" s="36"/>
      <c r="EG13" s="36"/>
    </row>
    <row r="14" spans="1:137" s="64" customFormat="1" ht="21.75" customHeight="1" x14ac:dyDescent="0.25">
      <c r="A14" s="26"/>
      <c r="B14" s="1706" t="s">
        <v>48</v>
      </c>
      <c r="C14" s="1707"/>
      <c r="D14" s="1707"/>
      <c r="E14" s="1707"/>
      <c r="F14" s="1707"/>
      <c r="G14" s="1707"/>
      <c r="H14" s="1707"/>
      <c r="I14" s="1707"/>
      <c r="J14" s="1707"/>
      <c r="K14" s="1707"/>
      <c r="L14" s="1707"/>
      <c r="M14" s="1707"/>
      <c r="N14" s="1707"/>
      <c r="O14" s="1707"/>
      <c r="P14" s="1707"/>
      <c r="Q14" s="1707"/>
      <c r="R14" s="1707"/>
      <c r="S14" s="1707"/>
      <c r="T14" s="1707"/>
      <c r="U14" s="1707"/>
      <c r="V14" s="1707"/>
      <c r="W14" s="1707"/>
      <c r="X14" s="1707"/>
      <c r="Y14" s="1707"/>
      <c r="Z14" s="1707"/>
      <c r="AA14" s="1707"/>
      <c r="AB14" s="1707"/>
      <c r="AC14" s="1707"/>
      <c r="AD14" s="1707"/>
      <c r="AE14" s="1707"/>
      <c r="AF14" s="1707"/>
      <c r="AG14" s="1707"/>
      <c r="AH14" s="1707"/>
      <c r="AI14" s="1707"/>
      <c r="AJ14" s="1707"/>
      <c r="AK14" s="1707"/>
      <c r="AL14" s="1707"/>
      <c r="AM14" s="1707"/>
      <c r="AN14" s="1707"/>
      <c r="AO14" s="1707"/>
      <c r="AP14" s="1707"/>
      <c r="AQ14" s="1707"/>
      <c r="AR14" s="1707"/>
      <c r="AS14" s="1707"/>
      <c r="AT14" s="1707"/>
      <c r="AU14" s="1707"/>
      <c r="AV14" s="1707"/>
      <c r="AW14" s="1707"/>
      <c r="AX14" s="1707"/>
      <c r="AY14" s="1707"/>
      <c r="AZ14" s="1707"/>
      <c r="BA14" s="1707"/>
      <c r="BB14" s="1707"/>
      <c r="BC14" s="1707"/>
      <c r="BD14" s="1707"/>
      <c r="BE14" s="1707"/>
      <c r="BF14" s="1707"/>
      <c r="BG14" s="1708"/>
      <c r="BH14" s="28"/>
      <c r="BJ14" s="168"/>
      <c r="BK14" s="168"/>
      <c r="BL14" s="168"/>
      <c r="BM14" s="169"/>
      <c r="BN14" s="169"/>
      <c r="BO14" s="169"/>
      <c r="BP14" s="168"/>
      <c r="BQ14" s="168"/>
      <c r="BR14" s="168"/>
      <c r="BS14" s="168"/>
      <c r="BT14" s="168"/>
      <c r="BU14" s="168"/>
      <c r="BV14" s="168"/>
      <c r="BW14" s="168"/>
      <c r="BX14" s="168"/>
      <c r="BY14" s="168"/>
      <c r="BZ14" s="168"/>
      <c r="CA14" s="168"/>
      <c r="CB14" s="170"/>
      <c r="CC14" s="168"/>
      <c r="CD14" s="168"/>
      <c r="CE14" s="170"/>
      <c r="CF14" s="170"/>
      <c r="CG14" s="170"/>
      <c r="CH14" s="170"/>
      <c r="CI14" s="168"/>
      <c r="CJ14" s="168"/>
      <c r="CK14" s="170"/>
      <c r="CL14" s="170"/>
      <c r="CM14" s="170"/>
      <c r="CN14" s="113"/>
      <c r="CO14" s="36"/>
      <c r="CP14" s="36"/>
      <c r="CQ14" s="36"/>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6"/>
      <c r="EA14" s="36"/>
      <c r="EB14" s="36"/>
      <c r="EC14" s="36"/>
      <c r="ED14" s="36"/>
      <c r="EE14" s="36"/>
      <c r="EF14" s="36"/>
      <c r="EG14" s="36"/>
    </row>
    <row r="15" spans="1:137" s="64" customFormat="1" ht="15" customHeight="1" x14ac:dyDescent="0.25">
      <c r="A15" s="26"/>
      <c r="B15" s="1717" t="s">
        <v>283</v>
      </c>
      <c r="C15" s="1711" t="s">
        <v>287</v>
      </c>
      <c r="D15" s="1711" t="s">
        <v>25</v>
      </c>
      <c r="E15" s="1711"/>
      <c r="F15" s="1711"/>
      <c r="G15" s="1711"/>
      <c r="H15" s="1711"/>
      <c r="I15" s="1711"/>
      <c r="J15" s="1711"/>
      <c r="K15" s="1711"/>
      <c r="L15" s="1711"/>
      <c r="M15" s="1711"/>
      <c r="N15" s="1711"/>
      <c r="O15" s="1711"/>
      <c r="P15" s="1711"/>
      <c r="Q15" s="1711"/>
      <c r="R15" s="1711"/>
      <c r="S15" s="1711" t="s">
        <v>193</v>
      </c>
      <c r="T15" s="1711"/>
      <c r="U15" s="1711"/>
      <c r="V15" s="1711"/>
      <c r="W15" s="1711"/>
      <c r="X15" s="1712" t="s">
        <v>201</v>
      </c>
      <c r="Y15" s="1712"/>
      <c r="Z15" s="1712"/>
      <c r="AA15" s="1712"/>
      <c r="AB15" s="1712"/>
      <c r="AC15" s="1712"/>
      <c r="AD15" s="1712"/>
      <c r="AE15" s="1712" t="s">
        <v>200</v>
      </c>
      <c r="AF15" s="1712"/>
      <c r="AG15" s="1712"/>
      <c r="AH15" s="1712"/>
      <c r="AI15" s="1712"/>
      <c r="AJ15" s="1712"/>
      <c r="AK15" s="1712"/>
      <c r="AL15" s="1712" t="s">
        <v>199</v>
      </c>
      <c r="AM15" s="1712"/>
      <c r="AN15" s="1712"/>
      <c r="AO15" s="1712"/>
      <c r="AP15" s="1712"/>
      <c r="AQ15" s="1712"/>
      <c r="AR15" s="1712"/>
      <c r="AS15" s="1712" t="s">
        <v>363</v>
      </c>
      <c r="AT15" s="1712"/>
      <c r="AU15" s="1712"/>
      <c r="AV15" s="1712"/>
      <c r="AW15" s="1712"/>
      <c r="AX15" s="1712"/>
      <c r="AY15" s="1712" t="s">
        <v>198</v>
      </c>
      <c r="AZ15" s="1712"/>
      <c r="BA15" s="1712"/>
      <c r="BB15" s="1712"/>
      <c r="BC15" s="1712"/>
      <c r="BD15" s="1712"/>
      <c r="BE15" s="1712"/>
      <c r="BF15" s="1719" t="s">
        <v>606</v>
      </c>
      <c r="BG15" s="1720" t="s">
        <v>26</v>
      </c>
      <c r="BH15" s="28"/>
      <c r="BJ15" s="168"/>
      <c r="BK15" s="168"/>
      <c r="BL15" s="168"/>
      <c r="BM15" s="169"/>
      <c r="BN15" s="169"/>
      <c r="BO15" s="169"/>
      <c r="BP15" s="168"/>
      <c r="BQ15" s="168"/>
      <c r="BR15" s="168"/>
      <c r="BS15" s="168"/>
      <c r="BT15" s="168"/>
      <c r="BU15" s="168"/>
      <c r="BV15" s="168"/>
      <c r="BW15" s="168"/>
      <c r="BX15" s="168"/>
      <c r="BY15" s="168"/>
      <c r="BZ15" s="168"/>
      <c r="CA15" s="168"/>
      <c r="CB15" s="170"/>
      <c r="CC15" s="168"/>
      <c r="CD15" s="168"/>
      <c r="CE15" s="170"/>
      <c r="CF15" s="170"/>
      <c r="CG15" s="170"/>
      <c r="CH15" s="170"/>
      <c r="CI15" s="168"/>
      <c r="CJ15" s="168"/>
      <c r="CK15" s="170"/>
      <c r="CL15" s="170"/>
      <c r="CM15" s="170"/>
      <c r="CN15" s="113"/>
      <c r="CO15" s="36"/>
      <c r="CP15" s="36"/>
      <c r="CQ15" s="36"/>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6"/>
      <c r="EA15" s="36"/>
      <c r="EB15" s="36"/>
      <c r="EC15" s="36"/>
      <c r="ED15" s="36"/>
      <c r="EE15" s="36"/>
      <c r="EF15" s="36"/>
      <c r="EG15" s="36"/>
    </row>
    <row r="16" spans="1:137" s="64" customFormat="1" ht="60" x14ac:dyDescent="0.25">
      <c r="A16" s="26"/>
      <c r="B16" s="1718"/>
      <c r="C16" s="1711"/>
      <c r="D16" s="799" t="s">
        <v>27</v>
      </c>
      <c r="E16" s="799" t="s">
        <v>28</v>
      </c>
      <c r="F16" s="799" t="s">
        <v>29</v>
      </c>
      <c r="G16" s="799" t="s">
        <v>30</v>
      </c>
      <c r="H16" s="799" t="s">
        <v>31</v>
      </c>
      <c r="I16" s="799" t="s">
        <v>32</v>
      </c>
      <c r="J16" s="799" t="s">
        <v>33</v>
      </c>
      <c r="K16" s="799" t="s">
        <v>34</v>
      </c>
      <c r="L16" s="799" t="s">
        <v>35</v>
      </c>
      <c r="M16" s="799" t="s">
        <v>36</v>
      </c>
      <c r="N16" s="799" t="s">
        <v>37</v>
      </c>
      <c r="O16" s="799" t="s">
        <v>38</v>
      </c>
      <c r="P16" s="799" t="s">
        <v>39</v>
      </c>
      <c r="Q16" s="799" t="s">
        <v>40</v>
      </c>
      <c r="R16" s="799" t="s">
        <v>41</v>
      </c>
      <c r="S16" s="799" t="s">
        <v>42</v>
      </c>
      <c r="T16" s="799" t="s">
        <v>43</v>
      </c>
      <c r="U16" s="799" t="s">
        <v>44</v>
      </c>
      <c r="V16" s="800" t="s">
        <v>210</v>
      </c>
      <c r="W16" s="801" t="s">
        <v>193</v>
      </c>
      <c r="X16" s="1719" t="s">
        <v>194</v>
      </c>
      <c r="Y16" s="1719"/>
      <c r="Z16" s="799" t="s">
        <v>202</v>
      </c>
      <c r="AA16" s="802" t="s">
        <v>605</v>
      </c>
      <c r="AB16" s="802" t="s">
        <v>617</v>
      </c>
      <c r="AC16" s="801" t="s">
        <v>203</v>
      </c>
      <c r="AD16" s="802" t="s">
        <v>294</v>
      </c>
      <c r="AE16" s="1719" t="s">
        <v>195</v>
      </c>
      <c r="AF16" s="1719"/>
      <c r="AG16" s="801" t="s">
        <v>204</v>
      </c>
      <c r="AH16" s="803" t="s">
        <v>618</v>
      </c>
      <c r="AI16" s="803" t="s">
        <v>619</v>
      </c>
      <c r="AJ16" s="801" t="s">
        <v>205</v>
      </c>
      <c r="AK16" s="802" t="s">
        <v>294</v>
      </c>
      <c r="AL16" s="1719" t="s">
        <v>196</v>
      </c>
      <c r="AM16" s="1719"/>
      <c r="AN16" s="799" t="s">
        <v>206</v>
      </c>
      <c r="AO16" s="799" t="s">
        <v>620</v>
      </c>
      <c r="AP16" s="799" t="s">
        <v>621</v>
      </c>
      <c r="AQ16" s="801" t="s">
        <v>207</v>
      </c>
      <c r="AR16" s="802" t="s">
        <v>294</v>
      </c>
      <c r="AS16" s="1719" t="s">
        <v>622</v>
      </c>
      <c r="AT16" s="1719"/>
      <c r="AU16" s="801" t="s">
        <v>365</v>
      </c>
      <c r="AV16" s="802" t="s">
        <v>623</v>
      </c>
      <c r="AW16" s="801" t="s">
        <v>364</v>
      </c>
      <c r="AX16" s="802" t="s">
        <v>294</v>
      </c>
      <c r="AY16" s="1719" t="s">
        <v>197</v>
      </c>
      <c r="AZ16" s="1719"/>
      <c r="BA16" s="801" t="s">
        <v>208</v>
      </c>
      <c r="BB16" s="802" t="s">
        <v>624</v>
      </c>
      <c r="BC16" s="802" t="s">
        <v>625</v>
      </c>
      <c r="BD16" s="801" t="s">
        <v>209</v>
      </c>
      <c r="BE16" s="802" t="s">
        <v>294</v>
      </c>
      <c r="BF16" s="1719"/>
      <c r="BG16" s="1720"/>
      <c r="BH16" s="28"/>
      <c r="BJ16" s="168"/>
      <c r="BK16" s="168"/>
      <c r="BL16" s="168"/>
      <c r="BM16" s="169"/>
      <c r="BN16" s="169"/>
      <c r="BO16" s="169"/>
      <c r="BP16" s="168"/>
      <c r="BQ16" s="168"/>
      <c r="BR16" s="168"/>
      <c r="BS16" s="168"/>
      <c r="BT16" s="168"/>
      <c r="BU16" s="168"/>
      <c r="BV16" s="168"/>
      <c r="BW16" s="168"/>
      <c r="BX16" s="168"/>
      <c r="BY16" s="168"/>
      <c r="BZ16" s="168"/>
      <c r="CA16" s="168"/>
      <c r="CB16" s="170"/>
      <c r="CC16" s="168"/>
      <c r="CD16" s="168"/>
      <c r="CE16" s="170"/>
      <c r="CF16" s="170"/>
      <c r="CG16" s="170"/>
      <c r="CH16" s="170"/>
      <c r="CI16" s="168"/>
      <c r="CJ16" s="168"/>
      <c r="CK16" s="170"/>
      <c r="CL16" s="170"/>
      <c r="CM16" s="170"/>
      <c r="CN16" s="113"/>
      <c r="CO16" s="36"/>
      <c r="CP16" s="36"/>
      <c r="CQ16" s="36"/>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6"/>
      <c r="EA16" s="36"/>
      <c r="EB16" s="36"/>
      <c r="EC16" s="36"/>
      <c r="ED16" s="36"/>
      <c r="EE16" s="36"/>
      <c r="EF16" s="36"/>
      <c r="EG16" s="36"/>
    </row>
    <row r="17" spans="1:137" s="27" customFormat="1" ht="15" customHeight="1" x14ac:dyDescent="0.25">
      <c r="A17" s="26"/>
      <c r="B17" s="758" t="s">
        <v>397</v>
      </c>
      <c r="C17" s="553"/>
      <c r="D17" s="804">
        <f t="shared" ref="D17:D27" si="0">VLOOKUP($C17,$BI$95:$CM$477,2,FALSE)</f>
        <v>0</v>
      </c>
      <c r="E17" s="1393"/>
      <c r="F17" s="421"/>
      <c r="G17" s="421"/>
      <c r="H17" s="421"/>
      <c r="I17" s="421"/>
      <c r="J17" s="421"/>
      <c r="K17" s="421"/>
      <c r="L17" s="421"/>
      <c r="M17" s="421"/>
      <c r="N17" s="421"/>
      <c r="O17" s="421"/>
      <c r="P17" s="421"/>
      <c r="Q17" s="422">
        <f t="shared" ref="Q17:Q27" si="1">SUM(E17:P17)</f>
        <v>0</v>
      </c>
      <c r="R17" s="423">
        <f t="shared" ref="R17:R27" si="2">COUNT(E17:P17)</f>
        <v>0</v>
      </c>
      <c r="S17" s="422">
        <f t="shared" ref="S17:S27" si="3">IF(R17&gt;1,AVERAGE(E17:P17),0)</f>
        <v>0</v>
      </c>
      <c r="T17" s="422">
        <f t="shared" ref="T17:T27" si="4">IF(R17&gt;1,STDEV(E17:P17),0)</f>
        <v>0</v>
      </c>
      <c r="U17" s="422">
        <f t="shared" ref="U17:U27" si="5">IF(R17&gt;1,VLOOKUP($R17,$BI$429:$BJ$441,2,FALSE),0)</f>
        <v>0</v>
      </c>
      <c r="V17" s="424"/>
      <c r="W17" s="425">
        <f t="shared" ref="W17:W27" si="6">IF(R17&gt;1,1-((S17-((T17*U17)/(SQRT(R17))))/S17),VLOOKUP($C17,$BI$95:$CS$477,34,FALSE))</f>
        <v>0</v>
      </c>
      <c r="X17" s="805">
        <f t="shared" ref="X17:X27" si="7">VLOOKUP($C17,$BI$95:$CM$477,3,FALSE)</f>
        <v>0</v>
      </c>
      <c r="Y17" s="793">
        <f t="shared" ref="Y17:Y27" si="8">VLOOKUP($C17,$BI$95:$CM$477,4,FALSE)</f>
        <v>0</v>
      </c>
      <c r="Z17" s="794">
        <f t="shared" ref="Z17:Z27" si="9">IF($Q17&gt;0,VLOOKUP($C17,$BI$95:$CM$477,6,FALSE),0)</f>
        <v>0</v>
      </c>
      <c r="AA17" s="795">
        <f t="shared" ref="AA17:AA27" si="10">($Q17*X17)/1000</f>
        <v>0</v>
      </c>
      <c r="AB17" s="795">
        <f t="shared" ref="AB17:AB27" si="11">AA17*$BJ$447</f>
        <v>0</v>
      </c>
      <c r="AC17" s="794">
        <f t="shared" ref="AC17:AC27" si="12">IF(AA17&gt;0,SQRT(($W17*$W17)+(Z17*Z17)+($V17*$V17)),0)</f>
        <v>0</v>
      </c>
      <c r="AD17" s="795">
        <f t="shared" ref="AD17:AD27" si="13">(AB17*AC17)^2</f>
        <v>0</v>
      </c>
      <c r="AE17" s="806">
        <f t="shared" ref="AE17:AE27" si="14">VLOOKUP($C17,$BI$95:$CM$477,9,FALSE)</f>
        <v>0</v>
      </c>
      <c r="AF17" s="793">
        <f t="shared" ref="AF17:AF27" si="15">VLOOKUP($C17,$BI$95:$CM$477,10,FALSE)</f>
        <v>0</v>
      </c>
      <c r="AG17" s="794">
        <f t="shared" ref="AG17:AG27" si="16">IF($Q17&gt;0,VLOOKUP($C17,$BI$95:$CM$477,24,FALSE),0)</f>
        <v>0</v>
      </c>
      <c r="AH17" s="807">
        <f t="shared" ref="AH17:AH27" si="17">($Q17*AE17)/1000</f>
        <v>0</v>
      </c>
      <c r="AI17" s="807">
        <f t="shared" ref="AI17:AI27" si="18">AH17*$BJ$448</f>
        <v>0</v>
      </c>
      <c r="AJ17" s="794">
        <f t="shared" ref="AJ17:AJ27" si="19">IF(AH17&gt;0,SQRT(($W17*$W17)+(AG17*AG17)+($V17*$V17)),0)</f>
        <v>0</v>
      </c>
      <c r="AK17" s="795">
        <f t="shared" ref="AK17:AK27" si="20">(AI17*AJ17)^2</f>
        <v>0</v>
      </c>
      <c r="AL17" s="806">
        <f t="shared" ref="AL17:AL27" si="21">VLOOKUP($C17,$BI$95:$CM$477,15,FALSE)</f>
        <v>0</v>
      </c>
      <c r="AM17" s="793">
        <f t="shared" ref="AM17:AM27" si="22">VLOOKUP($C17,$BI$95:$CM$477,16,FALSE)</f>
        <v>0</v>
      </c>
      <c r="AN17" s="794">
        <f t="shared" ref="AN17:AN27" si="23">IF($Q17&gt;0,VLOOKUP($C17,$BI$95:$CM$477,30,FALSE),0)</f>
        <v>0</v>
      </c>
      <c r="AO17" s="807">
        <f t="shared" ref="AO17:AO27" si="24">($Q17*AL17)/1000</f>
        <v>0</v>
      </c>
      <c r="AP17" s="807">
        <f t="shared" ref="AP17:AP27" si="25">AO17*$BJ$449</f>
        <v>0</v>
      </c>
      <c r="AQ17" s="794">
        <f t="shared" ref="AQ17:AQ27" si="26">IF(AO17&gt;0,SQRT(($W17*$W17)+(AN17*AN17)+($V17*$V17)),0)</f>
        <v>0</v>
      </c>
      <c r="AR17" s="795">
        <f t="shared" ref="AR17:AR27" si="27">(AP17*AQ17)^2</f>
        <v>0</v>
      </c>
      <c r="AS17" s="792">
        <v>0</v>
      </c>
      <c r="AT17" s="793">
        <v>0</v>
      </c>
      <c r="AU17" s="794">
        <v>0</v>
      </c>
      <c r="AV17" s="807">
        <f t="shared" ref="AV17:AV27" si="28">($Q17*AS17)/1000</f>
        <v>0</v>
      </c>
      <c r="AW17" s="794">
        <f t="shared" ref="AW17:AW27" si="29">IF(AV17&gt;0,SQRT(($W17*$W17)+(AU17*AU17)+($V17*$V17)),0)</f>
        <v>0</v>
      </c>
      <c r="AX17" s="795">
        <f t="shared" ref="AX17:AX27" si="30">(AV17*AW17)^2</f>
        <v>0</v>
      </c>
      <c r="AY17" s="792">
        <v>0</v>
      </c>
      <c r="AZ17" s="793">
        <v>0</v>
      </c>
      <c r="BA17" s="794">
        <v>0</v>
      </c>
      <c r="BB17" s="807">
        <f t="shared" ref="BB17:BB27" si="31">($Q17*AY17)/1000</f>
        <v>0</v>
      </c>
      <c r="BC17" s="807">
        <f t="shared" ref="BC17:BC27" si="32">BB17*$BJ$450</f>
        <v>0</v>
      </c>
      <c r="BD17" s="794">
        <f t="shared" ref="BD17:BD27" si="33">IF(BB17&gt;0,SQRT(($W17*$W17)+(BA17*BA17)+($V17*$V17)),0)</f>
        <v>0</v>
      </c>
      <c r="BE17" s="795">
        <f t="shared" ref="BE17:BE27" si="34">(BC17*BD17)^2</f>
        <v>0</v>
      </c>
      <c r="BF17" s="796">
        <f t="shared" ref="BF17:BF27" si="35">AB17+AI17+AP17+AV17+BC17</f>
        <v>0</v>
      </c>
      <c r="BG17" s="761">
        <f t="shared" ref="BG17:BG27" si="36">IF(BF17&gt;0,SQRT(AD17+AK17+AR17+AX17+BE17)/BF17,0)</f>
        <v>0</v>
      </c>
      <c r="BH17" s="28">
        <f t="shared" ref="BH17:BH51" si="37">(BF17*BG17)^2</f>
        <v>0</v>
      </c>
      <c r="BI17" s="64"/>
      <c r="BJ17" s="168"/>
      <c r="BK17" s="168"/>
      <c r="BL17" s="168"/>
      <c r="BM17" s="169"/>
      <c r="BN17" s="169"/>
      <c r="BO17" s="169"/>
      <c r="BP17" s="168"/>
      <c r="BQ17" s="168"/>
      <c r="BR17" s="168"/>
      <c r="BS17" s="168"/>
      <c r="BT17" s="168"/>
      <c r="BU17" s="168"/>
      <c r="BV17" s="168"/>
      <c r="BW17" s="168"/>
      <c r="BX17" s="168"/>
      <c r="BY17" s="168"/>
      <c r="BZ17" s="168"/>
      <c r="CA17" s="168"/>
      <c r="CB17" s="170"/>
      <c r="CC17" s="168"/>
      <c r="CD17" s="168"/>
      <c r="CE17" s="170"/>
      <c r="CF17" s="170"/>
      <c r="CG17" s="170"/>
      <c r="CH17" s="170"/>
      <c r="CI17" s="168"/>
      <c r="CJ17" s="168"/>
      <c r="CK17" s="170"/>
      <c r="CL17" s="170"/>
      <c r="CM17" s="170"/>
      <c r="CN17" s="113"/>
      <c r="CO17" s="36"/>
      <c r="CP17" s="36"/>
      <c r="CQ17" s="36"/>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6"/>
      <c r="EA17" s="36"/>
      <c r="EB17" s="36"/>
      <c r="EC17" s="36"/>
      <c r="ED17" s="36"/>
      <c r="EE17" s="36"/>
      <c r="EF17" s="36"/>
      <c r="EG17" s="36"/>
    </row>
    <row r="18" spans="1:137" s="27" customFormat="1" x14ac:dyDescent="0.25">
      <c r="A18" s="26"/>
      <c r="B18" s="759" t="s">
        <v>396</v>
      </c>
      <c r="C18" s="553"/>
      <c r="D18" s="804">
        <f t="shared" si="0"/>
        <v>0</v>
      </c>
      <c r="E18" s="1393"/>
      <c r="F18" s="421"/>
      <c r="G18" s="421"/>
      <c r="H18" s="421"/>
      <c r="I18" s="421"/>
      <c r="J18" s="421"/>
      <c r="K18" s="421"/>
      <c r="L18" s="421"/>
      <c r="M18" s="421"/>
      <c r="N18" s="421"/>
      <c r="O18" s="421"/>
      <c r="P18" s="421"/>
      <c r="Q18" s="422">
        <f t="shared" si="1"/>
        <v>0</v>
      </c>
      <c r="R18" s="423">
        <f t="shared" si="2"/>
        <v>0</v>
      </c>
      <c r="S18" s="422">
        <f t="shared" si="3"/>
        <v>0</v>
      </c>
      <c r="T18" s="422">
        <f t="shared" si="4"/>
        <v>0</v>
      </c>
      <c r="U18" s="422">
        <f t="shared" si="5"/>
        <v>0</v>
      </c>
      <c r="V18" s="424"/>
      <c r="W18" s="425">
        <f t="shared" si="6"/>
        <v>0</v>
      </c>
      <c r="X18" s="805">
        <f t="shared" si="7"/>
        <v>0</v>
      </c>
      <c r="Y18" s="793">
        <f t="shared" si="8"/>
        <v>0</v>
      </c>
      <c r="Z18" s="794">
        <f t="shared" si="9"/>
        <v>0</v>
      </c>
      <c r="AA18" s="795">
        <f t="shared" si="10"/>
        <v>0</v>
      </c>
      <c r="AB18" s="795">
        <f t="shared" si="11"/>
        <v>0</v>
      </c>
      <c r="AC18" s="794">
        <f t="shared" si="12"/>
        <v>0</v>
      </c>
      <c r="AD18" s="795">
        <f t="shared" si="13"/>
        <v>0</v>
      </c>
      <c r="AE18" s="806">
        <f t="shared" si="14"/>
        <v>0</v>
      </c>
      <c r="AF18" s="793">
        <f t="shared" si="15"/>
        <v>0</v>
      </c>
      <c r="AG18" s="794">
        <f t="shared" si="16"/>
        <v>0</v>
      </c>
      <c r="AH18" s="807">
        <f t="shared" si="17"/>
        <v>0</v>
      </c>
      <c r="AI18" s="807">
        <f t="shared" si="18"/>
        <v>0</v>
      </c>
      <c r="AJ18" s="794">
        <f t="shared" si="19"/>
        <v>0</v>
      </c>
      <c r="AK18" s="795">
        <f t="shared" si="20"/>
        <v>0</v>
      </c>
      <c r="AL18" s="806">
        <f t="shared" si="21"/>
        <v>0</v>
      </c>
      <c r="AM18" s="793">
        <f t="shared" si="22"/>
        <v>0</v>
      </c>
      <c r="AN18" s="794">
        <f t="shared" si="23"/>
        <v>0</v>
      </c>
      <c r="AO18" s="807">
        <f t="shared" si="24"/>
        <v>0</v>
      </c>
      <c r="AP18" s="807">
        <f t="shared" si="25"/>
        <v>0</v>
      </c>
      <c r="AQ18" s="794">
        <f t="shared" si="26"/>
        <v>0</v>
      </c>
      <c r="AR18" s="795">
        <f t="shared" si="27"/>
        <v>0</v>
      </c>
      <c r="AS18" s="792">
        <v>0</v>
      </c>
      <c r="AT18" s="793">
        <v>0</v>
      </c>
      <c r="AU18" s="794">
        <v>0</v>
      </c>
      <c r="AV18" s="807">
        <f t="shared" si="28"/>
        <v>0</v>
      </c>
      <c r="AW18" s="794">
        <f t="shared" si="29"/>
        <v>0</v>
      </c>
      <c r="AX18" s="795">
        <f t="shared" si="30"/>
        <v>0</v>
      </c>
      <c r="AY18" s="792">
        <v>0</v>
      </c>
      <c r="AZ18" s="793">
        <v>0</v>
      </c>
      <c r="BA18" s="794">
        <v>0</v>
      </c>
      <c r="BB18" s="807">
        <f t="shared" si="31"/>
        <v>0</v>
      </c>
      <c r="BC18" s="807">
        <f t="shared" si="32"/>
        <v>0</v>
      </c>
      <c r="BD18" s="794">
        <f t="shared" si="33"/>
        <v>0</v>
      </c>
      <c r="BE18" s="795">
        <f t="shared" si="34"/>
        <v>0</v>
      </c>
      <c r="BF18" s="796">
        <f t="shared" si="35"/>
        <v>0</v>
      </c>
      <c r="BG18" s="761">
        <f t="shared" si="36"/>
        <v>0</v>
      </c>
      <c r="BH18" s="28">
        <f t="shared" si="37"/>
        <v>0</v>
      </c>
      <c r="BI18" s="64"/>
      <c r="BJ18" s="168"/>
      <c r="BK18" s="168"/>
      <c r="BL18" s="168"/>
      <c r="BM18" s="169"/>
      <c r="BN18" s="169"/>
      <c r="BO18" s="169"/>
      <c r="BP18" s="168"/>
      <c r="BQ18" s="168"/>
      <c r="BR18" s="168"/>
      <c r="BS18" s="168"/>
      <c r="BT18" s="168"/>
      <c r="BU18" s="168"/>
      <c r="BV18" s="168"/>
      <c r="BW18" s="168"/>
      <c r="BX18" s="168"/>
      <c r="BY18" s="168"/>
      <c r="BZ18" s="168"/>
      <c r="CA18" s="168"/>
      <c r="CB18" s="170"/>
      <c r="CC18" s="168"/>
      <c r="CD18" s="168"/>
      <c r="CE18" s="170"/>
      <c r="CF18" s="170"/>
      <c r="CG18" s="170"/>
      <c r="CH18" s="170"/>
      <c r="CI18" s="168"/>
      <c r="CJ18" s="168"/>
      <c r="CK18" s="170"/>
      <c r="CL18" s="170"/>
      <c r="CM18" s="170"/>
      <c r="CN18" s="113"/>
      <c r="CO18" s="36"/>
      <c r="CP18" s="36"/>
      <c r="CQ18" s="36"/>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6"/>
      <c r="EA18" s="36"/>
      <c r="EB18" s="36"/>
      <c r="EC18" s="36"/>
      <c r="ED18" s="36"/>
      <c r="EE18" s="36"/>
      <c r="EF18" s="36"/>
      <c r="EG18" s="36"/>
    </row>
    <row r="19" spans="1:137" s="27" customFormat="1" x14ac:dyDescent="0.25">
      <c r="A19" s="26"/>
      <c r="B19" s="759"/>
      <c r="C19" s="553"/>
      <c r="D19" s="804">
        <f t="shared" si="0"/>
        <v>0</v>
      </c>
      <c r="E19" s="1393"/>
      <c r="F19" s="421"/>
      <c r="G19" s="421"/>
      <c r="H19" s="421"/>
      <c r="I19" s="421"/>
      <c r="J19" s="421"/>
      <c r="K19" s="421"/>
      <c r="L19" s="421"/>
      <c r="M19" s="421"/>
      <c r="N19" s="421"/>
      <c r="O19" s="421"/>
      <c r="P19" s="421"/>
      <c r="Q19" s="422">
        <f t="shared" si="1"/>
        <v>0</v>
      </c>
      <c r="R19" s="423">
        <f t="shared" si="2"/>
        <v>0</v>
      </c>
      <c r="S19" s="422">
        <f t="shared" si="3"/>
        <v>0</v>
      </c>
      <c r="T19" s="422">
        <f t="shared" si="4"/>
        <v>0</v>
      </c>
      <c r="U19" s="422">
        <f t="shared" si="5"/>
        <v>0</v>
      </c>
      <c r="V19" s="424"/>
      <c r="W19" s="425">
        <f t="shared" si="6"/>
        <v>0</v>
      </c>
      <c r="X19" s="805">
        <f t="shared" si="7"/>
        <v>0</v>
      </c>
      <c r="Y19" s="793">
        <f t="shared" si="8"/>
        <v>0</v>
      </c>
      <c r="Z19" s="794">
        <f t="shared" si="9"/>
        <v>0</v>
      </c>
      <c r="AA19" s="795">
        <f t="shared" si="10"/>
        <v>0</v>
      </c>
      <c r="AB19" s="795">
        <f t="shared" si="11"/>
        <v>0</v>
      </c>
      <c r="AC19" s="794">
        <f t="shared" si="12"/>
        <v>0</v>
      </c>
      <c r="AD19" s="795">
        <f t="shared" si="13"/>
        <v>0</v>
      </c>
      <c r="AE19" s="806">
        <f t="shared" si="14"/>
        <v>0</v>
      </c>
      <c r="AF19" s="793">
        <f t="shared" si="15"/>
        <v>0</v>
      </c>
      <c r="AG19" s="794">
        <f t="shared" si="16"/>
        <v>0</v>
      </c>
      <c r="AH19" s="807">
        <f t="shared" si="17"/>
        <v>0</v>
      </c>
      <c r="AI19" s="807">
        <f t="shared" si="18"/>
        <v>0</v>
      </c>
      <c r="AJ19" s="794">
        <f t="shared" si="19"/>
        <v>0</v>
      </c>
      <c r="AK19" s="795">
        <f t="shared" si="20"/>
        <v>0</v>
      </c>
      <c r="AL19" s="806">
        <f t="shared" si="21"/>
        <v>0</v>
      </c>
      <c r="AM19" s="793">
        <f t="shared" si="22"/>
        <v>0</v>
      </c>
      <c r="AN19" s="794">
        <f t="shared" si="23"/>
        <v>0</v>
      </c>
      <c r="AO19" s="807">
        <f t="shared" si="24"/>
        <v>0</v>
      </c>
      <c r="AP19" s="807">
        <f t="shared" si="25"/>
        <v>0</v>
      </c>
      <c r="AQ19" s="794">
        <f t="shared" si="26"/>
        <v>0</v>
      </c>
      <c r="AR19" s="795">
        <f t="shared" si="27"/>
        <v>0</v>
      </c>
      <c r="AS19" s="792">
        <v>0</v>
      </c>
      <c r="AT19" s="793">
        <v>0</v>
      </c>
      <c r="AU19" s="794">
        <v>0</v>
      </c>
      <c r="AV19" s="807">
        <f t="shared" si="28"/>
        <v>0</v>
      </c>
      <c r="AW19" s="794">
        <f t="shared" si="29"/>
        <v>0</v>
      </c>
      <c r="AX19" s="795">
        <f t="shared" si="30"/>
        <v>0</v>
      </c>
      <c r="AY19" s="792">
        <v>0</v>
      </c>
      <c r="AZ19" s="793">
        <v>0</v>
      </c>
      <c r="BA19" s="794">
        <v>0</v>
      </c>
      <c r="BB19" s="807">
        <f t="shared" si="31"/>
        <v>0</v>
      </c>
      <c r="BC19" s="807">
        <f t="shared" si="32"/>
        <v>0</v>
      </c>
      <c r="BD19" s="794">
        <f t="shared" si="33"/>
        <v>0</v>
      </c>
      <c r="BE19" s="795">
        <f t="shared" si="34"/>
        <v>0</v>
      </c>
      <c r="BF19" s="796">
        <f t="shared" si="35"/>
        <v>0</v>
      </c>
      <c r="BG19" s="761">
        <f t="shared" si="36"/>
        <v>0</v>
      </c>
      <c r="BH19" s="28">
        <f t="shared" si="37"/>
        <v>0</v>
      </c>
      <c r="BI19" s="64"/>
      <c r="BJ19" s="168"/>
      <c r="BK19" s="168"/>
      <c r="BL19" s="168"/>
      <c r="BM19" s="169"/>
      <c r="BN19" s="169"/>
      <c r="BO19" s="169"/>
      <c r="BP19" s="168"/>
      <c r="BQ19" s="168"/>
      <c r="BR19" s="168"/>
      <c r="BS19" s="168"/>
      <c r="BT19" s="168"/>
      <c r="BU19" s="168"/>
      <c r="BV19" s="168"/>
      <c r="BW19" s="168"/>
      <c r="BX19" s="168"/>
      <c r="BY19" s="168"/>
      <c r="BZ19" s="168"/>
      <c r="CA19" s="168"/>
      <c r="CB19" s="170"/>
      <c r="CC19" s="168"/>
      <c r="CD19" s="168"/>
      <c r="CE19" s="170"/>
      <c r="CF19" s="170"/>
      <c r="CG19" s="170"/>
      <c r="CH19" s="170"/>
      <c r="CI19" s="168"/>
      <c r="CJ19" s="168"/>
      <c r="CK19" s="170"/>
      <c r="CL19" s="170"/>
      <c r="CM19" s="170"/>
      <c r="CN19" s="113"/>
      <c r="CO19" s="36"/>
      <c r="CP19" s="36"/>
      <c r="CQ19" s="36"/>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6"/>
      <c r="EA19" s="36"/>
      <c r="EB19" s="36"/>
      <c r="EC19" s="36"/>
      <c r="ED19" s="36"/>
      <c r="EE19" s="36"/>
      <c r="EF19" s="36"/>
      <c r="EG19" s="36"/>
    </row>
    <row r="20" spans="1:137" s="27" customFormat="1" x14ac:dyDescent="0.25">
      <c r="A20" s="26"/>
      <c r="B20" s="760"/>
      <c r="C20" s="553"/>
      <c r="D20" s="804">
        <f t="shared" si="0"/>
        <v>0</v>
      </c>
      <c r="E20" s="1393"/>
      <c r="F20" s="421"/>
      <c r="G20" s="421"/>
      <c r="H20" s="421"/>
      <c r="I20" s="421"/>
      <c r="J20" s="421"/>
      <c r="K20" s="421"/>
      <c r="L20" s="421"/>
      <c r="M20" s="421"/>
      <c r="N20" s="421"/>
      <c r="O20" s="421"/>
      <c r="P20" s="421"/>
      <c r="Q20" s="422">
        <f t="shared" si="1"/>
        <v>0</v>
      </c>
      <c r="R20" s="423">
        <f t="shared" si="2"/>
        <v>0</v>
      </c>
      <c r="S20" s="422">
        <f t="shared" si="3"/>
        <v>0</v>
      </c>
      <c r="T20" s="422">
        <f t="shared" si="4"/>
        <v>0</v>
      </c>
      <c r="U20" s="422">
        <f t="shared" si="5"/>
        <v>0</v>
      </c>
      <c r="V20" s="424"/>
      <c r="W20" s="425">
        <f t="shared" si="6"/>
        <v>0</v>
      </c>
      <c r="X20" s="805">
        <f t="shared" si="7"/>
        <v>0</v>
      </c>
      <c r="Y20" s="793">
        <f t="shared" si="8"/>
        <v>0</v>
      </c>
      <c r="Z20" s="794">
        <f t="shared" si="9"/>
        <v>0</v>
      </c>
      <c r="AA20" s="795">
        <f t="shared" si="10"/>
        <v>0</v>
      </c>
      <c r="AB20" s="795">
        <f t="shared" si="11"/>
        <v>0</v>
      </c>
      <c r="AC20" s="794">
        <f t="shared" si="12"/>
        <v>0</v>
      </c>
      <c r="AD20" s="795">
        <f t="shared" si="13"/>
        <v>0</v>
      </c>
      <c r="AE20" s="806">
        <f t="shared" si="14"/>
        <v>0</v>
      </c>
      <c r="AF20" s="793">
        <f t="shared" si="15"/>
        <v>0</v>
      </c>
      <c r="AG20" s="794">
        <f t="shared" si="16"/>
        <v>0</v>
      </c>
      <c r="AH20" s="807">
        <f t="shared" si="17"/>
        <v>0</v>
      </c>
      <c r="AI20" s="807">
        <f t="shared" si="18"/>
        <v>0</v>
      </c>
      <c r="AJ20" s="794">
        <f t="shared" si="19"/>
        <v>0</v>
      </c>
      <c r="AK20" s="795">
        <f t="shared" si="20"/>
        <v>0</v>
      </c>
      <c r="AL20" s="806">
        <f t="shared" si="21"/>
        <v>0</v>
      </c>
      <c r="AM20" s="793">
        <f t="shared" si="22"/>
        <v>0</v>
      </c>
      <c r="AN20" s="794">
        <f t="shared" si="23"/>
        <v>0</v>
      </c>
      <c r="AO20" s="807">
        <f t="shared" si="24"/>
        <v>0</v>
      </c>
      <c r="AP20" s="807">
        <f t="shared" si="25"/>
        <v>0</v>
      </c>
      <c r="AQ20" s="794">
        <f t="shared" si="26"/>
        <v>0</v>
      </c>
      <c r="AR20" s="795">
        <f t="shared" si="27"/>
        <v>0</v>
      </c>
      <c r="AS20" s="792">
        <v>0</v>
      </c>
      <c r="AT20" s="793">
        <v>0</v>
      </c>
      <c r="AU20" s="794">
        <v>0</v>
      </c>
      <c r="AV20" s="807">
        <f t="shared" si="28"/>
        <v>0</v>
      </c>
      <c r="AW20" s="794">
        <f t="shared" si="29"/>
        <v>0</v>
      </c>
      <c r="AX20" s="795">
        <f t="shared" si="30"/>
        <v>0</v>
      </c>
      <c r="AY20" s="792">
        <v>0</v>
      </c>
      <c r="AZ20" s="793">
        <v>0</v>
      </c>
      <c r="BA20" s="794">
        <v>0</v>
      </c>
      <c r="BB20" s="807">
        <f t="shared" si="31"/>
        <v>0</v>
      </c>
      <c r="BC20" s="807">
        <f t="shared" si="32"/>
        <v>0</v>
      </c>
      <c r="BD20" s="794">
        <f t="shared" si="33"/>
        <v>0</v>
      </c>
      <c r="BE20" s="795">
        <f t="shared" si="34"/>
        <v>0</v>
      </c>
      <c r="BF20" s="796">
        <f t="shared" si="35"/>
        <v>0</v>
      </c>
      <c r="BG20" s="761">
        <f t="shared" si="36"/>
        <v>0</v>
      </c>
      <c r="BH20" s="28">
        <f t="shared" si="37"/>
        <v>0</v>
      </c>
      <c r="BI20" s="64"/>
      <c r="BJ20" s="168"/>
      <c r="BK20" s="168"/>
      <c r="BL20" s="168"/>
      <c r="BM20" s="169"/>
      <c r="BN20" s="169"/>
      <c r="BO20" s="169"/>
      <c r="BP20" s="168"/>
      <c r="BQ20" s="168"/>
      <c r="BR20" s="168"/>
      <c r="BS20" s="168"/>
      <c r="BT20" s="168"/>
      <c r="BU20" s="168"/>
      <c r="BV20" s="168"/>
      <c r="BW20" s="168"/>
      <c r="BX20" s="168"/>
      <c r="BY20" s="168"/>
      <c r="BZ20" s="168"/>
      <c r="CA20" s="168"/>
      <c r="CB20" s="170"/>
      <c r="CC20" s="168"/>
      <c r="CD20" s="168"/>
      <c r="CE20" s="170"/>
      <c r="CF20" s="170"/>
      <c r="CG20" s="170"/>
      <c r="CH20" s="170"/>
      <c r="CI20" s="168"/>
      <c r="CJ20" s="168"/>
      <c r="CK20" s="170"/>
      <c r="CL20" s="170"/>
      <c r="CM20" s="170"/>
      <c r="CN20" s="113"/>
      <c r="CO20" s="36"/>
      <c r="CP20" s="36"/>
      <c r="CQ20" s="36"/>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6"/>
      <c r="EA20" s="36"/>
      <c r="EB20" s="36"/>
      <c r="EC20" s="36"/>
      <c r="ED20" s="36"/>
      <c r="EE20" s="36"/>
      <c r="EF20" s="36"/>
      <c r="EG20" s="36"/>
    </row>
    <row r="21" spans="1:137" s="27" customFormat="1" ht="15" customHeight="1" x14ac:dyDescent="0.25">
      <c r="A21" s="26"/>
      <c r="B21" s="758" t="s">
        <v>402</v>
      </c>
      <c r="C21" s="553"/>
      <c r="D21" s="804">
        <f t="shared" si="0"/>
        <v>0</v>
      </c>
      <c r="E21" s="1393"/>
      <c r="F21" s="144"/>
      <c r="G21" s="421"/>
      <c r="H21" s="421"/>
      <c r="I21" s="421"/>
      <c r="J21" s="421"/>
      <c r="K21" s="421"/>
      <c r="L21" s="421"/>
      <c r="M21" s="421"/>
      <c r="N21" s="421"/>
      <c r="O21" s="421"/>
      <c r="P21" s="421"/>
      <c r="Q21" s="422">
        <f t="shared" si="1"/>
        <v>0</v>
      </c>
      <c r="R21" s="423">
        <f t="shared" si="2"/>
        <v>0</v>
      </c>
      <c r="S21" s="422">
        <f t="shared" si="3"/>
        <v>0</v>
      </c>
      <c r="T21" s="422">
        <f t="shared" si="4"/>
        <v>0</v>
      </c>
      <c r="U21" s="422">
        <f t="shared" si="5"/>
        <v>0</v>
      </c>
      <c r="V21" s="424"/>
      <c r="W21" s="425">
        <f t="shared" si="6"/>
        <v>0</v>
      </c>
      <c r="X21" s="805">
        <f t="shared" si="7"/>
        <v>0</v>
      </c>
      <c r="Y21" s="793">
        <f t="shared" si="8"/>
        <v>0</v>
      </c>
      <c r="Z21" s="794">
        <f t="shared" si="9"/>
        <v>0</v>
      </c>
      <c r="AA21" s="808">
        <f t="shared" si="10"/>
        <v>0</v>
      </c>
      <c r="AB21" s="795">
        <f t="shared" si="11"/>
        <v>0</v>
      </c>
      <c r="AC21" s="794">
        <f t="shared" si="12"/>
        <v>0</v>
      </c>
      <c r="AD21" s="795">
        <f t="shared" si="13"/>
        <v>0</v>
      </c>
      <c r="AE21" s="809">
        <f t="shared" si="14"/>
        <v>0</v>
      </c>
      <c r="AF21" s="793">
        <f t="shared" si="15"/>
        <v>0</v>
      </c>
      <c r="AG21" s="794">
        <f t="shared" si="16"/>
        <v>0</v>
      </c>
      <c r="AH21" s="807">
        <f t="shared" si="17"/>
        <v>0</v>
      </c>
      <c r="AI21" s="807">
        <f t="shared" si="18"/>
        <v>0</v>
      </c>
      <c r="AJ21" s="794">
        <f t="shared" si="19"/>
        <v>0</v>
      </c>
      <c r="AK21" s="795">
        <f t="shared" si="20"/>
        <v>0</v>
      </c>
      <c r="AL21" s="806">
        <f t="shared" si="21"/>
        <v>0</v>
      </c>
      <c r="AM21" s="793">
        <f t="shared" si="22"/>
        <v>0</v>
      </c>
      <c r="AN21" s="794">
        <f t="shared" si="23"/>
        <v>0</v>
      </c>
      <c r="AO21" s="810">
        <f t="shared" si="24"/>
        <v>0</v>
      </c>
      <c r="AP21" s="807">
        <f t="shared" si="25"/>
        <v>0</v>
      </c>
      <c r="AQ21" s="794">
        <f t="shared" si="26"/>
        <v>0</v>
      </c>
      <c r="AR21" s="795">
        <f t="shared" si="27"/>
        <v>0</v>
      </c>
      <c r="AS21" s="792">
        <v>0</v>
      </c>
      <c r="AT21" s="793">
        <v>0</v>
      </c>
      <c r="AU21" s="794">
        <v>0</v>
      </c>
      <c r="AV21" s="807">
        <f t="shared" si="28"/>
        <v>0</v>
      </c>
      <c r="AW21" s="794">
        <f t="shared" si="29"/>
        <v>0</v>
      </c>
      <c r="AX21" s="795">
        <f t="shared" si="30"/>
        <v>0</v>
      </c>
      <c r="AY21" s="792">
        <v>0</v>
      </c>
      <c r="AZ21" s="793">
        <v>0</v>
      </c>
      <c r="BA21" s="794">
        <v>0</v>
      </c>
      <c r="BB21" s="807">
        <f t="shared" si="31"/>
        <v>0</v>
      </c>
      <c r="BC21" s="807">
        <f t="shared" si="32"/>
        <v>0</v>
      </c>
      <c r="BD21" s="794">
        <f t="shared" si="33"/>
        <v>0</v>
      </c>
      <c r="BE21" s="795">
        <f t="shared" si="34"/>
        <v>0</v>
      </c>
      <c r="BF21" s="796">
        <f t="shared" si="35"/>
        <v>0</v>
      </c>
      <c r="BG21" s="761">
        <f t="shared" si="36"/>
        <v>0</v>
      </c>
      <c r="BH21" s="28">
        <f t="shared" si="37"/>
        <v>0</v>
      </c>
      <c r="BI21" s="64"/>
      <c r="BJ21" s="168"/>
      <c r="BK21" s="168"/>
      <c r="BL21" s="168"/>
      <c r="BM21" s="169"/>
      <c r="BN21" s="169"/>
      <c r="BO21" s="169"/>
      <c r="BP21" s="168"/>
      <c r="BQ21" s="168"/>
      <c r="BR21" s="168"/>
      <c r="BS21" s="168"/>
      <c r="BT21" s="168"/>
      <c r="BU21" s="168"/>
      <c r="BV21" s="168"/>
      <c r="BW21" s="168"/>
      <c r="BX21" s="168"/>
      <c r="BY21" s="168"/>
      <c r="BZ21" s="168"/>
      <c r="CA21" s="168"/>
      <c r="CB21" s="170"/>
      <c r="CC21" s="168"/>
      <c r="CD21" s="168"/>
      <c r="CE21" s="170"/>
      <c r="CF21" s="170"/>
      <c r="CG21" s="170"/>
      <c r="CH21" s="170"/>
      <c r="CI21" s="168"/>
      <c r="CJ21" s="168"/>
      <c r="CK21" s="170"/>
      <c r="CL21" s="170"/>
      <c r="CM21" s="170"/>
      <c r="CN21" s="113"/>
      <c r="CO21" s="36"/>
      <c r="CP21" s="36"/>
      <c r="CQ21" s="36"/>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6"/>
      <c r="EA21" s="36"/>
      <c r="EB21" s="36"/>
      <c r="EC21" s="36"/>
      <c r="ED21" s="36"/>
      <c r="EE21" s="36"/>
      <c r="EF21" s="36"/>
      <c r="EG21" s="36"/>
    </row>
    <row r="22" spans="1:137" s="27" customFormat="1" x14ac:dyDescent="0.25">
      <c r="A22" s="26"/>
      <c r="B22" s="759" t="s">
        <v>396</v>
      </c>
      <c r="C22" s="553"/>
      <c r="D22" s="804">
        <f t="shared" si="0"/>
        <v>0</v>
      </c>
      <c r="E22" s="1393"/>
      <c r="F22" s="421"/>
      <c r="G22" s="421"/>
      <c r="H22" s="421"/>
      <c r="I22" s="421"/>
      <c r="J22" s="421"/>
      <c r="K22" s="421"/>
      <c r="L22" s="421"/>
      <c r="M22" s="421"/>
      <c r="N22" s="421"/>
      <c r="O22" s="421"/>
      <c r="P22" s="421"/>
      <c r="Q22" s="422">
        <f>SUM(E22:P22)</f>
        <v>0</v>
      </c>
      <c r="R22" s="423">
        <f>COUNT(E22:P22)</f>
        <v>0</v>
      </c>
      <c r="S22" s="422">
        <f>IF(R22&gt;1,AVERAGE(E22:P22),0)</f>
        <v>0</v>
      </c>
      <c r="T22" s="422">
        <f>IF(R22&gt;1,STDEV(E22:P22),0)</f>
        <v>0</v>
      </c>
      <c r="U22" s="422">
        <f t="shared" si="5"/>
        <v>0</v>
      </c>
      <c r="V22" s="424"/>
      <c r="W22" s="425">
        <f t="shared" si="6"/>
        <v>0</v>
      </c>
      <c r="X22" s="805">
        <f t="shared" si="7"/>
        <v>0</v>
      </c>
      <c r="Y22" s="793">
        <f t="shared" si="8"/>
        <v>0</v>
      </c>
      <c r="Z22" s="794">
        <f t="shared" si="9"/>
        <v>0</v>
      </c>
      <c r="AA22" s="808">
        <f>($Q22*X22)/1000</f>
        <v>0</v>
      </c>
      <c r="AB22" s="807">
        <f t="shared" si="11"/>
        <v>0</v>
      </c>
      <c r="AC22" s="794">
        <f>IF(AA22&gt;0,SQRT(($W22*$W22)+(Z22*Z22)+($V22*$V22)),0)</f>
        <v>0</v>
      </c>
      <c r="AD22" s="795">
        <f>(AB22*AC22)^2</f>
        <v>0</v>
      </c>
      <c r="AE22" s="811">
        <f t="shared" si="14"/>
        <v>0</v>
      </c>
      <c r="AF22" s="793">
        <f t="shared" si="15"/>
        <v>0</v>
      </c>
      <c r="AG22" s="794">
        <f t="shared" si="16"/>
        <v>0</v>
      </c>
      <c r="AH22" s="807">
        <f>($Q22*AE22)/1000</f>
        <v>0</v>
      </c>
      <c r="AI22" s="807">
        <f t="shared" si="18"/>
        <v>0</v>
      </c>
      <c r="AJ22" s="794">
        <f>IF(AH22&gt;0,SQRT(($W22*$W22)+(AG22*AG22)+($V22*$V22)),0)</f>
        <v>0</v>
      </c>
      <c r="AK22" s="795">
        <f>(AI22*AJ22)^2</f>
        <v>0</v>
      </c>
      <c r="AL22" s="809">
        <f t="shared" si="21"/>
        <v>0</v>
      </c>
      <c r="AM22" s="793">
        <f t="shared" si="22"/>
        <v>0</v>
      </c>
      <c r="AN22" s="794">
        <f t="shared" si="23"/>
        <v>0</v>
      </c>
      <c r="AO22" s="807">
        <f>($Q22*AL22)/1000</f>
        <v>0</v>
      </c>
      <c r="AP22" s="807">
        <f t="shared" si="25"/>
        <v>0</v>
      </c>
      <c r="AQ22" s="794">
        <f>IF(AO22&gt;0,SQRT(($W22*$W22)+(AN22*AN22)+($V22*$V22)),0)</f>
        <v>0</v>
      </c>
      <c r="AR22" s="795">
        <f>(AP22*AQ22)^2</f>
        <v>0</v>
      </c>
      <c r="AS22" s="792">
        <v>0</v>
      </c>
      <c r="AT22" s="793">
        <v>0</v>
      </c>
      <c r="AU22" s="794">
        <v>0</v>
      </c>
      <c r="AV22" s="807">
        <f t="shared" si="28"/>
        <v>0</v>
      </c>
      <c r="AW22" s="794">
        <f>IF(AV22&gt;0,SQRT(($W22*$W22)+(AU22*AU22)+($V22*$V22)),0)</f>
        <v>0</v>
      </c>
      <c r="AX22" s="795">
        <f>(AV22*AW22)^2</f>
        <v>0</v>
      </c>
      <c r="AY22" s="792">
        <v>0</v>
      </c>
      <c r="AZ22" s="793">
        <v>0</v>
      </c>
      <c r="BA22" s="794">
        <v>0</v>
      </c>
      <c r="BB22" s="807">
        <f>($Q22*AY22)/1000</f>
        <v>0</v>
      </c>
      <c r="BC22" s="807">
        <f t="shared" si="32"/>
        <v>0</v>
      </c>
      <c r="BD22" s="794">
        <f>IF(BB22&gt;0,SQRT(($W22*$W22)+(BA22*BA22)+($V22*$V22)),0)</f>
        <v>0</v>
      </c>
      <c r="BE22" s="795">
        <f>(BC22*BD22)^2</f>
        <v>0</v>
      </c>
      <c r="BF22" s="796">
        <f t="shared" si="35"/>
        <v>0</v>
      </c>
      <c r="BG22" s="761">
        <f t="shared" si="36"/>
        <v>0</v>
      </c>
      <c r="BH22" s="28">
        <f>(BF22*BG22)^2</f>
        <v>0</v>
      </c>
      <c r="BI22" s="64"/>
      <c r="BJ22" s="168"/>
      <c r="BK22" s="168"/>
      <c r="BL22" s="168"/>
      <c r="BM22" s="169"/>
      <c r="BN22" s="169"/>
      <c r="BO22" s="169"/>
      <c r="BP22" s="168"/>
      <c r="BQ22" s="168"/>
      <c r="BR22" s="168"/>
      <c r="BS22" s="168"/>
      <c r="BT22" s="168"/>
      <c r="BU22" s="168"/>
      <c r="BV22" s="168"/>
      <c r="BW22" s="168"/>
      <c r="BX22" s="168"/>
      <c r="BY22" s="168"/>
      <c r="BZ22" s="168"/>
      <c r="CA22" s="168"/>
      <c r="CB22" s="170"/>
      <c r="CC22" s="168"/>
      <c r="CD22" s="168"/>
      <c r="CE22" s="170"/>
      <c r="CF22" s="170"/>
      <c r="CG22" s="170"/>
      <c r="CH22" s="170"/>
      <c r="CI22" s="168"/>
      <c r="CJ22" s="168"/>
      <c r="CK22" s="170"/>
      <c r="CL22" s="170"/>
      <c r="CM22" s="170"/>
      <c r="CN22" s="113"/>
      <c r="CO22" s="36"/>
      <c r="CP22" s="36"/>
      <c r="CQ22" s="36"/>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6"/>
      <c r="EA22" s="36"/>
      <c r="EB22" s="36"/>
      <c r="EC22" s="36"/>
      <c r="ED22" s="36"/>
      <c r="EE22" s="36"/>
      <c r="EF22" s="36"/>
      <c r="EG22" s="36"/>
    </row>
    <row r="23" spans="1:137" s="27" customFormat="1" x14ac:dyDescent="0.25">
      <c r="A23" s="26"/>
      <c r="B23" s="759"/>
      <c r="C23" s="553"/>
      <c r="D23" s="804">
        <f t="shared" si="0"/>
        <v>0</v>
      </c>
      <c r="E23" s="1393"/>
      <c r="F23" s="421"/>
      <c r="G23" s="421"/>
      <c r="H23" s="421"/>
      <c r="I23" s="421"/>
      <c r="J23" s="421"/>
      <c r="K23" s="421"/>
      <c r="L23" s="421"/>
      <c r="M23" s="421"/>
      <c r="N23" s="421"/>
      <c r="O23" s="421"/>
      <c r="P23" s="421"/>
      <c r="Q23" s="422">
        <f t="shared" si="1"/>
        <v>0</v>
      </c>
      <c r="R23" s="423">
        <f t="shared" si="2"/>
        <v>0</v>
      </c>
      <c r="S23" s="422">
        <f t="shared" si="3"/>
        <v>0</v>
      </c>
      <c r="T23" s="422">
        <f t="shared" si="4"/>
        <v>0</v>
      </c>
      <c r="U23" s="422">
        <f t="shared" si="5"/>
        <v>0</v>
      </c>
      <c r="V23" s="424"/>
      <c r="W23" s="425">
        <f t="shared" si="6"/>
        <v>0</v>
      </c>
      <c r="X23" s="805">
        <f t="shared" si="7"/>
        <v>0</v>
      </c>
      <c r="Y23" s="793">
        <f t="shared" si="8"/>
        <v>0</v>
      </c>
      <c r="Z23" s="794">
        <f t="shared" si="9"/>
        <v>0</v>
      </c>
      <c r="AA23" s="795">
        <f t="shared" si="10"/>
        <v>0</v>
      </c>
      <c r="AB23" s="795">
        <f t="shared" si="11"/>
        <v>0</v>
      </c>
      <c r="AC23" s="794">
        <f t="shared" si="12"/>
        <v>0</v>
      </c>
      <c r="AD23" s="795">
        <f t="shared" si="13"/>
        <v>0</v>
      </c>
      <c r="AE23" s="806">
        <f t="shared" si="14"/>
        <v>0</v>
      </c>
      <c r="AF23" s="793">
        <f t="shared" si="15"/>
        <v>0</v>
      </c>
      <c r="AG23" s="794">
        <f t="shared" si="16"/>
        <v>0</v>
      </c>
      <c r="AH23" s="807">
        <f t="shared" si="17"/>
        <v>0</v>
      </c>
      <c r="AI23" s="807">
        <f t="shared" si="18"/>
        <v>0</v>
      </c>
      <c r="AJ23" s="794">
        <f t="shared" si="19"/>
        <v>0</v>
      </c>
      <c r="AK23" s="795">
        <f t="shared" si="20"/>
        <v>0</v>
      </c>
      <c r="AL23" s="806">
        <f t="shared" si="21"/>
        <v>0</v>
      </c>
      <c r="AM23" s="793">
        <f t="shared" si="22"/>
        <v>0</v>
      </c>
      <c r="AN23" s="794">
        <f t="shared" si="23"/>
        <v>0</v>
      </c>
      <c r="AO23" s="807">
        <f t="shared" si="24"/>
        <v>0</v>
      </c>
      <c r="AP23" s="807">
        <f t="shared" si="25"/>
        <v>0</v>
      </c>
      <c r="AQ23" s="794">
        <f t="shared" si="26"/>
        <v>0</v>
      </c>
      <c r="AR23" s="795">
        <f t="shared" si="27"/>
        <v>0</v>
      </c>
      <c r="AS23" s="792">
        <v>0</v>
      </c>
      <c r="AT23" s="793">
        <v>0</v>
      </c>
      <c r="AU23" s="794">
        <v>0</v>
      </c>
      <c r="AV23" s="807">
        <f t="shared" si="28"/>
        <v>0</v>
      </c>
      <c r="AW23" s="794">
        <f t="shared" si="29"/>
        <v>0</v>
      </c>
      <c r="AX23" s="795">
        <f t="shared" si="30"/>
        <v>0</v>
      </c>
      <c r="AY23" s="792">
        <v>0</v>
      </c>
      <c r="AZ23" s="793">
        <v>0</v>
      </c>
      <c r="BA23" s="794">
        <v>0</v>
      </c>
      <c r="BB23" s="807">
        <f t="shared" si="31"/>
        <v>0</v>
      </c>
      <c r="BC23" s="807">
        <f t="shared" si="32"/>
        <v>0</v>
      </c>
      <c r="BD23" s="794">
        <f t="shared" si="33"/>
        <v>0</v>
      </c>
      <c r="BE23" s="795">
        <f t="shared" si="34"/>
        <v>0</v>
      </c>
      <c r="BF23" s="796">
        <f t="shared" si="35"/>
        <v>0</v>
      </c>
      <c r="BG23" s="761">
        <f t="shared" si="36"/>
        <v>0</v>
      </c>
      <c r="BH23" s="28">
        <f t="shared" si="37"/>
        <v>0</v>
      </c>
      <c r="BI23" s="64"/>
      <c r="BJ23" s="168"/>
      <c r="BK23" s="168"/>
      <c r="BL23" s="168"/>
      <c r="BM23" s="169"/>
      <c r="BN23" s="169"/>
      <c r="BO23" s="169"/>
      <c r="BP23" s="168"/>
      <c r="BQ23" s="168"/>
      <c r="BR23" s="168"/>
      <c r="BS23" s="168"/>
      <c r="BT23" s="168"/>
      <c r="BU23" s="168"/>
      <c r="BV23" s="168"/>
      <c r="BW23" s="168"/>
      <c r="BX23" s="168"/>
      <c r="BY23" s="168"/>
      <c r="BZ23" s="168"/>
      <c r="CA23" s="168"/>
      <c r="CB23" s="170"/>
      <c r="CC23" s="168"/>
      <c r="CD23" s="168"/>
      <c r="CE23" s="170"/>
      <c r="CF23" s="170"/>
      <c r="CG23" s="170"/>
      <c r="CH23" s="170"/>
      <c r="CI23" s="168"/>
      <c r="CJ23" s="168"/>
      <c r="CK23" s="170"/>
      <c r="CL23" s="170"/>
      <c r="CM23" s="170"/>
      <c r="CN23" s="113"/>
      <c r="CO23" s="36"/>
      <c r="CP23" s="36"/>
      <c r="CQ23" s="36"/>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6"/>
      <c r="EA23" s="36"/>
      <c r="EB23" s="36"/>
      <c r="EC23" s="36"/>
      <c r="ED23" s="36"/>
      <c r="EE23" s="36"/>
      <c r="EF23" s="36"/>
      <c r="EG23" s="36"/>
    </row>
    <row r="24" spans="1:137" s="27" customFormat="1" x14ac:dyDescent="0.25">
      <c r="A24" s="26"/>
      <c r="B24" s="760"/>
      <c r="C24" s="553"/>
      <c r="D24" s="804">
        <f t="shared" si="0"/>
        <v>0</v>
      </c>
      <c r="E24" s="1393"/>
      <c r="F24" s="421"/>
      <c r="G24" s="421"/>
      <c r="H24" s="421"/>
      <c r="I24" s="421"/>
      <c r="J24" s="421"/>
      <c r="K24" s="421"/>
      <c r="L24" s="421"/>
      <c r="M24" s="421"/>
      <c r="N24" s="421"/>
      <c r="O24" s="421"/>
      <c r="P24" s="421"/>
      <c r="Q24" s="422">
        <f t="shared" si="1"/>
        <v>0</v>
      </c>
      <c r="R24" s="423">
        <f t="shared" si="2"/>
        <v>0</v>
      </c>
      <c r="S24" s="422">
        <f t="shared" si="3"/>
        <v>0</v>
      </c>
      <c r="T24" s="422">
        <f t="shared" si="4"/>
        <v>0</v>
      </c>
      <c r="U24" s="422">
        <f t="shared" si="5"/>
        <v>0</v>
      </c>
      <c r="V24" s="424"/>
      <c r="W24" s="425">
        <f t="shared" si="6"/>
        <v>0</v>
      </c>
      <c r="X24" s="805">
        <f t="shared" si="7"/>
        <v>0</v>
      </c>
      <c r="Y24" s="793">
        <f t="shared" si="8"/>
        <v>0</v>
      </c>
      <c r="Z24" s="794">
        <f t="shared" si="9"/>
        <v>0</v>
      </c>
      <c r="AA24" s="795">
        <f t="shared" si="10"/>
        <v>0</v>
      </c>
      <c r="AB24" s="795">
        <f t="shared" si="11"/>
        <v>0</v>
      </c>
      <c r="AC24" s="794">
        <f t="shared" si="12"/>
        <v>0</v>
      </c>
      <c r="AD24" s="795">
        <f t="shared" si="13"/>
        <v>0</v>
      </c>
      <c r="AE24" s="806">
        <f t="shared" si="14"/>
        <v>0</v>
      </c>
      <c r="AF24" s="793">
        <f t="shared" si="15"/>
        <v>0</v>
      </c>
      <c r="AG24" s="794">
        <f t="shared" si="16"/>
        <v>0</v>
      </c>
      <c r="AH24" s="807">
        <f t="shared" si="17"/>
        <v>0</v>
      </c>
      <c r="AI24" s="807">
        <f t="shared" si="18"/>
        <v>0</v>
      </c>
      <c r="AJ24" s="794">
        <f t="shared" si="19"/>
        <v>0</v>
      </c>
      <c r="AK24" s="795">
        <f t="shared" si="20"/>
        <v>0</v>
      </c>
      <c r="AL24" s="806">
        <f t="shared" si="21"/>
        <v>0</v>
      </c>
      <c r="AM24" s="793">
        <f t="shared" si="22"/>
        <v>0</v>
      </c>
      <c r="AN24" s="794">
        <f t="shared" si="23"/>
        <v>0</v>
      </c>
      <c r="AO24" s="807">
        <f t="shared" si="24"/>
        <v>0</v>
      </c>
      <c r="AP24" s="807">
        <f t="shared" si="25"/>
        <v>0</v>
      </c>
      <c r="AQ24" s="794">
        <f t="shared" si="26"/>
        <v>0</v>
      </c>
      <c r="AR24" s="795">
        <f t="shared" si="27"/>
        <v>0</v>
      </c>
      <c r="AS24" s="792">
        <v>0</v>
      </c>
      <c r="AT24" s="793">
        <v>0</v>
      </c>
      <c r="AU24" s="794">
        <v>0</v>
      </c>
      <c r="AV24" s="807">
        <f t="shared" si="28"/>
        <v>0</v>
      </c>
      <c r="AW24" s="794">
        <f t="shared" si="29"/>
        <v>0</v>
      </c>
      <c r="AX24" s="795">
        <f t="shared" si="30"/>
        <v>0</v>
      </c>
      <c r="AY24" s="792">
        <v>0</v>
      </c>
      <c r="AZ24" s="793">
        <v>0</v>
      </c>
      <c r="BA24" s="794">
        <v>0</v>
      </c>
      <c r="BB24" s="807">
        <f t="shared" si="31"/>
        <v>0</v>
      </c>
      <c r="BC24" s="807">
        <f t="shared" si="32"/>
        <v>0</v>
      </c>
      <c r="BD24" s="794">
        <f t="shared" si="33"/>
        <v>0</v>
      </c>
      <c r="BE24" s="795">
        <f t="shared" si="34"/>
        <v>0</v>
      </c>
      <c r="BF24" s="796">
        <f t="shared" si="35"/>
        <v>0</v>
      </c>
      <c r="BG24" s="761">
        <f t="shared" si="36"/>
        <v>0</v>
      </c>
      <c r="BH24" s="28">
        <f t="shared" si="37"/>
        <v>0</v>
      </c>
      <c r="BI24" s="64"/>
      <c r="BJ24" s="168"/>
      <c r="BK24" s="168"/>
      <c r="BL24" s="168"/>
      <c r="BM24" s="169"/>
      <c r="BN24" s="169"/>
      <c r="BO24" s="169"/>
      <c r="BP24" s="168"/>
      <c r="BQ24" s="168"/>
      <c r="BR24" s="168"/>
      <c r="BS24" s="168"/>
      <c r="BT24" s="168"/>
      <c r="BU24" s="168"/>
      <c r="BV24" s="168"/>
      <c r="BW24" s="168"/>
      <c r="BX24" s="168"/>
      <c r="BY24" s="168"/>
      <c r="BZ24" s="168"/>
      <c r="CA24" s="168"/>
      <c r="CB24" s="170"/>
      <c r="CC24" s="168"/>
      <c r="CD24" s="168"/>
      <c r="CE24" s="170"/>
      <c r="CF24" s="170"/>
      <c r="CG24" s="170"/>
      <c r="CH24" s="170"/>
      <c r="CI24" s="168"/>
      <c r="CJ24" s="168"/>
      <c r="CK24" s="170"/>
      <c r="CL24" s="170"/>
      <c r="CM24" s="170"/>
      <c r="CN24" s="113"/>
      <c r="CO24" s="36"/>
      <c r="CP24" s="36"/>
      <c r="CQ24" s="36"/>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6"/>
      <c r="EA24" s="36"/>
      <c r="EB24" s="36"/>
      <c r="EC24" s="36"/>
      <c r="ED24" s="36"/>
      <c r="EE24" s="36"/>
      <c r="EF24" s="36"/>
      <c r="EG24" s="36"/>
    </row>
    <row r="25" spans="1:137" s="27" customFormat="1" x14ac:dyDescent="0.25">
      <c r="A25" s="26"/>
      <c r="B25" s="758" t="s">
        <v>398</v>
      </c>
      <c r="C25" s="553"/>
      <c r="D25" s="804">
        <f t="shared" si="0"/>
        <v>0</v>
      </c>
      <c r="E25" s="1393"/>
      <c r="F25" s="143"/>
      <c r="G25" s="143"/>
      <c r="H25" s="144"/>
      <c r="I25" s="144"/>
      <c r="J25" s="144"/>
      <c r="K25" s="144"/>
      <c r="L25" s="421"/>
      <c r="M25" s="421"/>
      <c r="N25" s="421"/>
      <c r="O25" s="421"/>
      <c r="P25" s="421"/>
      <c r="Q25" s="422">
        <f t="shared" si="1"/>
        <v>0</v>
      </c>
      <c r="R25" s="423">
        <f t="shared" si="2"/>
        <v>0</v>
      </c>
      <c r="S25" s="422">
        <f t="shared" si="3"/>
        <v>0</v>
      </c>
      <c r="T25" s="422">
        <f t="shared" si="4"/>
        <v>0</v>
      </c>
      <c r="U25" s="422">
        <f t="shared" si="5"/>
        <v>0</v>
      </c>
      <c r="V25" s="424"/>
      <c r="W25" s="425">
        <f t="shared" si="6"/>
        <v>0</v>
      </c>
      <c r="X25" s="805">
        <f t="shared" si="7"/>
        <v>0</v>
      </c>
      <c r="Y25" s="793">
        <f t="shared" si="8"/>
        <v>0</v>
      </c>
      <c r="Z25" s="794">
        <f t="shared" si="9"/>
        <v>0</v>
      </c>
      <c r="AA25" s="795">
        <f t="shared" si="10"/>
        <v>0</v>
      </c>
      <c r="AB25" s="808">
        <f t="shared" si="11"/>
        <v>0</v>
      </c>
      <c r="AC25" s="794">
        <f t="shared" si="12"/>
        <v>0</v>
      </c>
      <c r="AD25" s="795">
        <f t="shared" si="13"/>
        <v>0</v>
      </c>
      <c r="AE25" s="809">
        <f t="shared" si="14"/>
        <v>0</v>
      </c>
      <c r="AF25" s="793">
        <f t="shared" si="15"/>
        <v>0</v>
      </c>
      <c r="AG25" s="794">
        <f t="shared" si="16"/>
        <v>0</v>
      </c>
      <c r="AH25" s="812">
        <f t="shared" si="17"/>
        <v>0</v>
      </c>
      <c r="AI25" s="807">
        <f t="shared" si="18"/>
        <v>0</v>
      </c>
      <c r="AJ25" s="794">
        <f t="shared" si="19"/>
        <v>0</v>
      </c>
      <c r="AK25" s="795">
        <f t="shared" si="20"/>
        <v>0</v>
      </c>
      <c r="AL25" s="806">
        <f t="shared" si="21"/>
        <v>0</v>
      </c>
      <c r="AM25" s="793">
        <f t="shared" si="22"/>
        <v>0</v>
      </c>
      <c r="AN25" s="794">
        <f t="shared" si="23"/>
        <v>0</v>
      </c>
      <c r="AO25" s="807">
        <f t="shared" si="24"/>
        <v>0</v>
      </c>
      <c r="AP25" s="807">
        <f t="shared" si="25"/>
        <v>0</v>
      </c>
      <c r="AQ25" s="794">
        <f t="shared" si="26"/>
        <v>0</v>
      </c>
      <c r="AR25" s="795">
        <f t="shared" si="27"/>
        <v>0</v>
      </c>
      <c r="AS25" s="792">
        <v>0</v>
      </c>
      <c r="AT25" s="793">
        <v>0</v>
      </c>
      <c r="AU25" s="794">
        <v>0</v>
      </c>
      <c r="AV25" s="807">
        <f t="shared" si="28"/>
        <v>0</v>
      </c>
      <c r="AW25" s="794">
        <f t="shared" si="29"/>
        <v>0</v>
      </c>
      <c r="AX25" s="795">
        <f t="shared" si="30"/>
        <v>0</v>
      </c>
      <c r="AY25" s="792">
        <v>0</v>
      </c>
      <c r="AZ25" s="793">
        <v>0</v>
      </c>
      <c r="BA25" s="794">
        <v>0</v>
      </c>
      <c r="BB25" s="807">
        <f t="shared" si="31"/>
        <v>0</v>
      </c>
      <c r="BC25" s="807">
        <f t="shared" si="32"/>
        <v>0</v>
      </c>
      <c r="BD25" s="794">
        <f t="shared" si="33"/>
        <v>0</v>
      </c>
      <c r="BE25" s="795">
        <f t="shared" si="34"/>
        <v>0</v>
      </c>
      <c r="BF25" s="796">
        <f t="shared" si="35"/>
        <v>0</v>
      </c>
      <c r="BG25" s="761">
        <f t="shared" si="36"/>
        <v>0</v>
      </c>
      <c r="BH25" s="28">
        <f t="shared" si="37"/>
        <v>0</v>
      </c>
      <c r="BI25" s="64"/>
      <c r="BJ25" s="168"/>
      <c r="BK25" s="168"/>
      <c r="BL25" s="168"/>
      <c r="BM25" s="169"/>
      <c r="BN25" s="169"/>
      <c r="BO25" s="169"/>
      <c r="BP25" s="168"/>
      <c r="BQ25" s="168"/>
      <c r="BR25" s="168"/>
      <c r="BS25" s="168"/>
      <c r="BT25" s="168"/>
      <c r="BU25" s="168"/>
      <c r="BV25" s="168"/>
      <c r="BW25" s="168"/>
      <c r="BX25" s="168"/>
      <c r="BY25" s="168"/>
      <c r="BZ25" s="168"/>
      <c r="CA25" s="168"/>
      <c r="CB25" s="170"/>
      <c r="CC25" s="168"/>
      <c r="CD25" s="168"/>
      <c r="CE25" s="170"/>
      <c r="CF25" s="170"/>
      <c r="CG25" s="170"/>
      <c r="CH25" s="170"/>
      <c r="CI25" s="168"/>
      <c r="CJ25" s="168"/>
      <c r="CK25" s="170"/>
      <c r="CL25" s="170"/>
      <c r="CM25" s="170"/>
      <c r="CN25" s="113"/>
      <c r="CO25" s="36"/>
      <c r="CP25" s="36"/>
      <c r="CQ25" s="36"/>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6"/>
      <c r="EA25" s="36"/>
      <c r="EB25" s="36"/>
      <c r="EC25" s="36"/>
      <c r="ED25" s="36"/>
      <c r="EE25" s="36"/>
      <c r="EF25" s="36"/>
      <c r="EG25" s="36"/>
    </row>
    <row r="26" spans="1:137" s="27" customFormat="1" x14ac:dyDescent="0.25">
      <c r="A26" s="26"/>
      <c r="B26" s="759" t="s">
        <v>396</v>
      </c>
      <c r="C26" s="560"/>
      <c r="D26" s="804">
        <f t="shared" si="0"/>
        <v>0</v>
      </c>
      <c r="E26" s="421"/>
      <c r="F26" s="153"/>
      <c r="G26" s="153"/>
      <c r="H26" s="154"/>
      <c r="I26" s="154"/>
      <c r="J26" s="154"/>
      <c r="K26" s="154"/>
      <c r="L26" s="153"/>
      <c r="M26" s="155"/>
      <c r="N26" s="156"/>
      <c r="O26" s="156"/>
      <c r="P26" s="156"/>
      <c r="Q26" s="422">
        <f t="shared" si="1"/>
        <v>0</v>
      </c>
      <c r="R26" s="423">
        <f t="shared" si="2"/>
        <v>0</v>
      </c>
      <c r="S26" s="422">
        <f t="shared" si="3"/>
        <v>0</v>
      </c>
      <c r="T26" s="422">
        <f t="shared" si="4"/>
        <v>0</v>
      </c>
      <c r="U26" s="422">
        <f t="shared" si="5"/>
        <v>0</v>
      </c>
      <c r="V26" s="424"/>
      <c r="W26" s="425">
        <f t="shared" si="6"/>
        <v>0</v>
      </c>
      <c r="X26" s="805">
        <f t="shared" si="7"/>
        <v>0</v>
      </c>
      <c r="Y26" s="793">
        <f t="shared" si="8"/>
        <v>0</v>
      </c>
      <c r="Z26" s="794">
        <f t="shared" si="9"/>
        <v>0</v>
      </c>
      <c r="AA26" s="795">
        <f t="shared" si="10"/>
        <v>0</v>
      </c>
      <c r="AB26" s="808">
        <f t="shared" si="11"/>
        <v>0</v>
      </c>
      <c r="AC26" s="794">
        <f t="shared" si="12"/>
        <v>0</v>
      </c>
      <c r="AD26" s="795">
        <f t="shared" si="13"/>
        <v>0</v>
      </c>
      <c r="AE26" s="806">
        <f t="shared" si="14"/>
        <v>0</v>
      </c>
      <c r="AF26" s="793">
        <f t="shared" si="15"/>
        <v>0</v>
      </c>
      <c r="AG26" s="794">
        <f t="shared" si="16"/>
        <v>0</v>
      </c>
      <c r="AH26" s="807">
        <f t="shared" si="17"/>
        <v>0</v>
      </c>
      <c r="AI26" s="807">
        <f t="shared" si="18"/>
        <v>0</v>
      </c>
      <c r="AJ26" s="794">
        <f t="shared" si="19"/>
        <v>0</v>
      </c>
      <c r="AK26" s="795">
        <f t="shared" si="20"/>
        <v>0</v>
      </c>
      <c r="AL26" s="811">
        <f t="shared" si="21"/>
        <v>0</v>
      </c>
      <c r="AM26" s="793">
        <f t="shared" si="22"/>
        <v>0</v>
      </c>
      <c r="AN26" s="794">
        <f t="shared" si="23"/>
        <v>0</v>
      </c>
      <c r="AO26" s="807">
        <f t="shared" si="24"/>
        <v>0</v>
      </c>
      <c r="AP26" s="807">
        <f t="shared" si="25"/>
        <v>0</v>
      </c>
      <c r="AQ26" s="794">
        <f t="shared" si="26"/>
        <v>0</v>
      </c>
      <c r="AR26" s="795">
        <f t="shared" si="27"/>
        <v>0</v>
      </c>
      <c r="AS26" s="792">
        <v>0</v>
      </c>
      <c r="AT26" s="793">
        <v>0</v>
      </c>
      <c r="AU26" s="794">
        <v>0</v>
      </c>
      <c r="AV26" s="807">
        <f t="shared" si="28"/>
        <v>0</v>
      </c>
      <c r="AW26" s="794">
        <f t="shared" si="29"/>
        <v>0</v>
      </c>
      <c r="AX26" s="795">
        <f t="shared" si="30"/>
        <v>0</v>
      </c>
      <c r="AY26" s="792">
        <v>0</v>
      </c>
      <c r="AZ26" s="793">
        <v>0</v>
      </c>
      <c r="BA26" s="794">
        <v>0</v>
      </c>
      <c r="BB26" s="807">
        <f t="shared" si="31"/>
        <v>0</v>
      </c>
      <c r="BC26" s="807">
        <f t="shared" si="32"/>
        <v>0</v>
      </c>
      <c r="BD26" s="794">
        <f t="shared" si="33"/>
        <v>0</v>
      </c>
      <c r="BE26" s="795">
        <f t="shared" si="34"/>
        <v>0</v>
      </c>
      <c r="BF26" s="796">
        <f t="shared" si="35"/>
        <v>0</v>
      </c>
      <c r="BG26" s="761">
        <f t="shared" si="36"/>
        <v>0</v>
      </c>
      <c r="BH26" s="28">
        <f t="shared" si="37"/>
        <v>0</v>
      </c>
      <c r="BI26" s="64"/>
      <c r="BJ26" s="168"/>
      <c r="BK26" s="168"/>
      <c r="BL26" s="168"/>
      <c r="BM26" s="169"/>
      <c r="BN26" s="169"/>
      <c r="BO26" s="169"/>
      <c r="BP26" s="168"/>
      <c r="BQ26" s="168"/>
      <c r="BR26" s="168"/>
      <c r="BS26" s="168"/>
      <c r="BT26" s="168"/>
      <c r="BU26" s="168"/>
      <c r="BV26" s="168"/>
      <c r="BW26" s="168"/>
      <c r="BX26" s="168"/>
      <c r="BY26" s="168"/>
      <c r="BZ26" s="168"/>
      <c r="CA26" s="168"/>
      <c r="CB26" s="170"/>
      <c r="CC26" s="168"/>
      <c r="CD26" s="168"/>
      <c r="CE26" s="170"/>
      <c r="CF26" s="170"/>
      <c r="CG26" s="170"/>
      <c r="CH26" s="170"/>
      <c r="CI26" s="168"/>
      <c r="CJ26" s="168"/>
      <c r="CK26" s="170"/>
      <c r="CL26" s="170"/>
      <c r="CM26" s="170"/>
      <c r="CN26" s="113"/>
      <c r="CO26" s="36"/>
      <c r="CP26" s="36"/>
      <c r="CQ26" s="36"/>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6"/>
      <c r="EA26" s="36"/>
      <c r="EB26" s="36"/>
      <c r="EC26" s="36"/>
      <c r="ED26" s="36"/>
      <c r="EE26" s="36"/>
      <c r="EF26" s="36"/>
      <c r="EG26" s="36"/>
    </row>
    <row r="27" spans="1:137" s="27" customFormat="1" x14ac:dyDescent="0.25">
      <c r="A27" s="26"/>
      <c r="B27" s="760"/>
      <c r="C27" s="553"/>
      <c r="D27" s="804">
        <f t="shared" si="0"/>
        <v>0</v>
      </c>
      <c r="E27" s="1393"/>
      <c r="F27" s="421"/>
      <c r="G27" s="421"/>
      <c r="H27" s="421"/>
      <c r="I27" s="421"/>
      <c r="J27" s="421"/>
      <c r="K27" s="421"/>
      <c r="L27" s="421"/>
      <c r="M27" s="421"/>
      <c r="N27" s="421"/>
      <c r="O27" s="421"/>
      <c r="P27" s="421"/>
      <c r="Q27" s="422">
        <f t="shared" si="1"/>
        <v>0</v>
      </c>
      <c r="R27" s="423">
        <f t="shared" si="2"/>
        <v>0</v>
      </c>
      <c r="S27" s="422">
        <f t="shared" si="3"/>
        <v>0</v>
      </c>
      <c r="T27" s="422">
        <f t="shared" si="4"/>
        <v>0</v>
      </c>
      <c r="U27" s="422">
        <f t="shared" si="5"/>
        <v>0</v>
      </c>
      <c r="V27" s="424"/>
      <c r="W27" s="425">
        <f t="shared" si="6"/>
        <v>0</v>
      </c>
      <c r="X27" s="805">
        <f t="shared" si="7"/>
        <v>0</v>
      </c>
      <c r="Y27" s="793">
        <f t="shared" si="8"/>
        <v>0</v>
      </c>
      <c r="Z27" s="794">
        <f t="shared" si="9"/>
        <v>0</v>
      </c>
      <c r="AA27" s="795">
        <f t="shared" si="10"/>
        <v>0</v>
      </c>
      <c r="AB27" s="795">
        <f t="shared" si="11"/>
        <v>0</v>
      </c>
      <c r="AC27" s="794">
        <f t="shared" si="12"/>
        <v>0</v>
      </c>
      <c r="AD27" s="795">
        <f t="shared" si="13"/>
        <v>0</v>
      </c>
      <c r="AE27" s="806">
        <f t="shared" si="14"/>
        <v>0</v>
      </c>
      <c r="AF27" s="793">
        <f t="shared" si="15"/>
        <v>0</v>
      </c>
      <c r="AG27" s="794">
        <f t="shared" si="16"/>
        <v>0</v>
      </c>
      <c r="AH27" s="807">
        <f t="shared" si="17"/>
        <v>0</v>
      </c>
      <c r="AI27" s="807">
        <f t="shared" si="18"/>
        <v>0</v>
      </c>
      <c r="AJ27" s="794">
        <f t="shared" si="19"/>
        <v>0</v>
      </c>
      <c r="AK27" s="795">
        <f t="shared" si="20"/>
        <v>0</v>
      </c>
      <c r="AL27" s="806">
        <f t="shared" si="21"/>
        <v>0</v>
      </c>
      <c r="AM27" s="793">
        <f t="shared" si="22"/>
        <v>0</v>
      </c>
      <c r="AN27" s="794">
        <f t="shared" si="23"/>
        <v>0</v>
      </c>
      <c r="AO27" s="807">
        <f t="shared" si="24"/>
        <v>0</v>
      </c>
      <c r="AP27" s="807">
        <f t="shared" si="25"/>
        <v>0</v>
      </c>
      <c r="AQ27" s="794">
        <f t="shared" si="26"/>
        <v>0</v>
      </c>
      <c r="AR27" s="795">
        <f t="shared" si="27"/>
        <v>0</v>
      </c>
      <c r="AS27" s="792">
        <v>0</v>
      </c>
      <c r="AT27" s="793">
        <v>0</v>
      </c>
      <c r="AU27" s="794">
        <v>0</v>
      </c>
      <c r="AV27" s="807">
        <f t="shared" si="28"/>
        <v>0</v>
      </c>
      <c r="AW27" s="794">
        <f t="shared" si="29"/>
        <v>0</v>
      </c>
      <c r="AX27" s="795">
        <f t="shared" si="30"/>
        <v>0</v>
      </c>
      <c r="AY27" s="792">
        <v>0</v>
      </c>
      <c r="AZ27" s="793">
        <v>0</v>
      </c>
      <c r="BA27" s="794">
        <v>0</v>
      </c>
      <c r="BB27" s="807">
        <f t="shared" si="31"/>
        <v>0</v>
      </c>
      <c r="BC27" s="807">
        <f t="shared" si="32"/>
        <v>0</v>
      </c>
      <c r="BD27" s="794">
        <f t="shared" si="33"/>
        <v>0</v>
      </c>
      <c r="BE27" s="795">
        <f t="shared" si="34"/>
        <v>0</v>
      </c>
      <c r="BF27" s="796">
        <f t="shared" si="35"/>
        <v>0</v>
      </c>
      <c r="BG27" s="761">
        <f t="shared" si="36"/>
        <v>0</v>
      </c>
      <c r="BH27" s="28">
        <f t="shared" si="37"/>
        <v>0</v>
      </c>
      <c r="BI27" s="64"/>
      <c r="BJ27" s="168"/>
      <c r="BK27" s="168"/>
      <c r="BL27" s="168"/>
      <c r="BM27" s="169"/>
      <c r="BN27" s="169"/>
      <c r="BO27" s="169"/>
      <c r="BP27" s="168"/>
      <c r="BQ27" s="168"/>
      <c r="BR27" s="168"/>
      <c r="BS27" s="168"/>
      <c r="BT27" s="168"/>
      <c r="BU27" s="168"/>
      <c r="BV27" s="168"/>
      <c r="BW27" s="168"/>
      <c r="BX27" s="168"/>
      <c r="BY27" s="168"/>
      <c r="BZ27" s="168"/>
      <c r="CA27" s="168"/>
      <c r="CB27" s="170"/>
      <c r="CC27" s="168"/>
      <c r="CD27" s="168"/>
      <c r="CE27" s="170"/>
      <c r="CF27" s="170"/>
      <c r="CG27" s="170"/>
      <c r="CH27" s="170"/>
      <c r="CI27" s="168"/>
      <c r="CJ27" s="168"/>
      <c r="CK27" s="170"/>
      <c r="CL27" s="170"/>
      <c r="CM27" s="170"/>
      <c r="CN27" s="113"/>
      <c r="CO27" s="36"/>
      <c r="CP27" s="36"/>
      <c r="CQ27" s="36"/>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6"/>
      <c r="EA27" s="36"/>
      <c r="EB27" s="36"/>
      <c r="EC27" s="36"/>
      <c r="ED27" s="36"/>
      <c r="EE27" s="36"/>
      <c r="EF27" s="36"/>
      <c r="EG27" s="36"/>
    </row>
    <row r="28" spans="1:137" s="27" customFormat="1" x14ac:dyDescent="0.25">
      <c r="A28" s="26"/>
      <c r="B28" s="752" t="s">
        <v>46</v>
      </c>
      <c r="C28" s="813"/>
      <c r="D28" s="813"/>
      <c r="E28" s="813"/>
      <c r="F28" s="813"/>
      <c r="G28" s="813"/>
      <c r="H28" s="813"/>
      <c r="I28" s="813"/>
      <c r="J28" s="813"/>
      <c r="K28" s="813"/>
      <c r="L28" s="813"/>
      <c r="M28" s="813"/>
      <c r="N28" s="813"/>
      <c r="O28" s="813"/>
      <c r="P28" s="813"/>
      <c r="Q28" s="813"/>
      <c r="R28" s="813"/>
      <c r="S28" s="813"/>
      <c r="T28" s="813"/>
      <c r="U28" s="813"/>
      <c r="V28" s="813"/>
      <c r="W28" s="813"/>
      <c r="X28" s="813"/>
      <c r="Y28" s="813"/>
      <c r="Z28" s="813"/>
      <c r="AA28" s="814"/>
      <c r="AB28" s="815">
        <f>SUM(AB17:AB27)</f>
        <v>0</v>
      </c>
      <c r="AC28" s="816">
        <f>IF(AB28&gt;0,SQRT(SUM(AD17:AD27))/AB28,0)</f>
        <v>0</v>
      </c>
      <c r="AD28" s="817"/>
      <c r="AE28" s="818"/>
      <c r="AF28" s="813"/>
      <c r="AG28" s="813"/>
      <c r="AH28" s="819"/>
      <c r="AI28" s="815">
        <f>SUM(AI17:AI27)</f>
        <v>0</v>
      </c>
      <c r="AJ28" s="816">
        <f>IF(AI28&gt;0,SQRT(SUM(AK17:AK27))/AI28,0)</f>
        <v>0</v>
      </c>
      <c r="AK28" s="817"/>
      <c r="AL28" s="813"/>
      <c r="AM28" s="813"/>
      <c r="AN28" s="813"/>
      <c r="AO28" s="813"/>
      <c r="AP28" s="815">
        <f>SUM(AP17:AP27)</f>
        <v>0</v>
      </c>
      <c r="AQ28" s="816">
        <f>IF(AP28&gt;0,SQRT(SUM(AR17:AR27))/AP28,0)</f>
        <v>0</v>
      </c>
      <c r="AR28" s="817"/>
      <c r="AS28" s="813"/>
      <c r="AT28" s="813"/>
      <c r="AU28" s="813"/>
      <c r="AV28" s="815">
        <f>SUM(AV17:AV27)</f>
        <v>0</v>
      </c>
      <c r="AW28" s="816">
        <f>IF(AV28&gt;0,SQRT(SUM(AX17:AX27))/AV28,0)</f>
        <v>0</v>
      </c>
      <c r="AX28" s="817"/>
      <c r="AY28" s="813"/>
      <c r="AZ28" s="813"/>
      <c r="BA28" s="820"/>
      <c r="BB28" s="817"/>
      <c r="BC28" s="815">
        <f>SUM(BC17:BC27)</f>
        <v>0</v>
      </c>
      <c r="BD28" s="816">
        <f>IF(BC28&gt;0,SQRT(SUM(BE17:BE27))/BC28,0)</f>
        <v>0</v>
      </c>
      <c r="BE28" s="817"/>
      <c r="BF28" s="815">
        <f>SUM(BF17:BF27)</f>
        <v>0</v>
      </c>
      <c r="BG28" s="753">
        <f>IF(BF28&gt;0,SQRT(SUM(BH17:BH27))/BF28,0)</f>
        <v>0</v>
      </c>
      <c r="BH28" s="28">
        <f t="shared" si="37"/>
        <v>0</v>
      </c>
      <c r="BI28" s="64"/>
      <c r="BJ28" s="168"/>
      <c r="BK28" s="168"/>
      <c r="BL28" s="168"/>
      <c r="BM28" s="169"/>
      <c r="BN28" s="169"/>
      <c r="BO28" s="169"/>
      <c r="BP28" s="168"/>
      <c r="BQ28" s="168"/>
      <c r="BR28" s="168"/>
      <c r="BS28" s="168"/>
      <c r="BT28" s="168"/>
      <c r="BU28" s="168"/>
      <c r="BV28" s="168"/>
      <c r="BW28" s="168"/>
      <c r="BX28" s="168"/>
      <c r="BY28" s="168"/>
      <c r="BZ28" s="168"/>
      <c r="CA28" s="168"/>
      <c r="CB28" s="170"/>
      <c r="CC28" s="168"/>
      <c r="CD28" s="168"/>
      <c r="CE28" s="170"/>
      <c r="CF28" s="170"/>
      <c r="CG28" s="170"/>
      <c r="CH28" s="170"/>
      <c r="CI28" s="168"/>
      <c r="CJ28" s="168"/>
      <c r="CK28" s="170"/>
      <c r="CL28" s="170"/>
      <c r="CM28" s="170"/>
      <c r="CN28" s="113"/>
      <c r="CO28" s="36"/>
      <c r="CP28" s="36"/>
      <c r="CQ28" s="36"/>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6"/>
      <c r="EA28" s="36"/>
      <c r="EB28" s="36"/>
      <c r="EC28" s="36"/>
      <c r="ED28" s="36"/>
      <c r="EE28" s="36"/>
      <c r="EF28" s="36"/>
      <c r="EG28" s="36"/>
    </row>
    <row r="29" spans="1:137" s="27" customFormat="1" ht="15" customHeight="1" x14ac:dyDescent="0.25">
      <c r="A29" s="26"/>
      <c r="B29" s="758" t="s">
        <v>399</v>
      </c>
      <c r="C29" s="553"/>
      <c r="D29" s="804">
        <f t="shared" ref="D29:D40" si="38">VLOOKUP($C29,$BI$95:$CM$477,2,FALSE)</f>
        <v>0</v>
      </c>
      <c r="E29" s="144"/>
      <c r="F29" s="145"/>
      <c r="G29" s="145"/>
      <c r="H29" s="145"/>
      <c r="I29" s="145"/>
      <c r="J29" s="145"/>
      <c r="K29" s="421"/>
      <c r="L29" s="421"/>
      <c r="M29" s="421"/>
      <c r="N29" s="421"/>
      <c r="O29" s="421"/>
      <c r="P29" s="421"/>
      <c r="Q29" s="422">
        <f t="shared" ref="Q29:Q38" si="39">SUM(E29:P29)</f>
        <v>0</v>
      </c>
      <c r="R29" s="423">
        <f t="shared" ref="R29:R38" si="40">COUNT(E29:P29)</f>
        <v>0</v>
      </c>
      <c r="S29" s="422">
        <f t="shared" ref="S29:S38" si="41">IF(R29&gt;1,AVERAGE(E29:P29),0)</f>
        <v>0</v>
      </c>
      <c r="T29" s="422">
        <f t="shared" ref="T29:T38" si="42">IF(R29&gt;1,STDEV(E29:P29),0)</f>
        <v>0</v>
      </c>
      <c r="U29" s="422">
        <f t="shared" ref="U29:U40" si="43">IF(R29&gt;1,VLOOKUP($R29,$BI$429:$BJ$441,2,FALSE),0)</f>
        <v>0</v>
      </c>
      <c r="V29" s="424"/>
      <c r="W29" s="425">
        <f t="shared" ref="W29:W40" si="44">IF(R29&gt;1,1-((S29-((T29*U29)/(SQRT(R29))))/S29),VLOOKUP($C29,$BI$95:$CS$477,34,FALSE))</f>
        <v>0</v>
      </c>
      <c r="X29" s="805">
        <v>0</v>
      </c>
      <c r="Y29" s="793">
        <v>0</v>
      </c>
      <c r="Z29" s="794">
        <v>0</v>
      </c>
      <c r="AA29" s="795">
        <f t="shared" ref="AA29:AA38" si="45">($Q29*X29)/1000</f>
        <v>0</v>
      </c>
      <c r="AB29" s="795">
        <f t="shared" ref="AB29:AB40" si="46">AA29*$BJ$447</f>
        <v>0</v>
      </c>
      <c r="AC29" s="794">
        <f t="shared" ref="AC29:AC38" si="47">IF(AA29&gt;0,SQRT(($W29*$W29)+(Z29*Z29)+($V29*$V29)),0)</f>
        <v>0</v>
      </c>
      <c r="AD29" s="795">
        <f t="shared" ref="AD29:AD38" si="48">(AB29*AC29)^2</f>
        <v>0</v>
      </c>
      <c r="AE29" s="806">
        <v>0</v>
      </c>
      <c r="AF29" s="793">
        <v>0</v>
      </c>
      <c r="AG29" s="794">
        <v>0</v>
      </c>
      <c r="AH29" s="807">
        <f t="shared" ref="AH29:AH38" si="49">($Q29*AE29)/1000</f>
        <v>0</v>
      </c>
      <c r="AI29" s="807">
        <f t="shared" ref="AI29:AI40" si="50">AH29*$BJ$448</f>
        <v>0</v>
      </c>
      <c r="AJ29" s="794">
        <f t="shared" ref="AJ29:AJ38" si="51">IF(AH29&gt;0,SQRT(($W29*$W29)+(AG29*AG29)+($V29*$V29)),0)</f>
        <v>0</v>
      </c>
      <c r="AK29" s="795">
        <f t="shared" ref="AK29:AK38" si="52">(AI29*AJ29)^2</f>
        <v>0</v>
      </c>
      <c r="AL29" s="806">
        <v>0</v>
      </c>
      <c r="AM29" s="793">
        <f>VLOOKUP($C29,$BI$95:$CM$477,28,FALSE)</f>
        <v>0</v>
      </c>
      <c r="AN29" s="794">
        <v>0</v>
      </c>
      <c r="AO29" s="807">
        <f t="shared" ref="AO29:AO34" si="53">(W29*AL29)/1000</f>
        <v>0</v>
      </c>
      <c r="AP29" s="807">
        <f t="shared" ref="AP29:AP40" si="54">AO29*$BJ$449</f>
        <v>0</v>
      </c>
      <c r="AQ29" s="794">
        <f t="shared" ref="AQ29:AQ38" si="55">IF(AO29&gt;0,SQRT(($W29*$W29)+(AN29*AN29)+($V29*$V29)),0)</f>
        <v>0</v>
      </c>
      <c r="AR29" s="795">
        <f t="shared" ref="AR29:AR38" si="56">(AP29*AQ29)^2</f>
        <v>0</v>
      </c>
      <c r="AS29" s="792">
        <f t="shared" ref="AS29:AS34" si="57">VLOOKUP($C29,$BI$95:$CM$477,3,FALSE)</f>
        <v>0</v>
      </c>
      <c r="AT29" s="793">
        <f t="shared" ref="AT29:AT34" si="58">VLOOKUP($C29,$BI$95:$CM$477,4,FALSE)</f>
        <v>0</v>
      </c>
      <c r="AU29" s="794">
        <f t="shared" ref="AU29:AU34" si="59">IF($Q29&gt;0,VLOOKUP($C29,$BI$95:$CM$477,6,FALSE),0)</f>
        <v>0</v>
      </c>
      <c r="AV29" s="807">
        <f t="shared" ref="AV29:AV40" si="60">($Q29*AS29)/1000</f>
        <v>0</v>
      </c>
      <c r="AW29" s="794">
        <f t="shared" ref="AW29:AW40" si="61">IF(AV29&gt;0,SQRT(($W29*$W29)+(AU29*AU29)+($V29*$V29)),0)</f>
        <v>0</v>
      </c>
      <c r="AX29" s="795">
        <f>(AV29*AW29)^2</f>
        <v>0</v>
      </c>
      <c r="AY29" s="792">
        <v>0</v>
      </c>
      <c r="AZ29" s="793">
        <v>0</v>
      </c>
      <c r="BA29" s="794">
        <v>0</v>
      </c>
      <c r="BB29" s="807">
        <f>($Q29*AY29)/1000</f>
        <v>0</v>
      </c>
      <c r="BC29" s="807">
        <f t="shared" ref="BC29:BC40" si="62">BB29*$BJ$450</f>
        <v>0</v>
      </c>
      <c r="BD29" s="794">
        <v>0</v>
      </c>
      <c r="BE29" s="795">
        <f t="shared" ref="BE29:BE38" si="63">(BC29*BD29)^2</f>
        <v>0</v>
      </c>
      <c r="BF29" s="796">
        <f t="shared" ref="BF29:BF40" si="64">AB29+AI29+AP29+AV29+BC29</f>
        <v>0</v>
      </c>
      <c r="BG29" s="761">
        <f t="shared" ref="BG29:BG40" si="65">IF(BF29&gt;0,SQRT(AD29+AK29+AR29+AX29+BE29)/BF29,0)</f>
        <v>0</v>
      </c>
      <c r="BH29" s="28">
        <f t="shared" si="37"/>
        <v>0</v>
      </c>
      <c r="BI29" s="64"/>
      <c r="BJ29" s="168"/>
      <c r="BK29" s="168"/>
      <c r="BL29" s="168"/>
      <c r="BM29" s="169"/>
      <c r="BN29" s="169"/>
      <c r="BO29" s="169"/>
      <c r="BP29" s="168"/>
      <c r="BQ29" s="168"/>
      <c r="BR29" s="168"/>
      <c r="BS29" s="168"/>
      <c r="BT29" s="168"/>
      <c r="BU29" s="168"/>
      <c r="BV29" s="168"/>
      <c r="BW29" s="168"/>
      <c r="BX29" s="168"/>
      <c r="BY29" s="168"/>
      <c r="BZ29" s="168"/>
      <c r="CA29" s="168"/>
      <c r="CB29" s="170"/>
      <c r="CC29" s="168"/>
      <c r="CD29" s="168"/>
      <c r="CE29" s="170"/>
      <c r="CF29" s="170"/>
      <c r="CG29" s="170"/>
      <c r="CH29" s="170"/>
      <c r="CI29" s="168"/>
      <c r="CJ29" s="168"/>
      <c r="CK29" s="170"/>
      <c r="CL29" s="170"/>
      <c r="CM29" s="170"/>
      <c r="CN29" s="113"/>
      <c r="CO29" s="36"/>
      <c r="CP29" s="36"/>
      <c r="CQ29" s="36"/>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6"/>
      <c r="EA29" s="36"/>
      <c r="EB29" s="36"/>
      <c r="EC29" s="36"/>
      <c r="ED29" s="36"/>
      <c r="EE29" s="36"/>
      <c r="EF29" s="36"/>
      <c r="EG29" s="36"/>
    </row>
    <row r="30" spans="1:137" s="27" customFormat="1" x14ac:dyDescent="0.25">
      <c r="A30" s="26"/>
      <c r="B30" s="759" t="s">
        <v>400</v>
      </c>
      <c r="C30" s="553"/>
      <c r="D30" s="804">
        <f t="shared" si="38"/>
        <v>0</v>
      </c>
      <c r="E30" s="144"/>
      <c r="F30" s="421"/>
      <c r="G30" s="421"/>
      <c r="H30" s="421"/>
      <c r="I30" s="421"/>
      <c r="J30" s="421"/>
      <c r="K30" s="421"/>
      <c r="L30" s="421"/>
      <c r="M30" s="421"/>
      <c r="N30" s="421"/>
      <c r="O30" s="421"/>
      <c r="P30" s="421"/>
      <c r="Q30" s="422">
        <f>SUM(E30:P30)</f>
        <v>0</v>
      </c>
      <c r="R30" s="423">
        <f>COUNT(E30:P30)</f>
        <v>0</v>
      </c>
      <c r="S30" s="422">
        <f>IF(R30&gt;1,AVERAGE(E30:P30),0)</f>
        <v>0</v>
      </c>
      <c r="T30" s="422">
        <f>IF(R30&gt;1,STDEV(E30:P30),0)</f>
        <v>0</v>
      </c>
      <c r="U30" s="422">
        <f t="shared" si="43"/>
        <v>0</v>
      </c>
      <c r="V30" s="424"/>
      <c r="W30" s="425">
        <f t="shared" si="44"/>
        <v>0</v>
      </c>
      <c r="X30" s="805">
        <v>0</v>
      </c>
      <c r="Y30" s="793">
        <v>0</v>
      </c>
      <c r="Z30" s="794">
        <v>0</v>
      </c>
      <c r="AA30" s="795">
        <f>($Q30*X30)/1000</f>
        <v>0</v>
      </c>
      <c r="AB30" s="795">
        <f t="shared" si="46"/>
        <v>0</v>
      </c>
      <c r="AC30" s="794">
        <f>IF(AA30&gt;0,SQRT(($W30*$W30)+(Z30*Z30)+($V30*$V30)),0)</f>
        <v>0</v>
      </c>
      <c r="AD30" s="795">
        <f>(AB30*AC30)^2</f>
        <v>0</v>
      </c>
      <c r="AE30" s="806">
        <v>0</v>
      </c>
      <c r="AF30" s="793">
        <v>0</v>
      </c>
      <c r="AG30" s="794">
        <v>0</v>
      </c>
      <c r="AH30" s="807">
        <f>($Q30*AE30)/1000</f>
        <v>0</v>
      </c>
      <c r="AI30" s="807">
        <f t="shared" si="50"/>
        <v>0</v>
      </c>
      <c r="AJ30" s="794">
        <f>IF(AH30&gt;0,SQRT(($W30*$W30)+(AG30*AG30)+($V30*$V30)),0)</f>
        <v>0</v>
      </c>
      <c r="AK30" s="795">
        <f>(AI30*AJ30)^2</f>
        <v>0</v>
      </c>
      <c r="AL30" s="806">
        <v>0</v>
      </c>
      <c r="AM30" s="793">
        <v>0</v>
      </c>
      <c r="AN30" s="794">
        <v>0</v>
      </c>
      <c r="AO30" s="807">
        <f>(W30*AL30)/1000</f>
        <v>0</v>
      </c>
      <c r="AP30" s="807">
        <f t="shared" si="54"/>
        <v>0</v>
      </c>
      <c r="AQ30" s="794">
        <f>IF(AO30&gt;0,SQRT(($W30*$W30)+(AN30*AN30)+($V30*$V30)),0)</f>
        <v>0</v>
      </c>
      <c r="AR30" s="795">
        <f>(AP30*AQ30)^2</f>
        <v>0</v>
      </c>
      <c r="AS30" s="792">
        <f t="shared" si="57"/>
        <v>0</v>
      </c>
      <c r="AT30" s="793">
        <f t="shared" si="58"/>
        <v>0</v>
      </c>
      <c r="AU30" s="794">
        <f t="shared" si="59"/>
        <v>0</v>
      </c>
      <c r="AV30" s="807">
        <f t="shared" si="60"/>
        <v>0</v>
      </c>
      <c r="AW30" s="794">
        <f t="shared" si="61"/>
        <v>0</v>
      </c>
      <c r="AX30" s="795">
        <f>(AV30*AW30)^2</f>
        <v>0</v>
      </c>
      <c r="AY30" s="792">
        <v>0</v>
      </c>
      <c r="AZ30" s="793">
        <v>0</v>
      </c>
      <c r="BA30" s="794">
        <v>0</v>
      </c>
      <c r="BB30" s="807">
        <f>($Q30*AY30)/1000</f>
        <v>0</v>
      </c>
      <c r="BC30" s="807">
        <f t="shared" si="62"/>
        <v>0</v>
      </c>
      <c r="BD30" s="794">
        <v>0</v>
      </c>
      <c r="BE30" s="795">
        <f>(BC30*BD30)^2</f>
        <v>0</v>
      </c>
      <c r="BF30" s="796">
        <f t="shared" si="64"/>
        <v>0</v>
      </c>
      <c r="BG30" s="761">
        <f t="shared" si="65"/>
        <v>0</v>
      </c>
      <c r="BH30" s="28">
        <f>(BF30*BG30)^2</f>
        <v>0</v>
      </c>
      <c r="BI30" s="64"/>
      <c r="BJ30" s="168"/>
      <c r="BK30" s="168"/>
      <c r="BL30" s="168"/>
      <c r="BM30" s="169"/>
      <c r="BN30" s="169"/>
      <c r="BO30" s="169"/>
      <c r="BP30" s="168"/>
      <c r="BQ30" s="168"/>
      <c r="BR30" s="168"/>
      <c r="BS30" s="168"/>
      <c r="BT30" s="168"/>
      <c r="BU30" s="168"/>
      <c r="BV30" s="168"/>
      <c r="BW30" s="168"/>
      <c r="BX30" s="168"/>
      <c r="BY30" s="168"/>
      <c r="BZ30" s="168"/>
      <c r="CA30" s="168"/>
      <c r="CB30" s="170"/>
      <c r="CC30" s="168"/>
      <c r="CD30" s="168"/>
      <c r="CE30" s="170"/>
      <c r="CF30" s="170"/>
      <c r="CG30" s="170"/>
      <c r="CH30" s="170"/>
      <c r="CI30" s="168"/>
      <c r="CJ30" s="168"/>
      <c r="CK30" s="170"/>
      <c r="CL30" s="170"/>
      <c r="CM30" s="170"/>
      <c r="CN30" s="113"/>
      <c r="CO30" s="36"/>
      <c r="CP30" s="36"/>
      <c r="CQ30" s="36"/>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6"/>
      <c r="EA30" s="36"/>
      <c r="EB30" s="36"/>
      <c r="EC30" s="36"/>
      <c r="ED30" s="36"/>
      <c r="EE30" s="36"/>
      <c r="EF30" s="36"/>
      <c r="EG30" s="36"/>
    </row>
    <row r="31" spans="1:137" s="27" customFormat="1" x14ac:dyDescent="0.25">
      <c r="A31" s="26"/>
      <c r="B31" s="759"/>
      <c r="C31" s="553"/>
      <c r="D31" s="804">
        <f t="shared" si="38"/>
        <v>0</v>
      </c>
      <c r="E31" s="144"/>
      <c r="F31" s="421"/>
      <c r="G31" s="421"/>
      <c r="H31" s="421"/>
      <c r="I31" s="421"/>
      <c r="J31" s="421"/>
      <c r="K31" s="421"/>
      <c r="L31" s="421"/>
      <c r="M31" s="421"/>
      <c r="N31" s="421"/>
      <c r="O31" s="421"/>
      <c r="P31" s="421"/>
      <c r="Q31" s="422">
        <f>SUM(E31:P31)</f>
        <v>0</v>
      </c>
      <c r="R31" s="423">
        <f>COUNT(E31:P31)</f>
        <v>0</v>
      </c>
      <c r="S31" s="422">
        <f>IF(R31&gt;1,AVERAGE(E31:P31),0)</f>
        <v>0</v>
      </c>
      <c r="T31" s="422">
        <f>IF(R31&gt;1,STDEV(E31:P31),0)</f>
        <v>0</v>
      </c>
      <c r="U31" s="422">
        <f t="shared" si="43"/>
        <v>0</v>
      </c>
      <c r="V31" s="424"/>
      <c r="W31" s="425">
        <f t="shared" si="44"/>
        <v>0</v>
      </c>
      <c r="X31" s="805">
        <v>0</v>
      </c>
      <c r="Y31" s="793">
        <v>0</v>
      </c>
      <c r="Z31" s="794">
        <v>0</v>
      </c>
      <c r="AA31" s="795">
        <f>($Q31*X31)/1000</f>
        <v>0</v>
      </c>
      <c r="AB31" s="795">
        <f t="shared" si="46"/>
        <v>0</v>
      </c>
      <c r="AC31" s="794">
        <f>IF(AA31&gt;0,SQRT(($W31*$W31)+(Z31*Z31)+($V31*$V31)),0)</f>
        <v>0</v>
      </c>
      <c r="AD31" s="795">
        <f>(AB31*AC31)^2</f>
        <v>0</v>
      </c>
      <c r="AE31" s="806">
        <v>0</v>
      </c>
      <c r="AF31" s="793">
        <v>0</v>
      </c>
      <c r="AG31" s="794">
        <v>0</v>
      </c>
      <c r="AH31" s="807">
        <f>($Q31*AE31)/1000</f>
        <v>0</v>
      </c>
      <c r="AI31" s="807">
        <f t="shared" si="50"/>
        <v>0</v>
      </c>
      <c r="AJ31" s="794">
        <f>IF(AH31&gt;0,SQRT(($W31*$W31)+(AG31*AG31)+($V31*$V31)),0)</f>
        <v>0</v>
      </c>
      <c r="AK31" s="795">
        <f>(AI31*AJ31)^2</f>
        <v>0</v>
      </c>
      <c r="AL31" s="806">
        <v>0</v>
      </c>
      <c r="AM31" s="793">
        <v>0</v>
      </c>
      <c r="AN31" s="794">
        <v>0</v>
      </c>
      <c r="AO31" s="807">
        <f>(W31*AL31)/1000</f>
        <v>0</v>
      </c>
      <c r="AP31" s="807">
        <f t="shared" si="54"/>
        <v>0</v>
      </c>
      <c r="AQ31" s="794">
        <f>IF(AO31&gt;0,SQRT(($W31*$W31)+(AN31*AN31)+($V31*$V31)),0)</f>
        <v>0</v>
      </c>
      <c r="AR31" s="795">
        <f>(AP31*AQ31)^2</f>
        <v>0</v>
      </c>
      <c r="AS31" s="792">
        <f t="shared" si="57"/>
        <v>0</v>
      </c>
      <c r="AT31" s="793">
        <f t="shared" si="58"/>
        <v>0</v>
      </c>
      <c r="AU31" s="794">
        <f t="shared" si="59"/>
        <v>0</v>
      </c>
      <c r="AV31" s="807">
        <f t="shared" si="60"/>
        <v>0</v>
      </c>
      <c r="AW31" s="794">
        <f t="shared" si="61"/>
        <v>0</v>
      </c>
      <c r="AX31" s="795">
        <f>(AV31*AW31)^2</f>
        <v>0</v>
      </c>
      <c r="AY31" s="792">
        <v>0</v>
      </c>
      <c r="AZ31" s="793">
        <v>0</v>
      </c>
      <c r="BA31" s="794">
        <v>0</v>
      </c>
      <c r="BB31" s="807">
        <f>($Q31*AY31)/1000</f>
        <v>0</v>
      </c>
      <c r="BC31" s="807">
        <f t="shared" si="62"/>
        <v>0</v>
      </c>
      <c r="BD31" s="794">
        <v>0</v>
      </c>
      <c r="BE31" s="795">
        <f>(BC31*BD31)^2</f>
        <v>0</v>
      </c>
      <c r="BF31" s="796">
        <f t="shared" si="64"/>
        <v>0</v>
      </c>
      <c r="BG31" s="761">
        <f t="shared" si="65"/>
        <v>0</v>
      </c>
      <c r="BH31" s="28">
        <f>(BF31*BG31)^2</f>
        <v>0</v>
      </c>
      <c r="BI31" s="64"/>
      <c r="BJ31" s="168"/>
      <c r="BK31" s="168"/>
      <c r="BL31" s="168"/>
      <c r="BM31" s="169"/>
      <c r="BN31" s="169"/>
      <c r="BO31" s="169"/>
      <c r="BP31" s="168"/>
      <c r="BQ31" s="168"/>
      <c r="BR31" s="168"/>
      <c r="BS31" s="168"/>
      <c r="BT31" s="168"/>
      <c r="BU31" s="168"/>
      <c r="BV31" s="168"/>
      <c r="BW31" s="168"/>
      <c r="BX31" s="168"/>
      <c r="BY31" s="168"/>
      <c r="BZ31" s="168"/>
      <c r="CA31" s="168"/>
      <c r="CB31" s="170"/>
      <c r="CC31" s="168"/>
      <c r="CD31" s="168"/>
      <c r="CE31" s="170"/>
      <c r="CF31" s="170"/>
      <c r="CG31" s="170"/>
      <c r="CH31" s="170"/>
      <c r="CI31" s="168"/>
      <c r="CJ31" s="168"/>
      <c r="CK31" s="170"/>
      <c r="CL31" s="170"/>
      <c r="CM31" s="170"/>
      <c r="CN31" s="113"/>
      <c r="CO31" s="36"/>
      <c r="CP31" s="36"/>
      <c r="CQ31" s="36"/>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6"/>
      <c r="EA31" s="36"/>
      <c r="EB31" s="36"/>
      <c r="EC31" s="36"/>
      <c r="ED31" s="36"/>
      <c r="EE31" s="36"/>
      <c r="EF31" s="36"/>
      <c r="EG31" s="36"/>
    </row>
    <row r="32" spans="1:137" s="27" customFormat="1" x14ac:dyDescent="0.25">
      <c r="A32" s="26"/>
      <c r="B32" s="759"/>
      <c r="C32" s="553"/>
      <c r="D32" s="804">
        <f t="shared" si="38"/>
        <v>0</v>
      </c>
      <c r="E32" s="144"/>
      <c r="F32" s="421"/>
      <c r="G32" s="421"/>
      <c r="H32" s="421"/>
      <c r="I32" s="421"/>
      <c r="J32" s="421"/>
      <c r="K32" s="421"/>
      <c r="L32" s="421"/>
      <c r="M32" s="421"/>
      <c r="N32" s="421"/>
      <c r="O32" s="421"/>
      <c r="P32" s="421"/>
      <c r="Q32" s="422">
        <f t="shared" si="39"/>
        <v>0</v>
      </c>
      <c r="R32" s="423">
        <f t="shared" si="40"/>
        <v>0</v>
      </c>
      <c r="S32" s="422">
        <f t="shared" si="41"/>
        <v>0</v>
      </c>
      <c r="T32" s="422">
        <f t="shared" si="42"/>
        <v>0</v>
      </c>
      <c r="U32" s="422">
        <f t="shared" si="43"/>
        <v>0</v>
      </c>
      <c r="V32" s="424"/>
      <c r="W32" s="425">
        <f t="shared" si="44"/>
        <v>0</v>
      </c>
      <c r="X32" s="805">
        <v>0</v>
      </c>
      <c r="Y32" s="793">
        <v>0</v>
      </c>
      <c r="Z32" s="794">
        <v>0</v>
      </c>
      <c r="AA32" s="795">
        <f t="shared" si="45"/>
        <v>0</v>
      </c>
      <c r="AB32" s="795">
        <f t="shared" si="46"/>
        <v>0</v>
      </c>
      <c r="AC32" s="794">
        <f t="shared" si="47"/>
        <v>0</v>
      </c>
      <c r="AD32" s="795">
        <f t="shared" si="48"/>
        <v>0</v>
      </c>
      <c r="AE32" s="806">
        <v>0</v>
      </c>
      <c r="AF32" s="793">
        <v>0</v>
      </c>
      <c r="AG32" s="794">
        <v>0</v>
      </c>
      <c r="AH32" s="807">
        <f t="shared" si="49"/>
        <v>0</v>
      </c>
      <c r="AI32" s="807">
        <f t="shared" si="50"/>
        <v>0</v>
      </c>
      <c r="AJ32" s="794">
        <f t="shared" si="51"/>
        <v>0</v>
      </c>
      <c r="AK32" s="795">
        <f t="shared" si="52"/>
        <v>0</v>
      </c>
      <c r="AL32" s="806">
        <v>0</v>
      </c>
      <c r="AM32" s="793">
        <v>0</v>
      </c>
      <c r="AN32" s="794">
        <v>0</v>
      </c>
      <c r="AO32" s="807">
        <f t="shared" si="53"/>
        <v>0</v>
      </c>
      <c r="AP32" s="807">
        <f t="shared" si="54"/>
        <v>0</v>
      </c>
      <c r="AQ32" s="794">
        <f t="shared" si="55"/>
        <v>0</v>
      </c>
      <c r="AR32" s="795">
        <f t="shared" si="56"/>
        <v>0</v>
      </c>
      <c r="AS32" s="792">
        <f t="shared" si="57"/>
        <v>0</v>
      </c>
      <c r="AT32" s="793">
        <f t="shared" si="58"/>
        <v>0</v>
      </c>
      <c r="AU32" s="794">
        <f t="shared" si="59"/>
        <v>0</v>
      </c>
      <c r="AV32" s="807">
        <f t="shared" si="60"/>
        <v>0</v>
      </c>
      <c r="AW32" s="794">
        <f t="shared" si="61"/>
        <v>0</v>
      </c>
      <c r="AX32" s="795">
        <f t="shared" ref="AX32:AX38" si="66">(AV32*AW32)^2</f>
        <v>0</v>
      </c>
      <c r="AY32" s="792">
        <v>0</v>
      </c>
      <c r="AZ32" s="793">
        <v>0</v>
      </c>
      <c r="BA32" s="794">
        <v>0</v>
      </c>
      <c r="BB32" s="807">
        <f t="shared" ref="BB32:BB38" si="67">($Q32*AY32)/1000</f>
        <v>0</v>
      </c>
      <c r="BC32" s="807">
        <f t="shared" si="62"/>
        <v>0</v>
      </c>
      <c r="BD32" s="794">
        <v>0</v>
      </c>
      <c r="BE32" s="795">
        <f t="shared" si="63"/>
        <v>0</v>
      </c>
      <c r="BF32" s="796">
        <f t="shared" si="64"/>
        <v>0</v>
      </c>
      <c r="BG32" s="761">
        <f t="shared" si="65"/>
        <v>0</v>
      </c>
      <c r="BH32" s="28">
        <f t="shared" si="37"/>
        <v>0</v>
      </c>
      <c r="BI32" s="64"/>
      <c r="BJ32" s="168"/>
      <c r="BK32" s="168"/>
      <c r="BL32" s="168"/>
      <c r="BM32" s="169"/>
      <c r="BN32" s="169"/>
      <c r="BO32" s="169"/>
      <c r="BP32" s="168"/>
      <c r="BQ32" s="168"/>
      <c r="BR32" s="168"/>
      <c r="BS32" s="168"/>
      <c r="BT32" s="168"/>
      <c r="BU32" s="168"/>
      <c r="BV32" s="168"/>
      <c r="BW32" s="168"/>
      <c r="BX32" s="168"/>
      <c r="BY32" s="168"/>
      <c r="BZ32" s="168"/>
      <c r="CA32" s="168"/>
      <c r="CB32" s="170"/>
      <c r="CC32" s="168"/>
      <c r="CD32" s="168"/>
      <c r="CE32" s="170"/>
      <c r="CF32" s="170"/>
      <c r="CG32" s="170"/>
      <c r="CH32" s="170"/>
      <c r="CI32" s="168"/>
      <c r="CJ32" s="168"/>
      <c r="CK32" s="170"/>
      <c r="CL32" s="170"/>
      <c r="CM32" s="170"/>
      <c r="CN32" s="113"/>
      <c r="CO32" s="36"/>
      <c r="CP32" s="36"/>
      <c r="CQ32" s="36"/>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6"/>
      <c r="EA32" s="36"/>
      <c r="EB32" s="36"/>
      <c r="EC32" s="36"/>
      <c r="ED32" s="36"/>
      <c r="EE32" s="36"/>
      <c r="EF32" s="36"/>
      <c r="EG32" s="36"/>
    </row>
    <row r="33" spans="1:137" s="27" customFormat="1" x14ac:dyDescent="0.25">
      <c r="A33" s="26"/>
      <c r="B33" s="759"/>
      <c r="C33" s="553"/>
      <c r="D33" s="804">
        <f t="shared" si="38"/>
        <v>0</v>
      </c>
      <c r="E33" s="144"/>
      <c r="F33" s="421"/>
      <c r="G33" s="421"/>
      <c r="H33" s="421"/>
      <c r="I33" s="421"/>
      <c r="J33" s="421"/>
      <c r="K33" s="421"/>
      <c r="L33" s="421"/>
      <c r="M33" s="421"/>
      <c r="N33" s="421"/>
      <c r="O33" s="421"/>
      <c r="P33" s="421"/>
      <c r="Q33" s="422">
        <f t="shared" si="39"/>
        <v>0</v>
      </c>
      <c r="R33" s="423">
        <f t="shared" si="40"/>
        <v>0</v>
      </c>
      <c r="S33" s="422">
        <f t="shared" si="41"/>
        <v>0</v>
      </c>
      <c r="T33" s="422">
        <f t="shared" si="42"/>
        <v>0</v>
      </c>
      <c r="U33" s="422">
        <f t="shared" si="43"/>
        <v>0</v>
      </c>
      <c r="V33" s="424"/>
      <c r="W33" s="425">
        <f t="shared" si="44"/>
        <v>0</v>
      </c>
      <c r="X33" s="805">
        <v>0</v>
      </c>
      <c r="Y33" s="793">
        <v>0</v>
      </c>
      <c r="Z33" s="794">
        <v>0</v>
      </c>
      <c r="AA33" s="795">
        <f t="shared" si="45"/>
        <v>0</v>
      </c>
      <c r="AB33" s="795">
        <f t="shared" si="46"/>
        <v>0</v>
      </c>
      <c r="AC33" s="794">
        <f t="shared" si="47"/>
        <v>0</v>
      </c>
      <c r="AD33" s="795">
        <f t="shared" si="48"/>
        <v>0</v>
      </c>
      <c r="AE33" s="806">
        <v>0</v>
      </c>
      <c r="AF33" s="793">
        <v>0</v>
      </c>
      <c r="AG33" s="794">
        <v>0</v>
      </c>
      <c r="AH33" s="807">
        <f t="shared" si="49"/>
        <v>0</v>
      </c>
      <c r="AI33" s="807">
        <f t="shared" si="50"/>
        <v>0</v>
      </c>
      <c r="AJ33" s="794">
        <f t="shared" si="51"/>
        <v>0</v>
      </c>
      <c r="AK33" s="795">
        <f t="shared" si="52"/>
        <v>0</v>
      </c>
      <c r="AL33" s="806">
        <v>0</v>
      </c>
      <c r="AM33" s="793">
        <v>0</v>
      </c>
      <c r="AN33" s="794">
        <v>0</v>
      </c>
      <c r="AO33" s="807">
        <f t="shared" si="53"/>
        <v>0</v>
      </c>
      <c r="AP33" s="807">
        <f t="shared" si="54"/>
        <v>0</v>
      </c>
      <c r="AQ33" s="794">
        <f t="shared" si="55"/>
        <v>0</v>
      </c>
      <c r="AR33" s="795">
        <f t="shared" si="56"/>
        <v>0</v>
      </c>
      <c r="AS33" s="792">
        <f t="shared" si="57"/>
        <v>0</v>
      </c>
      <c r="AT33" s="793">
        <f t="shared" si="58"/>
        <v>0</v>
      </c>
      <c r="AU33" s="794">
        <f t="shared" si="59"/>
        <v>0</v>
      </c>
      <c r="AV33" s="807">
        <f t="shared" si="60"/>
        <v>0</v>
      </c>
      <c r="AW33" s="794">
        <f t="shared" si="61"/>
        <v>0</v>
      </c>
      <c r="AX33" s="795">
        <f t="shared" si="66"/>
        <v>0</v>
      </c>
      <c r="AY33" s="792">
        <v>0</v>
      </c>
      <c r="AZ33" s="793">
        <v>0</v>
      </c>
      <c r="BA33" s="794">
        <v>0</v>
      </c>
      <c r="BB33" s="807">
        <f t="shared" si="67"/>
        <v>0</v>
      </c>
      <c r="BC33" s="807">
        <f t="shared" si="62"/>
        <v>0</v>
      </c>
      <c r="BD33" s="794">
        <v>0</v>
      </c>
      <c r="BE33" s="795">
        <f t="shared" si="63"/>
        <v>0</v>
      </c>
      <c r="BF33" s="796">
        <f t="shared" si="64"/>
        <v>0</v>
      </c>
      <c r="BG33" s="761">
        <f t="shared" si="65"/>
        <v>0</v>
      </c>
      <c r="BH33" s="28">
        <f t="shared" si="37"/>
        <v>0</v>
      </c>
      <c r="BI33" s="64"/>
      <c r="BJ33" s="168"/>
      <c r="BK33" s="168"/>
      <c r="BL33" s="168"/>
      <c r="BM33" s="169"/>
      <c r="BN33" s="169"/>
      <c r="BO33" s="169"/>
      <c r="BP33" s="168"/>
      <c r="BQ33" s="168"/>
      <c r="BR33" s="168"/>
      <c r="BS33" s="168"/>
      <c r="BT33" s="168"/>
      <c r="BU33" s="168"/>
      <c r="BV33" s="168"/>
      <c r="BW33" s="168"/>
      <c r="BX33" s="168"/>
      <c r="BY33" s="168"/>
      <c r="BZ33" s="168"/>
      <c r="CA33" s="168"/>
      <c r="CB33" s="170"/>
      <c r="CC33" s="168"/>
      <c r="CD33" s="168"/>
      <c r="CE33" s="170"/>
      <c r="CF33" s="170"/>
      <c r="CG33" s="170"/>
      <c r="CH33" s="170"/>
      <c r="CI33" s="168"/>
      <c r="CJ33" s="168"/>
      <c r="CK33" s="170"/>
      <c r="CL33" s="170"/>
      <c r="CM33" s="170"/>
      <c r="CN33" s="113"/>
      <c r="CO33" s="36"/>
      <c r="CP33" s="36"/>
      <c r="CQ33" s="36"/>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6"/>
      <c r="EA33" s="36"/>
      <c r="EB33" s="36"/>
      <c r="EC33" s="36"/>
      <c r="ED33" s="36"/>
      <c r="EE33" s="36"/>
      <c r="EF33" s="36"/>
      <c r="EG33" s="36"/>
    </row>
    <row r="34" spans="1:137" s="27" customFormat="1" x14ac:dyDescent="0.25">
      <c r="A34" s="26"/>
      <c r="B34" s="760"/>
      <c r="C34" s="553"/>
      <c r="D34" s="804">
        <f t="shared" si="38"/>
        <v>0</v>
      </c>
      <c r="E34" s="144"/>
      <c r="F34" s="421"/>
      <c r="G34" s="421"/>
      <c r="H34" s="421"/>
      <c r="I34" s="421"/>
      <c r="J34" s="421"/>
      <c r="K34" s="421"/>
      <c r="L34" s="421"/>
      <c r="M34" s="421"/>
      <c r="N34" s="421"/>
      <c r="O34" s="421"/>
      <c r="P34" s="421"/>
      <c r="Q34" s="422">
        <f t="shared" si="39"/>
        <v>0</v>
      </c>
      <c r="R34" s="423">
        <f t="shared" si="40"/>
        <v>0</v>
      </c>
      <c r="S34" s="422">
        <f t="shared" si="41"/>
        <v>0</v>
      </c>
      <c r="T34" s="422">
        <f t="shared" si="42"/>
        <v>0</v>
      </c>
      <c r="U34" s="422">
        <f t="shared" si="43"/>
        <v>0</v>
      </c>
      <c r="V34" s="424"/>
      <c r="W34" s="425">
        <f t="shared" si="44"/>
        <v>0</v>
      </c>
      <c r="X34" s="805">
        <v>0</v>
      </c>
      <c r="Y34" s="793">
        <v>0</v>
      </c>
      <c r="Z34" s="794">
        <v>0</v>
      </c>
      <c r="AA34" s="795">
        <f t="shared" si="45"/>
        <v>0</v>
      </c>
      <c r="AB34" s="795">
        <f t="shared" si="46"/>
        <v>0</v>
      </c>
      <c r="AC34" s="794">
        <f t="shared" si="47"/>
        <v>0</v>
      </c>
      <c r="AD34" s="795">
        <f t="shared" si="48"/>
        <v>0</v>
      </c>
      <c r="AE34" s="806">
        <v>0</v>
      </c>
      <c r="AF34" s="793">
        <v>0</v>
      </c>
      <c r="AG34" s="794">
        <v>0</v>
      </c>
      <c r="AH34" s="807">
        <f t="shared" si="49"/>
        <v>0</v>
      </c>
      <c r="AI34" s="807">
        <f t="shared" si="50"/>
        <v>0</v>
      </c>
      <c r="AJ34" s="794">
        <f t="shared" si="51"/>
        <v>0</v>
      </c>
      <c r="AK34" s="795">
        <f t="shared" si="52"/>
        <v>0</v>
      </c>
      <c r="AL34" s="806">
        <v>0</v>
      </c>
      <c r="AM34" s="793">
        <v>0</v>
      </c>
      <c r="AN34" s="794">
        <v>0</v>
      </c>
      <c r="AO34" s="807">
        <f t="shared" si="53"/>
        <v>0</v>
      </c>
      <c r="AP34" s="807">
        <f t="shared" si="54"/>
        <v>0</v>
      </c>
      <c r="AQ34" s="794">
        <f t="shared" si="55"/>
        <v>0</v>
      </c>
      <c r="AR34" s="795">
        <f t="shared" si="56"/>
        <v>0</v>
      </c>
      <c r="AS34" s="792">
        <f t="shared" si="57"/>
        <v>0</v>
      </c>
      <c r="AT34" s="793">
        <f t="shared" si="58"/>
        <v>0</v>
      </c>
      <c r="AU34" s="794">
        <f t="shared" si="59"/>
        <v>0</v>
      </c>
      <c r="AV34" s="807">
        <f t="shared" si="60"/>
        <v>0</v>
      </c>
      <c r="AW34" s="794">
        <f t="shared" si="61"/>
        <v>0</v>
      </c>
      <c r="AX34" s="795">
        <f t="shared" si="66"/>
        <v>0</v>
      </c>
      <c r="AY34" s="792">
        <v>0</v>
      </c>
      <c r="AZ34" s="793">
        <v>0</v>
      </c>
      <c r="BA34" s="794">
        <v>0</v>
      </c>
      <c r="BB34" s="807">
        <f t="shared" si="67"/>
        <v>0</v>
      </c>
      <c r="BC34" s="807">
        <f t="shared" si="62"/>
        <v>0</v>
      </c>
      <c r="BD34" s="794">
        <v>0</v>
      </c>
      <c r="BE34" s="795">
        <f t="shared" si="63"/>
        <v>0</v>
      </c>
      <c r="BF34" s="796">
        <f t="shared" si="64"/>
        <v>0</v>
      </c>
      <c r="BG34" s="761">
        <f t="shared" si="65"/>
        <v>0</v>
      </c>
      <c r="BH34" s="28">
        <f t="shared" si="37"/>
        <v>0</v>
      </c>
      <c r="BI34" s="64"/>
      <c r="BJ34" s="168"/>
      <c r="BK34" s="168"/>
      <c r="BL34" s="168"/>
      <c r="BM34" s="169"/>
      <c r="BN34" s="169"/>
      <c r="BO34" s="169"/>
      <c r="BP34" s="168"/>
      <c r="BQ34" s="168"/>
      <c r="BR34" s="168"/>
      <c r="BS34" s="168"/>
      <c r="BT34" s="168"/>
      <c r="BU34" s="168"/>
      <c r="BV34" s="168"/>
      <c r="BW34" s="168"/>
      <c r="BX34" s="168"/>
      <c r="BY34" s="168"/>
      <c r="BZ34" s="168"/>
      <c r="CA34" s="168"/>
      <c r="CB34" s="170"/>
      <c r="CC34" s="168"/>
      <c r="CD34" s="168"/>
      <c r="CE34" s="170"/>
      <c r="CF34" s="170"/>
      <c r="CG34" s="170"/>
      <c r="CH34" s="170"/>
      <c r="CI34" s="168"/>
      <c r="CJ34" s="168"/>
      <c r="CK34" s="170"/>
      <c r="CL34" s="170"/>
      <c r="CM34" s="170"/>
      <c r="CN34" s="113"/>
      <c r="CO34" s="36"/>
      <c r="CP34" s="36"/>
      <c r="CQ34" s="36"/>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6"/>
      <c r="EA34" s="36"/>
      <c r="EB34" s="36"/>
      <c r="EC34" s="36"/>
      <c r="ED34" s="36"/>
      <c r="EE34" s="36"/>
      <c r="EF34" s="36"/>
      <c r="EG34" s="36"/>
    </row>
    <row r="35" spans="1:137" s="27" customFormat="1" x14ac:dyDescent="0.25">
      <c r="A35" s="26"/>
      <c r="B35" s="1704" t="s">
        <v>288</v>
      </c>
      <c r="C35" s="553"/>
      <c r="D35" s="804">
        <f t="shared" si="38"/>
        <v>0</v>
      </c>
      <c r="E35" s="144"/>
      <c r="F35" s="421"/>
      <c r="G35" s="421"/>
      <c r="H35" s="421"/>
      <c r="I35" s="421"/>
      <c r="J35" s="421"/>
      <c r="K35" s="421"/>
      <c r="L35" s="426"/>
      <c r="M35" s="426"/>
      <c r="N35" s="426"/>
      <c r="O35" s="426"/>
      <c r="P35" s="426"/>
      <c r="Q35" s="422">
        <f t="shared" si="39"/>
        <v>0</v>
      </c>
      <c r="R35" s="423">
        <f t="shared" si="40"/>
        <v>0</v>
      </c>
      <c r="S35" s="422">
        <f t="shared" si="41"/>
        <v>0</v>
      </c>
      <c r="T35" s="422">
        <f t="shared" si="42"/>
        <v>0</v>
      </c>
      <c r="U35" s="422">
        <f t="shared" si="43"/>
        <v>0</v>
      </c>
      <c r="V35" s="424"/>
      <c r="W35" s="425">
        <f t="shared" si="44"/>
        <v>0</v>
      </c>
      <c r="X35" s="805">
        <f>VLOOKUP($C35,$BI$95:$CM$477,3,FALSE)</f>
        <v>0</v>
      </c>
      <c r="Y35" s="793">
        <f>VLOOKUP($C35,$BI$95:$CM$477,4,FALSE)</f>
        <v>0</v>
      </c>
      <c r="Z35" s="794">
        <f>IF($Q35&gt;0,VLOOKUP($C35,$BI$95:$CM$477,6,FALSE),0)</f>
        <v>0</v>
      </c>
      <c r="AA35" s="795">
        <f t="shared" si="45"/>
        <v>0</v>
      </c>
      <c r="AB35" s="795">
        <f t="shared" si="46"/>
        <v>0</v>
      </c>
      <c r="AC35" s="794">
        <f t="shared" si="47"/>
        <v>0</v>
      </c>
      <c r="AD35" s="795">
        <f t="shared" si="48"/>
        <v>0</v>
      </c>
      <c r="AE35" s="806">
        <v>0</v>
      </c>
      <c r="AF35" s="793">
        <v>0</v>
      </c>
      <c r="AG35" s="794">
        <v>0</v>
      </c>
      <c r="AH35" s="807">
        <f t="shared" si="49"/>
        <v>0</v>
      </c>
      <c r="AI35" s="807">
        <f t="shared" si="50"/>
        <v>0</v>
      </c>
      <c r="AJ35" s="794">
        <f t="shared" si="51"/>
        <v>0</v>
      </c>
      <c r="AK35" s="795">
        <f t="shared" si="52"/>
        <v>0</v>
      </c>
      <c r="AL35" s="806">
        <v>0</v>
      </c>
      <c r="AM35" s="793">
        <v>0</v>
      </c>
      <c r="AN35" s="794">
        <v>0</v>
      </c>
      <c r="AO35" s="807">
        <f>($Q35*AL35)/1000</f>
        <v>0</v>
      </c>
      <c r="AP35" s="807">
        <f t="shared" si="54"/>
        <v>0</v>
      </c>
      <c r="AQ35" s="794">
        <f t="shared" si="55"/>
        <v>0</v>
      </c>
      <c r="AR35" s="795">
        <f t="shared" si="56"/>
        <v>0</v>
      </c>
      <c r="AS35" s="792">
        <v>0</v>
      </c>
      <c r="AT35" s="793">
        <v>0</v>
      </c>
      <c r="AU35" s="794">
        <v>0</v>
      </c>
      <c r="AV35" s="807">
        <f t="shared" si="60"/>
        <v>0</v>
      </c>
      <c r="AW35" s="794">
        <f t="shared" si="61"/>
        <v>0</v>
      </c>
      <c r="AX35" s="795">
        <f t="shared" si="66"/>
        <v>0</v>
      </c>
      <c r="AY35" s="792">
        <v>0</v>
      </c>
      <c r="AZ35" s="793">
        <v>0</v>
      </c>
      <c r="BA35" s="794">
        <v>0</v>
      </c>
      <c r="BB35" s="807">
        <f t="shared" si="67"/>
        <v>0</v>
      </c>
      <c r="BC35" s="807">
        <f t="shared" si="62"/>
        <v>0</v>
      </c>
      <c r="BD35" s="794">
        <f>IF(BB35&gt;0,SQRT(($W35*$W35)+(BA35*BA35)+($V35*$V35)),0)</f>
        <v>0</v>
      </c>
      <c r="BE35" s="795">
        <f t="shared" si="63"/>
        <v>0</v>
      </c>
      <c r="BF35" s="796">
        <f t="shared" si="64"/>
        <v>0</v>
      </c>
      <c r="BG35" s="761">
        <f t="shared" si="65"/>
        <v>0</v>
      </c>
      <c r="BH35" s="28">
        <f t="shared" si="37"/>
        <v>0</v>
      </c>
      <c r="BI35" s="64"/>
      <c r="BJ35" s="168"/>
      <c r="BK35" s="168"/>
      <c r="BL35" s="168"/>
      <c r="BM35" s="169"/>
      <c r="BN35" s="169"/>
      <c r="BO35" s="169"/>
      <c r="BP35" s="168"/>
      <c r="BQ35" s="168"/>
      <c r="BR35" s="168"/>
      <c r="BS35" s="168"/>
      <c r="BT35" s="168"/>
      <c r="BU35" s="168"/>
      <c r="BV35" s="168"/>
      <c r="BW35" s="168"/>
      <c r="BX35" s="168"/>
      <c r="BY35" s="168"/>
      <c r="BZ35" s="168"/>
      <c r="CA35" s="168"/>
      <c r="CB35" s="170"/>
      <c r="CC35" s="168"/>
      <c r="CD35" s="168"/>
      <c r="CE35" s="170"/>
      <c r="CF35" s="170"/>
      <c r="CG35" s="170"/>
      <c r="CH35" s="170"/>
      <c r="CI35" s="168"/>
      <c r="CJ35" s="168"/>
      <c r="CK35" s="170"/>
      <c r="CL35" s="170"/>
      <c r="CM35" s="170"/>
      <c r="CN35" s="113"/>
      <c r="CO35" s="36"/>
      <c r="CP35" s="36"/>
      <c r="CQ35" s="36"/>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6"/>
      <c r="EA35" s="36"/>
      <c r="EB35" s="36"/>
      <c r="EC35" s="36"/>
      <c r="ED35" s="36"/>
      <c r="EE35" s="36"/>
      <c r="EF35" s="36"/>
      <c r="EG35" s="36"/>
    </row>
    <row r="36" spans="1:137" s="27" customFormat="1" x14ac:dyDescent="0.25">
      <c r="A36" s="26"/>
      <c r="B36" s="1705"/>
      <c r="C36" s="553"/>
      <c r="D36" s="804">
        <f t="shared" si="38"/>
        <v>0</v>
      </c>
      <c r="E36" s="144"/>
      <c r="F36" s="421"/>
      <c r="G36" s="421"/>
      <c r="H36" s="421"/>
      <c r="I36" s="421"/>
      <c r="J36" s="421"/>
      <c r="K36" s="421"/>
      <c r="L36" s="426"/>
      <c r="M36" s="426"/>
      <c r="N36" s="426"/>
      <c r="O36" s="426"/>
      <c r="P36" s="426"/>
      <c r="Q36" s="422">
        <f t="shared" si="39"/>
        <v>0</v>
      </c>
      <c r="R36" s="423">
        <f t="shared" si="40"/>
        <v>0</v>
      </c>
      <c r="S36" s="422">
        <f t="shared" si="41"/>
        <v>0</v>
      </c>
      <c r="T36" s="422">
        <f t="shared" si="42"/>
        <v>0</v>
      </c>
      <c r="U36" s="422">
        <f t="shared" si="43"/>
        <v>0</v>
      </c>
      <c r="V36" s="424"/>
      <c r="W36" s="425">
        <f t="shared" si="44"/>
        <v>0</v>
      </c>
      <c r="X36" s="805">
        <v>0</v>
      </c>
      <c r="Y36" s="793">
        <v>0</v>
      </c>
      <c r="Z36" s="794">
        <v>0</v>
      </c>
      <c r="AA36" s="795">
        <f t="shared" si="45"/>
        <v>0</v>
      </c>
      <c r="AB36" s="795">
        <f t="shared" si="46"/>
        <v>0</v>
      </c>
      <c r="AC36" s="794">
        <f t="shared" si="47"/>
        <v>0</v>
      </c>
      <c r="AD36" s="795">
        <f t="shared" si="48"/>
        <v>0</v>
      </c>
      <c r="AE36" s="806">
        <v>0</v>
      </c>
      <c r="AF36" s="793">
        <v>0</v>
      </c>
      <c r="AG36" s="794">
        <v>0</v>
      </c>
      <c r="AH36" s="807">
        <f t="shared" si="49"/>
        <v>0</v>
      </c>
      <c r="AI36" s="807">
        <f t="shared" si="50"/>
        <v>0</v>
      </c>
      <c r="AJ36" s="794">
        <f t="shared" si="51"/>
        <v>0</v>
      </c>
      <c r="AK36" s="795">
        <f t="shared" si="52"/>
        <v>0</v>
      </c>
      <c r="AL36" s="806">
        <v>0</v>
      </c>
      <c r="AM36" s="793">
        <v>0</v>
      </c>
      <c r="AN36" s="794">
        <v>0</v>
      </c>
      <c r="AO36" s="807">
        <f>(W36*AL36)/1000</f>
        <v>0</v>
      </c>
      <c r="AP36" s="807">
        <f t="shared" si="54"/>
        <v>0</v>
      </c>
      <c r="AQ36" s="794">
        <f t="shared" si="55"/>
        <v>0</v>
      </c>
      <c r="AR36" s="795">
        <f t="shared" si="56"/>
        <v>0</v>
      </c>
      <c r="AS36" s="792">
        <f>VLOOKUP($C36,$BI$95:$CM$477,3,FALSE)</f>
        <v>0</v>
      </c>
      <c r="AT36" s="793">
        <f>VLOOKUP($C36,$BI$95:$CM$477,4,FALSE)</f>
        <v>0</v>
      </c>
      <c r="AU36" s="794">
        <f>IF($Q36&gt;0,VLOOKUP($C36,$BI$95:$CM$477,6,FALSE),0)</f>
        <v>0</v>
      </c>
      <c r="AV36" s="807">
        <f t="shared" si="60"/>
        <v>0</v>
      </c>
      <c r="AW36" s="794">
        <f t="shared" si="61"/>
        <v>0</v>
      </c>
      <c r="AX36" s="795">
        <f t="shared" si="66"/>
        <v>0</v>
      </c>
      <c r="AY36" s="792">
        <v>0</v>
      </c>
      <c r="AZ36" s="793">
        <v>0</v>
      </c>
      <c r="BA36" s="794">
        <v>0</v>
      </c>
      <c r="BB36" s="807">
        <f t="shared" si="67"/>
        <v>0</v>
      </c>
      <c r="BC36" s="807">
        <f t="shared" si="62"/>
        <v>0</v>
      </c>
      <c r="BD36" s="794">
        <v>0</v>
      </c>
      <c r="BE36" s="795">
        <f t="shared" si="63"/>
        <v>0</v>
      </c>
      <c r="BF36" s="796">
        <f t="shared" si="64"/>
        <v>0</v>
      </c>
      <c r="BG36" s="761">
        <f t="shared" si="65"/>
        <v>0</v>
      </c>
      <c r="BH36" s="28">
        <f t="shared" si="37"/>
        <v>0</v>
      </c>
      <c r="BI36" s="64"/>
      <c r="BJ36" s="168"/>
      <c r="BK36" s="168"/>
      <c r="BL36" s="168"/>
      <c r="BM36" s="169"/>
      <c r="BN36" s="169"/>
      <c r="BO36" s="169"/>
      <c r="BP36" s="168"/>
      <c r="BQ36" s="168"/>
      <c r="BR36" s="168"/>
      <c r="BS36" s="168"/>
      <c r="BT36" s="168"/>
      <c r="BU36" s="168"/>
      <c r="BV36" s="168"/>
      <c r="BW36" s="168"/>
      <c r="BX36" s="168"/>
      <c r="BY36" s="168"/>
      <c r="BZ36" s="168"/>
      <c r="CA36" s="168"/>
      <c r="CB36" s="170"/>
      <c r="CC36" s="168"/>
      <c r="CD36" s="168"/>
      <c r="CE36" s="170"/>
      <c r="CF36" s="170"/>
      <c r="CG36" s="170"/>
      <c r="CH36" s="170"/>
      <c r="CI36" s="168"/>
      <c r="CJ36" s="168"/>
      <c r="CK36" s="170"/>
      <c r="CL36" s="170"/>
      <c r="CM36" s="170"/>
      <c r="CN36" s="113"/>
      <c r="CO36" s="36"/>
      <c r="CP36" s="36"/>
      <c r="CQ36" s="36"/>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6"/>
      <c r="EA36" s="36"/>
      <c r="EB36" s="36"/>
      <c r="EC36" s="36"/>
      <c r="ED36" s="36"/>
      <c r="EE36" s="36"/>
      <c r="EF36" s="36"/>
      <c r="EG36" s="36"/>
    </row>
    <row r="37" spans="1:137" s="27" customFormat="1" x14ac:dyDescent="0.25">
      <c r="A37" s="26"/>
      <c r="B37" s="1704" t="s">
        <v>330</v>
      </c>
      <c r="C37" s="553"/>
      <c r="D37" s="804">
        <f t="shared" si="38"/>
        <v>0</v>
      </c>
      <c r="E37" s="144"/>
      <c r="F37" s="421"/>
      <c r="G37" s="421"/>
      <c r="H37" s="421"/>
      <c r="I37" s="421"/>
      <c r="J37" s="421"/>
      <c r="K37" s="421"/>
      <c r="L37" s="426"/>
      <c r="M37" s="426"/>
      <c r="N37" s="426"/>
      <c r="O37" s="426"/>
      <c r="P37" s="426"/>
      <c r="Q37" s="422">
        <f t="shared" si="39"/>
        <v>0</v>
      </c>
      <c r="R37" s="423">
        <f t="shared" si="40"/>
        <v>0</v>
      </c>
      <c r="S37" s="422">
        <f t="shared" si="41"/>
        <v>0</v>
      </c>
      <c r="T37" s="422">
        <f t="shared" si="42"/>
        <v>0</v>
      </c>
      <c r="U37" s="422">
        <f t="shared" si="43"/>
        <v>0</v>
      </c>
      <c r="V37" s="424"/>
      <c r="W37" s="425">
        <f t="shared" si="44"/>
        <v>0</v>
      </c>
      <c r="X37" s="805">
        <f>VLOOKUP($C37,$BI$95:$CM$477,3,FALSE)</f>
        <v>0</v>
      </c>
      <c r="Y37" s="793">
        <f>VLOOKUP($C37,$BI$95:$CM$477,4,FALSE)</f>
        <v>0</v>
      </c>
      <c r="Z37" s="794">
        <f>IF($Q37&gt;0,VLOOKUP($C37,$BI$95:$CM$477,6,FALSE),0)</f>
        <v>0</v>
      </c>
      <c r="AA37" s="795">
        <f t="shared" si="45"/>
        <v>0</v>
      </c>
      <c r="AB37" s="795">
        <f t="shared" si="46"/>
        <v>0</v>
      </c>
      <c r="AC37" s="794">
        <f t="shared" si="47"/>
        <v>0</v>
      </c>
      <c r="AD37" s="795">
        <f t="shared" si="48"/>
        <v>0</v>
      </c>
      <c r="AE37" s="806">
        <v>0</v>
      </c>
      <c r="AF37" s="793">
        <v>0</v>
      </c>
      <c r="AG37" s="794">
        <v>0</v>
      </c>
      <c r="AH37" s="807">
        <f t="shared" si="49"/>
        <v>0</v>
      </c>
      <c r="AI37" s="807">
        <f t="shared" si="50"/>
        <v>0</v>
      </c>
      <c r="AJ37" s="794">
        <f t="shared" si="51"/>
        <v>0</v>
      </c>
      <c r="AK37" s="795">
        <f t="shared" si="52"/>
        <v>0</v>
      </c>
      <c r="AL37" s="806">
        <v>0</v>
      </c>
      <c r="AM37" s="793">
        <v>0</v>
      </c>
      <c r="AN37" s="794">
        <v>0</v>
      </c>
      <c r="AO37" s="807">
        <f>($Q37*AL37)/1000</f>
        <v>0</v>
      </c>
      <c r="AP37" s="807">
        <f t="shared" si="54"/>
        <v>0</v>
      </c>
      <c r="AQ37" s="794">
        <f t="shared" si="55"/>
        <v>0</v>
      </c>
      <c r="AR37" s="795">
        <f t="shared" si="56"/>
        <v>0</v>
      </c>
      <c r="AS37" s="792">
        <v>0</v>
      </c>
      <c r="AT37" s="793">
        <v>0</v>
      </c>
      <c r="AU37" s="794">
        <v>0</v>
      </c>
      <c r="AV37" s="807">
        <f t="shared" si="60"/>
        <v>0</v>
      </c>
      <c r="AW37" s="794">
        <f t="shared" si="61"/>
        <v>0</v>
      </c>
      <c r="AX37" s="795">
        <f t="shared" si="66"/>
        <v>0</v>
      </c>
      <c r="AY37" s="792">
        <v>0</v>
      </c>
      <c r="AZ37" s="793">
        <v>0</v>
      </c>
      <c r="BA37" s="794">
        <v>0</v>
      </c>
      <c r="BB37" s="807">
        <f t="shared" si="67"/>
        <v>0</v>
      </c>
      <c r="BC37" s="807">
        <f t="shared" si="62"/>
        <v>0</v>
      </c>
      <c r="BD37" s="794">
        <f>IF(BB37&gt;0,SQRT(($W37*$W37)+(BA37*BA37)+($V37*$V37)),0)</f>
        <v>0</v>
      </c>
      <c r="BE37" s="795">
        <f t="shared" si="63"/>
        <v>0</v>
      </c>
      <c r="BF37" s="796">
        <f t="shared" si="64"/>
        <v>0</v>
      </c>
      <c r="BG37" s="761">
        <f t="shared" si="65"/>
        <v>0</v>
      </c>
      <c r="BH37" s="28">
        <f t="shared" si="37"/>
        <v>0</v>
      </c>
      <c r="BI37" s="64"/>
      <c r="BJ37" s="168"/>
      <c r="BK37" s="168"/>
      <c r="BL37" s="168"/>
      <c r="BM37" s="169"/>
      <c r="BN37" s="169"/>
      <c r="BO37" s="169"/>
      <c r="BP37" s="168"/>
      <c r="BQ37" s="168"/>
      <c r="BR37" s="168"/>
      <c r="BS37" s="168"/>
      <c r="BT37" s="168"/>
      <c r="BU37" s="168"/>
      <c r="BV37" s="168"/>
      <c r="BW37" s="168"/>
      <c r="BX37" s="168"/>
      <c r="BY37" s="168"/>
      <c r="BZ37" s="168"/>
      <c r="CA37" s="168"/>
      <c r="CB37" s="170"/>
      <c r="CC37" s="168"/>
      <c r="CD37" s="168"/>
      <c r="CE37" s="170"/>
      <c r="CF37" s="170"/>
      <c r="CG37" s="170"/>
      <c r="CH37" s="170"/>
      <c r="CI37" s="168"/>
      <c r="CJ37" s="168"/>
      <c r="CK37" s="170"/>
      <c r="CL37" s="170"/>
      <c r="CM37" s="170"/>
      <c r="CN37" s="113"/>
      <c r="CO37" s="36"/>
      <c r="CP37" s="36"/>
      <c r="CQ37" s="36"/>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6"/>
      <c r="EA37" s="36"/>
      <c r="EB37" s="36"/>
      <c r="EC37" s="36"/>
      <c r="ED37" s="36"/>
      <c r="EE37" s="36"/>
      <c r="EF37" s="36"/>
      <c r="EG37" s="36"/>
    </row>
    <row r="38" spans="1:137" s="27" customFormat="1" x14ac:dyDescent="0.25">
      <c r="A38" s="26"/>
      <c r="B38" s="1705"/>
      <c r="C38" s="553"/>
      <c r="D38" s="804">
        <f t="shared" si="38"/>
        <v>0</v>
      </c>
      <c r="E38" s="144"/>
      <c r="F38" s="421"/>
      <c r="G38" s="421"/>
      <c r="H38" s="421"/>
      <c r="I38" s="421"/>
      <c r="J38" s="421"/>
      <c r="K38" s="426"/>
      <c r="L38" s="426"/>
      <c r="M38" s="426"/>
      <c r="N38" s="426"/>
      <c r="O38" s="426"/>
      <c r="P38" s="426"/>
      <c r="Q38" s="422">
        <f t="shared" si="39"/>
        <v>0</v>
      </c>
      <c r="R38" s="423">
        <f t="shared" si="40"/>
        <v>0</v>
      </c>
      <c r="S38" s="422">
        <f t="shared" si="41"/>
        <v>0</v>
      </c>
      <c r="T38" s="422">
        <f t="shared" si="42"/>
        <v>0</v>
      </c>
      <c r="U38" s="422">
        <f t="shared" si="43"/>
        <v>0</v>
      </c>
      <c r="V38" s="424"/>
      <c r="W38" s="425">
        <f t="shared" si="44"/>
        <v>0</v>
      </c>
      <c r="X38" s="805">
        <f>VLOOKUP($C38,$BI$95:$CM$477,3,FALSE)</f>
        <v>0</v>
      </c>
      <c r="Y38" s="793">
        <f>VLOOKUP($C38,$BI$95:$CM$477,4,FALSE)</f>
        <v>0</v>
      </c>
      <c r="Z38" s="794">
        <f>IF($Q38&gt;0,VLOOKUP($C38,$BI$95:$CM$477,6,FALSE),0)</f>
        <v>0</v>
      </c>
      <c r="AA38" s="795">
        <f t="shared" si="45"/>
        <v>0</v>
      </c>
      <c r="AB38" s="795">
        <f t="shared" si="46"/>
        <v>0</v>
      </c>
      <c r="AC38" s="794">
        <f t="shared" si="47"/>
        <v>0</v>
      </c>
      <c r="AD38" s="795">
        <f t="shared" si="48"/>
        <v>0</v>
      </c>
      <c r="AE38" s="806">
        <v>0</v>
      </c>
      <c r="AF38" s="793">
        <v>0</v>
      </c>
      <c r="AG38" s="794">
        <v>0</v>
      </c>
      <c r="AH38" s="807">
        <f t="shared" si="49"/>
        <v>0</v>
      </c>
      <c r="AI38" s="807">
        <f t="shared" si="50"/>
        <v>0</v>
      </c>
      <c r="AJ38" s="794">
        <f t="shared" si="51"/>
        <v>0</v>
      </c>
      <c r="AK38" s="795">
        <f t="shared" si="52"/>
        <v>0</v>
      </c>
      <c r="AL38" s="806">
        <v>0</v>
      </c>
      <c r="AM38" s="793">
        <v>0</v>
      </c>
      <c r="AN38" s="794">
        <v>0</v>
      </c>
      <c r="AO38" s="807">
        <f>($Q38*AL38)/1000</f>
        <v>0</v>
      </c>
      <c r="AP38" s="807">
        <f t="shared" si="54"/>
        <v>0</v>
      </c>
      <c r="AQ38" s="794">
        <f t="shared" si="55"/>
        <v>0</v>
      </c>
      <c r="AR38" s="795">
        <f t="shared" si="56"/>
        <v>0</v>
      </c>
      <c r="AS38" s="792">
        <v>0</v>
      </c>
      <c r="AT38" s="793">
        <v>0</v>
      </c>
      <c r="AU38" s="794">
        <v>0</v>
      </c>
      <c r="AV38" s="807">
        <f t="shared" si="60"/>
        <v>0</v>
      </c>
      <c r="AW38" s="794">
        <f t="shared" si="61"/>
        <v>0</v>
      </c>
      <c r="AX38" s="795">
        <f t="shared" si="66"/>
        <v>0</v>
      </c>
      <c r="AY38" s="792">
        <v>0</v>
      </c>
      <c r="AZ38" s="793">
        <v>0</v>
      </c>
      <c r="BA38" s="794">
        <v>0</v>
      </c>
      <c r="BB38" s="807">
        <f t="shared" si="67"/>
        <v>0</v>
      </c>
      <c r="BC38" s="807">
        <f t="shared" si="62"/>
        <v>0</v>
      </c>
      <c r="BD38" s="794">
        <f>IF(BB38&gt;0,SQRT(($W38*$W38)+(BA38*BA38)+($V38*$V38)),0)</f>
        <v>0</v>
      </c>
      <c r="BE38" s="795">
        <f t="shared" si="63"/>
        <v>0</v>
      </c>
      <c r="BF38" s="796">
        <f t="shared" si="64"/>
        <v>0</v>
      </c>
      <c r="BG38" s="761">
        <f t="shared" si="65"/>
        <v>0</v>
      </c>
      <c r="BH38" s="28">
        <f t="shared" si="37"/>
        <v>0</v>
      </c>
      <c r="BI38" s="64"/>
      <c r="BJ38" s="168"/>
      <c r="BK38" s="168"/>
      <c r="BL38" s="168"/>
      <c r="BM38" s="169"/>
      <c r="BN38" s="169"/>
      <c r="BO38" s="169"/>
      <c r="BP38" s="168"/>
      <c r="BQ38" s="168"/>
      <c r="BR38" s="168"/>
      <c r="BS38" s="168"/>
      <c r="BT38" s="168"/>
      <c r="BU38" s="168"/>
      <c r="BV38" s="168"/>
      <c r="BW38" s="168"/>
      <c r="BX38" s="168"/>
      <c r="BY38" s="168"/>
      <c r="BZ38" s="168"/>
      <c r="CA38" s="168"/>
      <c r="CB38" s="170"/>
      <c r="CC38" s="168"/>
      <c r="CD38" s="168"/>
      <c r="CE38" s="170"/>
      <c r="CF38" s="170"/>
      <c r="CG38" s="170"/>
      <c r="CH38" s="170"/>
      <c r="CI38" s="168"/>
      <c r="CJ38" s="168"/>
      <c r="CK38" s="170"/>
      <c r="CL38" s="170"/>
      <c r="CM38" s="170"/>
      <c r="CN38" s="113"/>
      <c r="CO38" s="36"/>
      <c r="CP38" s="36"/>
      <c r="CQ38" s="36"/>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6"/>
      <c r="EA38" s="36"/>
      <c r="EB38" s="36"/>
      <c r="EC38" s="36"/>
      <c r="ED38" s="36"/>
      <c r="EE38" s="36"/>
      <c r="EF38" s="36"/>
      <c r="EG38" s="36"/>
    </row>
    <row r="39" spans="1:137" s="27" customFormat="1" x14ac:dyDescent="0.25">
      <c r="A39" s="26"/>
      <c r="B39" s="762" t="s">
        <v>171</v>
      </c>
      <c r="C39" s="553"/>
      <c r="D39" s="804">
        <f t="shared" si="38"/>
        <v>0</v>
      </c>
      <c r="E39" s="144"/>
      <c r="F39" s="421"/>
      <c r="G39" s="421"/>
      <c r="H39" s="421"/>
      <c r="I39" s="421"/>
      <c r="J39" s="421"/>
      <c r="K39" s="426"/>
      <c r="L39" s="426"/>
      <c r="M39" s="426"/>
      <c r="N39" s="426"/>
      <c r="O39" s="426"/>
      <c r="P39" s="426"/>
      <c r="Q39" s="422">
        <f>SUM(E39:P39)</f>
        <v>0</v>
      </c>
      <c r="R39" s="423">
        <f>COUNT(E39:P39)</f>
        <v>0</v>
      </c>
      <c r="S39" s="422">
        <f>IF(R39&gt;1,AVERAGE(E39:P39),0)</f>
        <v>0</v>
      </c>
      <c r="T39" s="422">
        <f>IF(R39&gt;1,STDEV(E39:P39),0)</f>
        <v>0</v>
      </c>
      <c r="U39" s="422">
        <f t="shared" si="43"/>
        <v>0</v>
      </c>
      <c r="V39" s="424"/>
      <c r="W39" s="425">
        <f t="shared" si="44"/>
        <v>0</v>
      </c>
      <c r="X39" s="805">
        <f>VLOOKUP($C39,$BI$95:$CM$477,3,FALSE)</f>
        <v>0</v>
      </c>
      <c r="Y39" s="793">
        <f>VLOOKUP($C39,$BI$95:$CM$477,4,FALSE)</f>
        <v>0</v>
      </c>
      <c r="Z39" s="794">
        <f>IF($Q39&gt;0,VLOOKUP($C39,$BI$95:$CM$477,6,FALSE),0)</f>
        <v>0</v>
      </c>
      <c r="AA39" s="795">
        <f>($Q39*X39)/1000</f>
        <v>0</v>
      </c>
      <c r="AB39" s="795">
        <f t="shared" si="46"/>
        <v>0</v>
      </c>
      <c r="AC39" s="794">
        <f>IF(AA39&gt;0,SQRT(($W39*$W39)+(Z39*Z39)+($V39*$V39)),0)</f>
        <v>0</v>
      </c>
      <c r="AD39" s="795">
        <f>(AB39*AC39)^2</f>
        <v>0</v>
      </c>
      <c r="AE39" s="806">
        <v>0</v>
      </c>
      <c r="AF39" s="793">
        <v>0</v>
      </c>
      <c r="AG39" s="794">
        <v>0</v>
      </c>
      <c r="AH39" s="807">
        <f>($Q39*AE39)/1000</f>
        <v>0</v>
      </c>
      <c r="AI39" s="807">
        <f t="shared" si="50"/>
        <v>0</v>
      </c>
      <c r="AJ39" s="794">
        <f>IF(AH39&gt;0,SQRT(($W39*$W39)+(AG39*AG39)+($V39*$V39)),0)</f>
        <v>0</v>
      </c>
      <c r="AK39" s="795">
        <f>(AI39*AJ39)^2</f>
        <v>0</v>
      </c>
      <c r="AL39" s="806">
        <v>0</v>
      </c>
      <c r="AM39" s="793">
        <v>0</v>
      </c>
      <c r="AN39" s="794">
        <v>0</v>
      </c>
      <c r="AO39" s="807">
        <f>($Q39*AL39)/1000</f>
        <v>0</v>
      </c>
      <c r="AP39" s="807">
        <f t="shared" si="54"/>
        <v>0</v>
      </c>
      <c r="AQ39" s="794">
        <f>IF(AO39&gt;0,SQRT(($W39*$W39)+(AN39*AN39)+($V39*$V39)),0)</f>
        <v>0</v>
      </c>
      <c r="AR39" s="795">
        <f>(AP39*AQ39)^2</f>
        <v>0</v>
      </c>
      <c r="AS39" s="792">
        <v>0</v>
      </c>
      <c r="AT39" s="793">
        <v>0</v>
      </c>
      <c r="AU39" s="794">
        <v>0</v>
      </c>
      <c r="AV39" s="807">
        <f t="shared" si="60"/>
        <v>0</v>
      </c>
      <c r="AW39" s="794">
        <f t="shared" si="61"/>
        <v>0</v>
      </c>
      <c r="AX39" s="795">
        <f>(AV39*AW39)^2</f>
        <v>0</v>
      </c>
      <c r="AY39" s="792">
        <v>0</v>
      </c>
      <c r="AZ39" s="793">
        <v>0</v>
      </c>
      <c r="BA39" s="794">
        <v>0</v>
      </c>
      <c r="BB39" s="807">
        <f>($Q39*AY39)/1000</f>
        <v>0</v>
      </c>
      <c r="BC39" s="807">
        <f t="shared" si="62"/>
        <v>0</v>
      </c>
      <c r="BD39" s="794">
        <f>IF(BB39&gt;0,SQRT(($W39*$W39)+(BA39*BA39)+($V39*$V39)),0)</f>
        <v>0</v>
      </c>
      <c r="BE39" s="795">
        <f>(BC39*BD39)^2</f>
        <v>0</v>
      </c>
      <c r="BF39" s="796">
        <f t="shared" si="64"/>
        <v>0</v>
      </c>
      <c r="BG39" s="761">
        <f t="shared" si="65"/>
        <v>0</v>
      </c>
      <c r="BH39" s="28">
        <f t="shared" si="37"/>
        <v>0</v>
      </c>
      <c r="BI39" s="64"/>
      <c r="BJ39" s="168"/>
      <c r="BK39" s="168"/>
      <c r="BL39" s="168"/>
      <c r="BM39" s="169"/>
      <c r="BN39" s="169"/>
      <c r="BO39" s="169"/>
      <c r="BP39" s="168"/>
      <c r="BQ39" s="168"/>
      <c r="BR39" s="168"/>
      <c r="BS39" s="168"/>
      <c r="BT39" s="168"/>
      <c r="BU39" s="168"/>
      <c r="BV39" s="168"/>
      <c r="BW39" s="168"/>
      <c r="BX39" s="168"/>
      <c r="BY39" s="168"/>
      <c r="BZ39" s="168"/>
      <c r="CA39" s="168"/>
      <c r="CB39" s="170"/>
      <c r="CC39" s="168"/>
      <c r="CD39" s="168"/>
      <c r="CE39" s="170"/>
      <c r="CF39" s="170"/>
      <c r="CG39" s="170"/>
      <c r="CH39" s="170"/>
      <c r="CI39" s="168"/>
      <c r="CJ39" s="168"/>
      <c r="CK39" s="170"/>
      <c r="CL39" s="170"/>
      <c r="CM39" s="170"/>
      <c r="CN39" s="113"/>
      <c r="CO39" s="80"/>
      <c r="CP39" s="80"/>
      <c r="CQ39" s="80"/>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6"/>
      <c r="EA39" s="36"/>
      <c r="EB39" s="36"/>
      <c r="EC39" s="36"/>
      <c r="ED39" s="36"/>
      <c r="EE39" s="36"/>
      <c r="EF39" s="36"/>
      <c r="EG39" s="36"/>
    </row>
    <row r="40" spans="1:137" s="27" customFormat="1" x14ac:dyDescent="0.25">
      <c r="A40" s="26"/>
      <c r="B40" s="762" t="s">
        <v>304</v>
      </c>
      <c r="C40" s="553"/>
      <c r="D40" s="804">
        <f t="shared" si="38"/>
        <v>0</v>
      </c>
      <c r="E40" s="1393"/>
      <c r="F40" s="421"/>
      <c r="G40" s="421"/>
      <c r="H40" s="421"/>
      <c r="I40" s="421"/>
      <c r="J40" s="421"/>
      <c r="K40" s="421"/>
      <c r="L40" s="421"/>
      <c r="M40" s="421"/>
      <c r="N40" s="421"/>
      <c r="O40" s="421"/>
      <c r="P40" s="421"/>
      <c r="Q40" s="422">
        <f>SUM(E40:P40)</f>
        <v>0</v>
      </c>
      <c r="R40" s="423">
        <f>COUNT(E40:P40)</f>
        <v>0</v>
      </c>
      <c r="S40" s="422">
        <f>IF(R40&gt;1,AVERAGE(E40:P40),0)</f>
        <v>0</v>
      </c>
      <c r="T40" s="422">
        <f>IF(R40&gt;1,STDEV(E40:P40),0)</f>
        <v>0</v>
      </c>
      <c r="U40" s="422">
        <f t="shared" si="43"/>
        <v>0</v>
      </c>
      <c r="V40" s="424"/>
      <c r="W40" s="425">
        <f t="shared" si="44"/>
        <v>0</v>
      </c>
      <c r="X40" s="805">
        <v>0</v>
      </c>
      <c r="Y40" s="793">
        <v>0</v>
      </c>
      <c r="Z40" s="794">
        <v>0</v>
      </c>
      <c r="AA40" s="795">
        <f>($Q40*X40)/1000</f>
        <v>0</v>
      </c>
      <c r="AB40" s="795">
        <f t="shared" si="46"/>
        <v>0</v>
      </c>
      <c r="AC40" s="794">
        <f>IF(AA40&gt;0,SQRT(($W40*$W40)+(BA40*BA40)+($V40*$V40)),0)</f>
        <v>0</v>
      </c>
      <c r="AD40" s="795">
        <f>(AB40*AC40)^2</f>
        <v>0</v>
      </c>
      <c r="AE40" s="806">
        <v>0</v>
      </c>
      <c r="AF40" s="793">
        <v>0</v>
      </c>
      <c r="AG40" s="794">
        <v>0</v>
      </c>
      <c r="AH40" s="807">
        <f>($Q40*AE40)/1000</f>
        <v>0</v>
      </c>
      <c r="AI40" s="807">
        <f t="shared" si="50"/>
        <v>0</v>
      </c>
      <c r="AJ40" s="794">
        <f>IF(AH40&gt;0,SQRT(($W40*$W40)+(AG40*AG40)+($V40*$V40)),0)</f>
        <v>0</v>
      </c>
      <c r="AK40" s="795">
        <f>(AI40*AJ40)^2</f>
        <v>0</v>
      </c>
      <c r="AL40" s="806">
        <v>0</v>
      </c>
      <c r="AM40" s="793">
        <v>0</v>
      </c>
      <c r="AN40" s="794">
        <v>0</v>
      </c>
      <c r="AO40" s="807">
        <f>($Q40*AL40)/1000</f>
        <v>0</v>
      </c>
      <c r="AP40" s="807">
        <f t="shared" si="54"/>
        <v>0</v>
      </c>
      <c r="AQ40" s="794">
        <f>IF(AO40&gt;0,SQRT(($W40*$W40)+(AN40*AN40)+($V40*$V40)),0)</f>
        <v>0</v>
      </c>
      <c r="AR40" s="795">
        <f>(AP40*AQ40)^2</f>
        <v>0</v>
      </c>
      <c r="AS40" s="792">
        <v>0</v>
      </c>
      <c r="AT40" s="793">
        <v>0</v>
      </c>
      <c r="AU40" s="794">
        <v>0</v>
      </c>
      <c r="AV40" s="807">
        <f t="shared" si="60"/>
        <v>0</v>
      </c>
      <c r="AW40" s="794">
        <f t="shared" si="61"/>
        <v>0</v>
      </c>
      <c r="AX40" s="795">
        <f>(AV40*AW40)^2</f>
        <v>0</v>
      </c>
      <c r="AY40" s="805">
        <f>VLOOKUP($C40,$BI$95:$CM$477,3,FALSE)/BJ450</f>
        <v>0</v>
      </c>
      <c r="AZ40" s="793">
        <f>VLOOKUP($C40,$BI$95:$CM$477,4,FALSE)</f>
        <v>0</v>
      </c>
      <c r="BA40" s="794">
        <f>IF($Q40&gt;0,VLOOKUP($C40,$BI$95:$CM$477,6,FALSE),0)</f>
        <v>0</v>
      </c>
      <c r="BB40" s="807">
        <f>($Q40*AY40)/1000</f>
        <v>0</v>
      </c>
      <c r="BC40" s="807">
        <f t="shared" si="62"/>
        <v>0</v>
      </c>
      <c r="BD40" s="794">
        <f>IF(BB40&gt;0,SQRT(($W40*$W40)+(BA40*BA40)+($V40*$V40)),0)</f>
        <v>0</v>
      </c>
      <c r="BE40" s="795">
        <f>(BC40*BD40)^2</f>
        <v>0</v>
      </c>
      <c r="BF40" s="796">
        <f t="shared" si="64"/>
        <v>0</v>
      </c>
      <c r="BG40" s="761">
        <f t="shared" si="65"/>
        <v>0</v>
      </c>
      <c r="BH40" s="28">
        <f t="shared" si="37"/>
        <v>0</v>
      </c>
      <c r="BI40" s="64"/>
      <c r="BJ40" s="168"/>
      <c r="BK40" s="168"/>
      <c r="BL40" s="168"/>
      <c r="BM40" s="169"/>
      <c r="BN40" s="169"/>
      <c r="BO40" s="169"/>
      <c r="BP40" s="168"/>
      <c r="BQ40" s="168"/>
      <c r="BR40" s="168"/>
      <c r="BS40" s="168"/>
      <c r="BT40" s="168"/>
      <c r="BU40" s="168"/>
      <c r="BV40" s="168"/>
      <c r="BW40" s="168"/>
      <c r="BX40" s="168"/>
      <c r="BY40" s="168"/>
      <c r="BZ40" s="168"/>
      <c r="CA40" s="168"/>
      <c r="CB40" s="170"/>
      <c r="CC40" s="168"/>
      <c r="CD40" s="168"/>
      <c r="CE40" s="170"/>
      <c r="CF40" s="170"/>
      <c r="CG40" s="170"/>
      <c r="CH40" s="170"/>
      <c r="CI40" s="168"/>
      <c r="CJ40" s="168"/>
      <c r="CK40" s="170"/>
      <c r="CL40" s="170"/>
      <c r="CM40" s="170"/>
      <c r="CN40" s="113"/>
      <c r="CO40" s="29"/>
      <c r="CP40" s="29"/>
      <c r="CQ40" s="29"/>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6"/>
      <c r="EA40" s="36"/>
      <c r="EB40" s="36"/>
      <c r="EC40" s="36"/>
      <c r="ED40" s="36"/>
      <c r="EE40" s="36"/>
      <c r="EF40" s="36"/>
      <c r="EG40" s="36"/>
    </row>
    <row r="41" spans="1:137" s="27" customFormat="1" ht="15.75" x14ac:dyDescent="0.25">
      <c r="A41" s="26"/>
      <c r="B41" s="754" t="s">
        <v>286</v>
      </c>
      <c r="C41" s="813"/>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4"/>
      <c r="AB41" s="815">
        <f>SUM(AB29:AB40)</f>
        <v>0</v>
      </c>
      <c r="AC41" s="816">
        <f>IF(AB41&gt;0,SQRT(SUM(AD29:AD40))/AB41,0)</f>
        <v>0</v>
      </c>
      <c r="AD41" s="815">
        <f>(AB41*AC41)^2</f>
        <v>0</v>
      </c>
      <c r="AE41" s="818"/>
      <c r="AF41" s="813"/>
      <c r="AG41" s="813"/>
      <c r="AH41" s="819"/>
      <c r="AI41" s="815">
        <f>SUM(AI29:AI40)</f>
        <v>0</v>
      </c>
      <c r="AJ41" s="816">
        <f>IF(AI41&gt;0,SQRT(SUM(AK29:AK40))/AI41,0)</f>
        <v>0</v>
      </c>
      <c r="AK41" s="815">
        <f>(AI41*AJ41)^2</f>
        <v>0</v>
      </c>
      <c r="AL41" s="813"/>
      <c r="AM41" s="813"/>
      <c r="AN41" s="813"/>
      <c r="AO41" s="813"/>
      <c r="AP41" s="815">
        <f>SUM(AP29:AP40)</f>
        <v>0</v>
      </c>
      <c r="AQ41" s="816">
        <f>IF(AP41&gt;0,SQRT(SUM(AR29:AR40))/AP41,0)</f>
        <v>0</v>
      </c>
      <c r="AR41" s="815">
        <f>(AP41*AQ41)^2</f>
        <v>0</v>
      </c>
      <c r="AS41" s="813"/>
      <c r="AT41" s="813"/>
      <c r="AU41" s="813"/>
      <c r="AV41" s="815">
        <f>SUM(AV29:AV40)</f>
        <v>0</v>
      </c>
      <c r="AW41" s="816">
        <f>IF(AV41&gt;0,SQRT(SUM(AX29:AX40))/AV41,0)</f>
        <v>0</v>
      </c>
      <c r="AX41" s="815">
        <f>(AV41*AW41)^2</f>
        <v>0</v>
      </c>
      <c r="AY41" s="813"/>
      <c r="AZ41" s="813"/>
      <c r="BA41" s="820"/>
      <c r="BB41" s="817"/>
      <c r="BC41" s="815">
        <f>SUM(BC29:BC40)</f>
        <v>0</v>
      </c>
      <c r="BD41" s="816">
        <f>IF(BC41&gt;0,SQRT(SUM(BE29:BE40))/BC41,0)</f>
        <v>0</v>
      </c>
      <c r="BE41" s="815">
        <f>(BC41*BD41)^2</f>
        <v>0</v>
      </c>
      <c r="BF41" s="815">
        <f>SUM(BF29:BF40)</f>
        <v>0</v>
      </c>
      <c r="BG41" s="753">
        <f>IF(BF41&gt;0,SQRT(SUM(BH29:BH40))/BF41,0)</f>
        <v>0</v>
      </c>
      <c r="BH41" s="28">
        <f t="shared" si="37"/>
        <v>0</v>
      </c>
      <c r="BI41" s="64"/>
      <c r="BJ41" s="168"/>
      <c r="BK41" s="168"/>
      <c r="BL41" s="168"/>
      <c r="BM41" s="169"/>
      <c r="BN41" s="169"/>
      <c r="BO41" s="169"/>
      <c r="BP41" s="168"/>
      <c r="BQ41" s="168"/>
      <c r="BR41" s="168"/>
      <c r="BS41" s="168"/>
      <c r="BT41" s="168"/>
      <c r="BU41" s="168"/>
      <c r="BV41" s="168"/>
      <c r="BW41" s="168"/>
      <c r="BX41" s="168"/>
      <c r="BY41" s="168"/>
      <c r="BZ41" s="168"/>
      <c r="CA41" s="168"/>
      <c r="CB41" s="170"/>
      <c r="CC41" s="168"/>
      <c r="CD41" s="168"/>
      <c r="CE41" s="170"/>
      <c r="CF41" s="170"/>
      <c r="CG41" s="170"/>
      <c r="CH41" s="170"/>
      <c r="CI41" s="168"/>
      <c r="CJ41" s="168"/>
      <c r="CK41" s="170"/>
      <c r="CL41" s="170"/>
      <c r="CM41" s="170"/>
      <c r="CN41" s="113"/>
      <c r="CO41" s="36"/>
      <c r="CP41" s="36"/>
      <c r="CQ41" s="36"/>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6"/>
      <c r="EA41" s="36"/>
      <c r="EB41" s="36"/>
      <c r="EC41" s="36"/>
      <c r="ED41" s="36"/>
      <c r="EE41" s="36"/>
      <c r="EF41" s="36"/>
      <c r="EG41" s="36"/>
    </row>
    <row r="42" spans="1:137" s="27" customFormat="1" ht="15.75" x14ac:dyDescent="0.25">
      <c r="A42" s="26"/>
      <c r="B42" s="750" t="s">
        <v>50</v>
      </c>
      <c r="C42" s="821"/>
      <c r="D42" s="821"/>
      <c r="E42" s="821"/>
      <c r="F42" s="821"/>
      <c r="G42" s="821"/>
      <c r="H42" s="821"/>
      <c r="I42" s="821"/>
      <c r="J42" s="821"/>
      <c r="K42" s="821"/>
      <c r="L42" s="821"/>
      <c r="M42" s="821"/>
      <c r="N42" s="821"/>
      <c r="O42" s="821"/>
      <c r="P42" s="821"/>
      <c r="Q42" s="821"/>
      <c r="R42" s="821"/>
      <c r="S42" s="821"/>
      <c r="T42" s="821"/>
      <c r="U42" s="821"/>
      <c r="V42" s="821"/>
      <c r="W42" s="821"/>
      <c r="X42" s="821"/>
      <c r="Y42" s="821"/>
      <c r="Z42" s="821"/>
      <c r="AA42" s="822"/>
      <c r="AB42" s="823">
        <f>+AB28+AB41</f>
        <v>0</v>
      </c>
      <c r="AC42" s="824">
        <f>IF(AB42&gt;0,(SQRT(AD28+AD41))/AB42,0)</f>
        <v>0</v>
      </c>
      <c r="AD42" s="823">
        <f>(AB42*AC42)^2</f>
        <v>0</v>
      </c>
      <c r="AE42" s="825"/>
      <c r="AF42" s="821"/>
      <c r="AG42" s="821"/>
      <c r="AH42" s="826"/>
      <c r="AI42" s="823">
        <f>+AI28+AI41</f>
        <v>0</v>
      </c>
      <c r="AJ42" s="824">
        <f>IF(AI42&gt;0,(SQRT(AK28+AK41))/AI42,0)</f>
        <v>0</v>
      </c>
      <c r="AK42" s="823">
        <f>(AI42*AJ42)^2</f>
        <v>0</v>
      </c>
      <c r="AL42" s="821"/>
      <c r="AM42" s="821"/>
      <c r="AN42" s="821"/>
      <c r="AO42" s="821"/>
      <c r="AP42" s="823">
        <f>+AP28+AP41</f>
        <v>0</v>
      </c>
      <c r="AQ42" s="824">
        <f>IF(AP42&gt;0,(SQRT(AR28+AR41))/AP42,0)</f>
        <v>0</v>
      </c>
      <c r="AR42" s="823">
        <f>(AP42*AQ42)^2</f>
        <v>0</v>
      </c>
      <c r="AS42" s="821"/>
      <c r="AT42" s="821"/>
      <c r="AU42" s="821"/>
      <c r="AV42" s="823">
        <f>+AV28+AV41</f>
        <v>0</v>
      </c>
      <c r="AW42" s="824">
        <f>IF(AV42&gt;0,(SQRT(AX28+AX41))/AV42,0)</f>
        <v>0</v>
      </c>
      <c r="AX42" s="823">
        <f>(AV42*AW42)^2</f>
        <v>0</v>
      </c>
      <c r="AY42" s="821"/>
      <c r="AZ42" s="821"/>
      <c r="BA42" s="827"/>
      <c r="BB42" s="828"/>
      <c r="BC42" s="823">
        <f>+BC28+BC41</f>
        <v>0</v>
      </c>
      <c r="BD42" s="824">
        <f>IF(BC42&gt;0,(SQRT(BE28+BE41))/BC42,0)</f>
        <v>0</v>
      </c>
      <c r="BE42" s="823">
        <f>(BC42*BD42)^2</f>
        <v>0</v>
      </c>
      <c r="BF42" s="823">
        <f>+BF28+BF41</f>
        <v>0</v>
      </c>
      <c r="BG42" s="751">
        <f>IF(BF42&gt;0,(SQRT(BH28+BH41))/BF42,0)</f>
        <v>0</v>
      </c>
      <c r="BH42" s="28">
        <f t="shared" si="37"/>
        <v>0</v>
      </c>
      <c r="BI42" s="64"/>
      <c r="BJ42" s="168"/>
      <c r="BK42" s="168"/>
      <c r="BL42" s="168"/>
      <c r="BM42" s="169"/>
      <c r="BN42" s="169"/>
      <c r="BO42" s="169"/>
      <c r="BP42" s="168"/>
      <c r="BQ42" s="168"/>
      <c r="BR42" s="168"/>
      <c r="BS42" s="168"/>
      <c r="BT42" s="168"/>
      <c r="BU42" s="168"/>
      <c r="BV42" s="168"/>
      <c r="BW42" s="168"/>
      <c r="BX42" s="168"/>
      <c r="BY42" s="168"/>
      <c r="BZ42" s="168"/>
      <c r="CA42" s="168"/>
      <c r="CB42" s="170"/>
      <c r="CC42" s="168"/>
      <c r="CD42" s="168"/>
      <c r="CE42" s="170"/>
      <c r="CF42" s="170"/>
      <c r="CG42" s="170"/>
      <c r="CH42" s="170"/>
      <c r="CI42" s="168"/>
      <c r="CJ42" s="168"/>
      <c r="CK42" s="170"/>
      <c r="CL42" s="170"/>
      <c r="CM42" s="170"/>
      <c r="CN42" s="113"/>
      <c r="CO42" s="36"/>
      <c r="CP42" s="36"/>
      <c r="CQ42" s="36"/>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6"/>
      <c r="EA42" s="36"/>
      <c r="EB42" s="36"/>
      <c r="EC42" s="36"/>
      <c r="ED42" s="36"/>
      <c r="EE42" s="36"/>
      <c r="EF42" s="36"/>
      <c r="EG42" s="36"/>
    </row>
    <row r="43" spans="1:137" s="27" customFormat="1" ht="15.75" x14ac:dyDescent="0.25">
      <c r="A43" s="26"/>
      <c r="B43" s="763"/>
      <c r="C43" s="829"/>
      <c r="D43" s="829"/>
      <c r="E43" s="829"/>
      <c r="F43" s="829"/>
      <c r="G43" s="829"/>
      <c r="H43" s="829"/>
      <c r="I43" s="829"/>
      <c r="J43" s="829"/>
      <c r="K43" s="829"/>
      <c r="L43" s="829"/>
      <c r="M43" s="829"/>
      <c r="N43" s="829"/>
      <c r="O43" s="829"/>
      <c r="P43" s="829"/>
      <c r="Q43" s="829"/>
      <c r="R43" s="829"/>
      <c r="S43" s="829"/>
      <c r="T43" s="829"/>
      <c r="U43" s="829"/>
      <c r="V43" s="829"/>
      <c r="W43" s="829"/>
      <c r="X43" s="829"/>
      <c r="Y43" s="829"/>
      <c r="Z43" s="829"/>
      <c r="AA43" s="830"/>
      <c r="AB43" s="831"/>
      <c r="AC43" s="832"/>
      <c r="AD43" s="831"/>
      <c r="AE43" s="833"/>
      <c r="AF43" s="829"/>
      <c r="AG43" s="829"/>
      <c r="AH43" s="834"/>
      <c r="AI43" s="831"/>
      <c r="AJ43" s="832"/>
      <c r="AK43" s="831"/>
      <c r="AL43" s="829"/>
      <c r="AM43" s="829"/>
      <c r="AN43" s="829"/>
      <c r="AO43" s="829"/>
      <c r="AP43" s="831"/>
      <c r="AQ43" s="832"/>
      <c r="AR43" s="831"/>
      <c r="AS43" s="829"/>
      <c r="AT43" s="829"/>
      <c r="AU43" s="829"/>
      <c r="AV43" s="831"/>
      <c r="AW43" s="832"/>
      <c r="AX43" s="831"/>
      <c r="AY43" s="829"/>
      <c r="AZ43" s="829"/>
      <c r="BA43" s="835"/>
      <c r="BB43" s="836"/>
      <c r="BC43" s="831"/>
      <c r="BD43" s="832"/>
      <c r="BE43" s="831"/>
      <c r="BF43" s="831"/>
      <c r="BG43" s="764"/>
      <c r="BH43" s="28"/>
      <c r="BI43" s="64"/>
      <c r="BJ43" s="168"/>
      <c r="BK43" s="168"/>
      <c r="BL43" s="168"/>
      <c r="BM43" s="169"/>
      <c r="BN43" s="169"/>
      <c r="BO43" s="169"/>
      <c r="BP43" s="168"/>
      <c r="BQ43" s="168"/>
      <c r="BR43" s="168"/>
      <c r="BS43" s="168"/>
      <c r="BT43" s="168"/>
      <c r="BU43" s="168"/>
      <c r="BV43" s="168"/>
      <c r="BW43" s="168"/>
      <c r="BX43" s="168"/>
      <c r="BY43" s="168"/>
      <c r="BZ43" s="168"/>
      <c r="CA43" s="168"/>
      <c r="CB43" s="170"/>
      <c r="CC43" s="168"/>
      <c r="CD43" s="168"/>
      <c r="CE43" s="170"/>
      <c r="CF43" s="170"/>
      <c r="CG43" s="170"/>
      <c r="CH43" s="170"/>
      <c r="CI43" s="168"/>
      <c r="CJ43" s="168"/>
      <c r="CK43" s="170"/>
      <c r="CL43" s="170"/>
      <c r="CM43" s="170"/>
      <c r="CN43" s="113"/>
      <c r="CO43" s="36"/>
      <c r="CP43" s="36"/>
      <c r="CQ43" s="36"/>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6"/>
      <c r="EA43" s="36"/>
      <c r="EB43" s="36"/>
      <c r="EC43" s="36"/>
      <c r="ED43" s="36"/>
      <c r="EE43" s="36"/>
      <c r="EF43" s="36"/>
      <c r="EG43" s="36"/>
    </row>
    <row r="44" spans="1:137" s="27" customFormat="1" ht="24.75" customHeight="1" x14ac:dyDescent="0.25">
      <c r="A44" s="26"/>
      <c r="B44" s="1706" t="s">
        <v>51</v>
      </c>
      <c r="C44" s="1707"/>
      <c r="D44" s="1707"/>
      <c r="E44" s="1707"/>
      <c r="F44" s="1707"/>
      <c r="G44" s="1707"/>
      <c r="H44" s="1707"/>
      <c r="I44" s="1707"/>
      <c r="J44" s="1707"/>
      <c r="K44" s="1707"/>
      <c r="L44" s="1707"/>
      <c r="M44" s="1707"/>
      <c r="N44" s="1707"/>
      <c r="O44" s="1707"/>
      <c r="P44" s="1707"/>
      <c r="Q44" s="1707"/>
      <c r="R44" s="1707"/>
      <c r="S44" s="1707"/>
      <c r="T44" s="1707"/>
      <c r="U44" s="1707"/>
      <c r="V44" s="1707"/>
      <c r="W44" s="1707"/>
      <c r="X44" s="1707"/>
      <c r="Y44" s="1707"/>
      <c r="Z44" s="1707"/>
      <c r="AA44" s="1707"/>
      <c r="AB44" s="1707"/>
      <c r="AC44" s="1707"/>
      <c r="AD44" s="1707"/>
      <c r="AE44" s="1707"/>
      <c r="AF44" s="1707"/>
      <c r="AG44" s="1707"/>
      <c r="AH44" s="1707"/>
      <c r="AI44" s="1707"/>
      <c r="AJ44" s="1707"/>
      <c r="AK44" s="1707"/>
      <c r="AL44" s="1707"/>
      <c r="AM44" s="1707"/>
      <c r="AN44" s="1707"/>
      <c r="AO44" s="1707"/>
      <c r="AP44" s="1707"/>
      <c r="AQ44" s="1707"/>
      <c r="AR44" s="1707"/>
      <c r="AS44" s="1707"/>
      <c r="AT44" s="1707"/>
      <c r="AU44" s="1707"/>
      <c r="AV44" s="1707"/>
      <c r="AW44" s="1707"/>
      <c r="AX44" s="1707"/>
      <c r="AY44" s="1707"/>
      <c r="AZ44" s="1707"/>
      <c r="BA44" s="1707"/>
      <c r="BB44" s="1707"/>
      <c r="BC44" s="1707"/>
      <c r="BD44" s="1707"/>
      <c r="BE44" s="1707"/>
      <c r="BF44" s="1707"/>
      <c r="BG44" s="1708"/>
      <c r="BH44" s="28"/>
      <c r="BI44" s="64"/>
      <c r="BJ44" s="168"/>
      <c r="BK44" s="168"/>
      <c r="BL44" s="168"/>
      <c r="BM44" s="169"/>
      <c r="BN44" s="169"/>
      <c r="BO44" s="169"/>
      <c r="BP44" s="168"/>
      <c r="BQ44" s="168"/>
      <c r="BR44" s="168"/>
      <c r="BS44" s="168"/>
      <c r="BT44" s="168"/>
      <c r="BU44" s="168"/>
      <c r="BV44" s="168"/>
      <c r="BW44" s="168"/>
      <c r="BX44" s="168"/>
      <c r="BY44" s="168"/>
      <c r="BZ44" s="168"/>
      <c r="CA44" s="168"/>
      <c r="CB44" s="170"/>
      <c r="CC44" s="168"/>
      <c r="CD44" s="168"/>
      <c r="CE44" s="170"/>
      <c r="CF44" s="170"/>
      <c r="CG44" s="170"/>
      <c r="CH44" s="170"/>
      <c r="CI44" s="168"/>
      <c r="CJ44" s="168"/>
      <c r="CK44" s="170"/>
      <c r="CL44" s="170"/>
      <c r="CM44" s="170"/>
      <c r="CN44" s="113"/>
      <c r="CO44" s="29"/>
      <c r="CP44" s="29"/>
      <c r="CQ44" s="29"/>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6"/>
      <c r="EA44" s="36"/>
      <c r="EB44" s="36"/>
      <c r="EC44" s="36"/>
      <c r="ED44" s="36"/>
      <c r="EE44" s="36"/>
      <c r="EF44" s="36"/>
      <c r="EG44" s="36"/>
    </row>
    <row r="45" spans="1:137" s="64" customFormat="1" ht="15" customHeight="1" x14ac:dyDescent="0.25">
      <c r="A45" s="26"/>
      <c r="B45" s="1709" t="s">
        <v>283</v>
      </c>
      <c r="C45" s="1711" t="s">
        <v>287</v>
      </c>
      <c r="D45" s="1711" t="s">
        <v>25</v>
      </c>
      <c r="E45" s="1711"/>
      <c r="F45" s="1711"/>
      <c r="G45" s="1711"/>
      <c r="H45" s="1711"/>
      <c r="I45" s="1711"/>
      <c r="J45" s="1711"/>
      <c r="K45" s="1711"/>
      <c r="L45" s="1711"/>
      <c r="M45" s="1711"/>
      <c r="N45" s="1711"/>
      <c r="O45" s="1711"/>
      <c r="P45" s="1711"/>
      <c r="Q45" s="1711"/>
      <c r="R45" s="1711"/>
      <c r="S45" s="1711" t="s">
        <v>193</v>
      </c>
      <c r="T45" s="1711"/>
      <c r="U45" s="1711"/>
      <c r="V45" s="1711"/>
      <c r="W45" s="1711"/>
      <c r="X45" s="1712" t="s">
        <v>201</v>
      </c>
      <c r="Y45" s="1712"/>
      <c r="Z45" s="1712"/>
      <c r="AA45" s="1712"/>
      <c r="AB45" s="1712"/>
      <c r="AC45" s="1712"/>
      <c r="AD45" s="1712"/>
      <c r="AE45" s="1712" t="s">
        <v>200</v>
      </c>
      <c r="AF45" s="1712"/>
      <c r="AG45" s="1712"/>
      <c r="AH45" s="1712"/>
      <c r="AI45" s="1712"/>
      <c r="AJ45" s="1712"/>
      <c r="AK45" s="1712"/>
      <c r="AL45" s="1712" t="s">
        <v>199</v>
      </c>
      <c r="AM45" s="1712"/>
      <c r="AN45" s="1712"/>
      <c r="AO45" s="1712"/>
      <c r="AP45" s="1712"/>
      <c r="AQ45" s="1712"/>
      <c r="AR45" s="1712"/>
      <c r="AS45" s="1712" t="s">
        <v>363</v>
      </c>
      <c r="AT45" s="1712"/>
      <c r="AU45" s="1712"/>
      <c r="AV45" s="1712"/>
      <c r="AW45" s="1712"/>
      <c r="AX45" s="1712"/>
      <c r="AY45" s="1712" t="s">
        <v>198</v>
      </c>
      <c r="AZ45" s="1712"/>
      <c r="BA45" s="1712"/>
      <c r="BB45" s="1712"/>
      <c r="BC45" s="1712"/>
      <c r="BD45" s="1712"/>
      <c r="BE45" s="1712"/>
      <c r="BF45" s="1719" t="s">
        <v>604</v>
      </c>
      <c r="BG45" s="1720" t="s">
        <v>26</v>
      </c>
      <c r="BH45" s="28"/>
      <c r="BJ45" s="168"/>
      <c r="BK45" s="168"/>
      <c r="BL45" s="168"/>
      <c r="BM45" s="169"/>
      <c r="BN45" s="169"/>
      <c r="BO45" s="169"/>
      <c r="BP45" s="168"/>
      <c r="BQ45" s="168"/>
      <c r="BR45" s="168"/>
      <c r="BS45" s="168"/>
      <c r="BT45" s="168"/>
      <c r="BU45" s="168"/>
      <c r="BV45" s="168"/>
      <c r="BW45" s="168"/>
      <c r="BX45" s="168"/>
      <c r="BY45" s="168"/>
      <c r="BZ45" s="168"/>
      <c r="CA45" s="168"/>
      <c r="CB45" s="170"/>
      <c r="CC45" s="168"/>
      <c r="CD45" s="168"/>
      <c r="CE45" s="170"/>
      <c r="CF45" s="170"/>
      <c r="CG45" s="170"/>
      <c r="CH45" s="170"/>
      <c r="CI45" s="168"/>
      <c r="CJ45" s="168"/>
      <c r="CK45" s="170"/>
      <c r="CL45" s="170"/>
      <c r="CM45" s="170"/>
      <c r="CN45" s="113"/>
      <c r="CO45" s="29"/>
      <c r="CP45" s="29"/>
      <c r="CQ45" s="29"/>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6"/>
      <c r="EA45" s="36"/>
      <c r="EB45" s="36"/>
      <c r="EC45" s="36"/>
      <c r="ED45" s="36"/>
      <c r="EE45" s="36"/>
      <c r="EF45" s="36"/>
      <c r="EG45" s="36"/>
    </row>
    <row r="46" spans="1:137" s="64" customFormat="1" ht="60" x14ac:dyDescent="0.25">
      <c r="A46" s="26"/>
      <c r="B46" s="1710"/>
      <c r="C46" s="1711"/>
      <c r="D46" s="799" t="s">
        <v>27</v>
      </c>
      <c r="E46" s="799" t="s">
        <v>28</v>
      </c>
      <c r="F46" s="799" t="s">
        <v>29</v>
      </c>
      <c r="G46" s="799" t="s">
        <v>30</v>
      </c>
      <c r="H46" s="799" t="s">
        <v>31</v>
      </c>
      <c r="I46" s="799" t="s">
        <v>32</v>
      </c>
      <c r="J46" s="799" t="s">
        <v>33</v>
      </c>
      <c r="K46" s="799" t="s">
        <v>34</v>
      </c>
      <c r="L46" s="799" t="s">
        <v>35</v>
      </c>
      <c r="M46" s="799" t="s">
        <v>36</v>
      </c>
      <c r="N46" s="799" t="s">
        <v>37</v>
      </c>
      <c r="O46" s="799" t="s">
        <v>38</v>
      </c>
      <c r="P46" s="799" t="s">
        <v>39</v>
      </c>
      <c r="Q46" s="799" t="s">
        <v>40</v>
      </c>
      <c r="R46" s="799" t="s">
        <v>41</v>
      </c>
      <c r="S46" s="799" t="s">
        <v>42</v>
      </c>
      <c r="T46" s="799" t="s">
        <v>43</v>
      </c>
      <c r="U46" s="799" t="s">
        <v>44</v>
      </c>
      <c r="V46" s="800" t="s">
        <v>210</v>
      </c>
      <c r="W46" s="801" t="s">
        <v>193</v>
      </c>
      <c r="X46" s="1719" t="s">
        <v>194</v>
      </c>
      <c r="Y46" s="1719"/>
      <c r="Z46" s="799" t="s">
        <v>202</v>
      </c>
      <c r="AA46" s="802" t="s">
        <v>605</v>
      </c>
      <c r="AB46" s="802" t="s">
        <v>617</v>
      </c>
      <c r="AC46" s="799" t="s">
        <v>203</v>
      </c>
      <c r="AD46" s="802" t="s">
        <v>294</v>
      </c>
      <c r="AE46" s="1719" t="s">
        <v>195</v>
      </c>
      <c r="AF46" s="1719"/>
      <c r="AG46" s="801" t="s">
        <v>204</v>
      </c>
      <c r="AH46" s="803" t="s">
        <v>618</v>
      </c>
      <c r="AI46" s="803" t="s">
        <v>619</v>
      </c>
      <c r="AJ46" s="799" t="s">
        <v>205</v>
      </c>
      <c r="AK46" s="802" t="s">
        <v>294</v>
      </c>
      <c r="AL46" s="1719" t="s">
        <v>196</v>
      </c>
      <c r="AM46" s="1719"/>
      <c r="AN46" s="799" t="s">
        <v>206</v>
      </c>
      <c r="AO46" s="799" t="s">
        <v>620</v>
      </c>
      <c r="AP46" s="799" t="s">
        <v>621</v>
      </c>
      <c r="AQ46" s="799" t="s">
        <v>207</v>
      </c>
      <c r="AR46" s="802" t="s">
        <v>294</v>
      </c>
      <c r="AS46" s="1719" t="s">
        <v>622</v>
      </c>
      <c r="AT46" s="1719"/>
      <c r="AU46" s="801" t="s">
        <v>365</v>
      </c>
      <c r="AV46" s="802" t="s">
        <v>623</v>
      </c>
      <c r="AW46" s="799" t="s">
        <v>364</v>
      </c>
      <c r="AX46" s="802" t="s">
        <v>294</v>
      </c>
      <c r="AY46" s="1719" t="s">
        <v>197</v>
      </c>
      <c r="AZ46" s="1719"/>
      <c r="BA46" s="799" t="s">
        <v>208</v>
      </c>
      <c r="BB46" s="802" t="s">
        <v>624</v>
      </c>
      <c r="BC46" s="802" t="s">
        <v>625</v>
      </c>
      <c r="BD46" s="799" t="s">
        <v>209</v>
      </c>
      <c r="BE46" s="802" t="s">
        <v>294</v>
      </c>
      <c r="BF46" s="1719"/>
      <c r="BG46" s="1720"/>
      <c r="BH46" s="28"/>
      <c r="BJ46" s="168"/>
      <c r="BK46" s="168"/>
      <c r="BL46" s="168"/>
      <c r="BM46" s="169"/>
      <c r="BN46" s="169"/>
      <c r="BO46" s="169"/>
      <c r="BP46" s="168"/>
      <c r="BQ46" s="168"/>
      <c r="BR46" s="168"/>
      <c r="BS46" s="168"/>
      <c r="BT46" s="168"/>
      <c r="BU46" s="168"/>
      <c r="BV46" s="168"/>
      <c r="BW46" s="168"/>
      <c r="BX46" s="168"/>
      <c r="BY46" s="168"/>
      <c r="BZ46" s="168"/>
      <c r="CA46" s="168"/>
      <c r="CB46" s="170"/>
      <c r="CC46" s="168"/>
      <c r="CD46" s="168"/>
      <c r="CE46" s="170"/>
      <c r="CF46" s="170"/>
      <c r="CG46" s="170"/>
      <c r="CH46" s="170"/>
      <c r="CI46" s="168"/>
      <c r="CJ46" s="168"/>
      <c r="CK46" s="170"/>
      <c r="CL46" s="170"/>
      <c r="CM46" s="170"/>
      <c r="CN46" s="113"/>
      <c r="CO46" s="36"/>
      <c r="CP46" s="36"/>
      <c r="CQ46" s="36"/>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6"/>
      <c r="EA46" s="36"/>
      <c r="EB46" s="36"/>
      <c r="EC46" s="36"/>
      <c r="ED46" s="36"/>
      <c r="EE46" s="36"/>
      <c r="EF46" s="36"/>
      <c r="EG46" s="36"/>
    </row>
    <row r="47" spans="1:137" s="27" customFormat="1" x14ac:dyDescent="0.25">
      <c r="A47" s="26"/>
      <c r="B47" s="1721" t="s">
        <v>52</v>
      </c>
      <c r="C47" s="553"/>
      <c r="D47" s="804">
        <f>VLOOKUP($C47,$BI$95:$CM$477,2,FALSE)</f>
        <v>0</v>
      </c>
      <c r="E47" s="1393"/>
      <c r="F47" s="421"/>
      <c r="G47" s="421"/>
      <c r="H47" s="421"/>
      <c r="I47" s="421"/>
      <c r="J47" s="421"/>
      <c r="K47" s="421"/>
      <c r="L47" s="421"/>
      <c r="M47" s="421"/>
      <c r="N47" s="421"/>
      <c r="O47" s="421"/>
      <c r="P47" s="421"/>
      <c r="Q47" s="422">
        <f>SUM(E47:P47)</f>
        <v>0</v>
      </c>
      <c r="R47" s="423">
        <f>COUNT(E47:P47)</f>
        <v>0</v>
      </c>
      <c r="S47" s="422">
        <f>IF(R47&gt;1,AVERAGE(E47:P47),0)</f>
        <v>0</v>
      </c>
      <c r="T47" s="422">
        <f>IF(R47&gt;1,STDEV(E47:P47),0)</f>
        <v>0</v>
      </c>
      <c r="U47" s="422">
        <f>IF(R47&gt;1,VLOOKUP($R47,$BI$429:$BJ$441,2,FALSE),0)</f>
        <v>0</v>
      </c>
      <c r="V47" s="424"/>
      <c r="W47" s="425">
        <f>IF(R47&gt;1,1-((S47-((T47*U47)/(SQRT(R47))))/S47),VLOOKUP($C47,$BI$95:$CS$477,34,FALSE))</f>
        <v>0</v>
      </c>
      <c r="X47" s="792">
        <v>0</v>
      </c>
      <c r="Y47" s="793">
        <v>0</v>
      </c>
      <c r="Z47" s="794">
        <v>0</v>
      </c>
      <c r="AA47" s="795">
        <f>($Q47*X47)/1000</f>
        <v>0</v>
      </c>
      <c r="AB47" s="795">
        <f>AA47*$BJ$447</f>
        <v>0</v>
      </c>
      <c r="AC47" s="794">
        <f>IF(AA47&gt;0,SQRT(($W47*$W47)+(Z47*Z47)+($V47*$V47)),0)</f>
        <v>0</v>
      </c>
      <c r="AD47" s="795">
        <f t="shared" ref="AD47:AD52" si="68">(AB47*AC47)^2</f>
        <v>0</v>
      </c>
      <c r="AE47" s="806">
        <f>VLOOKUP($C47,$BI$95:$CM$477,3,FALSE)</f>
        <v>0</v>
      </c>
      <c r="AF47" s="793">
        <f>VLOOKUP($C47,$BI$95:$CM$477,4,FALSE)</f>
        <v>0</v>
      </c>
      <c r="AG47" s="794">
        <f>IF($Q47&gt;0,VLOOKUP($C47,$BI$95:$CM$477,6,FALSE),0)</f>
        <v>0</v>
      </c>
      <c r="AH47" s="795">
        <f>($Q47*AE47)/1000</f>
        <v>0</v>
      </c>
      <c r="AI47" s="807">
        <f>AH47*$BJ$448</f>
        <v>0</v>
      </c>
      <c r="AJ47" s="794">
        <f>IF(AH47&gt;0,SQRT(($W47*$W47)+(AG47*AG47)+($V47*$V47)),0)</f>
        <v>0</v>
      </c>
      <c r="AK47" s="795">
        <f t="shared" ref="AK47:AK52" si="69">(AI47*AJ47)^2</f>
        <v>0</v>
      </c>
      <c r="AL47" s="806">
        <v>0</v>
      </c>
      <c r="AM47" s="793">
        <v>0</v>
      </c>
      <c r="AN47" s="794">
        <v>0</v>
      </c>
      <c r="AO47" s="807">
        <f>(W47*AL47)/1000</f>
        <v>0</v>
      </c>
      <c r="AP47" s="807">
        <f>AO47*$BJ$449</f>
        <v>0</v>
      </c>
      <c r="AQ47" s="794">
        <f>IF(AO47&gt;0,SQRT(($W47*$W47)+(AN47*AN47)+($V47*$V47)),0)</f>
        <v>0</v>
      </c>
      <c r="AR47" s="795">
        <f t="shared" ref="AR47:AR52" si="70">(AP47*AQ47)^2</f>
        <v>0</v>
      </c>
      <c r="AS47" s="792">
        <v>0</v>
      </c>
      <c r="AT47" s="793">
        <v>0</v>
      </c>
      <c r="AU47" s="794">
        <v>0</v>
      </c>
      <c r="AV47" s="807">
        <v>0</v>
      </c>
      <c r="AW47" s="794">
        <v>0</v>
      </c>
      <c r="AX47" s="795">
        <f t="shared" ref="AX47:AX52" si="71">(AV47*AW47)^2</f>
        <v>0</v>
      </c>
      <c r="AY47" s="792">
        <v>0</v>
      </c>
      <c r="AZ47" s="793">
        <v>0</v>
      </c>
      <c r="BA47" s="794">
        <v>0</v>
      </c>
      <c r="BB47" s="807">
        <f>($Q47*AY47)/1000</f>
        <v>0</v>
      </c>
      <c r="BC47" s="807">
        <f>BB47*$BJ$450</f>
        <v>0</v>
      </c>
      <c r="BD47" s="794">
        <v>0</v>
      </c>
      <c r="BE47" s="795">
        <f t="shared" ref="BE47:BE52" si="72">(BC47*BD47)^2</f>
        <v>0</v>
      </c>
      <c r="BF47" s="796">
        <f>AB47+AI47+AP47+AV47+BC47</f>
        <v>0</v>
      </c>
      <c r="BG47" s="761">
        <f>IF(BF47&gt;0,SQRT(AD47+AK47+AR47+AX47+BE47)/BF47,0)</f>
        <v>0</v>
      </c>
      <c r="BH47" s="28">
        <f>(BF47*BG47)^2</f>
        <v>0</v>
      </c>
      <c r="BI47" s="64"/>
      <c r="BJ47" s="168"/>
      <c r="BK47" s="168"/>
      <c r="BL47" s="168"/>
      <c r="BM47" s="169"/>
      <c r="BN47" s="169"/>
      <c r="BO47" s="169"/>
      <c r="BP47" s="168"/>
      <c r="BQ47" s="168"/>
      <c r="BR47" s="168"/>
      <c r="BS47" s="168"/>
      <c r="BT47" s="168"/>
      <c r="BU47" s="168"/>
      <c r="BV47" s="168"/>
      <c r="BW47" s="168"/>
      <c r="BX47" s="168"/>
      <c r="BY47" s="168"/>
      <c r="BZ47" s="168"/>
      <c r="CA47" s="168"/>
      <c r="CB47" s="170"/>
      <c r="CC47" s="168"/>
      <c r="CD47" s="168"/>
      <c r="CE47" s="170"/>
      <c r="CF47" s="170"/>
      <c r="CG47" s="170"/>
      <c r="CH47" s="170"/>
      <c r="CI47" s="168"/>
      <c r="CJ47" s="168"/>
      <c r="CK47" s="170"/>
      <c r="CL47" s="170"/>
      <c r="CM47" s="170"/>
      <c r="CN47" s="113"/>
      <c r="CO47" s="36"/>
      <c r="CP47" s="36"/>
      <c r="CQ47" s="36"/>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6"/>
      <c r="EA47" s="36"/>
      <c r="EB47" s="36"/>
      <c r="EC47" s="36"/>
      <c r="ED47" s="36"/>
      <c r="EE47" s="36"/>
      <c r="EF47" s="36"/>
      <c r="EG47" s="36"/>
    </row>
    <row r="48" spans="1:137" s="27" customFormat="1" x14ac:dyDescent="0.25">
      <c r="A48" s="26"/>
      <c r="B48" s="1722"/>
      <c r="C48" s="553"/>
      <c r="D48" s="804">
        <f>VLOOKUP($C48,$BI$95:$CM$477,2,FALSE)</f>
        <v>0</v>
      </c>
      <c r="E48" s="1393"/>
      <c r="F48" s="421"/>
      <c r="G48" s="421"/>
      <c r="H48" s="421"/>
      <c r="I48" s="421"/>
      <c r="J48" s="421"/>
      <c r="K48" s="421"/>
      <c r="L48" s="421"/>
      <c r="M48" s="421"/>
      <c r="N48" s="421"/>
      <c r="O48" s="421"/>
      <c r="P48" s="421"/>
      <c r="Q48" s="422">
        <f>SUM(E48:P48)</f>
        <v>0</v>
      </c>
      <c r="R48" s="423">
        <f>COUNT(E48:P48)</f>
        <v>0</v>
      </c>
      <c r="S48" s="422">
        <f>IF(R48&gt;1,AVERAGE(E48:P48),0)</f>
        <v>0</v>
      </c>
      <c r="T48" s="422">
        <f>IF(R48&gt;1,STDEV(E48:P48),0)</f>
        <v>0</v>
      </c>
      <c r="U48" s="422">
        <f>IF(R48&gt;1,VLOOKUP($R48,$BI$429:$BJ$441,2,FALSE),0)</f>
        <v>0</v>
      </c>
      <c r="V48" s="424"/>
      <c r="W48" s="425">
        <f>IF(R48&gt;1,1-((S48-((T48*U48)/(SQRT(R48))))/S48),VLOOKUP($C48,$BI$95:$CS$477,34,FALSE))</f>
        <v>0</v>
      </c>
      <c r="X48" s="792">
        <v>0</v>
      </c>
      <c r="Y48" s="793">
        <v>0</v>
      </c>
      <c r="Z48" s="794">
        <v>0</v>
      </c>
      <c r="AA48" s="795">
        <f>($Q48*X48)/1000</f>
        <v>0</v>
      </c>
      <c r="AB48" s="795">
        <f>AA48*$BJ$447</f>
        <v>0</v>
      </c>
      <c r="AC48" s="794">
        <f>IF(AA48&gt;0,SQRT(($W48*$W48)+(Z48*Z48)+($V48*$V48)),0)</f>
        <v>0</v>
      </c>
      <c r="AD48" s="795">
        <f t="shared" si="68"/>
        <v>0</v>
      </c>
      <c r="AE48" s="806">
        <f>VLOOKUP($C48,$BI$95:$CM$477,3,FALSE)</f>
        <v>0</v>
      </c>
      <c r="AF48" s="793">
        <f>VLOOKUP($C48,$BI$95:$CM$477,4,FALSE)</f>
        <v>0</v>
      </c>
      <c r="AG48" s="794">
        <f>IF($Q48&gt;0,VLOOKUP($C48,$BI$95:$CM$477,6,FALSE),0)</f>
        <v>0</v>
      </c>
      <c r="AH48" s="795">
        <f>($Q48*AE48)/1000</f>
        <v>0</v>
      </c>
      <c r="AI48" s="807">
        <f>AH48*$BJ$448</f>
        <v>0</v>
      </c>
      <c r="AJ48" s="794">
        <f>IF(AH48&gt;0,SQRT(($W48*$W48)+(AG48*AG48)+($V48*$V48)),0)</f>
        <v>0</v>
      </c>
      <c r="AK48" s="795">
        <f t="shared" si="69"/>
        <v>0</v>
      </c>
      <c r="AL48" s="806">
        <v>0</v>
      </c>
      <c r="AM48" s="793">
        <v>0</v>
      </c>
      <c r="AN48" s="794">
        <v>0</v>
      </c>
      <c r="AO48" s="807">
        <f>(W48*AL48)/1000</f>
        <v>0</v>
      </c>
      <c r="AP48" s="807">
        <f>AO48*$BJ$449</f>
        <v>0</v>
      </c>
      <c r="AQ48" s="794">
        <f>IF(AO48&gt;0,SQRT(($W48*$W48)+(AN48*AN48)+($V48*$V48)),0)</f>
        <v>0</v>
      </c>
      <c r="AR48" s="795">
        <f t="shared" si="70"/>
        <v>0</v>
      </c>
      <c r="AS48" s="792">
        <v>0</v>
      </c>
      <c r="AT48" s="793">
        <v>0</v>
      </c>
      <c r="AU48" s="794">
        <v>0</v>
      </c>
      <c r="AV48" s="807">
        <v>0</v>
      </c>
      <c r="AW48" s="794">
        <v>0</v>
      </c>
      <c r="AX48" s="795">
        <f t="shared" si="71"/>
        <v>0</v>
      </c>
      <c r="AY48" s="792">
        <v>0</v>
      </c>
      <c r="AZ48" s="793">
        <v>0</v>
      </c>
      <c r="BA48" s="794">
        <v>0</v>
      </c>
      <c r="BB48" s="807">
        <f>($Q48*AY48)/1000</f>
        <v>0</v>
      </c>
      <c r="BC48" s="807">
        <f>BB48*$BJ$450</f>
        <v>0</v>
      </c>
      <c r="BD48" s="794">
        <v>0</v>
      </c>
      <c r="BE48" s="795">
        <f t="shared" si="72"/>
        <v>0</v>
      </c>
      <c r="BF48" s="796">
        <f>AB48+AI48+AP48+AV48+BC48</f>
        <v>0</v>
      </c>
      <c r="BG48" s="761">
        <f>IF(BF48&gt;0,SQRT(AD48+AK48+AR48+AX48+BE48)/BF48,0)</f>
        <v>0</v>
      </c>
      <c r="BH48" s="28">
        <f t="shared" si="37"/>
        <v>0</v>
      </c>
      <c r="BI48" s="64"/>
      <c r="BJ48" s="168"/>
      <c r="BK48" s="168"/>
      <c r="BL48" s="168"/>
      <c r="BM48" s="169"/>
      <c r="BN48" s="169"/>
      <c r="BO48" s="169"/>
      <c r="BP48" s="168"/>
      <c r="BQ48" s="168"/>
      <c r="BR48" s="168"/>
      <c r="BS48" s="168"/>
      <c r="BT48" s="168"/>
      <c r="BU48" s="168"/>
      <c r="BV48" s="168"/>
      <c r="BW48" s="168"/>
      <c r="BX48" s="168"/>
      <c r="BY48" s="168"/>
      <c r="BZ48" s="168"/>
      <c r="CA48" s="168"/>
      <c r="CB48" s="170"/>
      <c r="CC48" s="168"/>
      <c r="CD48" s="168"/>
      <c r="CE48" s="170"/>
      <c r="CF48" s="170"/>
      <c r="CG48" s="170"/>
      <c r="CH48" s="170"/>
      <c r="CI48" s="168"/>
      <c r="CJ48" s="168"/>
      <c r="CK48" s="170"/>
      <c r="CL48" s="170"/>
      <c r="CM48" s="170"/>
      <c r="CN48" s="113"/>
      <c r="CO48" s="36"/>
      <c r="CP48" s="36"/>
      <c r="CQ48" s="36"/>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6"/>
      <c r="EA48" s="36"/>
      <c r="EB48" s="36"/>
      <c r="EC48" s="36"/>
      <c r="ED48" s="36"/>
      <c r="EE48" s="36"/>
      <c r="EF48" s="36"/>
      <c r="EG48" s="36"/>
    </row>
    <row r="49" spans="1:137" s="27" customFormat="1" x14ac:dyDescent="0.25">
      <c r="A49" s="26"/>
      <c r="B49" s="1721" t="s">
        <v>53</v>
      </c>
      <c r="C49" s="553"/>
      <c r="D49" s="804">
        <f>VLOOKUP($C49,$BI$95:$CM$477,2,FALSE)</f>
        <v>0</v>
      </c>
      <c r="E49" s="1393"/>
      <c r="F49" s="421"/>
      <c r="G49" s="421"/>
      <c r="H49" s="421"/>
      <c r="I49" s="421"/>
      <c r="J49" s="421"/>
      <c r="K49" s="421"/>
      <c r="L49" s="421"/>
      <c r="M49" s="421"/>
      <c r="N49" s="421"/>
      <c r="O49" s="421"/>
      <c r="P49" s="421"/>
      <c r="Q49" s="422">
        <f>SUM(E49:P49)</f>
        <v>0</v>
      </c>
      <c r="R49" s="423">
        <f>COUNT(E49:P49)</f>
        <v>0</v>
      </c>
      <c r="S49" s="422">
        <f>IF(R49&gt;1,AVERAGE(E49:P49),0)</f>
        <v>0</v>
      </c>
      <c r="T49" s="422">
        <f>IF(R49&gt;1,STDEV(E49:P49),0)</f>
        <v>0</v>
      </c>
      <c r="U49" s="422">
        <f>IF(R49&gt;1,VLOOKUP($R49,$BI$429:$BJ$441,2,FALSE),0)</f>
        <v>0</v>
      </c>
      <c r="V49" s="424"/>
      <c r="W49" s="425">
        <f>IF(R49&gt;1,1-((S49-((T49*U49)/(SQRT(R49))))/S49),VLOOKUP($C49,$BI$95:$CS$477,34,FALSE))</f>
        <v>0</v>
      </c>
      <c r="X49" s="792">
        <f>VLOOKUP($C49,$BI$95:$CM$477,9,FALSE)</f>
        <v>0</v>
      </c>
      <c r="Y49" s="793">
        <f>VLOOKUP($C49,$BI$95:$CM$477,10,FALSE)</f>
        <v>0</v>
      </c>
      <c r="Z49" s="794">
        <f>IF($Q49&gt;0,VLOOKUP($C49,$BI$95:$CM$477,6,FALSE),0)</f>
        <v>0</v>
      </c>
      <c r="AA49" s="795">
        <f>($Q49*X49)/1000</f>
        <v>0</v>
      </c>
      <c r="AB49" s="795">
        <f>AA49*$BJ$447</f>
        <v>0</v>
      </c>
      <c r="AC49" s="794">
        <f>IF(AA49&gt;0,SQRT(($W49*$W49)+(Z49*Z49)+($V49*$V49)),0)</f>
        <v>0</v>
      </c>
      <c r="AD49" s="795">
        <f t="shared" si="68"/>
        <v>0</v>
      </c>
      <c r="AE49" s="806">
        <f>VLOOKUP($C49,$BI$95:$CM$477,3,FALSE)</f>
        <v>0</v>
      </c>
      <c r="AF49" s="793">
        <f>VLOOKUP($C49,$BI$95:$CM$477,4,FALSE)</f>
        <v>0</v>
      </c>
      <c r="AG49" s="794">
        <f>IF($Q49&gt;0,VLOOKUP($C49,$BI$95:$CM$477,6,FALSE),0)</f>
        <v>0</v>
      </c>
      <c r="AH49" s="795">
        <f>($Q49*AE49)/1000</f>
        <v>0</v>
      </c>
      <c r="AI49" s="807">
        <f>AH49*$BJ$448</f>
        <v>0</v>
      </c>
      <c r="AJ49" s="794">
        <f>IF(AH49&gt;0,SQRT(($W49*$W49)+(AG49*AG49)+($V49*$V49)),0)</f>
        <v>0</v>
      </c>
      <c r="AK49" s="795">
        <f t="shared" si="69"/>
        <v>0</v>
      </c>
      <c r="AL49" s="806">
        <v>0</v>
      </c>
      <c r="AM49" s="793">
        <v>0</v>
      </c>
      <c r="AN49" s="794">
        <v>0</v>
      </c>
      <c r="AO49" s="807">
        <f>(W49*AL49)/1000</f>
        <v>0</v>
      </c>
      <c r="AP49" s="807">
        <f>AO49*$BJ$449</f>
        <v>0</v>
      </c>
      <c r="AQ49" s="794">
        <f>IF(AO49&gt;0,SQRT(($W49*$W49)+(AN49*AN49)+($V49*$V49)),0)</f>
        <v>0</v>
      </c>
      <c r="AR49" s="795">
        <f t="shared" si="70"/>
        <v>0</v>
      </c>
      <c r="AS49" s="792">
        <v>0</v>
      </c>
      <c r="AT49" s="793">
        <v>0</v>
      </c>
      <c r="AU49" s="794">
        <v>0</v>
      </c>
      <c r="AV49" s="807">
        <v>0</v>
      </c>
      <c r="AW49" s="794">
        <v>0</v>
      </c>
      <c r="AX49" s="795">
        <f t="shared" si="71"/>
        <v>0</v>
      </c>
      <c r="AY49" s="792">
        <v>0</v>
      </c>
      <c r="AZ49" s="793">
        <v>0</v>
      </c>
      <c r="BA49" s="794">
        <v>0</v>
      </c>
      <c r="BB49" s="807">
        <f>($Q49*AY49)/1000</f>
        <v>0</v>
      </c>
      <c r="BC49" s="807">
        <f>BB49*$BJ$450</f>
        <v>0</v>
      </c>
      <c r="BD49" s="794">
        <v>0</v>
      </c>
      <c r="BE49" s="795">
        <f t="shared" si="72"/>
        <v>0</v>
      </c>
      <c r="BF49" s="796">
        <f>AB49+AI49+AP49+AV49+BC49</f>
        <v>0</v>
      </c>
      <c r="BG49" s="761">
        <f>IF(BF49&gt;0,SQRT(AD49+AK49+AR49+AX49+BE49)/BF49,0)</f>
        <v>0</v>
      </c>
      <c r="BH49" s="28">
        <f t="shared" si="37"/>
        <v>0</v>
      </c>
      <c r="BI49" s="64"/>
      <c r="BJ49" s="168"/>
      <c r="BK49" s="168"/>
      <c r="BL49" s="168"/>
      <c r="BM49" s="169"/>
      <c r="BN49" s="169"/>
      <c r="BO49" s="169"/>
      <c r="BP49" s="168"/>
      <c r="BQ49" s="168"/>
      <c r="BR49" s="168"/>
      <c r="BS49" s="168"/>
      <c r="BT49" s="168"/>
      <c r="BU49" s="168"/>
      <c r="BV49" s="168"/>
      <c r="BW49" s="168"/>
      <c r="BX49" s="168"/>
      <c r="BY49" s="168"/>
      <c r="BZ49" s="168"/>
      <c r="CA49" s="168"/>
      <c r="CB49" s="170"/>
      <c r="CC49" s="168"/>
      <c r="CD49" s="168"/>
      <c r="CE49" s="170"/>
      <c r="CF49" s="170"/>
      <c r="CG49" s="170"/>
      <c r="CH49" s="170"/>
      <c r="CI49" s="168"/>
      <c r="CJ49" s="168"/>
      <c r="CK49" s="170"/>
      <c r="CL49" s="170"/>
      <c r="CM49" s="170"/>
      <c r="CN49" s="113"/>
      <c r="CO49" s="36"/>
      <c r="CP49" s="36"/>
      <c r="CQ49" s="36"/>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6"/>
      <c r="EA49" s="36"/>
      <c r="EB49" s="36"/>
      <c r="EC49" s="36"/>
      <c r="ED49" s="36"/>
      <c r="EE49" s="36"/>
      <c r="EF49" s="36"/>
      <c r="EG49" s="36"/>
    </row>
    <row r="50" spans="1:137" s="27" customFormat="1" x14ac:dyDescent="0.25">
      <c r="A50" s="26"/>
      <c r="B50" s="1723"/>
      <c r="C50" s="553"/>
      <c r="D50" s="804">
        <f>VLOOKUP($C50,$BI$95:$CM$477,2,FALSE)</f>
        <v>0</v>
      </c>
      <c r="E50" s="1393"/>
      <c r="F50" s="421"/>
      <c r="G50" s="421"/>
      <c r="H50" s="421"/>
      <c r="I50" s="421"/>
      <c r="J50" s="421"/>
      <c r="K50" s="421"/>
      <c r="L50" s="421"/>
      <c r="M50" s="421"/>
      <c r="N50" s="421"/>
      <c r="O50" s="421"/>
      <c r="P50" s="421"/>
      <c r="Q50" s="422">
        <f>SUM(E50:P50)</f>
        <v>0</v>
      </c>
      <c r="R50" s="423">
        <f>COUNT(E50:P50)</f>
        <v>0</v>
      </c>
      <c r="S50" s="422">
        <f>IF(R50&gt;1,AVERAGE(E50:P50),0)</f>
        <v>0</v>
      </c>
      <c r="T50" s="422">
        <f>IF(R50&gt;1,STDEV(E50:P50),0)</f>
        <v>0</v>
      </c>
      <c r="U50" s="422">
        <f>IF(R50&gt;1,VLOOKUP($R50,$BI$429:$BJ$441,2,FALSE),0)</f>
        <v>0</v>
      </c>
      <c r="V50" s="424"/>
      <c r="W50" s="425">
        <f>IF(R50&gt;1,1-((S50-((T50*U50)/(SQRT(R50))))/S50),VLOOKUP($C50,$BI$95:$CS$477,34,FALSE))</f>
        <v>0</v>
      </c>
      <c r="X50" s="792">
        <v>0</v>
      </c>
      <c r="Y50" s="793">
        <v>0</v>
      </c>
      <c r="Z50" s="794">
        <v>0</v>
      </c>
      <c r="AA50" s="795">
        <f>($Q50*X50)/1000</f>
        <v>0</v>
      </c>
      <c r="AB50" s="795">
        <f>AA50*$BJ$447</f>
        <v>0</v>
      </c>
      <c r="AC50" s="794">
        <f>IF(AA50&gt;0,SQRT(($W50*$W50)+(Z50*Z50)+($V50*$V50)),0)</f>
        <v>0</v>
      </c>
      <c r="AD50" s="795">
        <f t="shared" si="68"/>
        <v>0</v>
      </c>
      <c r="AE50" s="806">
        <v>0</v>
      </c>
      <c r="AF50" s="793">
        <v>0</v>
      </c>
      <c r="AG50" s="794">
        <v>0</v>
      </c>
      <c r="AH50" s="807">
        <f>($Q50*AE50)/1000</f>
        <v>0</v>
      </c>
      <c r="AI50" s="807">
        <f>AH50*$BJ$448</f>
        <v>0</v>
      </c>
      <c r="AJ50" s="794">
        <f>IF(AH50&gt;0,SQRT(($W50*$W50)+(AG50*AG50)+($V50*$V50)),0)</f>
        <v>0</v>
      </c>
      <c r="AK50" s="795">
        <f t="shared" si="69"/>
        <v>0</v>
      </c>
      <c r="AL50" s="806">
        <f>VLOOKUP($C50,$BI$95:$CM$477,3,FALSE)</f>
        <v>0</v>
      </c>
      <c r="AM50" s="793">
        <f>VLOOKUP($C50,$BI$95:$CM$477,4,FALSE)</f>
        <v>0</v>
      </c>
      <c r="AN50" s="794">
        <f>IF($Q50&gt;0,VLOOKUP($C50,$BI$95:$CM$477,6,FALSE),0)</f>
        <v>0</v>
      </c>
      <c r="AO50" s="795">
        <f>($Q50*AL50)/1000</f>
        <v>0</v>
      </c>
      <c r="AP50" s="807">
        <f>AO50*$BJ$449</f>
        <v>0</v>
      </c>
      <c r="AQ50" s="794">
        <f>IF(AO50&gt;0,SQRT(($W50*$W50)+(AN50*AN50)+($V50*$V50)),0)</f>
        <v>0</v>
      </c>
      <c r="AR50" s="795">
        <f t="shared" si="70"/>
        <v>0</v>
      </c>
      <c r="AS50" s="792">
        <v>0</v>
      </c>
      <c r="AT50" s="793">
        <v>0</v>
      </c>
      <c r="AU50" s="794">
        <v>0</v>
      </c>
      <c r="AV50" s="807">
        <v>0</v>
      </c>
      <c r="AW50" s="794">
        <v>0</v>
      </c>
      <c r="AX50" s="795">
        <f t="shared" si="71"/>
        <v>0</v>
      </c>
      <c r="AY50" s="792">
        <v>0</v>
      </c>
      <c r="AZ50" s="793">
        <v>0</v>
      </c>
      <c r="BA50" s="794">
        <v>0</v>
      </c>
      <c r="BB50" s="807">
        <f>($Q50*AY50)/1000</f>
        <v>0</v>
      </c>
      <c r="BC50" s="807">
        <f>BB50*$BJ$450</f>
        <v>0</v>
      </c>
      <c r="BD50" s="794">
        <v>0</v>
      </c>
      <c r="BE50" s="795">
        <f t="shared" si="72"/>
        <v>0</v>
      </c>
      <c r="BF50" s="796">
        <f>AB50+AI50+AP50+AV50+BC50</f>
        <v>0</v>
      </c>
      <c r="BG50" s="761">
        <f>IF(BF50&gt;0,SQRT(AD50+AK50+AR50+AX50+BE50)/BF50,0)</f>
        <v>0</v>
      </c>
      <c r="BH50" s="28">
        <f>(BF50*BG50)^2</f>
        <v>0</v>
      </c>
      <c r="BI50" s="64"/>
      <c r="BJ50" s="168"/>
      <c r="BK50" s="168"/>
      <c r="BL50" s="168"/>
      <c r="BM50" s="169"/>
      <c r="BN50" s="169"/>
      <c r="BO50" s="169"/>
      <c r="BP50" s="168"/>
      <c r="BQ50" s="168"/>
      <c r="BR50" s="168"/>
      <c r="BS50" s="168"/>
      <c r="BT50" s="168"/>
      <c r="BU50" s="168"/>
      <c r="BV50" s="168"/>
      <c r="BW50" s="168"/>
      <c r="BX50" s="168"/>
      <c r="BY50" s="168"/>
      <c r="BZ50" s="168"/>
      <c r="CA50" s="168"/>
      <c r="CB50" s="170"/>
      <c r="CC50" s="168"/>
      <c r="CD50" s="168"/>
      <c r="CE50" s="170"/>
      <c r="CF50" s="170"/>
      <c r="CG50" s="170"/>
      <c r="CH50" s="170"/>
      <c r="CI50" s="168"/>
      <c r="CJ50" s="168"/>
      <c r="CK50" s="170"/>
      <c r="CL50" s="170"/>
      <c r="CM50" s="170"/>
      <c r="CN50" s="113"/>
      <c r="CO50" s="36"/>
      <c r="CP50" s="36"/>
      <c r="CQ50" s="36"/>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6"/>
      <c r="EA50" s="36"/>
      <c r="EB50" s="36"/>
      <c r="EC50" s="36"/>
      <c r="ED50" s="36"/>
      <c r="EE50" s="36"/>
      <c r="EF50" s="36"/>
      <c r="EG50" s="36"/>
    </row>
    <row r="51" spans="1:137" s="27" customFormat="1" x14ac:dyDescent="0.25">
      <c r="A51" s="26"/>
      <c r="B51" s="1722"/>
      <c r="C51" s="553"/>
      <c r="D51" s="804">
        <f>VLOOKUP($C51,$BI$95:$CM$477,2,FALSE)</f>
        <v>0</v>
      </c>
      <c r="E51" s="1393"/>
      <c r="F51" s="421"/>
      <c r="G51" s="421"/>
      <c r="H51" s="421"/>
      <c r="I51" s="421"/>
      <c r="J51" s="421"/>
      <c r="K51" s="421"/>
      <c r="L51" s="421"/>
      <c r="M51" s="421"/>
      <c r="N51" s="421"/>
      <c r="O51" s="421"/>
      <c r="P51" s="421"/>
      <c r="Q51" s="422">
        <f>SUM(E51:P51)</f>
        <v>0</v>
      </c>
      <c r="R51" s="423">
        <f>COUNT(E51:P51)</f>
        <v>0</v>
      </c>
      <c r="S51" s="422">
        <f>IF(R51&gt;1,AVERAGE(E51:P51),0)</f>
        <v>0</v>
      </c>
      <c r="T51" s="422">
        <f>IF(R51&gt;1,STDEV(E51:P51),0)</f>
        <v>0</v>
      </c>
      <c r="U51" s="422">
        <f>IF(R51&gt;1,VLOOKUP($R51,$BI$429:$BJ$441,2,FALSE),0)</f>
        <v>0</v>
      </c>
      <c r="V51" s="424"/>
      <c r="W51" s="425">
        <f>IF(R51&gt;1,1-((S51-((T51*U51)/(SQRT(R51))))/S51),VLOOKUP($C51,$BI$95:$CS$477,34,FALSE))</f>
        <v>0</v>
      </c>
      <c r="X51" s="792">
        <f>VLOOKUP($C51,$BI$95:$CM$477,3,FALSE)</f>
        <v>0</v>
      </c>
      <c r="Y51" s="793">
        <f>VLOOKUP($C51,$BI$95:$CM$477,4,FALSE)</f>
        <v>0</v>
      </c>
      <c r="Z51" s="794">
        <f>IF($Q51&gt;0,VLOOKUP($C51,$BI$95:$CM$477,6,FALSE),0)</f>
        <v>0</v>
      </c>
      <c r="AA51" s="795">
        <f>($Q51*X51)/1000</f>
        <v>0</v>
      </c>
      <c r="AB51" s="795">
        <f>AA51*$BJ$447</f>
        <v>0</v>
      </c>
      <c r="AC51" s="794">
        <f>IF(AA51&gt;0,SQRT(($W51*$W51)+(Z51*Z51)+($V51*$V51)),0)</f>
        <v>0</v>
      </c>
      <c r="AD51" s="795">
        <f t="shared" si="68"/>
        <v>0</v>
      </c>
      <c r="AE51" s="806">
        <v>0</v>
      </c>
      <c r="AF51" s="793">
        <v>0</v>
      </c>
      <c r="AG51" s="794">
        <v>0</v>
      </c>
      <c r="AH51" s="807">
        <f>($Q51*AE51)/1000</f>
        <v>0</v>
      </c>
      <c r="AI51" s="807">
        <f>AH51*$BJ$448</f>
        <v>0</v>
      </c>
      <c r="AJ51" s="794">
        <f>IF(AH51&gt;0,SQRT(($W51*$W51)+(AG51*AG51)+($V51*$V51)),0)</f>
        <v>0</v>
      </c>
      <c r="AK51" s="795">
        <f t="shared" si="69"/>
        <v>0</v>
      </c>
      <c r="AL51" s="806">
        <v>0</v>
      </c>
      <c r="AM51" s="793">
        <v>0</v>
      </c>
      <c r="AN51" s="794">
        <v>0</v>
      </c>
      <c r="AO51" s="807">
        <f>(W51*AL51)/1000</f>
        <v>0</v>
      </c>
      <c r="AP51" s="807">
        <f>AO51*$BJ$449</f>
        <v>0</v>
      </c>
      <c r="AQ51" s="794">
        <f>IF(AO51&gt;0,SQRT(($W51*$W51)+(AN51*AN51)+($V51*$V51)),0)</f>
        <v>0</v>
      </c>
      <c r="AR51" s="795">
        <f t="shared" si="70"/>
        <v>0</v>
      </c>
      <c r="AS51" s="792">
        <v>0</v>
      </c>
      <c r="AT51" s="793">
        <v>0</v>
      </c>
      <c r="AU51" s="794">
        <v>0</v>
      </c>
      <c r="AV51" s="807">
        <v>0</v>
      </c>
      <c r="AW51" s="794">
        <v>0</v>
      </c>
      <c r="AX51" s="795">
        <f t="shared" si="71"/>
        <v>0</v>
      </c>
      <c r="AY51" s="792">
        <v>0</v>
      </c>
      <c r="AZ51" s="793">
        <v>0</v>
      </c>
      <c r="BA51" s="794">
        <v>0</v>
      </c>
      <c r="BB51" s="807">
        <f>($Q51*AY51)/1000</f>
        <v>0</v>
      </c>
      <c r="BC51" s="807">
        <f>BB51*$BJ$450</f>
        <v>0</v>
      </c>
      <c r="BD51" s="794">
        <v>0</v>
      </c>
      <c r="BE51" s="795">
        <f t="shared" si="72"/>
        <v>0</v>
      </c>
      <c r="BF51" s="796">
        <f>AB51+AI51+AP51+AV51+BC51</f>
        <v>0</v>
      </c>
      <c r="BG51" s="761">
        <f>IF(BF51&gt;0,SQRT(AD51+AK51+AR51+AX51+BE51)/BF51,0)</f>
        <v>0</v>
      </c>
      <c r="BH51" s="28">
        <f t="shared" si="37"/>
        <v>0</v>
      </c>
      <c r="BI51" s="64"/>
      <c r="BJ51" s="168"/>
      <c r="BK51" s="168"/>
      <c r="BL51" s="168"/>
      <c r="BM51" s="169"/>
      <c r="BN51" s="169"/>
      <c r="BO51" s="169"/>
      <c r="BP51" s="168"/>
      <c r="BQ51" s="168"/>
      <c r="BR51" s="168"/>
      <c r="BS51" s="168"/>
      <c r="BT51" s="168"/>
      <c r="BU51" s="168"/>
      <c r="BV51" s="168"/>
      <c r="BW51" s="168"/>
      <c r="BX51" s="168"/>
      <c r="BY51" s="168"/>
      <c r="BZ51" s="168"/>
      <c r="CA51" s="168"/>
      <c r="CB51" s="170"/>
      <c r="CC51" s="168"/>
      <c r="CD51" s="168"/>
      <c r="CE51" s="170"/>
      <c r="CF51" s="170"/>
      <c r="CG51" s="170"/>
      <c r="CH51" s="170"/>
      <c r="CI51" s="168"/>
      <c r="CJ51" s="168"/>
      <c r="CK51" s="170"/>
      <c r="CL51" s="170"/>
      <c r="CM51" s="170"/>
      <c r="CN51" s="113"/>
      <c r="CO51" s="36"/>
      <c r="CP51" s="36"/>
      <c r="CQ51" s="36"/>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6"/>
      <c r="EA51" s="36"/>
      <c r="EB51" s="36"/>
      <c r="EC51" s="36"/>
      <c r="ED51" s="36"/>
      <c r="EE51" s="36"/>
      <c r="EF51" s="36"/>
      <c r="EG51" s="36"/>
    </row>
    <row r="52" spans="1:137" s="27" customFormat="1" ht="15.75" customHeight="1" x14ac:dyDescent="0.25">
      <c r="A52" s="26"/>
      <c r="B52" s="750" t="s">
        <v>63</v>
      </c>
      <c r="C52" s="821"/>
      <c r="D52" s="821"/>
      <c r="E52" s="821"/>
      <c r="F52" s="821"/>
      <c r="G52" s="821"/>
      <c r="H52" s="821"/>
      <c r="I52" s="821"/>
      <c r="J52" s="821"/>
      <c r="K52" s="821"/>
      <c r="L52" s="821"/>
      <c r="M52" s="821"/>
      <c r="N52" s="821"/>
      <c r="O52" s="821"/>
      <c r="P52" s="821"/>
      <c r="Q52" s="821"/>
      <c r="R52" s="821"/>
      <c r="S52" s="821"/>
      <c r="T52" s="821"/>
      <c r="U52" s="821"/>
      <c r="V52" s="821"/>
      <c r="W52" s="821"/>
      <c r="X52" s="821"/>
      <c r="Y52" s="821"/>
      <c r="Z52" s="821"/>
      <c r="AA52" s="822"/>
      <c r="AB52" s="823">
        <f>SUM(AB47:AB51)</f>
        <v>0</v>
      </c>
      <c r="AC52" s="824">
        <f>IF(AB52&gt;0,SQRT(SUM(AD47:AD51))/AB52,0)</f>
        <v>0</v>
      </c>
      <c r="AD52" s="823">
        <f t="shared" si="68"/>
        <v>0</v>
      </c>
      <c r="AE52" s="825"/>
      <c r="AF52" s="821"/>
      <c r="AG52" s="821"/>
      <c r="AH52" s="826"/>
      <c r="AI52" s="823">
        <f>SUM(AI47:AI51)</f>
        <v>0</v>
      </c>
      <c r="AJ52" s="824">
        <f>IF(AI52&gt;0,SQRT(SUM(AK47:AK51))/AI52,0)</f>
        <v>0</v>
      </c>
      <c r="AK52" s="823">
        <f t="shared" si="69"/>
        <v>0</v>
      </c>
      <c r="AL52" s="821"/>
      <c r="AM52" s="821"/>
      <c r="AN52" s="821"/>
      <c r="AO52" s="821"/>
      <c r="AP52" s="823">
        <f>SUM(AP47:AP51)</f>
        <v>0</v>
      </c>
      <c r="AQ52" s="824">
        <f>IF(AP52&gt;0,SQRT(SUM(AR47:AR51))/AP52,0)</f>
        <v>0</v>
      </c>
      <c r="AR52" s="823">
        <f t="shared" si="70"/>
        <v>0</v>
      </c>
      <c r="AS52" s="821"/>
      <c r="AT52" s="821"/>
      <c r="AU52" s="821"/>
      <c r="AV52" s="823">
        <f>SUM(AV47:AV51)</f>
        <v>0</v>
      </c>
      <c r="AW52" s="824">
        <f>IF(AV52&gt;0,SQRT(SUM(AX47:AX51))/AV52,0)</f>
        <v>0</v>
      </c>
      <c r="AX52" s="823">
        <f t="shared" si="71"/>
        <v>0</v>
      </c>
      <c r="AY52" s="821"/>
      <c r="AZ52" s="821"/>
      <c r="BA52" s="827"/>
      <c r="BB52" s="828"/>
      <c r="BC52" s="823">
        <f>SUM(BC47:BC51)</f>
        <v>0</v>
      </c>
      <c r="BD52" s="824">
        <f>IF(BC52&gt;0,SQRT(SUM(BE47:BE51))/BC52,0)</f>
        <v>0</v>
      </c>
      <c r="BE52" s="823">
        <f t="shared" si="72"/>
        <v>0</v>
      </c>
      <c r="BF52" s="823">
        <f>SUM(BF47:BF51)</f>
        <v>0</v>
      </c>
      <c r="BG52" s="751">
        <f>IF(BF52&gt;0,SQRT(SUM(BH47:BH51))/BF52,0)</f>
        <v>0</v>
      </c>
      <c r="BH52" s="28">
        <f>(BF52*BG52)^2</f>
        <v>0</v>
      </c>
      <c r="BI52" s="64"/>
      <c r="BJ52" s="168"/>
      <c r="BK52" s="168"/>
      <c r="BL52" s="168"/>
      <c r="BM52" s="169"/>
      <c r="BN52" s="169"/>
      <c r="BO52" s="169"/>
      <c r="BP52" s="168"/>
      <c r="BQ52" s="168"/>
      <c r="BR52" s="168"/>
      <c r="BS52" s="168"/>
      <c r="BT52" s="168"/>
      <c r="BU52" s="168"/>
      <c r="BV52" s="168"/>
      <c r="BW52" s="168"/>
      <c r="BX52" s="168"/>
      <c r="BY52" s="168"/>
      <c r="BZ52" s="168"/>
      <c r="CA52" s="168"/>
      <c r="CB52" s="170"/>
      <c r="CC52" s="168"/>
      <c r="CD52" s="168"/>
      <c r="CE52" s="170"/>
      <c r="CF52" s="170"/>
      <c r="CG52" s="170"/>
      <c r="CH52" s="170"/>
      <c r="CI52" s="168"/>
      <c r="CJ52" s="168"/>
      <c r="CK52" s="170"/>
      <c r="CL52" s="170"/>
      <c r="CM52" s="170"/>
      <c r="CN52" s="113"/>
      <c r="CO52" s="127"/>
      <c r="CP52" s="127"/>
      <c r="CQ52" s="12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6"/>
      <c r="EA52" s="36"/>
      <c r="EB52" s="36"/>
      <c r="EC52" s="36"/>
      <c r="ED52" s="36"/>
      <c r="EE52" s="36"/>
      <c r="EF52" s="36"/>
      <c r="EG52" s="36"/>
    </row>
    <row r="53" spans="1:137" s="27" customFormat="1" ht="15.75" customHeight="1" x14ac:dyDescent="0.25">
      <c r="A53" s="26"/>
      <c r="B53" s="837"/>
      <c r="C53" s="838"/>
      <c r="D53" s="838"/>
      <c r="E53" s="838"/>
      <c r="F53" s="838"/>
      <c r="G53" s="838"/>
      <c r="H53" s="838"/>
      <c r="I53" s="838"/>
      <c r="J53" s="838"/>
      <c r="K53" s="838"/>
      <c r="L53" s="838"/>
      <c r="M53" s="838"/>
      <c r="N53" s="838"/>
      <c r="O53" s="838"/>
      <c r="P53" s="838"/>
      <c r="Q53" s="838"/>
      <c r="R53" s="838"/>
      <c r="S53" s="838"/>
      <c r="T53" s="838"/>
      <c r="U53" s="838"/>
      <c r="V53" s="838"/>
      <c r="W53" s="838"/>
      <c r="X53" s="838"/>
      <c r="Y53" s="838"/>
      <c r="Z53" s="838"/>
      <c r="AA53" s="839"/>
      <c r="AB53" s="840"/>
      <c r="AC53" s="841"/>
      <c r="AD53" s="840"/>
      <c r="AE53" s="842"/>
      <c r="AF53" s="838"/>
      <c r="AG53" s="838"/>
      <c r="AH53" s="843"/>
      <c r="AI53" s="840"/>
      <c r="AJ53" s="841"/>
      <c r="AK53" s="840"/>
      <c r="AL53" s="838"/>
      <c r="AM53" s="838"/>
      <c r="AN53" s="838"/>
      <c r="AO53" s="838"/>
      <c r="AP53" s="840"/>
      <c r="AQ53" s="841"/>
      <c r="AR53" s="840"/>
      <c r="AS53" s="838"/>
      <c r="AT53" s="838"/>
      <c r="AU53" s="838"/>
      <c r="AV53" s="840"/>
      <c r="AW53" s="841"/>
      <c r="AX53" s="840"/>
      <c r="AY53" s="838"/>
      <c r="AZ53" s="838"/>
      <c r="BA53" s="844"/>
      <c r="BB53" s="845"/>
      <c r="BC53" s="840"/>
      <c r="BD53" s="841"/>
      <c r="BE53" s="840"/>
      <c r="BF53" s="840"/>
      <c r="BG53" s="846"/>
      <c r="BH53" s="28"/>
      <c r="BI53" s="64"/>
      <c r="BJ53" s="168"/>
      <c r="BK53" s="168"/>
      <c r="BL53" s="168"/>
      <c r="BM53" s="169"/>
      <c r="BN53" s="169"/>
      <c r="BO53" s="169"/>
      <c r="BP53" s="168"/>
      <c r="BQ53" s="168"/>
      <c r="BR53" s="168"/>
      <c r="BS53" s="168"/>
      <c r="BT53" s="168"/>
      <c r="BU53" s="168"/>
      <c r="BV53" s="168"/>
      <c r="BW53" s="168"/>
      <c r="BX53" s="168"/>
      <c r="BY53" s="168"/>
      <c r="BZ53" s="168"/>
      <c r="CA53" s="168"/>
      <c r="CB53" s="170"/>
      <c r="CC53" s="168"/>
      <c r="CD53" s="168"/>
      <c r="CE53" s="170"/>
      <c r="CF53" s="170"/>
      <c r="CG53" s="170"/>
      <c r="CH53" s="170"/>
      <c r="CI53" s="168"/>
      <c r="CJ53" s="168"/>
      <c r="CK53" s="170"/>
      <c r="CL53" s="170"/>
      <c r="CM53" s="170"/>
      <c r="CN53" s="113"/>
      <c r="CO53" s="127"/>
      <c r="CP53" s="127"/>
      <c r="CQ53" s="12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6"/>
      <c r="EA53" s="36"/>
      <c r="EB53" s="36"/>
      <c r="EC53" s="36"/>
      <c r="ED53" s="36"/>
      <c r="EE53" s="36"/>
      <c r="EF53" s="36"/>
      <c r="EG53" s="36"/>
    </row>
    <row r="54" spans="1:137" s="82" customFormat="1" ht="30.75" customHeight="1" thickBot="1" x14ac:dyDescent="0.3">
      <c r="A54" s="26"/>
      <c r="B54" s="723" t="s">
        <v>64</v>
      </c>
      <c r="C54" s="724"/>
      <c r="D54" s="724"/>
      <c r="E54" s="724"/>
      <c r="F54" s="724"/>
      <c r="G54" s="724"/>
      <c r="H54" s="724"/>
      <c r="I54" s="724"/>
      <c r="J54" s="724"/>
      <c r="K54" s="724"/>
      <c r="L54" s="724"/>
      <c r="M54" s="724"/>
      <c r="N54" s="724"/>
      <c r="O54" s="724"/>
      <c r="P54" s="724"/>
      <c r="Q54" s="724"/>
      <c r="R54" s="724"/>
      <c r="S54" s="724"/>
      <c r="T54" s="724"/>
      <c r="U54" s="724"/>
      <c r="V54" s="724"/>
      <c r="W54" s="724"/>
      <c r="X54" s="724"/>
      <c r="Y54" s="724"/>
      <c r="Z54" s="724"/>
      <c r="AA54" s="725"/>
      <c r="AB54" s="726">
        <f>+AB42+AB52</f>
        <v>0</v>
      </c>
      <c r="AC54" s="727">
        <f>IF(AB54&gt;0,(SQRT(#REF!+AD42+AD52))/AB54,0)</f>
        <v>0</v>
      </c>
      <c r="AD54" s="726">
        <f>(AB54*AC54)^2</f>
        <v>0</v>
      </c>
      <c r="AE54" s="728"/>
      <c r="AF54" s="724"/>
      <c r="AG54" s="724"/>
      <c r="AH54" s="729"/>
      <c r="AI54" s="726">
        <f>+AI42+AI52</f>
        <v>0</v>
      </c>
      <c r="AJ54" s="727">
        <f>IF(AI54&gt;0,(SQRT(#REF!+AK42+AK52))/AI54,0)</f>
        <v>0</v>
      </c>
      <c r="AK54" s="726">
        <f>(AI54*AJ54)^2</f>
        <v>0</v>
      </c>
      <c r="AL54" s="724"/>
      <c r="AM54" s="724"/>
      <c r="AN54" s="724"/>
      <c r="AO54" s="724"/>
      <c r="AP54" s="726">
        <f>+AP42+AP52</f>
        <v>0</v>
      </c>
      <c r="AQ54" s="727">
        <f>IF(AP54&gt;0,(SQRT(#REF!+AR42+AR52))/AP54,0)</f>
        <v>0</v>
      </c>
      <c r="AR54" s="726">
        <f>(AP54*AQ54)^2</f>
        <v>0</v>
      </c>
      <c r="AS54" s="724"/>
      <c r="AT54" s="724"/>
      <c r="AU54" s="724"/>
      <c r="AV54" s="726">
        <f>+AV42+AV52</f>
        <v>0</v>
      </c>
      <c r="AW54" s="727">
        <f>IF(AV54&gt;0,(SQRT(#REF!+AX42+AX52))/AV54,0)</f>
        <v>0</v>
      </c>
      <c r="AX54" s="726">
        <f>(AV54*AW54)^2</f>
        <v>0</v>
      </c>
      <c r="AY54" s="724"/>
      <c r="AZ54" s="724"/>
      <c r="BA54" s="730"/>
      <c r="BB54" s="731"/>
      <c r="BC54" s="726">
        <f>+BC42+BC52</f>
        <v>0</v>
      </c>
      <c r="BD54" s="727">
        <f>IF(BC54&gt;0,(SQRT(#REF!+BE42+BE52))/BC54,0)</f>
        <v>0</v>
      </c>
      <c r="BE54" s="726">
        <f>(BC54*BD54)^2</f>
        <v>0</v>
      </c>
      <c r="BF54" s="726">
        <f>+BF42+BF52</f>
        <v>0</v>
      </c>
      <c r="BG54" s="732">
        <f>IF(BF54&gt;0,(SQRT(BH42+BH52))/BF54,0)</f>
        <v>0</v>
      </c>
      <c r="BH54" s="28">
        <f t="shared" ref="BH54:BH59" si="73">(BF54*BG54)^2</f>
        <v>0</v>
      </c>
      <c r="BI54" s="174"/>
      <c r="BJ54" s="175"/>
      <c r="BK54" s="175"/>
      <c r="BL54" s="175"/>
      <c r="BM54" s="176"/>
      <c r="BN54" s="176"/>
      <c r="BO54" s="176"/>
      <c r="BP54" s="175"/>
      <c r="BQ54" s="175"/>
      <c r="BR54" s="175"/>
      <c r="BS54" s="175"/>
      <c r="BT54" s="175"/>
      <c r="BU54" s="175"/>
      <c r="BV54" s="175"/>
      <c r="BW54" s="175"/>
      <c r="BX54" s="175"/>
      <c r="BY54" s="175"/>
      <c r="BZ54" s="175"/>
      <c r="CA54" s="175"/>
      <c r="CB54" s="177"/>
      <c r="CC54" s="175"/>
      <c r="CD54" s="175"/>
      <c r="CE54" s="177"/>
      <c r="CF54" s="177"/>
      <c r="CG54" s="177"/>
      <c r="CH54" s="177"/>
      <c r="CI54" s="175"/>
      <c r="CJ54" s="175"/>
      <c r="CK54" s="177"/>
      <c r="CL54" s="177"/>
      <c r="CM54" s="177"/>
      <c r="CN54" s="114"/>
      <c r="CO54" s="36"/>
      <c r="CP54" s="36"/>
      <c r="CQ54" s="36"/>
      <c r="CR54" s="81"/>
      <c r="CS54" s="81"/>
      <c r="CT54" s="81"/>
      <c r="CU54" s="81"/>
      <c r="CV54" s="81"/>
      <c r="CW54" s="81"/>
      <c r="CX54" s="81"/>
      <c r="CY54" s="81"/>
      <c r="CZ54" s="81"/>
      <c r="DA54" s="81"/>
      <c r="DB54" s="81"/>
      <c r="DC54" s="81"/>
      <c r="DD54" s="81"/>
      <c r="DE54" s="81"/>
      <c r="DF54" s="81"/>
      <c r="DG54" s="81"/>
      <c r="DH54" s="81"/>
      <c r="DI54" s="81"/>
      <c r="DJ54" s="81"/>
      <c r="DK54" s="81"/>
      <c r="DL54" s="81"/>
      <c r="DM54" s="81"/>
      <c r="DN54" s="81"/>
      <c r="DO54" s="81"/>
      <c r="DP54" s="81"/>
      <c r="DQ54" s="81"/>
      <c r="DR54" s="81"/>
      <c r="DS54" s="81"/>
      <c r="DT54" s="81"/>
      <c r="DU54" s="81"/>
      <c r="DV54" s="81"/>
      <c r="DW54" s="81"/>
      <c r="DX54" s="81"/>
      <c r="DY54" s="81"/>
      <c r="DZ54" s="80"/>
      <c r="EA54" s="80"/>
      <c r="EB54" s="80"/>
      <c r="EC54" s="80"/>
      <c r="ED54" s="80"/>
      <c r="EE54" s="80"/>
      <c r="EF54" s="80"/>
      <c r="EG54" s="80"/>
    </row>
    <row r="55" spans="1:137" s="26" customFormat="1" ht="21.75" thickBot="1" x14ac:dyDescent="0.3">
      <c r="B55" s="847"/>
      <c r="C55" s="765"/>
      <c r="D55" s="765"/>
      <c r="E55" s="766"/>
      <c r="F55" s="766"/>
      <c r="G55" s="766"/>
      <c r="H55" s="766"/>
      <c r="I55" s="766"/>
      <c r="J55" s="766"/>
      <c r="K55" s="766"/>
      <c r="L55" s="766"/>
      <c r="M55" s="766"/>
      <c r="N55" s="766"/>
      <c r="O55" s="766"/>
      <c r="P55" s="766"/>
      <c r="Q55" s="766"/>
      <c r="R55" s="767"/>
      <c r="S55" s="766"/>
      <c r="T55" s="766"/>
      <c r="U55" s="766"/>
      <c r="V55" s="768"/>
      <c r="W55" s="768"/>
      <c r="X55" s="765"/>
      <c r="Y55" s="765"/>
      <c r="Z55" s="768"/>
      <c r="AA55" s="769"/>
      <c r="AB55" s="769"/>
      <c r="AC55" s="768"/>
      <c r="AD55" s="769"/>
      <c r="AE55" s="770"/>
      <c r="AF55" s="765"/>
      <c r="AG55" s="768"/>
      <c r="AH55" s="771"/>
      <c r="AI55" s="771"/>
      <c r="AJ55" s="768"/>
      <c r="AK55" s="769"/>
      <c r="AL55" s="765"/>
      <c r="AM55" s="765"/>
      <c r="AN55" s="768"/>
      <c r="AO55" s="768"/>
      <c r="AP55" s="768"/>
      <c r="AQ55" s="768"/>
      <c r="AR55" s="769"/>
      <c r="AS55" s="765"/>
      <c r="AT55" s="765"/>
      <c r="AU55" s="768"/>
      <c r="AV55" s="769"/>
      <c r="AW55" s="768"/>
      <c r="AX55" s="769"/>
      <c r="AY55" s="765"/>
      <c r="AZ55" s="765"/>
      <c r="BA55" s="768"/>
      <c r="BB55" s="769"/>
      <c r="BC55" s="769"/>
      <c r="BD55" s="768"/>
      <c r="BE55" s="769"/>
      <c r="BF55" s="766"/>
      <c r="BG55" s="848"/>
      <c r="BH55" s="28">
        <f t="shared" si="73"/>
        <v>0</v>
      </c>
      <c r="BI55" s="164"/>
      <c r="BJ55" s="165"/>
      <c r="BK55" s="165"/>
      <c r="BL55" s="165"/>
      <c r="BM55" s="166"/>
      <c r="BN55" s="166"/>
      <c r="BO55" s="166"/>
      <c r="BP55" s="165"/>
      <c r="BQ55" s="165"/>
      <c r="BR55" s="165"/>
      <c r="BS55" s="165"/>
      <c r="BT55" s="165"/>
      <c r="BU55" s="165"/>
      <c r="BV55" s="165"/>
      <c r="BW55" s="165"/>
      <c r="BX55" s="165"/>
      <c r="BY55" s="165"/>
      <c r="BZ55" s="165"/>
      <c r="CA55" s="165"/>
      <c r="CB55" s="167"/>
      <c r="CC55" s="165"/>
      <c r="CD55" s="165"/>
      <c r="CE55" s="167"/>
      <c r="CF55" s="167"/>
      <c r="CG55" s="167"/>
      <c r="CH55" s="167"/>
      <c r="CI55" s="165"/>
      <c r="CJ55" s="165"/>
      <c r="CK55" s="167"/>
      <c r="CL55" s="167"/>
      <c r="CM55" s="167"/>
      <c r="CN55" s="112"/>
      <c r="CO55" s="36"/>
      <c r="CP55" s="36"/>
      <c r="CQ55" s="36"/>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9"/>
      <c r="EA55" s="29"/>
      <c r="EB55" s="29"/>
      <c r="EC55" s="29"/>
      <c r="ED55" s="29"/>
      <c r="EE55" s="29"/>
      <c r="EF55" s="29"/>
      <c r="EG55" s="29"/>
    </row>
    <row r="56" spans="1:137" s="27" customFormat="1" ht="31.5" customHeight="1" x14ac:dyDescent="0.25">
      <c r="A56" s="26"/>
      <c r="B56" s="1713" t="s">
        <v>65</v>
      </c>
      <c r="C56" s="1714"/>
      <c r="D56" s="1714"/>
      <c r="E56" s="1714"/>
      <c r="F56" s="1714"/>
      <c r="G56" s="1714"/>
      <c r="H56" s="1714"/>
      <c r="I56" s="1714"/>
      <c r="J56" s="1714"/>
      <c r="K56" s="1714"/>
      <c r="L56" s="1714"/>
      <c r="M56" s="1714"/>
      <c r="N56" s="1714"/>
      <c r="O56" s="1714"/>
      <c r="P56" s="1714"/>
      <c r="Q56" s="1714"/>
      <c r="R56" s="1714"/>
      <c r="S56" s="1714"/>
      <c r="T56" s="1714"/>
      <c r="U56" s="1714"/>
      <c r="V56" s="1714"/>
      <c r="W56" s="1714"/>
      <c r="X56" s="1714"/>
      <c r="Y56" s="1714"/>
      <c r="Z56" s="1714"/>
      <c r="AA56" s="1714"/>
      <c r="AB56" s="1714"/>
      <c r="AC56" s="1714"/>
      <c r="AD56" s="1714"/>
      <c r="AE56" s="1714"/>
      <c r="AF56" s="1714"/>
      <c r="AG56" s="1714"/>
      <c r="AH56" s="1714"/>
      <c r="AI56" s="1714"/>
      <c r="AJ56" s="1714"/>
      <c r="AK56" s="1714"/>
      <c r="AL56" s="1714"/>
      <c r="AM56" s="1714"/>
      <c r="AN56" s="1714"/>
      <c r="AO56" s="1714"/>
      <c r="AP56" s="1714"/>
      <c r="AQ56" s="1714"/>
      <c r="AR56" s="1714"/>
      <c r="AS56" s="1714"/>
      <c r="AT56" s="1714"/>
      <c r="AU56" s="1714"/>
      <c r="AV56" s="1714"/>
      <c r="AW56" s="1714"/>
      <c r="AX56" s="1714"/>
      <c r="AY56" s="1714"/>
      <c r="AZ56" s="1714"/>
      <c r="BA56" s="1714"/>
      <c r="BB56" s="1714"/>
      <c r="BC56" s="1714"/>
      <c r="BD56" s="1714"/>
      <c r="BE56" s="1714"/>
      <c r="BF56" s="1714"/>
      <c r="BG56" s="1715"/>
      <c r="BH56" s="28">
        <f t="shared" si="73"/>
        <v>0</v>
      </c>
      <c r="BI56" s="64"/>
      <c r="BJ56" s="168"/>
      <c r="BK56" s="168"/>
      <c r="BL56" s="168"/>
      <c r="BM56" s="169"/>
      <c r="BN56" s="169"/>
      <c r="BO56" s="169"/>
      <c r="BP56" s="168"/>
      <c r="BQ56" s="168"/>
      <c r="BR56" s="168"/>
      <c r="BS56" s="168"/>
      <c r="BT56" s="168"/>
      <c r="BU56" s="168"/>
      <c r="BV56" s="168"/>
      <c r="BW56" s="168"/>
      <c r="BX56" s="168"/>
      <c r="BY56" s="168"/>
      <c r="BZ56" s="168"/>
      <c r="CA56" s="168"/>
      <c r="CB56" s="170"/>
      <c r="CC56" s="168"/>
      <c r="CD56" s="168"/>
      <c r="CE56" s="170"/>
      <c r="CF56" s="170"/>
      <c r="CG56" s="170"/>
      <c r="CH56" s="170"/>
      <c r="CI56" s="168"/>
      <c r="CJ56" s="168"/>
      <c r="CK56" s="170"/>
      <c r="CL56" s="170"/>
      <c r="CM56" s="170"/>
      <c r="CN56" s="113"/>
      <c r="CO56" s="36"/>
      <c r="CP56" s="36"/>
      <c r="CQ56" s="36"/>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6"/>
      <c r="EA56" s="36"/>
      <c r="EB56" s="36"/>
      <c r="EC56" s="36"/>
      <c r="ED56" s="36"/>
      <c r="EE56" s="36"/>
      <c r="EF56" s="36"/>
      <c r="EG56" s="36"/>
    </row>
    <row r="57" spans="1:137" s="27" customFormat="1" ht="15" customHeight="1" x14ac:dyDescent="0.25">
      <c r="A57" s="26"/>
      <c r="B57" s="772" t="s">
        <v>66</v>
      </c>
      <c r="C57" s="553"/>
      <c r="D57" s="804">
        <f>VLOOKUP($C57,$BI$95:$CM$477,2,FALSE)</f>
        <v>0</v>
      </c>
      <c r="E57" s="1340"/>
      <c r="F57" s="157"/>
      <c r="G57" s="157"/>
      <c r="H57" s="157"/>
      <c r="I57" s="158"/>
      <c r="J57" s="158"/>
      <c r="K57" s="158"/>
      <c r="L57" s="159"/>
      <c r="M57" s="159"/>
      <c r="N57" s="157"/>
      <c r="O57" s="157"/>
      <c r="P57" s="157"/>
      <c r="Q57" s="422">
        <f>SUM(E57:P57)</f>
        <v>0</v>
      </c>
      <c r="R57" s="423">
        <f>COUNT(E57:P57)</f>
        <v>0</v>
      </c>
      <c r="S57" s="422">
        <f>IF(R57&gt;1,AVERAGE(E57:P57),0)</f>
        <v>0</v>
      </c>
      <c r="T57" s="422">
        <f>IF(R57&gt;1,STDEV(E57:P57),0)</f>
        <v>0</v>
      </c>
      <c r="U57" s="422">
        <f>IF(R57&gt;1,VLOOKUP($R57,$BI$429:$BJ$441,2,FALSE),0)</f>
        <v>0</v>
      </c>
      <c r="V57" s="424"/>
      <c r="W57" s="425">
        <f>IF(R57&gt;1,1-((S57-((T57*U57)/(SQRT(R57))))/S57),VLOOKUP($C57,$BI$95:$CS$477,34,FALSE))</f>
        <v>0</v>
      </c>
      <c r="X57" s="806">
        <f>VLOOKUP($C57,$BI$95:$CM$477,3,FALSE)</f>
        <v>0</v>
      </c>
      <c r="Y57" s="793">
        <f>VLOOKUP($C57,$BI$95:$CM$477,4,FALSE)</f>
        <v>0</v>
      </c>
      <c r="Z57" s="794">
        <f>IF($Q57&gt;0,VLOOKUP($C57,$BI$95:$CM$477,6,FALSE),0)</f>
        <v>0</v>
      </c>
      <c r="AA57" s="795">
        <f>($Q57*X57)/1000</f>
        <v>0</v>
      </c>
      <c r="AB57" s="808">
        <f>AA57*$BJ$447</f>
        <v>0</v>
      </c>
      <c r="AC57" s="794">
        <f>IF(AA57&gt;0,SQRT(($W57*$W57)+(Z57*Z57)+($V57*$V57)),0)</f>
        <v>0</v>
      </c>
      <c r="AD57" s="795">
        <f>(AB57*AC57)^2</f>
        <v>0</v>
      </c>
      <c r="AE57" s="806">
        <v>0</v>
      </c>
      <c r="AF57" s="793">
        <v>0</v>
      </c>
      <c r="AG57" s="794">
        <v>0</v>
      </c>
      <c r="AH57" s="807">
        <f>($Q57*AE57)/1000</f>
        <v>0</v>
      </c>
      <c r="AI57" s="807">
        <f>AH57*$BJ$448</f>
        <v>0</v>
      </c>
      <c r="AJ57" s="794">
        <f>IF(AH57&gt;0,SQRT(($W57*$W57)+(AG57*AG57)+($V57*$V57)),0)</f>
        <v>0</v>
      </c>
      <c r="AK57" s="795">
        <f>(AI57*AJ57)^2</f>
        <v>0</v>
      </c>
      <c r="AL57" s="806">
        <v>0</v>
      </c>
      <c r="AM57" s="793">
        <v>0</v>
      </c>
      <c r="AN57" s="794">
        <v>0</v>
      </c>
      <c r="AO57" s="807">
        <f>(W57*AL57)/1000</f>
        <v>0</v>
      </c>
      <c r="AP57" s="807">
        <f>AO57*$BJ$449</f>
        <v>0</v>
      </c>
      <c r="AQ57" s="794">
        <f>IF(AO57&gt;0,SQRT(($W57*$W57)+(AN57*AN57)+($V57*$V57)),0)</f>
        <v>0</v>
      </c>
      <c r="AR57" s="795">
        <f>(AP57*AQ57)^2</f>
        <v>0</v>
      </c>
      <c r="AS57" s="792">
        <v>0</v>
      </c>
      <c r="AT57" s="793">
        <v>0</v>
      </c>
      <c r="AU57" s="794">
        <v>0</v>
      </c>
      <c r="AV57" s="807">
        <v>0</v>
      </c>
      <c r="AW57" s="794">
        <v>0</v>
      </c>
      <c r="AX57" s="795">
        <f>(AV57*AW57)^2</f>
        <v>0</v>
      </c>
      <c r="AY57" s="792">
        <v>0</v>
      </c>
      <c r="AZ57" s="793">
        <v>0</v>
      </c>
      <c r="BA57" s="794">
        <v>0</v>
      </c>
      <c r="BB57" s="807">
        <f>($Q57*AY57)/1000</f>
        <v>0</v>
      </c>
      <c r="BC57" s="807">
        <f>BB57*$BJ$450</f>
        <v>0</v>
      </c>
      <c r="BD57" s="794">
        <v>0</v>
      </c>
      <c r="BE57" s="795">
        <f>(BC57*BD57)^2</f>
        <v>0</v>
      </c>
      <c r="BF57" s="796">
        <f>AB57+AI57+AP57+AV57+BC57</f>
        <v>0</v>
      </c>
      <c r="BG57" s="761">
        <f>IF(BF57&gt;0,SQRT(AD57+AK57+AR57+AX57+BE57)/BF57,0)</f>
        <v>0</v>
      </c>
      <c r="BH57" s="28">
        <f t="shared" si="73"/>
        <v>0</v>
      </c>
      <c r="BI57" s="64"/>
      <c r="BJ57" s="168"/>
      <c r="BK57" s="168"/>
      <c r="BL57" s="168"/>
      <c r="BM57" s="169"/>
      <c r="BN57" s="169"/>
      <c r="BO57" s="169"/>
      <c r="BP57" s="168"/>
      <c r="BQ57" s="168"/>
      <c r="BR57" s="168"/>
      <c r="BS57" s="168"/>
      <c r="BT57" s="168"/>
      <c r="BU57" s="168"/>
      <c r="BV57" s="168"/>
      <c r="BW57" s="168"/>
      <c r="BX57" s="168"/>
      <c r="BY57" s="168"/>
      <c r="BZ57" s="168"/>
      <c r="CA57" s="168"/>
      <c r="CB57" s="170"/>
      <c r="CC57" s="168"/>
      <c r="CD57" s="168"/>
      <c r="CE57" s="170"/>
      <c r="CF57" s="170"/>
      <c r="CG57" s="170"/>
      <c r="CH57" s="170"/>
      <c r="CI57" s="168"/>
      <c r="CJ57" s="168"/>
      <c r="CK57" s="170"/>
      <c r="CL57" s="170"/>
      <c r="CM57" s="170"/>
      <c r="CN57" s="113"/>
      <c r="CO57" s="36"/>
      <c r="CP57" s="36"/>
      <c r="CQ57" s="36"/>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6"/>
      <c r="EA57" s="36"/>
      <c r="EB57" s="36"/>
      <c r="EC57" s="36"/>
      <c r="ED57" s="36"/>
      <c r="EE57" s="36"/>
      <c r="EF57" s="36"/>
      <c r="EG57" s="36"/>
    </row>
    <row r="58" spans="1:137" s="27" customFormat="1" ht="31.5" customHeight="1" thickBot="1" x14ac:dyDescent="0.3">
      <c r="A58" s="26"/>
      <c r="B58" s="733"/>
      <c r="C58" s="724"/>
      <c r="D58" s="724"/>
      <c r="E58" s="724"/>
      <c r="F58" s="724"/>
      <c r="G58" s="724"/>
      <c r="H58" s="724"/>
      <c r="I58" s="724"/>
      <c r="J58" s="724"/>
      <c r="K58" s="724"/>
      <c r="L58" s="724"/>
      <c r="M58" s="724"/>
      <c r="N58" s="724"/>
      <c r="O58" s="724"/>
      <c r="P58" s="724"/>
      <c r="Q58" s="724"/>
      <c r="R58" s="724"/>
      <c r="S58" s="724"/>
      <c r="T58" s="724"/>
      <c r="U58" s="724"/>
      <c r="V58" s="724"/>
      <c r="W58" s="724"/>
      <c r="X58" s="724"/>
      <c r="Y58" s="724"/>
      <c r="Z58" s="724"/>
      <c r="AA58" s="724"/>
      <c r="AB58" s="734">
        <f>AB57</f>
        <v>0</v>
      </c>
      <c r="AC58" s="735">
        <f>AC57</f>
        <v>0</v>
      </c>
      <c r="AD58" s="734">
        <f>AD57</f>
        <v>0</v>
      </c>
      <c r="AE58" s="736"/>
      <c r="AF58" s="736"/>
      <c r="AG58" s="736"/>
      <c r="AH58" s="736"/>
      <c r="AI58" s="734">
        <f>AI57</f>
        <v>0</v>
      </c>
      <c r="AJ58" s="735">
        <f>AJ57</f>
        <v>0</v>
      </c>
      <c r="AK58" s="737">
        <f>AK57</f>
        <v>0</v>
      </c>
      <c r="AL58" s="736"/>
      <c r="AM58" s="736"/>
      <c r="AN58" s="736"/>
      <c r="AO58" s="736"/>
      <c r="AP58" s="734">
        <f>AP57</f>
        <v>0</v>
      </c>
      <c r="AQ58" s="735">
        <f>AQ57</f>
        <v>0</v>
      </c>
      <c r="AR58" s="737">
        <f>AR57</f>
        <v>0</v>
      </c>
      <c r="AS58" s="736"/>
      <c r="AT58" s="736"/>
      <c r="AU58" s="736"/>
      <c r="AV58" s="734">
        <f>AV57</f>
        <v>0</v>
      </c>
      <c r="AW58" s="735">
        <f>AW57</f>
        <v>0</v>
      </c>
      <c r="AX58" s="737">
        <f>AX57</f>
        <v>0</v>
      </c>
      <c r="AY58" s="736"/>
      <c r="AZ58" s="736"/>
      <c r="BA58" s="735"/>
      <c r="BB58" s="734"/>
      <c r="BC58" s="734">
        <f>BC57</f>
        <v>0</v>
      </c>
      <c r="BD58" s="735">
        <f>BD57</f>
        <v>0</v>
      </c>
      <c r="BE58" s="734">
        <f>BE57</f>
        <v>0</v>
      </c>
      <c r="BF58" s="738">
        <f>SUM(BF57)</f>
        <v>0</v>
      </c>
      <c r="BG58" s="732">
        <f>IF(BF58&gt;0,(SQRT(BH57))/BF58,0)</f>
        <v>0</v>
      </c>
      <c r="BH58" s="28">
        <f t="shared" si="73"/>
        <v>0</v>
      </c>
      <c r="BI58" s="64"/>
      <c r="BJ58" s="168"/>
      <c r="BK58" s="168"/>
      <c r="BL58" s="168"/>
      <c r="BM58" s="169"/>
      <c r="BN58" s="169"/>
      <c r="BO58" s="169"/>
      <c r="BP58" s="168"/>
      <c r="BQ58" s="168"/>
      <c r="BR58" s="168"/>
      <c r="BS58" s="168"/>
      <c r="BT58" s="168"/>
      <c r="BU58" s="168"/>
      <c r="BV58" s="168"/>
      <c r="BW58" s="168"/>
      <c r="BX58" s="168"/>
      <c r="BY58" s="168"/>
      <c r="BZ58" s="168"/>
      <c r="CA58" s="168"/>
      <c r="CB58" s="170"/>
      <c r="CC58" s="168"/>
      <c r="CD58" s="168"/>
      <c r="CE58" s="170"/>
      <c r="CF58" s="170"/>
      <c r="CG58" s="170"/>
      <c r="CH58" s="170"/>
      <c r="CI58" s="168"/>
      <c r="CJ58" s="168"/>
      <c r="CK58" s="170"/>
      <c r="CL58" s="170"/>
      <c r="CM58" s="170"/>
      <c r="CN58" s="113"/>
      <c r="CO58" s="36"/>
      <c r="CP58" s="36"/>
      <c r="CQ58" s="36"/>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6"/>
      <c r="EA58" s="36"/>
      <c r="EB58" s="36"/>
      <c r="EC58" s="36"/>
      <c r="ED58" s="36"/>
      <c r="EE58" s="36"/>
      <c r="EF58" s="36"/>
      <c r="EG58" s="36"/>
    </row>
    <row r="59" spans="1:137" s="26" customFormat="1" x14ac:dyDescent="0.25">
      <c r="B59" s="849"/>
      <c r="C59" s="773"/>
      <c r="D59" s="773"/>
      <c r="E59" s="774"/>
      <c r="F59" s="774"/>
      <c r="G59" s="774"/>
      <c r="H59" s="774"/>
      <c r="I59" s="774"/>
      <c r="J59" s="774"/>
      <c r="K59" s="774"/>
      <c r="L59" s="774"/>
      <c r="M59" s="774"/>
      <c r="N59" s="774"/>
      <c r="O59" s="774"/>
      <c r="P59" s="774"/>
      <c r="Q59" s="774"/>
      <c r="R59" s="775"/>
      <c r="S59" s="774"/>
      <c r="T59" s="774"/>
      <c r="U59" s="774"/>
      <c r="V59" s="776"/>
      <c r="W59" s="776"/>
      <c r="X59" s="773"/>
      <c r="Y59" s="773"/>
      <c r="Z59" s="776"/>
      <c r="AA59" s="777"/>
      <c r="AB59" s="777"/>
      <c r="AC59" s="776"/>
      <c r="AD59" s="777"/>
      <c r="AE59" s="778"/>
      <c r="AF59" s="773"/>
      <c r="AG59" s="776"/>
      <c r="AH59" s="779"/>
      <c r="AI59" s="779"/>
      <c r="AJ59" s="776"/>
      <c r="AK59" s="777"/>
      <c r="AL59" s="773"/>
      <c r="AM59" s="773"/>
      <c r="AN59" s="776"/>
      <c r="AO59" s="776"/>
      <c r="AP59" s="776"/>
      <c r="AQ59" s="776"/>
      <c r="AR59" s="777"/>
      <c r="AS59" s="773"/>
      <c r="AT59" s="773"/>
      <c r="AU59" s="776"/>
      <c r="AV59" s="777"/>
      <c r="AW59" s="776"/>
      <c r="AX59" s="777"/>
      <c r="AY59" s="773"/>
      <c r="AZ59" s="773"/>
      <c r="BA59" s="776"/>
      <c r="BB59" s="777"/>
      <c r="BC59" s="777"/>
      <c r="BD59" s="776"/>
      <c r="BE59" s="777"/>
      <c r="BF59" s="774"/>
      <c r="BG59" s="850"/>
      <c r="BH59" s="28">
        <f t="shared" si="73"/>
        <v>0</v>
      </c>
      <c r="BI59" s="164"/>
      <c r="BJ59" s="165"/>
      <c r="BK59" s="165"/>
      <c r="BL59" s="165"/>
      <c r="BM59" s="166"/>
      <c r="BN59" s="166"/>
      <c r="BO59" s="166"/>
      <c r="BP59" s="165"/>
      <c r="BQ59" s="165"/>
      <c r="BR59" s="165"/>
      <c r="BS59" s="165"/>
      <c r="BT59" s="165"/>
      <c r="BU59" s="165"/>
      <c r="BV59" s="165"/>
      <c r="BW59" s="165"/>
      <c r="BX59" s="165"/>
      <c r="BY59" s="165"/>
      <c r="BZ59" s="165"/>
      <c r="CA59" s="165"/>
      <c r="CB59" s="167"/>
      <c r="CC59" s="165"/>
      <c r="CD59" s="165"/>
      <c r="CE59" s="167"/>
      <c r="CF59" s="167"/>
      <c r="CG59" s="167"/>
      <c r="CH59" s="167"/>
      <c r="CI59" s="165"/>
      <c r="CJ59" s="165"/>
      <c r="CK59" s="167"/>
      <c r="CL59" s="167"/>
      <c r="CM59" s="167"/>
      <c r="CN59" s="112"/>
      <c r="CO59" s="36"/>
      <c r="CP59" s="36"/>
      <c r="CQ59" s="36"/>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9"/>
      <c r="EA59" s="29"/>
      <c r="EB59" s="29"/>
      <c r="EC59" s="29"/>
      <c r="ED59" s="29"/>
      <c r="EE59" s="29"/>
      <c r="EF59" s="29"/>
      <c r="EG59" s="29"/>
    </row>
    <row r="60" spans="1:137" s="27" customFormat="1" ht="30.75" customHeight="1" thickBot="1" x14ac:dyDescent="0.3">
      <c r="A60" s="26"/>
      <c r="B60" s="723" t="s">
        <v>662</v>
      </c>
      <c r="C60" s="851"/>
      <c r="D60" s="851"/>
      <c r="E60" s="851"/>
      <c r="F60" s="851"/>
      <c r="G60" s="851"/>
      <c r="H60" s="851"/>
      <c r="I60" s="851"/>
      <c r="J60" s="851"/>
      <c r="K60" s="851"/>
      <c r="L60" s="851"/>
      <c r="M60" s="851"/>
      <c r="N60" s="851"/>
      <c r="O60" s="851"/>
      <c r="P60" s="851"/>
      <c r="Q60" s="851"/>
      <c r="R60" s="851"/>
      <c r="S60" s="851"/>
      <c r="T60" s="851"/>
      <c r="U60" s="851"/>
      <c r="V60" s="851"/>
      <c r="W60" s="851"/>
      <c r="X60" s="851"/>
      <c r="Y60" s="851"/>
      <c r="Z60" s="851"/>
      <c r="AA60" s="851"/>
      <c r="AB60" s="726">
        <f>+AB54+AB58</f>
        <v>0</v>
      </c>
      <c r="AC60" s="852">
        <f>IF(AB60&gt;0,SQRT(AD54+AD58+#REF!)/AB60,0)</f>
        <v>0</v>
      </c>
      <c r="AD60" s="726">
        <f>(AB60*AC60)^2</f>
        <v>0</v>
      </c>
      <c r="AE60" s="851"/>
      <c r="AF60" s="851"/>
      <c r="AG60" s="851"/>
      <c r="AH60" s="851"/>
      <c r="AI60" s="726">
        <f>+AI54+AI58</f>
        <v>0</v>
      </c>
      <c r="AJ60" s="852">
        <f>IF(AI60&gt;0,SQRT(AK54+AK58+#REF!)/AI60,0)</f>
        <v>0</v>
      </c>
      <c r="AK60" s="726">
        <f>(AI60*AJ60)^2</f>
        <v>0</v>
      </c>
      <c r="AL60" s="851"/>
      <c r="AM60" s="851"/>
      <c r="AN60" s="851"/>
      <c r="AO60" s="851"/>
      <c r="AP60" s="726">
        <f>+AP54+AP58</f>
        <v>0</v>
      </c>
      <c r="AQ60" s="852">
        <f>IF(AP60&gt;0,SQRT(AR54+AR58+#REF!)/AP60,0)</f>
        <v>0</v>
      </c>
      <c r="AR60" s="726">
        <f>(AP60*AQ60)^2</f>
        <v>0</v>
      </c>
      <c r="AS60" s="851"/>
      <c r="AT60" s="851"/>
      <c r="AU60" s="851"/>
      <c r="AV60" s="726">
        <f>+AV54+AV58</f>
        <v>0</v>
      </c>
      <c r="AW60" s="852">
        <f>IF(AV60&gt;0,SQRT(AX54+AX58+#REF!)/AV60,0)</f>
        <v>0</v>
      </c>
      <c r="AX60" s="726">
        <f>(AV60*AW60)^2</f>
        <v>0</v>
      </c>
      <c r="AY60" s="851"/>
      <c r="AZ60" s="851"/>
      <c r="BA60" s="851"/>
      <c r="BB60" s="853"/>
      <c r="BC60" s="726">
        <f>+BC54+BC58</f>
        <v>0</v>
      </c>
      <c r="BD60" s="852">
        <f>IF(BC60&gt;0,SQRT(BE54+BE58+#REF!)/BC60,0)</f>
        <v>0</v>
      </c>
      <c r="BE60" s="726">
        <f>(BC60*BD60)^2</f>
        <v>0</v>
      </c>
      <c r="BF60" s="854">
        <f>+BF54+BF58</f>
        <v>0</v>
      </c>
      <c r="BG60" s="855">
        <f>IF(BF60&gt;0,SQRT(BH54+BH58)/BF60,0)</f>
        <v>0</v>
      </c>
      <c r="BH60" s="28">
        <f>(BF60*BG60)^2</f>
        <v>0</v>
      </c>
      <c r="BI60" s="64"/>
      <c r="BJ60" s="168"/>
      <c r="BK60" s="168"/>
      <c r="BL60" s="168"/>
      <c r="BM60" s="169"/>
      <c r="BN60" s="169"/>
      <c r="BO60" s="169"/>
      <c r="BP60" s="168"/>
      <c r="BQ60" s="168"/>
      <c r="BR60" s="168"/>
      <c r="BS60" s="168"/>
      <c r="BT60" s="168"/>
      <c r="BU60" s="168"/>
      <c r="BV60" s="168"/>
      <c r="BW60" s="168"/>
      <c r="BX60" s="168"/>
      <c r="BY60" s="168"/>
      <c r="BZ60" s="168"/>
      <c r="CA60" s="168"/>
      <c r="CB60" s="170"/>
      <c r="CC60" s="168"/>
      <c r="CD60" s="168"/>
      <c r="CE60" s="170"/>
      <c r="CF60" s="170"/>
      <c r="CG60" s="170"/>
      <c r="CH60" s="170"/>
      <c r="CI60" s="168"/>
      <c r="CJ60" s="168"/>
      <c r="CK60" s="170"/>
      <c r="CL60" s="170"/>
      <c r="CM60" s="170"/>
      <c r="CN60" s="113"/>
      <c r="CO60" s="36"/>
      <c r="CP60" s="36"/>
      <c r="CQ60" s="36"/>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6"/>
      <c r="EA60" s="36"/>
      <c r="EB60" s="36"/>
      <c r="EC60" s="36"/>
      <c r="ED60" s="36"/>
      <c r="EE60" s="36"/>
      <c r="EF60" s="36"/>
      <c r="EG60" s="36"/>
    </row>
    <row r="61" spans="1:137" s="27" customFormat="1" x14ac:dyDescent="0.25">
      <c r="A61" s="26"/>
      <c r="E61" s="91"/>
      <c r="F61" s="91"/>
      <c r="G61" s="91"/>
      <c r="H61" s="91"/>
      <c r="I61" s="91"/>
      <c r="J61" s="91"/>
      <c r="K61" s="91"/>
      <c r="L61" s="91"/>
      <c r="M61" s="91"/>
      <c r="N61" s="91"/>
      <c r="O61" s="91"/>
      <c r="P61" s="91"/>
      <c r="Q61" s="91"/>
      <c r="R61" s="92"/>
      <c r="S61" s="91"/>
      <c r="T61" s="91"/>
      <c r="U61" s="91"/>
      <c r="V61" s="93"/>
      <c r="W61" s="93"/>
      <c r="Z61" s="93"/>
      <c r="AA61" s="94"/>
      <c r="AB61" s="94"/>
      <c r="AC61" s="93"/>
      <c r="AD61" s="94"/>
      <c r="AE61" s="95"/>
      <c r="AG61" s="93"/>
      <c r="AH61" s="96"/>
      <c r="AI61" s="96"/>
      <c r="AJ61" s="93"/>
      <c r="AK61" s="94"/>
      <c r="AN61" s="93"/>
      <c r="AO61" s="93"/>
      <c r="AP61" s="93"/>
      <c r="AQ61" s="93"/>
      <c r="AR61" s="94"/>
      <c r="AU61" s="93"/>
      <c r="AV61" s="94"/>
      <c r="AW61" s="93"/>
      <c r="AX61" s="94"/>
      <c r="BA61" s="93"/>
      <c r="BB61" s="94"/>
      <c r="BC61" s="94"/>
      <c r="BD61" s="93"/>
      <c r="BE61" s="94"/>
      <c r="BF61" s="91"/>
      <c r="BG61" s="93"/>
      <c r="BH61" s="28"/>
      <c r="BI61" s="64"/>
      <c r="BJ61" s="168"/>
      <c r="BK61" s="168"/>
      <c r="BL61" s="168"/>
      <c r="BM61" s="169"/>
      <c r="BN61" s="169"/>
      <c r="BO61" s="169"/>
      <c r="BP61" s="168"/>
      <c r="BQ61" s="168"/>
      <c r="BR61" s="168"/>
      <c r="BS61" s="168"/>
      <c r="BT61" s="168"/>
      <c r="BU61" s="168"/>
      <c r="BV61" s="168"/>
      <c r="BW61" s="168"/>
      <c r="BX61" s="168"/>
      <c r="BY61" s="168"/>
      <c r="BZ61" s="168"/>
      <c r="CA61" s="168"/>
      <c r="CB61" s="170"/>
      <c r="CC61" s="168"/>
      <c r="CD61" s="168"/>
      <c r="CE61" s="170"/>
      <c r="CF61" s="170"/>
      <c r="CG61" s="170"/>
      <c r="CH61" s="170"/>
      <c r="CI61" s="168"/>
      <c r="CJ61" s="168"/>
      <c r="CK61" s="170"/>
      <c r="CL61" s="170"/>
      <c r="CM61" s="170"/>
      <c r="CN61" s="113"/>
      <c r="CO61" s="36"/>
      <c r="CP61" s="36"/>
      <c r="CQ61" s="36"/>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6"/>
      <c r="EA61" s="36"/>
      <c r="EB61" s="36"/>
      <c r="EC61" s="36"/>
      <c r="ED61" s="36"/>
      <c r="EE61" s="36"/>
      <c r="EF61" s="36"/>
      <c r="EG61" s="36"/>
    </row>
    <row r="62" spans="1:137" s="27" customFormat="1" x14ac:dyDescent="0.25">
      <c r="A62" s="26"/>
      <c r="E62" s="91"/>
      <c r="F62" s="91"/>
      <c r="G62" s="91"/>
      <c r="H62" s="91"/>
      <c r="I62" s="91"/>
      <c r="J62" s="91"/>
      <c r="K62" s="91"/>
      <c r="L62" s="91"/>
      <c r="M62" s="91"/>
      <c r="N62" s="91"/>
      <c r="O62" s="91"/>
      <c r="P62" s="91"/>
      <c r="Q62" s="91"/>
      <c r="R62" s="92"/>
      <c r="S62" s="91"/>
      <c r="T62" s="91"/>
      <c r="U62" s="91"/>
      <c r="V62" s="93"/>
      <c r="W62" s="93"/>
      <c r="Z62" s="93"/>
      <c r="AA62" s="94"/>
      <c r="AB62" s="94"/>
      <c r="AC62" s="93"/>
      <c r="AD62" s="94"/>
      <c r="AE62" s="95"/>
      <c r="AG62" s="93"/>
      <c r="AH62" s="96"/>
      <c r="AI62" s="96"/>
      <c r="AJ62" s="93"/>
      <c r="AK62" s="94"/>
      <c r="AN62" s="93"/>
      <c r="AO62" s="93"/>
      <c r="AP62" s="93"/>
      <c r="AQ62" s="93"/>
      <c r="AR62" s="94"/>
      <c r="AU62" s="93"/>
      <c r="AV62" s="94"/>
      <c r="AW62" s="93"/>
      <c r="AX62" s="94"/>
      <c r="BA62" s="93"/>
      <c r="BB62" s="94"/>
      <c r="BC62" s="94"/>
      <c r="BD62" s="93"/>
      <c r="BE62" s="94"/>
      <c r="BF62" s="91"/>
      <c r="BG62" s="93"/>
      <c r="BH62" s="28"/>
      <c r="BI62" s="64"/>
      <c r="BJ62" s="168"/>
      <c r="BK62" s="168"/>
      <c r="BL62" s="168"/>
      <c r="BM62" s="169"/>
      <c r="BN62" s="169"/>
      <c r="BO62" s="169"/>
      <c r="BP62" s="168"/>
      <c r="BQ62" s="168"/>
      <c r="BR62" s="168"/>
      <c r="BS62" s="168"/>
      <c r="BT62" s="168"/>
      <c r="BU62" s="168"/>
      <c r="BV62" s="168"/>
      <c r="BW62" s="168"/>
      <c r="BX62" s="168"/>
      <c r="BY62" s="168"/>
      <c r="BZ62" s="168"/>
      <c r="CA62" s="168"/>
      <c r="CB62" s="170"/>
      <c r="CC62" s="168"/>
      <c r="CD62" s="168"/>
      <c r="CE62" s="170"/>
      <c r="CF62" s="170"/>
      <c r="CG62" s="170"/>
      <c r="CH62" s="170"/>
      <c r="CI62" s="168"/>
      <c r="CJ62" s="168"/>
      <c r="CK62" s="170"/>
      <c r="CL62" s="170"/>
      <c r="CM62" s="170"/>
      <c r="CN62" s="113"/>
      <c r="CO62" s="36"/>
      <c r="CP62" s="36"/>
      <c r="CQ62" s="36"/>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6"/>
      <c r="EA62" s="36"/>
      <c r="EB62" s="36"/>
      <c r="EC62" s="36"/>
      <c r="ED62" s="36"/>
      <c r="EE62" s="36"/>
      <c r="EF62" s="36"/>
      <c r="EG62" s="36"/>
    </row>
    <row r="63" spans="1:137" s="27" customFormat="1" x14ac:dyDescent="0.25">
      <c r="A63" s="26"/>
      <c r="E63" s="91"/>
      <c r="F63" s="91"/>
      <c r="G63" s="91"/>
      <c r="H63" s="91"/>
      <c r="I63" s="91"/>
      <c r="J63" s="91"/>
      <c r="K63" s="91"/>
      <c r="L63" s="91"/>
      <c r="M63" s="91"/>
      <c r="N63" s="91"/>
      <c r="O63" s="91"/>
      <c r="P63" s="91"/>
      <c r="Q63" s="91"/>
      <c r="R63" s="92"/>
      <c r="S63" s="91"/>
      <c r="T63" s="91"/>
      <c r="U63" s="91"/>
      <c r="V63" s="93"/>
      <c r="W63" s="93"/>
      <c r="Z63" s="93"/>
      <c r="AA63" s="94"/>
      <c r="AB63" s="94"/>
      <c r="AC63" s="93"/>
      <c r="AD63" s="94"/>
      <c r="AE63" s="95"/>
      <c r="AG63" s="93"/>
      <c r="AH63" s="96"/>
      <c r="AI63" s="96"/>
      <c r="AJ63" s="93"/>
      <c r="AK63" s="94"/>
      <c r="AN63" s="93"/>
      <c r="AO63" s="93"/>
      <c r="AP63" s="93"/>
      <c r="AQ63" s="93"/>
      <c r="AR63" s="94"/>
      <c r="AU63" s="93"/>
      <c r="AV63" s="94"/>
      <c r="AW63" s="93"/>
      <c r="AX63" s="94"/>
      <c r="BA63" s="93"/>
      <c r="BB63" s="94"/>
      <c r="BC63" s="94"/>
      <c r="BD63" s="93"/>
      <c r="BE63" s="94"/>
      <c r="BF63" s="91"/>
      <c r="BG63" s="93"/>
      <c r="BH63" s="28"/>
      <c r="BI63" s="64"/>
      <c r="BJ63" s="168"/>
      <c r="BK63" s="168"/>
      <c r="BL63" s="168"/>
      <c r="BM63" s="169"/>
      <c r="BN63" s="169"/>
      <c r="BO63" s="169"/>
      <c r="BP63" s="168"/>
      <c r="BQ63" s="168"/>
      <c r="BR63" s="168"/>
      <c r="BS63" s="168"/>
      <c r="BT63" s="168"/>
      <c r="BU63" s="168"/>
      <c r="BV63" s="168"/>
      <c r="BW63" s="168"/>
      <c r="BX63" s="168"/>
      <c r="BY63" s="168"/>
      <c r="BZ63" s="168"/>
      <c r="CA63" s="168"/>
      <c r="CB63" s="170"/>
      <c r="CC63" s="168"/>
      <c r="CD63" s="168"/>
      <c r="CE63" s="170"/>
      <c r="CF63" s="170"/>
      <c r="CG63" s="170"/>
      <c r="CH63" s="170"/>
      <c r="CI63" s="168"/>
      <c r="CJ63" s="168"/>
      <c r="CK63" s="170"/>
      <c r="CL63" s="170"/>
      <c r="CM63" s="170"/>
      <c r="CN63" s="113"/>
      <c r="CO63" s="36"/>
      <c r="CP63" s="36"/>
      <c r="CQ63" s="36"/>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6"/>
      <c r="EA63" s="36"/>
      <c r="EB63" s="36"/>
      <c r="EC63" s="36"/>
      <c r="ED63" s="36"/>
      <c r="EE63" s="36"/>
      <c r="EF63" s="36"/>
      <c r="EG63" s="36"/>
    </row>
    <row r="64" spans="1:137" s="27" customFormat="1" x14ac:dyDescent="0.25">
      <c r="A64" s="26"/>
      <c r="E64" s="91"/>
      <c r="F64" s="91"/>
      <c r="G64" s="91"/>
      <c r="H64" s="91"/>
      <c r="I64" s="91"/>
      <c r="J64" s="91"/>
      <c r="K64" s="91"/>
      <c r="L64" s="91"/>
      <c r="M64" s="91"/>
      <c r="N64" s="91"/>
      <c r="O64" s="91"/>
      <c r="P64" s="91"/>
      <c r="Q64" s="91"/>
      <c r="R64" s="92"/>
      <c r="S64" s="91"/>
      <c r="T64" s="91"/>
      <c r="U64" s="91"/>
      <c r="V64" s="93"/>
      <c r="W64" s="93"/>
      <c r="Z64" s="93"/>
      <c r="AA64" s="94"/>
      <c r="AB64" s="94"/>
      <c r="AC64" s="93"/>
      <c r="AD64" s="94"/>
      <c r="AE64" s="95"/>
      <c r="AG64" s="93"/>
      <c r="AH64" s="96"/>
      <c r="AI64" s="96"/>
      <c r="AJ64" s="93"/>
      <c r="AK64" s="94"/>
      <c r="AN64" s="93"/>
      <c r="AO64" s="93"/>
      <c r="AP64" s="93"/>
      <c r="AQ64" s="93"/>
      <c r="AR64" s="94"/>
      <c r="AU64" s="93"/>
      <c r="AV64" s="94"/>
      <c r="AW64" s="93"/>
      <c r="AX64" s="94"/>
      <c r="BA64" s="93"/>
      <c r="BB64" s="94"/>
      <c r="BC64" s="168"/>
      <c r="BD64" s="168"/>
      <c r="BE64" s="168"/>
      <c r="BF64" s="168"/>
      <c r="BG64" s="168"/>
      <c r="BH64" s="168"/>
      <c r="BI64" s="64"/>
      <c r="BJ64" s="168"/>
      <c r="BK64" s="168"/>
      <c r="BL64" s="168"/>
      <c r="BM64" s="169"/>
      <c r="BN64" s="169"/>
      <c r="BO64" s="169"/>
      <c r="BP64" s="168"/>
      <c r="BQ64" s="168"/>
      <c r="BR64" s="168"/>
      <c r="BS64" s="168"/>
      <c r="BT64" s="168"/>
      <c r="BU64" s="168"/>
      <c r="BV64" s="168"/>
      <c r="BW64" s="168"/>
      <c r="BX64" s="168"/>
      <c r="BY64" s="168"/>
      <c r="BZ64" s="168"/>
      <c r="CA64" s="168"/>
      <c r="CB64" s="170"/>
      <c r="CC64" s="168"/>
      <c r="CD64" s="168"/>
      <c r="CE64" s="170"/>
      <c r="CF64" s="170"/>
      <c r="CG64" s="170"/>
      <c r="CH64" s="170"/>
      <c r="CI64" s="168"/>
      <c r="CJ64" s="168"/>
      <c r="CK64" s="170"/>
      <c r="CL64" s="170"/>
      <c r="CM64" s="170"/>
      <c r="CN64" s="113"/>
      <c r="CO64" s="36"/>
      <c r="CP64" s="36"/>
      <c r="CQ64" s="36"/>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6"/>
      <c r="EA64" s="36"/>
      <c r="EB64" s="36"/>
      <c r="EC64" s="36"/>
      <c r="ED64" s="36"/>
      <c r="EE64" s="36"/>
      <c r="EF64" s="36"/>
      <c r="EG64" s="36"/>
    </row>
    <row r="65" spans="1:137" s="27" customFormat="1" ht="15.75" thickBot="1" x14ac:dyDescent="0.3">
      <c r="A65" s="26"/>
      <c r="E65" s="91"/>
      <c r="F65" s="91"/>
      <c r="G65" s="91"/>
      <c r="H65" s="91"/>
      <c r="I65" s="91"/>
      <c r="J65" s="91"/>
      <c r="K65" s="91"/>
      <c r="L65" s="91"/>
      <c r="M65" s="91"/>
      <c r="N65" s="91"/>
      <c r="O65" s="91"/>
      <c r="P65" s="91"/>
      <c r="Q65" s="91"/>
      <c r="R65" s="92"/>
      <c r="S65" s="91"/>
      <c r="T65" s="91"/>
      <c r="U65" s="91"/>
      <c r="V65" s="93"/>
      <c r="W65" s="93"/>
      <c r="Z65" s="93"/>
      <c r="AA65" s="94"/>
      <c r="AB65" s="94"/>
      <c r="AC65" s="93"/>
      <c r="AD65" s="94"/>
      <c r="AE65" s="95"/>
      <c r="AG65" s="93"/>
      <c r="AH65" s="96"/>
      <c r="AI65" s="96"/>
      <c r="AJ65" s="93"/>
      <c r="AK65" s="94"/>
      <c r="AN65" s="93"/>
      <c r="AO65" s="93"/>
      <c r="AP65" s="93"/>
      <c r="AQ65" s="93"/>
      <c r="AR65" s="94"/>
      <c r="AU65" s="93"/>
      <c r="AV65" s="94"/>
      <c r="AW65" s="93"/>
      <c r="AX65" s="94"/>
      <c r="BA65" s="93"/>
      <c r="BB65" s="94"/>
      <c r="BC65" s="168"/>
      <c r="BD65" s="168"/>
      <c r="BE65" s="168"/>
      <c r="BF65" s="168"/>
      <c r="BG65" s="168"/>
      <c r="BH65" s="168"/>
      <c r="BI65" s="64"/>
      <c r="BJ65" s="168"/>
      <c r="BK65" s="168"/>
      <c r="BL65" s="168"/>
      <c r="BM65" s="169"/>
      <c r="BN65" s="169"/>
      <c r="BO65" s="169"/>
      <c r="BP65" s="168"/>
      <c r="BQ65" s="168"/>
      <c r="BR65" s="168"/>
      <c r="BS65" s="168"/>
      <c r="BT65" s="168"/>
      <c r="BU65" s="168"/>
      <c r="BV65" s="168"/>
      <c r="BW65" s="168"/>
      <c r="BX65" s="168"/>
      <c r="BY65" s="168"/>
      <c r="BZ65" s="168"/>
      <c r="CA65" s="168"/>
      <c r="CB65" s="170"/>
      <c r="CC65" s="168"/>
      <c r="CD65" s="168"/>
      <c r="CE65" s="170"/>
      <c r="CF65" s="170"/>
      <c r="CG65" s="170"/>
      <c r="CH65" s="170"/>
      <c r="CI65" s="168"/>
      <c r="CJ65" s="168"/>
      <c r="CK65" s="170"/>
      <c r="CL65" s="170"/>
      <c r="CM65" s="170"/>
      <c r="CN65" s="113"/>
      <c r="CO65" s="36"/>
      <c r="CP65" s="36"/>
      <c r="CQ65" s="36"/>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6"/>
      <c r="EA65" s="36"/>
      <c r="EB65" s="36"/>
      <c r="EC65" s="36"/>
      <c r="ED65" s="36"/>
      <c r="EE65" s="36"/>
      <c r="EF65" s="36"/>
      <c r="EG65" s="36"/>
    </row>
    <row r="66" spans="1:137" s="64" customFormat="1" ht="32.25" thickBot="1" x14ac:dyDescent="0.3">
      <c r="A66" s="26"/>
      <c r="B66" s="739" t="s">
        <v>306</v>
      </c>
      <c r="C66" s="740"/>
      <c r="D66" s="740"/>
      <c r="E66" s="740"/>
      <c r="F66" s="740"/>
      <c r="G66" s="740"/>
      <c r="H66" s="740"/>
      <c r="I66" s="740"/>
      <c r="J66" s="740"/>
      <c r="K66" s="740"/>
      <c r="L66" s="740"/>
      <c r="M66" s="740"/>
      <c r="N66" s="740"/>
      <c r="O66" s="740"/>
      <c r="P66" s="740"/>
      <c r="Q66" s="740"/>
      <c r="R66" s="740"/>
      <c r="S66" s="740"/>
      <c r="T66" s="740"/>
      <c r="U66" s="740"/>
      <c r="V66" s="740"/>
      <c r="W66" s="740"/>
      <c r="X66" s="740"/>
      <c r="Y66" s="740"/>
      <c r="Z66" s="740"/>
      <c r="AA66" s="740"/>
      <c r="AB66" s="740"/>
      <c r="AC66" s="740"/>
      <c r="AD66" s="740"/>
      <c r="AE66" s="787"/>
      <c r="AF66" s="788"/>
      <c r="AG66" s="28"/>
      <c r="AI66" s="168"/>
      <c r="AJ66" s="168"/>
      <c r="AK66" s="168"/>
      <c r="AL66" s="169"/>
      <c r="AM66" s="169"/>
      <c r="AN66" s="169"/>
      <c r="AO66" s="168"/>
      <c r="AP66" s="168"/>
      <c r="AQ66" s="168"/>
      <c r="AR66" s="168"/>
      <c r="AS66" s="168"/>
      <c r="AT66" s="168"/>
      <c r="AU66" s="168"/>
      <c r="AV66" s="168"/>
      <c r="AW66" s="168"/>
      <c r="AX66" s="168"/>
      <c r="AY66" s="168"/>
      <c r="AZ66" s="168"/>
      <c r="BA66" s="170"/>
      <c r="BB66" s="168"/>
      <c r="BC66" s="168"/>
      <c r="BD66" s="168"/>
      <c r="BE66" s="168"/>
      <c r="BF66" s="168"/>
      <c r="BG66" s="168"/>
      <c r="BH66" s="168"/>
      <c r="BI66" s="168"/>
      <c r="BJ66" s="170"/>
      <c r="BK66" s="170"/>
      <c r="BL66" s="170"/>
      <c r="BM66" s="113"/>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6"/>
      <c r="CP66" s="36"/>
      <c r="CQ66" s="36"/>
      <c r="CR66" s="37"/>
      <c r="CS66" s="37"/>
      <c r="CT66" s="37"/>
      <c r="CU66" s="37"/>
      <c r="CV66" s="37"/>
      <c r="CW66" s="37"/>
      <c r="CX66" s="37"/>
      <c r="CY66" s="36"/>
      <c r="CZ66" s="36"/>
      <c r="DA66" s="36"/>
      <c r="DB66" s="36"/>
      <c r="DC66" s="36"/>
      <c r="DD66" s="36"/>
      <c r="DE66" s="36"/>
      <c r="DF66" s="36"/>
    </row>
    <row r="67" spans="1:137" s="27" customFormat="1" ht="15.75" customHeight="1" thickBot="1" x14ac:dyDescent="0.3">
      <c r="A67" s="26"/>
      <c r="B67" s="784"/>
      <c r="C67" s="785"/>
      <c r="D67" s="785"/>
      <c r="E67" s="785"/>
      <c r="F67" s="785"/>
      <c r="G67" s="785"/>
      <c r="H67" s="785"/>
      <c r="I67" s="785"/>
      <c r="J67" s="785"/>
      <c r="K67" s="785"/>
      <c r="L67" s="785"/>
      <c r="M67" s="785"/>
      <c r="N67" s="785"/>
      <c r="O67" s="785"/>
      <c r="P67" s="785"/>
      <c r="Q67" s="785"/>
      <c r="R67" s="785"/>
      <c r="S67" s="785"/>
      <c r="T67" s="785"/>
      <c r="U67" s="785"/>
      <c r="V67" s="785"/>
      <c r="W67" s="785"/>
      <c r="X67" s="785"/>
      <c r="Y67" s="785"/>
      <c r="Z67" s="785"/>
      <c r="AA67" s="785"/>
      <c r="AB67" s="785"/>
      <c r="AC67" s="785"/>
      <c r="AD67" s="785"/>
      <c r="AE67" s="786"/>
      <c r="AF67" s="789"/>
      <c r="AG67" s="28">
        <f>(BF67*B67)^2</f>
        <v>0</v>
      </c>
      <c r="AH67" s="64"/>
      <c r="AI67" s="168"/>
      <c r="AJ67" s="168"/>
      <c r="AK67" s="168"/>
      <c r="AL67" s="169"/>
      <c r="AM67" s="169"/>
      <c r="AN67" s="169"/>
      <c r="AO67" s="168"/>
      <c r="AP67" s="168"/>
      <c r="AQ67" s="168"/>
      <c r="AR67" s="168"/>
      <c r="AS67" s="168"/>
      <c r="AT67" s="168"/>
      <c r="AU67" s="168"/>
      <c r="AV67" s="168"/>
      <c r="AW67" s="168"/>
      <c r="AX67" s="168"/>
      <c r="AY67" s="168"/>
      <c r="AZ67" s="168"/>
      <c r="BA67" s="170"/>
      <c r="BB67" s="168"/>
      <c r="BC67" s="168"/>
      <c r="BD67" s="168"/>
      <c r="BE67" s="168"/>
      <c r="BF67" s="168"/>
      <c r="BG67" s="168"/>
      <c r="BH67" s="168"/>
      <c r="BI67" s="168"/>
      <c r="BJ67" s="170"/>
      <c r="BK67" s="170"/>
      <c r="BL67" s="170"/>
      <c r="BM67" s="113"/>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6"/>
      <c r="CP67" s="36"/>
      <c r="CQ67" s="36"/>
      <c r="CR67" s="37"/>
      <c r="CS67" s="37"/>
      <c r="CT67" s="37"/>
      <c r="CU67" s="37"/>
      <c r="CV67" s="37"/>
      <c r="CW67" s="37"/>
      <c r="CX67" s="37"/>
      <c r="CY67" s="36"/>
      <c r="CZ67" s="36"/>
      <c r="DA67" s="36"/>
      <c r="DB67" s="36"/>
      <c r="DC67" s="36"/>
      <c r="DD67" s="36"/>
      <c r="DE67" s="36"/>
      <c r="DF67" s="36"/>
    </row>
    <row r="68" spans="1:137" s="64" customFormat="1" x14ac:dyDescent="0.25">
      <c r="A68" s="26"/>
      <c r="B68" s="746" t="s">
        <v>48</v>
      </c>
      <c r="C68" s="747"/>
      <c r="D68" s="747"/>
      <c r="E68" s="747"/>
      <c r="F68" s="747"/>
      <c r="G68" s="747"/>
      <c r="H68" s="747"/>
      <c r="I68" s="747"/>
      <c r="J68" s="747"/>
      <c r="K68" s="747"/>
      <c r="L68" s="747"/>
      <c r="M68" s="747"/>
      <c r="N68" s="747"/>
      <c r="O68" s="747"/>
      <c r="P68" s="747"/>
      <c r="Q68" s="747"/>
      <c r="R68" s="747"/>
      <c r="S68" s="747"/>
      <c r="T68" s="747"/>
      <c r="U68" s="747"/>
      <c r="V68" s="747"/>
      <c r="W68" s="747"/>
      <c r="X68" s="747"/>
      <c r="Y68" s="747"/>
      <c r="Z68" s="747"/>
      <c r="AA68" s="747"/>
      <c r="AB68" s="747"/>
      <c r="AC68" s="747"/>
      <c r="AD68" s="747"/>
      <c r="AE68" s="748"/>
      <c r="AF68" s="749"/>
      <c r="AG68" s="28"/>
      <c r="AI68" s="168"/>
      <c r="AJ68" s="168"/>
      <c r="AK68" s="168"/>
      <c r="AL68" s="169"/>
      <c r="AM68" s="169"/>
      <c r="AN68" s="169"/>
      <c r="AO68" s="168"/>
      <c r="AP68" s="168"/>
      <c r="AQ68" s="168"/>
      <c r="AR68" s="168"/>
      <c r="AS68" s="168"/>
      <c r="AT68" s="168"/>
      <c r="AU68" s="168"/>
      <c r="AV68" s="168"/>
      <c r="AW68" s="168"/>
      <c r="AX68" s="168"/>
      <c r="AY68" s="168"/>
      <c r="AZ68" s="168"/>
      <c r="BA68" s="170"/>
      <c r="BB68" s="168"/>
      <c r="BC68" s="168"/>
      <c r="BD68" s="168"/>
      <c r="BE68" s="168"/>
      <c r="BF68" s="168"/>
      <c r="BG68" s="168"/>
      <c r="BH68" s="168"/>
      <c r="BI68" s="168"/>
      <c r="BJ68" s="170"/>
      <c r="BK68" s="170"/>
      <c r="BL68" s="170"/>
      <c r="BM68" s="113"/>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6"/>
      <c r="CP68" s="36"/>
      <c r="CQ68" s="36"/>
      <c r="CR68" s="37"/>
      <c r="CS68" s="37"/>
      <c r="CT68" s="37"/>
      <c r="CU68" s="37"/>
      <c r="CV68" s="37"/>
      <c r="CW68" s="37"/>
      <c r="CX68" s="37"/>
      <c r="CY68" s="36"/>
      <c r="CZ68" s="36"/>
      <c r="DA68" s="36"/>
      <c r="DB68" s="36"/>
      <c r="DC68" s="36"/>
      <c r="DD68" s="36"/>
      <c r="DE68" s="36"/>
      <c r="DF68" s="36"/>
    </row>
    <row r="69" spans="1:137" s="64" customFormat="1" ht="15" customHeight="1" x14ac:dyDescent="0.25">
      <c r="A69" s="26"/>
      <c r="B69" s="1730" t="s">
        <v>283</v>
      </c>
      <c r="C69" s="1731" t="s">
        <v>287</v>
      </c>
      <c r="D69" s="1701" t="s">
        <v>25</v>
      </c>
      <c r="E69" s="1701"/>
      <c r="F69" s="1701"/>
      <c r="G69" s="1701"/>
      <c r="H69" s="1701"/>
      <c r="I69" s="1701"/>
      <c r="J69" s="1701"/>
      <c r="K69" s="1701"/>
      <c r="L69" s="1701"/>
      <c r="M69" s="1701"/>
      <c r="N69" s="1701"/>
      <c r="O69" s="1701"/>
      <c r="P69" s="1701"/>
      <c r="Q69" s="1701"/>
      <c r="R69" s="1701"/>
      <c r="S69" s="1701" t="s">
        <v>193</v>
      </c>
      <c r="T69" s="1701"/>
      <c r="U69" s="1701"/>
      <c r="V69" s="1701"/>
      <c r="W69" s="1701"/>
      <c r="X69" s="1701" t="s">
        <v>201</v>
      </c>
      <c r="Y69" s="1701"/>
      <c r="Z69" s="1701"/>
      <c r="AA69" s="1701"/>
      <c r="AB69" s="1701"/>
      <c r="AC69" s="1701"/>
      <c r="AD69" s="1701"/>
      <c r="AE69" s="1701" t="s">
        <v>638</v>
      </c>
      <c r="AF69" s="1702" t="s">
        <v>26</v>
      </c>
      <c r="AG69" s="28"/>
      <c r="AI69" s="168"/>
      <c r="AJ69" s="168"/>
      <c r="AK69" s="168"/>
      <c r="AL69" s="169"/>
      <c r="AM69" s="169"/>
      <c r="AN69" s="169"/>
      <c r="AO69" s="168"/>
      <c r="AP69" s="168"/>
      <c r="AQ69" s="168"/>
      <c r="AR69" s="168"/>
      <c r="AS69" s="168"/>
      <c r="AT69" s="168"/>
      <c r="AU69" s="168"/>
      <c r="AV69" s="168"/>
      <c r="AW69" s="168"/>
      <c r="AX69" s="168"/>
      <c r="AY69" s="168"/>
      <c r="AZ69" s="168"/>
      <c r="BA69" s="170"/>
      <c r="BB69" s="168"/>
      <c r="BC69" s="168"/>
      <c r="BD69" s="168"/>
      <c r="BE69" s="168"/>
      <c r="BF69" s="168"/>
      <c r="BG69" s="168"/>
      <c r="BH69" s="168"/>
      <c r="BI69" s="168"/>
      <c r="BJ69" s="170"/>
      <c r="BK69" s="170"/>
      <c r="BL69" s="170"/>
      <c r="BM69" s="113"/>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80"/>
      <c r="CP69" s="80"/>
      <c r="CQ69" s="80"/>
      <c r="CR69" s="37"/>
      <c r="CS69" s="37"/>
      <c r="CT69" s="37"/>
      <c r="CU69" s="37"/>
      <c r="CV69" s="37"/>
      <c r="CW69" s="37"/>
      <c r="CX69" s="37"/>
      <c r="CY69" s="36"/>
      <c r="CZ69" s="36"/>
      <c r="DA69" s="36"/>
      <c r="DB69" s="36"/>
      <c r="DC69" s="36"/>
      <c r="DD69" s="36"/>
      <c r="DE69" s="36"/>
      <c r="DF69" s="36"/>
    </row>
    <row r="70" spans="1:137" s="64" customFormat="1" ht="36" x14ac:dyDescent="0.25">
      <c r="A70" s="26"/>
      <c r="B70" s="1730"/>
      <c r="C70" s="1731"/>
      <c r="D70" s="790" t="s">
        <v>27</v>
      </c>
      <c r="E70" s="790" t="s">
        <v>28</v>
      </c>
      <c r="F70" s="790" t="s">
        <v>29</v>
      </c>
      <c r="G70" s="790" t="s">
        <v>30</v>
      </c>
      <c r="H70" s="790" t="s">
        <v>31</v>
      </c>
      <c r="I70" s="790" t="s">
        <v>32</v>
      </c>
      <c r="J70" s="790" t="s">
        <v>33</v>
      </c>
      <c r="K70" s="790" t="s">
        <v>34</v>
      </c>
      <c r="L70" s="790" t="s">
        <v>35</v>
      </c>
      <c r="M70" s="790" t="s">
        <v>36</v>
      </c>
      <c r="N70" s="790" t="s">
        <v>37</v>
      </c>
      <c r="O70" s="790" t="s">
        <v>38</v>
      </c>
      <c r="P70" s="790" t="s">
        <v>39</v>
      </c>
      <c r="Q70" s="790" t="s">
        <v>40</v>
      </c>
      <c r="R70" s="790" t="s">
        <v>41</v>
      </c>
      <c r="S70" s="790" t="s">
        <v>42</v>
      </c>
      <c r="T70" s="790" t="s">
        <v>43</v>
      </c>
      <c r="U70" s="790" t="s">
        <v>44</v>
      </c>
      <c r="V70" s="790" t="s">
        <v>210</v>
      </c>
      <c r="W70" s="790" t="s">
        <v>193</v>
      </c>
      <c r="X70" s="790" t="s">
        <v>194</v>
      </c>
      <c r="Y70" s="790"/>
      <c r="Z70" s="790" t="s">
        <v>202</v>
      </c>
      <c r="AA70" s="790" t="s">
        <v>639</v>
      </c>
      <c r="AB70" s="790" t="s">
        <v>640</v>
      </c>
      <c r="AC70" s="790" t="s">
        <v>203</v>
      </c>
      <c r="AD70" s="790" t="s">
        <v>294</v>
      </c>
      <c r="AE70" s="1701"/>
      <c r="AF70" s="1702"/>
      <c r="AG70" s="28"/>
      <c r="AI70" s="168"/>
      <c r="AJ70" s="168"/>
      <c r="AK70" s="168"/>
      <c r="AL70" s="169"/>
      <c r="AM70" s="169"/>
      <c r="AN70" s="169"/>
      <c r="AO70" s="168"/>
      <c r="AP70" s="168"/>
      <c r="AQ70" s="168"/>
      <c r="AR70" s="168"/>
      <c r="AS70" s="168"/>
      <c r="AT70" s="168"/>
      <c r="AU70" s="168"/>
      <c r="AV70" s="168"/>
      <c r="AW70" s="168"/>
      <c r="AX70" s="168"/>
      <c r="AY70" s="168"/>
      <c r="AZ70" s="168"/>
      <c r="BA70" s="170"/>
      <c r="BB70" s="168"/>
      <c r="BC70" s="168"/>
      <c r="BD70" s="168"/>
      <c r="BE70" s="168"/>
      <c r="BF70" s="168"/>
      <c r="BG70" s="168"/>
      <c r="BH70" s="168"/>
      <c r="BI70" s="168"/>
      <c r="BJ70" s="170"/>
      <c r="BK70" s="170"/>
      <c r="BL70" s="170"/>
      <c r="BM70" s="113"/>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29"/>
      <c r="CP70" s="29"/>
      <c r="CQ70" s="29"/>
      <c r="CR70" s="37"/>
      <c r="CS70" s="37"/>
      <c r="CT70" s="37"/>
      <c r="CU70" s="37"/>
      <c r="CV70" s="37"/>
      <c r="CW70" s="37"/>
      <c r="CX70" s="37"/>
      <c r="CY70" s="36"/>
      <c r="CZ70" s="36"/>
      <c r="DA70" s="36"/>
      <c r="DB70" s="36"/>
      <c r="DC70" s="36"/>
      <c r="DD70" s="36"/>
      <c r="DE70" s="36"/>
      <c r="DF70" s="36"/>
    </row>
    <row r="71" spans="1:137" s="27" customFormat="1" ht="15" customHeight="1" x14ac:dyDescent="0.25">
      <c r="A71" s="26"/>
      <c r="B71" s="1724" t="s">
        <v>291</v>
      </c>
      <c r="C71" s="553"/>
      <c r="D71" s="791">
        <f t="shared" ref="D71:D78" si="74">VLOOKUP($C71,$BI$459:$BO$489,2,FALSE)</f>
        <v>0</v>
      </c>
      <c r="E71" s="1393"/>
      <c r="F71" s="421"/>
      <c r="G71" s="421"/>
      <c r="H71" s="421"/>
      <c r="I71" s="421"/>
      <c r="J71" s="421"/>
      <c r="K71" s="421"/>
      <c r="L71" s="421"/>
      <c r="M71" s="421"/>
      <c r="N71" s="421"/>
      <c r="O71" s="421"/>
      <c r="P71" s="421"/>
      <c r="Q71" s="665">
        <f t="shared" ref="Q71:Q78" si="75">SUM(E71:P71)</f>
        <v>0</v>
      </c>
      <c r="R71" s="665">
        <f t="shared" ref="R71:R78" si="76">COUNT(E71:P71)</f>
        <v>0</v>
      </c>
      <c r="S71" s="665">
        <f t="shared" ref="S71:S78" si="77">IF(R71&gt;1,AVERAGE(E71:P71),0)</f>
        <v>0</v>
      </c>
      <c r="T71" s="665">
        <f t="shared" ref="T71:T78" si="78">IF(R71&gt;1,STDEV(E71:P71),0)</f>
        <v>0</v>
      </c>
      <c r="U71" s="665">
        <f t="shared" ref="U71:U78" si="79">IF(R71&gt;1,VLOOKUP($R71,$AH$52:$AI$59,2,FALSE),0)</f>
        <v>0</v>
      </c>
      <c r="V71" s="424"/>
      <c r="W71" s="666">
        <f t="shared" ref="W71:W78" si="80">IF(R71&gt;1,1-((S71-((T71*U71)/(SQRT(R71))))/S71),VLOOKUP($C71,$BI$459:$BQ$489,8,FALSE))</f>
        <v>0</v>
      </c>
      <c r="X71" s="792">
        <f t="shared" ref="X71:X78" si="81">VLOOKUP($C71,$BI$459:$BO$489,3,FALSE)</f>
        <v>0</v>
      </c>
      <c r="Y71" s="793">
        <f t="shared" ref="Y71:Y78" si="82">VLOOKUP($C71,$BI$459:$BO$489,4,FALSE)</f>
        <v>0</v>
      </c>
      <c r="Z71" s="794">
        <f t="shared" ref="Z71:Z78" si="83">IF($Q71&gt;0,VLOOKUP($C71,$BI$459:$BO$489,6,FALSE),0)</f>
        <v>0</v>
      </c>
      <c r="AA71" s="795">
        <f t="shared" ref="AA71:AA78" si="84">($Q71*X71)/1000</f>
        <v>0</v>
      </c>
      <c r="AB71" s="795">
        <f t="shared" ref="AB71:AB78" si="85">AA71*1</f>
        <v>0</v>
      </c>
      <c r="AC71" s="794">
        <f t="shared" ref="AC71:AC78" si="86">IF(AA71&gt;0,SQRT(($W71*$W71)+(Z71*Z71)+($V71*$V71)),0)</f>
        <v>0</v>
      </c>
      <c r="AD71" s="795">
        <f t="shared" ref="AD71:AD79" si="87">(AB71*AC71)^2</f>
        <v>0</v>
      </c>
      <c r="AE71" s="796">
        <f t="shared" ref="AE71:AF78" si="88">AB71</f>
        <v>0</v>
      </c>
      <c r="AF71" s="761">
        <f t="shared" si="88"/>
        <v>0</v>
      </c>
      <c r="AG71" s="28">
        <f>(AE71*AF71)^2</f>
        <v>0</v>
      </c>
      <c r="AH71" s="64"/>
      <c r="AI71" s="168"/>
      <c r="AJ71" s="168"/>
      <c r="AK71" s="168"/>
      <c r="AL71" s="169"/>
      <c r="AM71" s="169"/>
      <c r="AN71" s="169"/>
      <c r="AO71" s="168"/>
      <c r="AP71" s="168"/>
      <c r="AQ71" s="168"/>
      <c r="AR71" s="168"/>
      <c r="AS71" s="168"/>
      <c r="AT71" s="168"/>
      <c r="AU71" s="168"/>
      <c r="AV71" s="168"/>
      <c r="AW71" s="168"/>
      <c r="AX71" s="168"/>
      <c r="AY71" s="168"/>
      <c r="AZ71" s="168"/>
      <c r="BA71" s="170"/>
      <c r="BB71" s="168"/>
      <c r="BC71" s="168"/>
      <c r="BD71" s="168"/>
      <c r="BE71" s="168"/>
      <c r="BF71" s="168"/>
      <c r="BG71" s="168"/>
      <c r="BH71" s="168"/>
      <c r="BI71" s="168"/>
      <c r="BJ71" s="170"/>
      <c r="BK71" s="170"/>
      <c r="BL71" s="170"/>
      <c r="BM71" s="113"/>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6"/>
      <c r="CP71" s="36"/>
      <c r="CQ71" s="36"/>
      <c r="CR71" s="37"/>
      <c r="CS71" s="37"/>
      <c r="CT71" s="37"/>
      <c r="CU71" s="37"/>
      <c r="CV71" s="37"/>
      <c r="CW71" s="37"/>
      <c r="CX71" s="37"/>
      <c r="CY71" s="36"/>
      <c r="CZ71" s="36"/>
      <c r="DA71" s="36"/>
      <c r="DB71" s="36"/>
      <c r="DC71" s="36"/>
      <c r="DD71" s="36"/>
      <c r="DE71" s="36"/>
      <c r="DF71" s="36"/>
    </row>
    <row r="72" spans="1:137" s="27" customFormat="1" x14ac:dyDescent="0.25">
      <c r="A72" s="26"/>
      <c r="B72" s="1724"/>
      <c r="C72" s="553"/>
      <c r="D72" s="791">
        <f t="shared" si="74"/>
        <v>0</v>
      </c>
      <c r="E72" s="1393"/>
      <c r="F72" s="421"/>
      <c r="G72" s="421"/>
      <c r="H72" s="421"/>
      <c r="I72" s="421"/>
      <c r="J72" s="421"/>
      <c r="K72" s="421"/>
      <c r="L72" s="421"/>
      <c r="M72" s="421"/>
      <c r="N72" s="421"/>
      <c r="O72" s="421"/>
      <c r="P72" s="421"/>
      <c r="Q72" s="665">
        <f>SUM(E72:P72)</f>
        <v>0</v>
      </c>
      <c r="R72" s="665">
        <f>COUNT(E72:P72)</f>
        <v>0</v>
      </c>
      <c r="S72" s="665">
        <f>IF(R72&gt;1,AVERAGE(E72:P72),0)</f>
        <v>0</v>
      </c>
      <c r="T72" s="665">
        <f>IF(R72&gt;1,STDEV(E72:P72),0)</f>
        <v>0</v>
      </c>
      <c r="U72" s="665">
        <f>IF(R72&gt;1,VLOOKUP($R72,$AH$52:$AI$59,2,FALSE),0)</f>
        <v>0</v>
      </c>
      <c r="V72" s="424"/>
      <c r="W72" s="666">
        <f t="shared" si="80"/>
        <v>0</v>
      </c>
      <c r="X72" s="792">
        <f t="shared" si="81"/>
        <v>0</v>
      </c>
      <c r="Y72" s="793">
        <f t="shared" si="82"/>
        <v>0</v>
      </c>
      <c r="Z72" s="794">
        <f t="shared" si="83"/>
        <v>0</v>
      </c>
      <c r="AA72" s="795">
        <f>($Q72*X72)/1000</f>
        <v>0</v>
      </c>
      <c r="AB72" s="795">
        <f>AA72*1</f>
        <v>0</v>
      </c>
      <c r="AC72" s="794">
        <f>IF(AA72&gt;0,SQRT(($W72*$W72)+(Z72*Z72)+($V72*$V72)),0)</f>
        <v>0</v>
      </c>
      <c r="AD72" s="795">
        <f>(AB72*AC72)^2</f>
        <v>0</v>
      </c>
      <c r="AE72" s="796">
        <f>AB72</f>
        <v>0</v>
      </c>
      <c r="AF72" s="761">
        <f>AC72</f>
        <v>0</v>
      </c>
      <c r="AG72" s="28">
        <f t="shared" ref="AG72:AG81" si="89">(AE72*AF72)^2</f>
        <v>0</v>
      </c>
      <c r="AH72" s="64"/>
      <c r="AI72" s="168"/>
      <c r="AJ72" s="168"/>
      <c r="AK72" s="168"/>
      <c r="AL72" s="169"/>
      <c r="AM72" s="169"/>
      <c r="AN72" s="169"/>
      <c r="AO72" s="168"/>
      <c r="AP72" s="168"/>
      <c r="AQ72" s="168"/>
      <c r="AR72" s="168"/>
      <c r="AS72" s="168"/>
      <c r="AT72" s="168"/>
      <c r="AU72" s="168"/>
      <c r="AV72" s="168"/>
      <c r="AW72" s="168"/>
      <c r="AX72" s="168"/>
      <c r="AY72" s="168"/>
      <c r="AZ72" s="168"/>
      <c r="BA72" s="170"/>
      <c r="BB72" s="168"/>
      <c r="BC72" s="168"/>
      <c r="BD72" s="168"/>
      <c r="BE72" s="168"/>
      <c r="BF72" s="168"/>
      <c r="BG72" s="168"/>
      <c r="BH72" s="168"/>
      <c r="BI72" s="168"/>
      <c r="BJ72" s="170"/>
      <c r="BK72" s="170"/>
      <c r="BL72" s="170"/>
      <c r="BM72" s="113"/>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100"/>
      <c r="CP72" s="100"/>
      <c r="CQ72" s="100"/>
      <c r="CR72" s="37"/>
      <c r="CS72" s="37"/>
      <c r="CT72" s="37"/>
      <c r="CU72" s="37"/>
      <c r="CV72" s="37"/>
      <c r="CW72" s="37"/>
      <c r="CX72" s="37"/>
      <c r="CY72" s="36"/>
      <c r="CZ72" s="36"/>
      <c r="DA72" s="36"/>
      <c r="DB72" s="36"/>
      <c r="DC72" s="36"/>
      <c r="DD72" s="36"/>
      <c r="DE72" s="36"/>
      <c r="DF72" s="36"/>
    </row>
    <row r="73" spans="1:137" s="27" customFormat="1" x14ac:dyDescent="0.25">
      <c r="A73" s="26"/>
      <c r="B73" s="1724"/>
      <c r="C73" s="553"/>
      <c r="D73" s="791">
        <f t="shared" si="74"/>
        <v>0</v>
      </c>
      <c r="E73" s="1393"/>
      <c r="F73" s="421"/>
      <c r="G73" s="421"/>
      <c r="H73" s="421"/>
      <c r="I73" s="421"/>
      <c r="J73" s="421"/>
      <c r="K73" s="421"/>
      <c r="L73" s="421"/>
      <c r="M73" s="421"/>
      <c r="N73" s="421"/>
      <c r="O73" s="421"/>
      <c r="P73" s="421"/>
      <c r="Q73" s="665">
        <f t="shared" si="75"/>
        <v>0</v>
      </c>
      <c r="R73" s="665">
        <f t="shared" si="76"/>
        <v>0</v>
      </c>
      <c r="S73" s="665">
        <f t="shared" si="77"/>
        <v>0</v>
      </c>
      <c r="T73" s="665">
        <f t="shared" si="78"/>
        <v>0</v>
      </c>
      <c r="U73" s="665">
        <f t="shared" si="79"/>
        <v>0</v>
      </c>
      <c r="V73" s="424"/>
      <c r="W73" s="666">
        <f t="shared" si="80"/>
        <v>0</v>
      </c>
      <c r="X73" s="792">
        <f t="shared" si="81"/>
        <v>0</v>
      </c>
      <c r="Y73" s="793">
        <f t="shared" si="82"/>
        <v>0</v>
      </c>
      <c r="Z73" s="794">
        <f t="shared" si="83"/>
        <v>0</v>
      </c>
      <c r="AA73" s="795">
        <f t="shared" si="84"/>
        <v>0</v>
      </c>
      <c r="AB73" s="795">
        <f t="shared" si="85"/>
        <v>0</v>
      </c>
      <c r="AC73" s="794">
        <f t="shared" si="86"/>
        <v>0</v>
      </c>
      <c r="AD73" s="795">
        <f t="shared" si="87"/>
        <v>0</v>
      </c>
      <c r="AE73" s="796">
        <f t="shared" si="88"/>
        <v>0</v>
      </c>
      <c r="AF73" s="761">
        <f t="shared" si="88"/>
        <v>0</v>
      </c>
      <c r="AG73" s="28">
        <f t="shared" si="89"/>
        <v>0</v>
      </c>
      <c r="AH73" s="64"/>
      <c r="AI73" s="168"/>
      <c r="AJ73" s="168"/>
      <c r="AK73" s="168"/>
      <c r="AL73" s="169"/>
      <c r="AM73" s="169"/>
      <c r="AN73" s="169"/>
      <c r="AO73" s="168"/>
      <c r="AP73" s="168"/>
      <c r="AQ73" s="168"/>
      <c r="AR73" s="168"/>
      <c r="AS73" s="168"/>
      <c r="AT73" s="168"/>
      <c r="AU73" s="168"/>
      <c r="AV73" s="168"/>
      <c r="AW73" s="168"/>
      <c r="AX73" s="168"/>
      <c r="AY73" s="168"/>
      <c r="AZ73" s="168"/>
      <c r="BA73" s="170"/>
      <c r="BB73" s="168"/>
      <c r="BC73" s="168"/>
      <c r="BD73" s="168"/>
      <c r="BE73" s="168"/>
      <c r="BF73" s="168"/>
      <c r="BG73" s="168"/>
      <c r="BH73" s="168"/>
      <c r="BI73" s="168"/>
      <c r="BJ73" s="170"/>
      <c r="BK73" s="170"/>
      <c r="BL73" s="170"/>
      <c r="BM73" s="113"/>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100"/>
      <c r="CP73" s="100"/>
      <c r="CQ73" s="100"/>
      <c r="CR73" s="37"/>
      <c r="CS73" s="37"/>
      <c r="CT73" s="37"/>
      <c r="CU73" s="37"/>
      <c r="CV73" s="37"/>
      <c r="CW73" s="37"/>
      <c r="CX73" s="37"/>
      <c r="CY73" s="36"/>
      <c r="CZ73" s="36"/>
      <c r="DA73" s="36"/>
      <c r="DB73" s="36"/>
      <c r="DC73" s="36"/>
      <c r="DD73" s="36"/>
      <c r="DE73" s="36"/>
      <c r="DF73" s="36"/>
    </row>
    <row r="74" spans="1:137" s="27" customFormat="1" x14ac:dyDescent="0.25">
      <c r="A74" s="26"/>
      <c r="B74" s="1724"/>
      <c r="C74" s="553"/>
      <c r="D74" s="791">
        <f t="shared" si="74"/>
        <v>0</v>
      </c>
      <c r="E74" s="1393"/>
      <c r="F74" s="421"/>
      <c r="G74" s="421"/>
      <c r="H74" s="421"/>
      <c r="I74" s="421"/>
      <c r="J74" s="421"/>
      <c r="K74" s="421"/>
      <c r="L74" s="421"/>
      <c r="M74" s="421"/>
      <c r="N74" s="421"/>
      <c r="O74" s="421"/>
      <c r="P74" s="421"/>
      <c r="Q74" s="665">
        <f t="shared" si="75"/>
        <v>0</v>
      </c>
      <c r="R74" s="665">
        <f t="shared" si="76"/>
        <v>0</v>
      </c>
      <c r="S74" s="665">
        <f t="shared" si="77"/>
        <v>0</v>
      </c>
      <c r="T74" s="665">
        <f t="shared" si="78"/>
        <v>0</v>
      </c>
      <c r="U74" s="665">
        <f t="shared" si="79"/>
        <v>0</v>
      </c>
      <c r="V74" s="424"/>
      <c r="W74" s="666">
        <f t="shared" si="80"/>
        <v>0</v>
      </c>
      <c r="X74" s="792">
        <f t="shared" si="81"/>
        <v>0</v>
      </c>
      <c r="Y74" s="793">
        <f t="shared" si="82"/>
        <v>0</v>
      </c>
      <c r="Z74" s="794">
        <f t="shared" si="83"/>
        <v>0</v>
      </c>
      <c r="AA74" s="795">
        <f t="shared" si="84"/>
        <v>0</v>
      </c>
      <c r="AB74" s="795">
        <f t="shared" si="85"/>
        <v>0</v>
      </c>
      <c r="AC74" s="794">
        <f t="shared" si="86"/>
        <v>0</v>
      </c>
      <c r="AD74" s="795">
        <f t="shared" si="87"/>
        <v>0</v>
      </c>
      <c r="AE74" s="796">
        <f t="shared" si="88"/>
        <v>0</v>
      </c>
      <c r="AF74" s="761">
        <f t="shared" si="88"/>
        <v>0</v>
      </c>
      <c r="AG74" s="28">
        <f t="shared" si="89"/>
        <v>0</v>
      </c>
      <c r="AH74" s="64"/>
      <c r="AI74" s="168"/>
      <c r="AJ74" s="168"/>
      <c r="AK74" s="168"/>
      <c r="AL74" s="169"/>
      <c r="AM74" s="169"/>
      <c r="AN74" s="169"/>
      <c r="AO74" s="168"/>
      <c r="AP74" s="168"/>
      <c r="AQ74" s="168"/>
      <c r="AR74" s="168"/>
      <c r="AS74" s="168"/>
      <c r="AT74" s="168"/>
      <c r="AU74" s="168"/>
      <c r="AV74" s="168"/>
      <c r="AW74" s="168"/>
      <c r="AX74" s="168"/>
      <c r="AY74" s="168"/>
      <c r="AZ74" s="168"/>
      <c r="BA74" s="170"/>
      <c r="BB74" s="168"/>
      <c r="BC74" s="168"/>
      <c r="BD74" s="168"/>
      <c r="BE74" s="168"/>
      <c r="BF74" s="168"/>
      <c r="BG74" s="168"/>
      <c r="BH74" s="168"/>
      <c r="BI74" s="168"/>
      <c r="BJ74" s="170"/>
      <c r="BK74" s="170"/>
      <c r="BL74" s="170"/>
      <c r="BM74" s="113"/>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100"/>
      <c r="CP74" s="100"/>
      <c r="CQ74" s="100"/>
      <c r="CR74" s="37"/>
      <c r="CS74" s="37"/>
      <c r="CT74" s="37"/>
      <c r="CU74" s="37"/>
      <c r="CV74" s="37"/>
      <c r="CW74" s="37"/>
      <c r="CX74" s="37"/>
      <c r="CY74" s="36"/>
      <c r="CZ74" s="36"/>
      <c r="DA74" s="36"/>
      <c r="DB74" s="36"/>
      <c r="DC74" s="36"/>
      <c r="DD74" s="36"/>
      <c r="DE74" s="36"/>
      <c r="DF74" s="36"/>
    </row>
    <row r="75" spans="1:137" s="27" customFormat="1" ht="15" customHeight="1" x14ac:dyDescent="0.25">
      <c r="A75" s="26"/>
      <c r="B75" s="1724" t="s">
        <v>290</v>
      </c>
      <c r="C75" s="553"/>
      <c r="D75" s="791">
        <f t="shared" si="74"/>
        <v>0</v>
      </c>
      <c r="E75" s="1393"/>
      <c r="F75" s="421"/>
      <c r="G75" s="421"/>
      <c r="H75" s="421"/>
      <c r="I75" s="421"/>
      <c r="J75" s="421"/>
      <c r="K75" s="421"/>
      <c r="L75" s="421"/>
      <c r="M75" s="421"/>
      <c r="N75" s="421"/>
      <c r="O75" s="421"/>
      <c r="P75" s="421"/>
      <c r="Q75" s="665">
        <f t="shared" si="75"/>
        <v>0</v>
      </c>
      <c r="R75" s="665">
        <f t="shared" si="76"/>
        <v>0</v>
      </c>
      <c r="S75" s="665">
        <f t="shared" si="77"/>
        <v>0</v>
      </c>
      <c r="T75" s="665">
        <f t="shared" si="78"/>
        <v>0</v>
      </c>
      <c r="U75" s="665">
        <f t="shared" si="79"/>
        <v>0</v>
      </c>
      <c r="V75" s="424"/>
      <c r="W75" s="666">
        <f t="shared" si="80"/>
        <v>0</v>
      </c>
      <c r="X75" s="792">
        <f t="shared" si="81"/>
        <v>0</v>
      </c>
      <c r="Y75" s="793">
        <f t="shared" si="82"/>
        <v>0</v>
      </c>
      <c r="Z75" s="794">
        <f t="shared" si="83"/>
        <v>0</v>
      </c>
      <c r="AA75" s="795">
        <f t="shared" si="84"/>
        <v>0</v>
      </c>
      <c r="AB75" s="795">
        <f t="shared" si="85"/>
        <v>0</v>
      </c>
      <c r="AC75" s="794">
        <f t="shared" si="86"/>
        <v>0</v>
      </c>
      <c r="AD75" s="795">
        <f t="shared" si="87"/>
        <v>0</v>
      </c>
      <c r="AE75" s="796">
        <f t="shared" si="88"/>
        <v>0</v>
      </c>
      <c r="AF75" s="761">
        <f t="shared" si="88"/>
        <v>0</v>
      </c>
      <c r="AG75" s="28">
        <f t="shared" si="89"/>
        <v>0</v>
      </c>
      <c r="AH75" s="64"/>
      <c r="AI75" s="168"/>
      <c r="AJ75" s="168"/>
      <c r="AK75" s="168"/>
      <c r="AL75" s="169"/>
      <c r="AM75" s="169"/>
      <c r="AN75" s="169"/>
      <c r="AO75" s="168"/>
      <c r="AP75" s="168"/>
      <c r="AQ75" s="168"/>
      <c r="AR75" s="168"/>
      <c r="AS75" s="168"/>
      <c r="AT75" s="168"/>
      <c r="AU75" s="168"/>
      <c r="AV75" s="168"/>
      <c r="AW75" s="168"/>
      <c r="AX75" s="168"/>
      <c r="AY75" s="168"/>
      <c r="AZ75" s="168"/>
      <c r="BA75" s="170"/>
      <c r="BB75" s="168"/>
      <c r="BC75" s="168"/>
      <c r="BD75" s="168"/>
      <c r="BE75" s="168"/>
      <c r="BF75" s="168"/>
      <c r="BG75" s="168"/>
      <c r="BH75" s="168"/>
      <c r="BI75" s="168"/>
      <c r="BJ75" s="170"/>
      <c r="BK75" s="170"/>
      <c r="BL75" s="170"/>
      <c r="BM75" s="113"/>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100"/>
      <c r="CP75" s="100"/>
      <c r="CQ75" s="100"/>
      <c r="CR75" s="37"/>
      <c r="CS75" s="37"/>
      <c r="CT75" s="37"/>
      <c r="CU75" s="37"/>
      <c r="CV75" s="37"/>
      <c r="CW75" s="37"/>
      <c r="CX75" s="37"/>
      <c r="CY75" s="36"/>
      <c r="CZ75" s="36"/>
      <c r="DA75" s="36"/>
      <c r="DB75" s="36"/>
      <c r="DC75" s="36"/>
      <c r="DD75" s="36"/>
      <c r="DE75" s="36"/>
      <c r="DF75" s="36"/>
    </row>
    <row r="76" spans="1:137" s="27" customFormat="1" x14ac:dyDescent="0.25">
      <c r="A76" s="26"/>
      <c r="B76" s="1724"/>
      <c r="C76" s="553"/>
      <c r="D76" s="791">
        <f t="shared" si="74"/>
        <v>0</v>
      </c>
      <c r="E76" s="1393"/>
      <c r="F76" s="421"/>
      <c r="G76" s="421"/>
      <c r="H76" s="421"/>
      <c r="I76" s="421"/>
      <c r="J76" s="421"/>
      <c r="K76" s="421"/>
      <c r="L76" s="421"/>
      <c r="M76" s="421"/>
      <c r="N76" s="421"/>
      <c r="O76" s="421"/>
      <c r="P76" s="421"/>
      <c r="Q76" s="665">
        <f t="shared" si="75"/>
        <v>0</v>
      </c>
      <c r="R76" s="665">
        <f t="shared" si="76"/>
        <v>0</v>
      </c>
      <c r="S76" s="665">
        <f t="shared" si="77"/>
        <v>0</v>
      </c>
      <c r="T76" s="665">
        <f t="shared" si="78"/>
        <v>0</v>
      </c>
      <c r="U76" s="665">
        <f t="shared" si="79"/>
        <v>0</v>
      </c>
      <c r="V76" s="424"/>
      <c r="W76" s="666">
        <f t="shared" si="80"/>
        <v>0</v>
      </c>
      <c r="X76" s="792">
        <f t="shared" si="81"/>
        <v>0</v>
      </c>
      <c r="Y76" s="793">
        <f t="shared" si="82"/>
        <v>0</v>
      </c>
      <c r="Z76" s="794">
        <f t="shared" si="83"/>
        <v>0</v>
      </c>
      <c r="AA76" s="795">
        <f t="shared" si="84"/>
        <v>0</v>
      </c>
      <c r="AB76" s="795">
        <f t="shared" si="85"/>
        <v>0</v>
      </c>
      <c r="AC76" s="794">
        <f t="shared" si="86"/>
        <v>0</v>
      </c>
      <c r="AD76" s="795">
        <f t="shared" si="87"/>
        <v>0</v>
      </c>
      <c r="AE76" s="796">
        <f t="shared" si="88"/>
        <v>0</v>
      </c>
      <c r="AF76" s="761">
        <f t="shared" si="88"/>
        <v>0</v>
      </c>
      <c r="AG76" s="28">
        <f t="shared" si="89"/>
        <v>0</v>
      </c>
      <c r="AH76" s="64"/>
      <c r="AI76" s="168"/>
      <c r="AJ76" s="168"/>
      <c r="AK76" s="168"/>
      <c r="AL76" s="169"/>
      <c r="AM76" s="169"/>
      <c r="AN76" s="169"/>
      <c r="AO76" s="168"/>
      <c r="AP76" s="168"/>
      <c r="AQ76" s="168"/>
      <c r="AR76" s="168"/>
      <c r="AS76" s="168"/>
      <c r="AT76" s="168"/>
      <c r="AU76" s="168"/>
      <c r="AV76" s="168"/>
      <c r="AW76" s="168"/>
      <c r="AX76" s="168"/>
      <c r="AY76" s="168"/>
      <c r="AZ76" s="168"/>
      <c r="BA76" s="170"/>
      <c r="BB76" s="168"/>
      <c r="BC76" s="168"/>
      <c r="BD76" s="168"/>
      <c r="BE76" s="168"/>
      <c r="BF76" s="168"/>
      <c r="BG76" s="168"/>
      <c r="BH76" s="168"/>
      <c r="BI76" s="168"/>
      <c r="BJ76" s="170"/>
      <c r="BK76" s="170"/>
      <c r="BL76" s="170"/>
      <c r="BM76" s="113"/>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100"/>
      <c r="CP76" s="100"/>
      <c r="CQ76" s="100"/>
      <c r="CR76" s="37"/>
      <c r="CS76" s="37"/>
      <c r="CT76" s="37"/>
      <c r="CU76" s="37"/>
      <c r="CV76" s="37"/>
      <c r="CW76" s="37"/>
      <c r="CX76" s="37"/>
      <c r="CY76" s="36"/>
      <c r="CZ76" s="36"/>
      <c r="DA76" s="36"/>
      <c r="DB76" s="36"/>
      <c r="DC76" s="36"/>
      <c r="DD76" s="36"/>
      <c r="DE76" s="36"/>
      <c r="DF76" s="36"/>
    </row>
    <row r="77" spans="1:137" s="27" customFormat="1" ht="15" customHeight="1" x14ac:dyDescent="0.25">
      <c r="A77" s="26"/>
      <c r="B77" s="1725" t="s">
        <v>289</v>
      </c>
      <c r="C77" s="553"/>
      <c r="D77" s="791">
        <f t="shared" si="74"/>
        <v>0</v>
      </c>
      <c r="E77" s="1393"/>
      <c r="F77" s="421"/>
      <c r="G77" s="421"/>
      <c r="H77" s="421"/>
      <c r="I77" s="421"/>
      <c r="J77" s="421"/>
      <c r="K77" s="421"/>
      <c r="L77" s="421"/>
      <c r="M77" s="421"/>
      <c r="N77" s="421"/>
      <c r="O77" s="421"/>
      <c r="P77" s="421"/>
      <c r="Q77" s="665">
        <f t="shared" si="75"/>
        <v>0</v>
      </c>
      <c r="R77" s="665">
        <f t="shared" si="76"/>
        <v>0</v>
      </c>
      <c r="S77" s="665">
        <f t="shared" si="77"/>
        <v>0</v>
      </c>
      <c r="T77" s="665">
        <f t="shared" si="78"/>
        <v>0</v>
      </c>
      <c r="U77" s="665">
        <f t="shared" si="79"/>
        <v>0</v>
      </c>
      <c r="V77" s="424"/>
      <c r="W77" s="666">
        <f t="shared" si="80"/>
        <v>0</v>
      </c>
      <c r="X77" s="792">
        <f t="shared" si="81"/>
        <v>0</v>
      </c>
      <c r="Y77" s="793">
        <f t="shared" si="82"/>
        <v>0</v>
      </c>
      <c r="Z77" s="794">
        <f t="shared" si="83"/>
        <v>0</v>
      </c>
      <c r="AA77" s="795">
        <f t="shared" si="84"/>
        <v>0</v>
      </c>
      <c r="AB77" s="795">
        <f t="shared" si="85"/>
        <v>0</v>
      </c>
      <c r="AC77" s="794">
        <f t="shared" si="86"/>
        <v>0</v>
      </c>
      <c r="AD77" s="795">
        <f t="shared" si="87"/>
        <v>0</v>
      </c>
      <c r="AE77" s="796">
        <f t="shared" si="88"/>
        <v>0</v>
      </c>
      <c r="AF77" s="761">
        <f t="shared" si="88"/>
        <v>0</v>
      </c>
      <c r="AG77" s="28">
        <f t="shared" si="89"/>
        <v>0</v>
      </c>
      <c r="AH77" s="64"/>
      <c r="AI77" s="168"/>
      <c r="AJ77" s="168"/>
      <c r="AK77" s="168"/>
      <c r="AL77" s="169"/>
      <c r="AM77" s="169"/>
      <c r="AN77" s="169"/>
      <c r="AO77" s="168"/>
      <c r="AP77" s="168"/>
      <c r="AQ77" s="168"/>
      <c r="AR77" s="168"/>
      <c r="AS77" s="168"/>
      <c r="AT77" s="168"/>
      <c r="AU77" s="168"/>
      <c r="AV77" s="168"/>
      <c r="AW77" s="168"/>
      <c r="AX77" s="168"/>
      <c r="AY77" s="168"/>
      <c r="AZ77" s="168"/>
      <c r="BA77" s="170"/>
      <c r="BB77" s="168"/>
      <c r="BC77" s="168"/>
      <c r="BD77" s="168"/>
      <c r="BE77" s="168"/>
      <c r="BF77" s="168"/>
      <c r="BG77" s="168"/>
      <c r="BH77" s="168"/>
      <c r="BI77" s="168"/>
      <c r="BJ77" s="170"/>
      <c r="BK77" s="170"/>
      <c r="BL77" s="170"/>
      <c r="BM77" s="113"/>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100"/>
      <c r="CP77" s="100"/>
      <c r="CQ77" s="100"/>
      <c r="CR77" s="37"/>
      <c r="CS77" s="37"/>
      <c r="CT77" s="37"/>
      <c r="CU77" s="37"/>
      <c r="CV77" s="37"/>
      <c r="CW77" s="37"/>
      <c r="CX77" s="37"/>
      <c r="CY77" s="36"/>
      <c r="CZ77" s="36"/>
      <c r="DA77" s="36"/>
      <c r="DB77" s="36"/>
      <c r="DC77" s="36"/>
      <c r="DD77" s="36"/>
      <c r="DE77" s="36"/>
      <c r="DF77" s="36"/>
    </row>
    <row r="78" spans="1:137" s="27" customFormat="1" x14ac:dyDescent="0.25">
      <c r="A78" s="26"/>
      <c r="B78" s="1726"/>
      <c r="C78" s="553"/>
      <c r="D78" s="791">
        <f t="shared" si="74"/>
        <v>0</v>
      </c>
      <c r="E78" s="1393"/>
      <c r="F78" s="421"/>
      <c r="G78" s="421"/>
      <c r="H78" s="421"/>
      <c r="I78" s="421"/>
      <c r="J78" s="421"/>
      <c r="K78" s="421"/>
      <c r="L78" s="421"/>
      <c r="M78" s="421"/>
      <c r="N78" s="421"/>
      <c r="O78" s="421"/>
      <c r="P78" s="421"/>
      <c r="Q78" s="665">
        <f t="shared" si="75"/>
        <v>0</v>
      </c>
      <c r="R78" s="665">
        <f t="shared" si="76"/>
        <v>0</v>
      </c>
      <c r="S78" s="665">
        <f t="shared" si="77"/>
        <v>0</v>
      </c>
      <c r="T78" s="665">
        <f t="shared" si="78"/>
        <v>0</v>
      </c>
      <c r="U78" s="665">
        <f t="shared" si="79"/>
        <v>0</v>
      </c>
      <c r="V78" s="424"/>
      <c r="W78" s="666">
        <f t="shared" si="80"/>
        <v>0</v>
      </c>
      <c r="X78" s="792">
        <f t="shared" si="81"/>
        <v>0</v>
      </c>
      <c r="Y78" s="793">
        <f t="shared" si="82"/>
        <v>0</v>
      </c>
      <c r="Z78" s="794">
        <f t="shared" si="83"/>
        <v>0</v>
      </c>
      <c r="AA78" s="795">
        <f t="shared" si="84"/>
        <v>0</v>
      </c>
      <c r="AB78" s="795">
        <f t="shared" si="85"/>
        <v>0</v>
      </c>
      <c r="AC78" s="794">
        <f t="shared" si="86"/>
        <v>0</v>
      </c>
      <c r="AD78" s="795">
        <f t="shared" si="87"/>
        <v>0</v>
      </c>
      <c r="AE78" s="796">
        <f t="shared" si="88"/>
        <v>0</v>
      </c>
      <c r="AF78" s="761">
        <f t="shared" si="88"/>
        <v>0</v>
      </c>
      <c r="AG78" s="28">
        <f t="shared" si="89"/>
        <v>0</v>
      </c>
      <c r="AH78" s="64"/>
      <c r="AI78" s="168"/>
      <c r="AJ78" s="168"/>
      <c r="AK78" s="168"/>
      <c r="AL78" s="169"/>
      <c r="AM78" s="169"/>
      <c r="AN78" s="169"/>
      <c r="AO78" s="168"/>
      <c r="AP78" s="168"/>
      <c r="AQ78" s="168"/>
      <c r="AR78" s="168"/>
      <c r="AS78" s="168"/>
      <c r="AT78" s="168"/>
      <c r="AU78" s="168"/>
      <c r="AV78" s="168"/>
      <c r="AW78" s="168"/>
      <c r="AX78" s="168"/>
      <c r="AY78" s="168"/>
      <c r="AZ78" s="168"/>
      <c r="BA78" s="170"/>
      <c r="BB78" s="168"/>
      <c r="BC78" s="168"/>
      <c r="BD78" s="168"/>
      <c r="BE78" s="168"/>
      <c r="BF78" s="168"/>
      <c r="BG78" s="168"/>
      <c r="BH78" s="168"/>
      <c r="BI78" s="168"/>
      <c r="BJ78" s="170"/>
      <c r="BK78" s="170"/>
      <c r="BL78" s="170"/>
      <c r="BM78" s="113"/>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100"/>
      <c r="CP78" s="100"/>
      <c r="CQ78" s="100"/>
      <c r="CR78" s="37"/>
      <c r="CS78" s="37"/>
      <c r="CT78" s="37"/>
      <c r="CU78" s="37"/>
      <c r="CV78" s="37"/>
      <c r="CW78" s="37"/>
      <c r="CX78" s="37"/>
      <c r="CY78" s="36"/>
      <c r="CZ78" s="36"/>
      <c r="DA78" s="36"/>
      <c r="DB78" s="36"/>
      <c r="DC78" s="36"/>
      <c r="DD78" s="36"/>
      <c r="DE78" s="36"/>
      <c r="DF78" s="36"/>
    </row>
    <row r="79" spans="1:137" s="27" customFormat="1" x14ac:dyDescent="0.25">
      <c r="A79" s="26"/>
      <c r="B79" s="1727" t="s">
        <v>50</v>
      </c>
      <c r="C79" s="1728"/>
      <c r="D79" s="1728"/>
      <c r="E79" s="1728"/>
      <c r="F79" s="1728"/>
      <c r="G79" s="1728"/>
      <c r="H79" s="1728"/>
      <c r="I79" s="1728"/>
      <c r="J79" s="1728"/>
      <c r="K79" s="1728"/>
      <c r="L79" s="1728"/>
      <c r="M79" s="1728"/>
      <c r="N79" s="1728"/>
      <c r="O79" s="1728"/>
      <c r="P79" s="1728"/>
      <c r="Q79" s="1728"/>
      <c r="R79" s="1728"/>
      <c r="S79" s="1728"/>
      <c r="T79" s="1728"/>
      <c r="U79" s="1728"/>
      <c r="V79" s="1728"/>
      <c r="W79" s="1728"/>
      <c r="X79" s="1728"/>
      <c r="Y79" s="1728"/>
      <c r="Z79" s="1728"/>
      <c r="AA79" s="1729"/>
      <c r="AB79" s="797">
        <f>SUM(AB71:AB78)</f>
        <v>0</v>
      </c>
      <c r="AC79" s="798">
        <f>IF(AB79&gt;0,SQRT(SUM(AD71:AD78))/AB79,0)</f>
        <v>0</v>
      </c>
      <c r="AD79" s="797">
        <f t="shared" si="87"/>
        <v>0</v>
      </c>
      <c r="AE79" s="797">
        <f>SUM(AE71:AE78)</f>
        <v>0</v>
      </c>
      <c r="AF79" s="780">
        <f>IF(AE79&gt;0,SQRT(SUM(AG71:AG78))/AE79,0)</f>
        <v>0</v>
      </c>
      <c r="AG79" s="28">
        <f t="shared" si="89"/>
        <v>0</v>
      </c>
      <c r="AH79" s="64"/>
      <c r="AI79" s="168"/>
      <c r="AJ79" s="168"/>
      <c r="AK79" s="168"/>
      <c r="AL79" s="169"/>
      <c r="AM79" s="169"/>
      <c r="AN79" s="169"/>
      <c r="AO79" s="168"/>
      <c r="AP79" s="168"/>
      <c r="AQ79" s="168"/>
      <c r="AR79" s="168"/>
      <c r="AS79" s="168"/>
      <c r="AT79" s="168"/>
      <c r="AU79" s="168"/>
      <c r="AV79" s="168"/>
      <c r="AW79" s="168"/>
      <c r="AX79" s="168"/>
      <c r="AY79" s="168"/>
      <c r="AZ79" s="168"/>
      <c r="BA79" s="170"/>
      <c r="BB79" s="168"/>
      <c r="BC79" s="168"/>
      <c r="BD79" s="168"/>
      <c r="BE79" s="168"/>
      <c r="BF79" s="168"/>
      <c r="BG79" s="168"/>
      <c r="BH79" s="168"/>
      <c r="BI79" s="168"/>
      <c r="BJ79" s="170"/>
      <c r="BK79" s="170"/>
      <c r="BL79" s="170"/>
      <c r="BM79" s="113"/>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100"/>
      <c r="CP79" s="100"/>
      <c r="CQ79" s="100"/>
      <c r="CR79" s="37"/>
      <c r="CS79" s="37"/>
      <c r="CT79" s="37"/>
      <c r="CU79" s="37"/>
      <c r="CV79" s="37"/>
      <c r="CW79" s="37"/>
      <c r="CX79" s="37"/>
      <c r="CY79" s="36"/>
      <c r="CZ79" s="36"/>
      <c r="DA79" s="36"/>
      <c r="DB79" s="36"/>
      <c r="DC79" s="36"/>
      <c r="DD79" s="36"/>
      <c r="DE79" s="36"/>
      <c r="DF79" s="36"/>
    </row>
    <row r="80" spans="1:137" s="27" customFormat="1" ht="15.75" customHeight="1" thickBot="1" x14ac:dyDescent="0.3">
      <c r="A80" s="26"/>
      <c r="B80" s="781"/>
      <c r="C80" s="782"/>
      <c r="D80" s="782"/>
      <c r="E80" s="782"/>
      <c r="F80" s="782"/>
      <c r="G80" s="782"/>
      <c r="H80" s="782"/>
      <c r="I80" s="782"/>
      <c r="J80" s="782"/>
      <c r="K80" s="782"/>
      <c r="L80" s="782"/>
      <c r="M80" s="782"/>
      <c r="N80" s="782"/>
      <c r="O80" s="782"/>
      <c r="P80" s="782"/>
      <c r="Q80" s="782"/>
      <c r="R80" s="782"/>
      <c r="S80" s="782"/>
      <c r="T80" s="782"/>
      <c r="U80" s="782"/>
      <c r="V80" s="782"/>
      <c r="W80" s="782"/>
      <c r="X80" s="782"/>
      <c r="Y80" s="782"/>
      <c r="Z80" s="782"/>
      <c r="AA80" s="782"/>
      <c r="AB80" s="782"/>
      <c r="AC80" s="782"/>
      <c r="AD80" s="782"/>
      <c r="AE80" s="782"/>
      <c r="AF80" s="783"/>
      <c r="AG80" s="28">
        <f t="shared" si="89"/>
        <v>0</v>
      </c>
      <c r="AH80" s="64"/>
      <c r="AI80" s="168"/>
      <c r="AJ80" s="168"/>
      <c r="AK80" s="168"/>
      <c r="AL80" s="169"/>
      <c r="AM80" s="169"/>
      <c r="AN80" s="169"/>
      <c r="AO80" s="168"/>
      <c r="AP80" s="168"/>
      <c r="AQ80" s="168"/>
      <c r="AR80" s="168"/>
      <c r="AS80" s="168"/>
      <c r="AT80" s="168"/>
      <c r="AU80" s="168"/>
      <c r="AV80" s="168"/>
      <c r="AW80" s="168"/>
      <c r="AX80" s="168"/>
      <c r="AY80" s="168"/>
      <c r="AZ80" s="168"/>
      <c r="BA80" s="170"/>
      <c r="BB80" s="168"/>
      <c r="BC80" s="168"/>
      <c r="BD80" s="168"/>
      <c r="BE80" s="168"/>
      <c r="BF80" s="168"/>
      <c r="BG80" s="168"/>
      <c r="BH80" s="168"/>
      <c r="BI80" s="168"/>
      <c r="BJ80" s="170"/>
      <c r="BK80" s="170"/>
      <c r="BL80" s="170"/>
      <c r="BM80" s="113"/>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100"/>
      <c r="CP80" s="100"/>
      <c r="CQ80" s="100"/>
      <c r="CR80" s="37"/>
      <c r="CS80" s="37"/>
      <c r="CT80" s="37"/>
      <c r="CU80" s="37"/>
      <c r="CV80" s="37"/>
      <c r="CW80" s="37"/>
      <c r="CX80" s="37"/>
      <c r="CY80" s="36"/>
      <c r="CZ80" s="36"/>
      <c r="DA80" s="36"/>
      <c r="DB80" s="36"/>
      <c r="DC80" s="36"/>
      <c r="DD80" s="36"/>
      <c r="DE80" s="36"/>
      <c r="DF80" s="36"/>
    </row>
    <row r="81" spans="1:137" s="82" customFormat="1" ht="32.25" thickBot="1" x14ac:dyDescent="0.3">
      <c r="A81" s="26"/>
      <c r="B81" s="1732" t="s">
        <v>303</v>
      </c>
      <c r="C81" s="1733"/>
      <c r="D81" s="1733"/>
      <c r="E81" s="1733"/>
      <c r="F81" s="1733"/>
      <c r="G81" s="1733"/>
      <c r="H81" s="1733"/>
      <c r="I81" s="1733"/>
      <c r="J81" s="1733"/>
      <c r="K81" s="1733"/>
      <c r="L81" s="1733"/>
      <c r="M81" s="1733"/>
      <c r="N81" s="1733"/>
      <c r="O81" s="1733"/>
      <c r="P81" s="1733"/>
      <c r="Q81" s="1733"/>
      <c r="R81" s="1733"/>
      <c r="S81" s="1733"/>
      <c r="T81" s="1733"/>
      <c r="U81" s="1733"/>
      <c r="V81" s="1733"/>
      <c r="W81" s="1733"/>
      <c r="X81" s="1733"/>
      <c r="Y81" s="1733"/>
      <c r="Z81" s="1733"/>
      <c r="AA81" s="1734"/>
      <c r="AB81" s="741"/>
      <c r="AC81" s="742">
        <f>IF(AB81&gt;0,(SQRT(#REF!+AD79+#REF!))/AB81,0)</f>
        <v>0</v>
      </c>
      <c r="AD81" s="741">
        <f>(AB81*AC81)^2</f>
        <v>0</v>
      </c>
      <c r="AE81" s="741">
        <f>AE79</f>
        <v>0</v>
      </c>
      <c r="AF81" s="743">
        <f>AF79</f>
        <v>0</v>
      </c>
      <c r="AG81" s="28">
        <f t="shared" si="89"/>
        <v>0</v>
      </c>
      <c r="AH81" s="174"/>
      <c r="AI81" s="175"/>
      <c r="AJ81" s="175"/>
      <c r="AK81" s="175"/>
      <c r="AL81" s="176"/>
      <c r="AM81" s="176"/>
      <c r="AN81" s="176"/>
      <c r="AO81" s="175"/>
      <c r="AP81" s="175"/>
      <c r="AQ81" s="175"/>
      <c r="AR81" s="175"/>
      <c r="AS81" s="175"/>
      <c r="AT81" s="175"/>
      <c r="AU81" s="175"/>
      <c r="AV81" s="175"/>
      <c r="AW81" s="175"/>
      <c r="AX81" s="175"/>
      <c r="AY81" s="175"/>
      <c r="AZ81" s="175"/>
      <c r="BA81" s="177"/>
      <c r="BB81" s="175"/>
      <c r="BC81" s="168"/>
      <c r="BD81" s="168"/>
      <c r="BE81" s="168"/>
      <c r="BF81" s="168"/>
      <c r="BG81" s="168"/>
      <c r="BH81" s="168"/>
      <c r="BI81" s="175"/>
      <c r="BJ81" s="177"/>
      <c r="BK81" s="177"/>
      <c r="BL81" s="177"/>
      <c r="BM81" s="114"/>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100">
        <v>0.15</v>
      </c>
      <c r="CP81" s="100">
        <f t="shared" ref="CP81:CP103" si="90">(CO81+CQ81)/2</f>
        <v>0.17499999999999999</v>
      </c>
      <c r="CQ81" s="100">
        <v>0.2</v>
      </c>
      <c r="CR81" s="81"/>
      <c r="CS81" s="81"/>
      <c r="CT81" s="81"/>
      <c r="CU81" s="81"/>
      <c r="CV81" s="81"/>
      <c r="CW81" s="81"/>
      <c r="CX81" s="81"/>
      <c r="CY81" s="80"/>
      <c r="CZ81" s="80"/>
      <c r="DA81" s="80"/>
      <c r="DB81" s="80"/>
      <c r="DC81" s="80"/>
      <c r="DD81" s="80"/>
      <c r="DE81" s="80"/>
      <c r="DF81" s="80"/>
    </row>
    <row r="82" spans="1:137" s="26" customFormat="1" ht="21" x14ac:dyDescent="0.25">
      <c r="B82" s="136"/>
      <c r="C82" s="136"/>
      <c r="D82" s="136"/>
      <c r="E82" s="137"/>
      <c r="F82" s="137"/>
      <c r="G82" s="137"/>
      <c r="H82" s="137"/>
      <c r="I82" s="137"/>
      <c r="J82" s="137"/>
      <c r="K82" s="137"/>
      <c r="L82" s="137"/>
      <c r="M82" s="137"/>
      <c r="N82" s="137"/>
      <c r="O82" s="137"/>
      <c r="P82" s="137"/>
      <c r="Q82" s="137"/>
      <c r="R82" s="138"/>
      <c r="S82" s="137"/>
      <c r="T82" s="137"/>
      <c r="U82" s="137"/>
      <c r="V82" s="139"/>
      <c r="W82" s="139"/>
      <c r="X82" s="136"/>
      <c r="Y82" s="136"/>
      <c r="Z82" s="139"/>
      <c r="AA82" s="140"/>
      <c r="AB82" s="140"/>
      <c r="AC82" s="139"/>
      <c r="AD82" s="140"/>
      <c r="AG82" s="28">
        <f>(BF82*BG82)^2</f>
        <v>0</v>
      </c>
      <c r="AH82" s="164"/>
      <c r="AI82" s="165"/>
      <c r="AJ82" s="165"/>
      <c r="AK82" s="165"/>
      <c r="AL82" s="166"/>
      <c r="AM82" s="166"/>
      <c r="AN82" s="166"/>
      <c r="AO82" s="165"/>
      <c r="AP82" s="165"/>
      <c r="AQ82" s="165"/>
      <c r="AR82" s="165"/>
      <c r="AS82" s="165"/>
      <c r="AT82" s="165"/>
      <c r="AU82" s="165"/>
      <c r="AV82" s="165"/>
      <c r="AW82" s="165"/>
      <c r="AX82" s="165"/>
      <c r="AY82" s="165"/>
      <c r="AZ82" s="165"/>
      <c r="BA82" s="167"/>
      <c r="BB82" s="165"/>
      <c r="BC82" s="168"/>
      <c r="BD82" s="168"/>
      <c r="BE82" s="168"/>
      <c r="BF82" s="168"/>
      <c r="BG82" s="168"/>
      <c r="BH82" s="168"/>
      <c r="BI82" s="165"/>
      <c r="BJ82" s="167"/>
      <c r="BK82" s="167"/>
      <c r="BL82" s="167"/>
      <c r="BM82" s="112"/>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100">
        <v>0.15</v>
      </c>
      <c r="CP82" s="100">
        <f t="shared" si="90"/>
        <v>0.17499999999999999</v>
      </c>
      <c r="CQ82" s="100">
        <v>0.2</v>
      </c>
      <c r="CR82" s="28"/>
      <c r="CS82" s="28"/>
      <c r="CT82" s="28"/>
      <c r="CU82" s="28"/>
      <c r="CV82" s="28"/>
      <c r="CW82" s="28"/>
      <c r="CX82" s="28"/>
      <c r="CY82" s="29"/>
      <c r="CZ82" s="29"/>
      <c r="DA82" s="29"/>
      <c r="DB82" s="29"/>
      <c r="DC82" s="29"/>
      <c r="DD82" s="29"/>
      <c r="DE82" s="29"/>
      <c r="DF82" s="29"/>
    </row>
    <row r="83" spans="1:137" x14ac:dyDescent="0.25">
      <c r="CO83" s="100">
        <v>0.15</v>
      </c>
      <c r="CP83" s="100">
        <f t="shared" si="90"/>
        <v>0.17499999999999999</v>
      </c>
      <c r="CQ83" s="100">
        <v>0.2</v>
      </c>
    </row>
    <row r="84" spans="1:137" x14ac:dyDescent="0.25">
      <c r="CO84" s="100">
        <v>0.15</v>
      </c>
      <c r="CP84" s="100">
        <f t="shared" si="90"/>
        <v>0.17499999999999999</v>
      </c>
      <c r="CQ84" s="100">
        <v>0.2</v>
      </c>
    </row>
    <row r="85" spans="1:137" x14ac:dyDescent="0.25">
      <c r="CO85" s="100">
        <v>0.15</v>
      </c>
      <c r="CP85" s="100">
        <f t="shared" si="90"/>
        <v>0.17499999999999999</v>
      </c>
      <c r="CQ85" s="100">
        <v>0.2</v>
      </c>
    </row>
    <row r="86" spans="1:137" x14ac:dyDescent="0.25">
      <c r="CO86" s="100">
        <v>0.15</v>
      </c>
      <c r="CP86" s="100">
        <f t="shared" si="90"/>
        <v>0.17499999999999999</v>
      </c>
      <c r="CQ86" s="100">
        <v>0.2</v>
      </c>
    </row>
    <row r="87" spans="1:137" x14ac:dyDescent="0.25">
      <c r="CO87" s="100">
        <v>0.15</v>
      </c>
      <c r="CP87" s="100">
        <f t="shared" si="90"/>
        <v>0.17499999999999999</v>
      </c>
      <c r="CQ87" s="100">
        <v>0.2</v>
      </c>
    </row>
    <row r="88" spans="1:137" x14ac:dyDescent="0.25">
      <c r="CO88" s="100">
        <v>0.15</v>
      </c>
      <c r="CP88" s="100">
        <f t="shared" si="90"/>
        <v>0.17499999999999999</v>
      </c>
      <c r="CQ88" s="100">
        <v>0.2</v>
      </c>
    </row>
    <row r="89" spans="1:137" hidden="1" x14ac:dyDescent="0.25">
      <c r="CO89" s="100">
        <v>0.15</v>
      </c>
      <c r="CP89" s="100">
        <f t="shared" si="90"/>
        <v>0.17499999999999999</v>
      </c>
      <c r="CQ89" s="100">
        <v>0.2</v>
      </c>
    </row>
    <row r="90" spans="1:137" hidden="1" x14ac:dyDescent="0.25">
      <c r="CO90" s="100">
        <v>0.6</v>
      </c>
      <c r="CP90" s="100">
        <f t="shared" si="90"/>
        <v>0.8</v>
      </c>
      <c r="CQ90" s="100">
        <v>1</v>
      </c>
      <c r="CT90" s="98"/>
      <c r="CU90" s="98"/>
      <c r="CV90" s="98"/>
      <c r="CW90" s="98"/>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row>
    <row r="91" spans="1:137" hidden="1" x14ac:dyDescent="0.25">
      <c r="CO91" s="100">
        <v>0.6</v>
      </c>
      <c r="CP91" s="100">
        <f t="shared" si="90"/>
        <v>0.8</v>
      </c>
      <c r="CQ91" s="100">
        <v>1</v>
      </c>
      <c r="CT91" s="98"/>
      <c r="CU91" s="98"/>
      <c r="CV91" s="98"/>
      <c r="CW91" s="98"/>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row>
    <row r="92" spans="1:137" hidden="1" x14ac:dyDescent="0.25">
      <c r="CO92" s="100">
        <v>0.6</v>
      </c>
      <c r="CP92" s="100">
        <f t="shared" si="90"/>
        <v>0.8</v>
      </c>
      <c r="CQ92" s="100">
        <v>1</v>
      </c>
      <c r="CT92" s="98"/>
      <c r="CU92" s="98"/>
      <c r="CV92" s="98"/>
      <c r="CW92" s="98"/>
      <c r="CX92" s="98"/>
      <c r="CY92" s="98"/>
      <c r="CZ92" s="98"/>
      <c r="DA92" s="98"/>
      <c r="DB92" s="98"/>
      <c r="DC92" s="98"/>
      <c r="DD92" s="98"/>
      <c r="DE92" s="98"/>
      <c r="DF92" s="98"/>
      <c r="DG92" s="98"/>
      <c r="DH92" s="98"/>
      <c r="DI92" s="98"/>
      <c r="DJ92" s="98"/>
      <c r="DK92" s="98"/>
      <c r="DL92" s="98"/>
      <c r="DM92" s="98"/>
      <c r="DN92" s="98"/>
      <c r="DO92" s="98"/>
      <c r="DP92" s="98"/>
      <c r="DQ92" s="98"/>
      <c r="DR92" s="98"/>
      <c r="DS92" s="98"/>
      <c r="DT92" s="98"/>
      <c r="DU92" s="98"/>
      <c r="DV92" s="98"/>
      <c r="DW92" s="98"/>
      <c r="DX92" s="98"/>
      <c r="DY92" s="98"/>
      <c r="DZ92" s="98"/>
      <c r="EA92" s="98"/>
      <c r="EB92" s="98"/>
      <c r="EC92" s="98"/>
      <c r="ED92" s="98"/>
      <c r="EE92" s="98"/>
      <c r="EF92" s="98"/>
      <c r="EG92" s="98"/>
    </row>
    <row r="93" spans="1:137" s="101" customFormat="1" hidden="1" x14ac:dyDescent="0.25">
      <c r="A93" s="99"/>
      <c r="V93" s="103"/>
      <c r="AA93" s="104"/>
      <c r="AB93" s="104"/>
      <c r="AD93" s="104"/>
      <c r="AE93" s="105"/>
      <c r="AH93" s="106"/>
      <c r="AI93" s="106"/>
      <c r="AK93" s="104"/>
      <c r="AR93" s="104"/>
      <c r="AV93" s="104"/>
      <c r="AX93" s="104"/>
      <c r="BB93" s="104"/>
      <c r="BC93" s="104"/>
      <c r="BE93" s="104"/>
      <c r="BH93" s="99"/>
      <c r="BI93" s="102"/>
      <c r="BJ93" s="178"/>
      <c r="BK93" s="178"/>
      <c r="BL93" s="178"/>
      <c r="BM93" s="169"/>
      <c r="BN93" s="169"/>
      <c r="BO93" s="169"/>
      <c r="BP93" s="179"/>
      <c r="BQ93" s="179"/>
      <c r="BR93" s="179"/>
      <c r="BS93" s="179"/>
      <c r="BT93" s="179"/>
      <c r="BU93" s="179"/>
      <c r="BV93" s="178"/>
      <c r="BW93" s="179"/>
      <c r="BX93" s="179"/>
      <c r="BY93" s="178"/>
      <c r="BZ93" s="178"/>
      <c r="CA93" s="178"/>
      <c r="CB93" s="180"/>
      <c r="CC93" s="179"/>
      <c r="CD93" s="179"/>
      <c r="CE93" s="180"/>
      <c r="CF93" s="180"/>
      <c r="CG93" s="180"/>
      <c r="CH93" s="180"/>
      <c r="CI93" s="179"/>
      <c r="CJ93" s="179"/>
      <c r="CK93" s="180"/>
      <c r="CL93" s="180"/>
      <c r="CM93" s="180"/>
      <c r="CN93" s="116"/>
      <c r="CO93" s="100">
        <v>0.6</v>
      </c>
      <c r="CP93" s="100">
        <f t="shared" si="90"/>
        <v>0.8</v>
      </c>
      <c r="CQ93" s="100">
        <v>1</v>
      </c>
    </row>
    <row r="94" spans="1:137" s="101" customFormat="1" hidden="1" x14ac:dyDescent="0.25">
      <c r="A94" s="99"/>
      <c r="V94" s="103"/>
      <c r="AA94" s="104"/>
      <c r="AB94" s="104"/>
      <c r="AD94" s="104"/>
      <c r="AE94" s="105"/>
      <c r="AH94" s="106"/>
      <c r="AI94" s="106"/>
      <c r="AK94" s="104"/>
      <c r="AR94" s="104"/>
      <c r="AV94" s="104"/>
      <c r="AX94" s="104"/>
      <c r="BB94" s="104"/>
      <c r="BC94" s="104"/>
      <c r="BE94" s="104"/>
      <c r="BH94" s="99"/>
      <c r="BI94" s="102">
        <v>1</v>
      </c>
      <c r="BJ94" s="178">
        <v>2</v>
      </c>
      <c r="BK94" s="178">
        <v>3</v>
      </c>
      <c r="BL94" s="178">
        <v>4</v>
      </c>
      <c r="BM94" s="178">
        <v>5</v>
      </c>
      <c r="BN94" s="178">
        <v>6</v>
      </c>
      <c r="BO94" s="178">
        <v>7</v>
      </c>
      <c r="BP94" s="178">
        <v>8</v>
      </c>
      <c r="BQ94" s="178">
        <v>9</v>
      </c>
      <c r="BR94" s="178">
        <v>10</v>
      </c>
      <c r="BS94" s="178">
        <v>11</v>
      </c>
      <c r="BT94" s="178">
        <v>12</v>
      </c>
      <c r="BU94" s="178">
        <v>13</v>
      </c>
      <c r="BV94" s="178">
        <v>14</v>
      </c>
      <c r="BW94" s="178">
        <v>15</v>
      </c>
      <c r="BX94" s="178">
        <v>16</v>
      </c>
      <c r="BY94" s="178">
        <v>17</v>
      </c>
      <c r="BZ94" s="178">
        <v>18</v>
      </c>
      <c r="CA94" s="178">
        <v>19</v>
      </c>
      <c r="CB94" s="178">
        <v>20</v>
      </c>
      <c r="CC94" s="178">
        <v>21</v>
      </c>
      <c r="CD94" s="178">
        <v>22</v>
      </c>
      <c r="CE94" s="178">
        <v>23</v>
      </c>
      <c r="CF94" s="178">
        <v>24</v>
      </c>
      <c r="CG94" s="178">
        <v>25</v>
      </c>
      <c r="CH94" s="178">
        <v>26</v>
      </c>
      <c r="CI94" s="178">
        <v>27</v>
      </c>
      <c r="CJ94" s="178">
        <v>28</v>
      </c>
      <c r="CK94" s="178">
        <v>29</v>
      </c>
      <c r="CL94" s="178">
        <v>30</v>
      </c>
      <c r="CM94" s="178">
        <v>31</v>
      </c>
      <c r="CN94" s="115">
        <v>32</v>
      </c>
      <c r="CO94" s="100">
        <v>0.6</v>
      </c>
      <c r="CP94" s="100">
        <f t="shared" si="90"/>
        <v>0.8</v>
      </c>
      <c r="CQ94" s="100">
        <v>1</v>
      </c>
      <c r="CR94" s="115">
        <v>33</v>
      </c>
      <c r="CS94" s="115">
        <v>34</v>
      </c>
    </row>
    <row r="95" spans="1:137" s="101" customFormat="1" ht="26.25" hidden="1" customHeight="1" x14ac:dyDescent="0.25">
      <c r="A95" s="99"/>
      <c r="V95" s="103"/>
      <c r="AA95" s="104"/>
      <c r="AB95" s="104"/>
      <c r="AD95" s="104"/>
      <c r="AE95" s="105"/>
      <c r="AH95" s="106"/>
      <c r="AI95" s="106"/>
      <c r="AK95" s="104"/>
      <c r="AR95" s="104"/>
      <c r="AV95" s="104"/>
      <c r="AX95" s="104"/>
      <c r="BB95" s="104"/>
      <c r="BC95" s="104"/>
      <c r="BE95" s="104"/>
      <c r="BF95" s="107"/>
      <c r="BG95" s="108"/>
      <c r="BH95" s="108"/>
      <c r="BI95" s="182"/>
      <c r="BJ95" s="251"/>
      <c r="BK95" s="1606" t="s">
        <v>607</v>
      </c>
      <c r="BL95" s="251"/>
      <c r="BM95" s="1606" t="s">
        <v>233</v>
      </c>
      <c r="BN95" s="1606" t="s">
        <v>233</v>
      </c>
      <c r="BO95" s="1606" t="s">
        <v>240</v>
      </c>
      <c r="BP95" s="1608" t="s">
        <v>172</v>
      </c>
      <c r="BQ95" s="1609"/>
      <c r="BR95" s="1609"/>
      <c r="BS95" s="1609"/>
      <c r="BT95" s="1609"/>
      <c r="BU95" s="1609"/>
      <c r="BV95" s="1609"/>
      <c r="BW95" s="1609"/>
      <c r="BX95" s="1609"/>
      <c r="BY95" s="1609"/>
      <c r="BZ95" s="1609"/>
      <c r="CA95" s="1610"/>
      <c r="CB95" s="1608" t="s">
        <v>173</v>
      </c>
      <c r="CC95" s="1609"/>
      <c r="CD95" s="1609"/>
      <c r="CE95" s="1609"/>
      <c r="CF95" s="1609"/>
      <c r="CG95" s="1609"/>
      <c r="CH95" s="1609"/>
      <c r="CI95" s="1609"/>
      <c r="CJ95" s="1609"/>
      <c r="CK95" s="1609"/>
      <c r="CL95" s="1609"/>
      <c r="CM95" s="1610"/>
      <c r="CN95" s="116"/>
      <c r="CO95" s="100">
        <v>0.6</v>
      </c>
      <c r="CP95" s="100">
        <f t="shared" si="90"/>
        <v>0.8</v>
      </c>
      <c r="CQ95" s="100">
        <v>1</v>
      </c>
      <c r="CR95" s="101" t="s">
        <v>295</v>
      </c>
    </row>
    <row r="96" spans="1:137" s="101" customFormat="1" ht="58.5" hidden="1" customHeight="1" x14ac:dyDescent="0.25">
      <c r="A96" s="99"/>
      <c r="V96" s="103"/>
      <c r="X96" s="107"/>
      <c r="Y96" s="107"/>
      <c r="Z96" s="107"/>
      <c r="AA96" s="110"/>
      <c r="AB96" s="110"/>
      <c r="AC96" s="107"/>
      <c r="AD96" s="110"/>
      <c r="AE96" s="109"/>
      <c r="AF96" s="107"/>
      <c r="AG96" s="107"/>
      <c r="AH96" s="111"/>
      <c r="AI96" s="111"/>
      <c r="AJ96" s="107"/>
      <c r="AK96" s="110"/>
      <c r="AL96" s="107"/>
      <c r="AM96" s="107"/>
      <c r="AN96" s="107"/>
      <c r="AO96" s="107"/>
      <c r="AP96" s="107"/>
      <c r="AQ96" s="107"/>
      <c r="AR96" s="110"/>
      <c r="AS96" s="107"/>
      <c r="AT96" s="107"/>
      <c r="AU96" s="107"/>
      <c r="AV96" s="110"/>
      <c r="AW96" s="107"/>
      <c r="AX96" s="110"/>
      <c r="AY96" s="107"/>
      <c r="AZ96" s="107"/>
      <c r="BA96" s="107"/>
      <c r="BB96" s="110"/>
      <c r="BC96" s="110"/>
      <c r="BD96" s="107"/>
      <c r="BE96" s="110"/>
      <c r="BF96" s="107"/>
      <c r="BG96" s="107"/>
      <c r="BH96" s="107"/>
      <c r="BI96" s="182" t="s">
        <v>366</v>
      </c>
      <c r="BJ96" s="252" t="s">
        <v>253</v>
      </c>
      <c r="BK96" s="1607"/>
      <c r="BL96" s="252" t="s">
        <v>251</v>
      </c>
      <c r="BM96" s="1607"/>
      <c r="BN96" s="1607"/>
      <c r="BO96" s="1607"/>
      <c r="BP96" s="185" t="s">
        <v>608</v>
      </c>
      <c r="BQ96" s="185" t="s">
        <v>609</v>
      </c>
      <c r="BR96" s="252" t="s">
        <v>251</v>
      </c>
      <c r="BS96" s="185" t="s">
        <v>233</v>
      </c>
      <c r="BT96" s="185" t="s">
        <v>233</v>
      </c>
      <c r="BU96" s="185" t="s">
        <v>240</v>
      </c>
      <c r="BV96" s="185" t="s">
        <v>265</v>
      </c>
      <c r="BW96" s="185" t="s">
        <v>610</v>
      </c>
      <c r="BX96" s="252" t="s">
        <v>251</v>
      </c>
      <c r="BY96" s="185" t="s">
        <v>233</v>
      </c>
      <c r="BZ96" s="185" t="s">
        <v>233</v>
      </c>
      <c r="CA96" s="185" t="s">
        <v>240</v>
      </c>
      <c r="CB96" s="185" t="s">
        <v>266</v>
      </c>
      <c r="CC96" s="185" t="s">
        <v>609</v>
      </c>
      <c r="CD96" s="252" t="s">
        <v>251</v>
      </c>
      <c r="CE96" s="185" t="s">
        <v>233</v>
      </c>
      <c r="CF96" s="185" t="s">
        <v>233</v>
      </c>
      <c r="CG96" s="185" t="s">
        <v>240</v>
      </c>
      <c r="CH96" s="185" t="s">
        <v>265</v>
      </c>
      <c r="CI96" s="185" t="s">
        <v>610</v>
      </c>
      <c r="CJ96" s="252" t="s">
        <v>251</v>
      </c>
      <c r="CK96" s="185" t="s">
        <v>233</v>
      </c>
      <c r="CL96" s="185" t="s">
        <v>233</v>
      </c>
      <c r="CM96" s="185" t="s">
        <v>240</v>
      </c>
      <c r="CN96" s="116"/>
      <c r="CO96" s="100">
        <v>0.6</v>
      </c>
      <c r="CP96" s="100">
        <f t="shared" si="90"/>
        <v>0.8</v>
      </c>
      <c r="CQ96" s="100">
        <v>1</v>
      </c>
      <c r="CR96" s="101" t="s">
        <v>296</v>
      </c>
      <c r="CS96" s="101" t="s">
        <v>297</v>
      </c>
    </row>
    <row r="97" spans="1:97" s="101" customFormat="1" ht="16.5" hidden="1" customHeight="1" x14ac:dyDescent="0.25">
      <c r="A97" s="99"/>
      <c r="V97" s="103"/>
      <c r="X97" s="107"/>
      <c r="Y97" s="107"/>
      <c r="Z97" s="107"/>
      <c r="AA97" s="110"/>
      <c r="AB97" s="110"/>
      <c r="AC97" s="107"/>
      <c r="AD97" s="110"/>
      <c r="AE97" s="109"/>
      <c r="AF97" s="107"/>
      <c r="AG97" s="107"/>
      <c r="AH97" s="111"/>
      <c r="AI97" s="111"/>
      <c r="AJ97" s="107"/>
      <c r="AK97" s="110"/>
      <c r="AL97" s="107"/>
      <c r="AM97" s="107"/>
      <c r="AN97" s="107"/>
      <c r="AO97" s="107"/>
      <c r="AP97" s="107"/>
      <c r="AQ97" s="107"/>
      <c r="AR97" s="110"/>
      <c r="AS97" s="107"/>
      <c r="AT97" s="107"/>
      <c r="AU97" s="107"/>
      <c r="AV97" s="110"/>
      <c r="AW97" s="107"/>
      <c r="AX97" s="110"/>
      <c r="AY97" s="107"/>
      <c r="AZ97" s="107"/>
      <c r="BA97" s="107"/>
      <c r="BB97" s="110"/>
      <c r="BC97" s="110"/>
      <c r="BD97" s="107"/>
      <c r="BE97" s="110"/>
      <c r="BF97" s="107"/>
      <c r="BG97" s="107"/>
      <c r="BH97" s="107"/>
      <c r="BI97" s="186" t="s">
        <v>2</v>
      </c>
      <c r="BJ97" s="187" t="s">
        <v>611</v>
      </c>
      <c r="BK97" s="187">
        <v>2534.8130000000001</v>
      </c>
      <c r="BL97" s="187" t="s">
        <v>612</v>
      </c>
      <c r="BM97" s="188">
        <v>2.64E-3</v>
      </c>
      <c r="BN97" s="188">
        <v>2.64E-3</v>
      </c>
      <c r="BO97" s="188" t="s">
        <v>241</v>
      </c>
      <c r="BP97" s="187">
        <v>28.760200000000001</v>
      </c>
      <c r="BQ97" s="187">
        <f>BP97/1000</f>
        <v>2.87602E-2</v>
      </c>
      <c r="BR97" s="187" t="s">
        <v>613</v>
      </c>
      <c r="BS97" s="189">
        <v>3.0000000000000001E-3</v>
      </c>
      <c r="BT97" s="189">
        <v>0.03</v>
      </c>
      <c r="BU97" s="187" t="s">
        <v>242</v>
      </c>
      <c r="BV97" s="187">
        <v>43.1404</v>
      </c>
      <c r="BW97" s="187">
        <f>BV97/1000</f>
        <v>4.3140400000000002E-2</v>
      </c>
      <c r="BX97" s="187" t="s">
        <v>614</v>
      </c>
      <c r="BY97" s="189">
        <v>5.0000000000000001E-3</v>
      </c>
      <c r="BZ97" s="189">
        <v>0.05</v>
      </c>
      <c r="CA97" s="187" t="s">
        <v>242</v>
      </c>
      <c r="CB97" s="187">
        <v>0</v>
      </c>
      <c r="CC97" s="187">
        <f>CB97/1000</f>
        <v>0</v>
      </c>
      <c r="CD97" s="187" t="s">
        <v>613</v>
      </c>
      <c r="CE97" s="189">
        <v>0</v>
      </c>
      <c r="CF97" s="189">
        <v>0</v>
      </c>
      <c r="CG97" s="187" t="s">
        <v>242</v>
      </c>
      <c r="CH97" s="187">
        <v>0</v>
      </c>
      <c r="CI97" s="187">
        <f>CH97/1000</f>
        <v>0</v>
      </c>
      <c r="CJ97" s="187" t="s">
        <v>614</v>
      </c>
      <c r="CK97" s="189">
        <v>0</v>
      </c>
      <c r="CL97" s="189">
        <v>0</v>
      </c>
      <c r="CM97" s="187" t="s">
        <v>242</v>
      </c>
      <c r="CN97" s="116"/>
      <c r="CO97" s="100">
        <v>0.6</v>
      </c>
      <c r="CP97" s="100">
        <f t="shared" si="90"/>
        <v>0.8</v>
      </c>
      <c r="CQ97" s="100">
        <v>1</v>
      </c>
      <c r="CR97" s="101">
        <v>0.15</v>
      </c>
      <c r="CS97" s="101">
        <v>0.2</v>
      </c>
    </row>
    <row r="98" spans="1:97" s="101" customFormat="1" ht="16.5" hidden="1" customHeight="1" x14ac:dyDescent="0.25">
      <c r="A98" s="99"/>
      <c r="V98" s="103"/>
      <c r="X98" s="107"/>
      <c r="Y98" s="107"/>
      <c r="Z98" s="107"/>
      <c r="AA98" s="110"/>
      <c r="AB98" s="110"/>
      <c r="AC98" s="107"/>
      <c r="AD98" s="110"/>
      <c r="AE98" s="109"/>
      <c r="AF98" s="107"/>
      <c r="AG98" s="107"/>
      <c r="AH98" s="111"/>
      <c r="AI98" s="111"/>
      <c r="AJ98" s="107"/>
      <c r="AK98" s="110"/>
      <c r="AL98" s="107"/>
      <c r="AM98" s="107"/>
      <c r="AN98" s="107"/>
      <c r="AO98" s="107"/>
      <c r="AP98" s="107"/>
      <c r="AQ98" s="107"/>
      <c r="AR98" s="110"/>
      <c r="AS98" s="107"/>
      <c r="AT98" s="107"/>
      <c r="AU98" s="107"/>
      <c r="AV98" s="110"/>
      <c r="AW98" s="107"/>
      <c r="AX98" s="110"/>
      <c r="AY98" s="107"/>
      <c r="AZ98" s="107"/>
      <c r="BA98" s="107"/>
      <c r="BB98" s="110"/>
      <c r="BC98" s="110"/>
      <c r="BD98" s="107"/>
      <c r="BE98" s="110"/>
      <c r="BF98" s="107"/>
      <c r="BG98" s="107"/>
      <c r="BH98" s="107"/>
      <c r="BI98" s="190" t="s">
        <v>211</v>
      </c>
      <c r="BJ98" s="187" t="s">
        <v>615</v>
      </c>
      <c r="BK98" s="181">
        <v>2160.7550000000001</v>
      </c>
      <c r="BL98" s="187" t="s">
        <v>612</v>
      </c>
      <c r="BM98" s="189">
        <v>3.0399999999999997E-3</v>
      </c>
      <c r="BN98" s="189">
        <v>3.0399999999999997E-3</v>
      </c>
      <c r="BO98" s="188" t="s">
        <v>241</v>
      </c>
      <c r="BP98" s="191">
        <v>26.622399999999999</v>
      </c>
      <c r="BQ98" s="187">
        <f t="shared" ref="BQ98:BQ121" si="91">BP98/1000</f>
        <v>2.6622399999999997E-2</v>
      </c>
      <c r="BR98" s="187" t="s">
        <v>616</v>
      </c>
      <c r="BS98" s="189">
        <v>3.0000000000000001E-3</v>
      </c>
      <c r="BT98" s="189">
        <v>0.03</v>
      </c>
      <c r="BU98" s="187" t="s">
        <v>242</v>
      </c>
      <c r="BV98" s="181">
        <v>39.933500000000002</v>
      </c>
      <c r="BW98" s="187">
        <f t="shared" ref="BW98:BW121" si="92">BV98/1000</f>
        <v>3.9933500000000004E-2</v>
      </c>
      <c r="BX98" s="187" t="s">
        <v>614</v>
      </c>
      <c r="BY98" s="189">
        <v>5.0000000000000001E-3</v>
      </c>
      <c r="BZ98" s="189">
        <v>0.05</v>
      </c>
      <c r="CA98" s="187" t="s">
        <v>242</v>
      </c>
      <c r="CB98" s="187">
        <v>0</v>
      </c>
      <c r="CC98" s="187">
        <f t="shared" ref="CC98:CC121" si="93">CB98/1000</f>
        <v>0</v>
      </c>
      <c r="CD98" s="187" t="s">
        <v>613</v>
      </c>
      <c r="CE98" s="189">
        <v>0</v>
      </c>
      <c r="CF98" s="189">
        <v>0</v>
      </c>
      <c r="CG98" s="187" t="s">
        <v>242</v>
      </c>
      <c r="CH98" s="181">
        <v>0</v>
      </c>
      <c r="CI98" s="187">
        <f t="shared" ref="CI98:CI121" si="94">CH98/1000</f>
        <v>0</v>
      </c>
      <c r="CJ98" s="187" t="s">
        <v>614</v>
      </c>
      <c r="CK98" s="189">
        <v>0</v>
      </c>
      <c r="CL98" s="189">
        <v>0</v>
      </c>
      <c r="CM98" s="187" t="s">
        <v>242</v>
      </c>
      <c r="CN98" s="116"/>
      <c r="CO98" s="100">
        <v>0.6</v>
      </c>
      <c r="CP98" s="100">
        <f t="shared" si="90"/>
        <v>0.8</v>
      </c>
      <c r="CQ98" s="100">
        <v>1</v>
      </c>
      <c r="CR98" s="101">
        <v>0.15</v>
      </c>
      <c r="CS98" s="101">
        <v>0.2</v>
      </c>
    </row>
    <row r="99" spans="1:97" s="101" customFormat="1" ht="16.5" hidden="1" customHeight="1" x14ac:dyDescent="0.25">
      <c r="A99" s="99"/>
      <c r="V99" s="103"/>
      <c r="X99" s="107"/>
      <c r="Y99" s="107"/>
      <c r="Z99" s="107"/>
      <c r="AA99" s="110"/>
      <c r="AB99" s="110"/>
      <c r="AC99" s="107"/>
      <c r="AD99" s="110"/>
      <c r="AE99" s="109"/>
      <c r="AF99" s="107"/>
      <c r="AG99" s="107"/>
      <c r="AH99" s="111"/>
      <c r="AI99" s="111"/>
      <c r="AJ99" s="107"/>
      <c r="AK99" s="110"/>
      <c r="AL99" s="107"/>
      <c r="AM99" s="107"/>
      <c r="AN99" s="107"/>
      <c r="AO99" s="107"/>
      <c r="AP99" s="107"/>
      <c r="AQ99" s="107"/>
      <c r="AR99" s="110"/>
      <c r="AS99" s="107"/>
      <c r="AT99" s="107"/>
      <c r="AU99" s="107"/>
      <c r="AV99" s="110"/>
      <c r="AW99" s="107"/>
      <c r="AX99" s="110"/>
      <c r="AY99" s="107"/>
      <c r="AZ99" s="107"/>
      <c r="BA99" s="107"/>
      <c r="BB99" s="110"/>
      <c r="BC99" s="110"/>
      <c r="BD99" s="107"/>
      <c r="BE99" s="110"/>
      <c r="BF99" s="107"/>
      <c r="BG99" s="107"/>
      <c r="BH99" s="107"/>
      <c r="BI99" s="190" t="s">
        <v>212</v>
      </c>
      <c r="BJ99" s="187" t="s">
        <v>615</v>
      </c>
      <c r="BK99" s="181">
        <v>2894.0590000000002</v>
      </c>
      <c r="BL99" s="187" t="s">
        <v>612</v>
      </c>
      <c r="BM99" s="189">
        <v>2.3499999999999997E-3</v>
      </c>
      <c r="BN99" s="189">
        <v>2.3499999999999997E-3</v>
      </c>
      <c r="BO99" s="188" t="s">
        <v>241</v>
      </c>
      <c r="BP99" s="191">
        <v>30.416899999999998</v>
      </c>
      <c r="BQ99" s="187">
        <f t="shared" si="91"/>
        <v>3.0416899999999997E-2</v>
      </c>
      <c r="BR99" s="187" t="s">
        <v>613</v>
      </c>
      <c r="BS99" s="189">
        <v>3.0000000000000001E-3</v>
      </c>
      <c r="BT99" s="189">
        <v>0.03</v>
      </c>
      <c r="BU99" s="187" t="s">
        <v>242</v>
      </c>
      <c r="BV99" s="181">
        <v>45.625300000000003</v>
      </c>
      <c r="BW99" s="187">
        <f t="shared" si="92"/>
        <v>4.5625300000000001E-2</v>
      </c>
      <c r="BX99" s="187" t="s">
        <v>614</v>
      </c>
      <c r="BY99" s="189">
        <v>5.0000000000000001E-3</v>
      </c>
      <c r="BZ99" s="189">
        <v>0.05</v>
      </c>
      <c r="CA99" s="187" t="s">
        <v>242</v>
      </c>
      <c r="CB99" s="187">
        <v>0</v>
      </c>
      <c r="CC99" s="187">
        <f t="shared" si="93"/>
        <v>0</v>
      </c>
      <c r="CD99" s="187" t="s">
        <v>613</v>
      </c>
      <c r="CE99" s="189">
        <v>0</v>
      </c>
      <c r="CF99" s="189">
        <v>0</v>
      </c>
      <c r="CG99" s="187" t="s">
        <v>242</v>
      </c>
      <c r="CH99" s="181">
        <v>0</v>
      </c>
      <c r="CI99" s="187">
        <f t="shared" si="94"/>
        <v>0</v>
      </c>
      <c r="CJ99" s="187" t="s">
        <v>614</v>
      </c>
      <c r="CK99" s="189">
        <v>0</v>
      </c>
      <c r="CL99" s="189">
        <v>0</v>
      </c>
      <c r="CM99" s="187" t="s">
        <v>242</v>
      </c>
      <c r="CN99" s="116"/>
      <c r="CO99" s="100">
        <v>0.6</v>
      </c>
      <c r="CP99" s="100">
        <f t="shared" si="90"/>
        <v>0.8</v>
      </c>
      <c r="CQ99" s="100">
        <v>1</v>
      </c>
      <c r="CR99" s="101">
        <v>0.15</v>
      </c>
      <c r="CS99" s="101">
        <v>0.2</v>
      </c>
    </row>
    <row r="100" spans="1:97" s="101" customFormat="1" ht="16.5" hidden="1" customHeight="1" x14ac:dyDescent="0.25">
      <c r="A100" s="99"/>
      <c r="V100" s="103"/>
      <c r="X100" s="107"/>
      <c r="Y100" s="107"/>
      <c r="Z100" s="107"/>
      <c r="AA100" s="110"/>
      <c r="AB100" s="110"/>
      <c r="AC100" s="107"/>
      <c r="AD100" s="110"/>
      <c r="AE100" s="109"/>
      <c r="AF100" s="107"/>
      <c r="AG100" s="107"/>
      <c r="AH100" s="111"/>
      <c r="AI100" s="111"/>
      <c r="AJ100" s="107"/>
      <c r="AK100" s="110"/>
      <c r="AL100" s="107"/>
      <c r="AM100" s="107"/>
      <c r="AN100" s="107"/>
      <c r="AO100" s="107"/>
      <c r="AP100" s="107"/>
      <c r="AQ100" s="107"/>
      <c r="AR100" s="110"/>
      <c r="AS100" s="107"/>
      <c r="AT100" s="107"/>
      <c r="AU100" s="107"/>
      <c r="AV100" s="110"/>
      <c r="AW100" s="107"/>
      <c r="AX100" s="110"/>
      <c r="AY100" s="107"/>
      <c r="AZ100" s="107"/>
      <c r="BA100" s="107"/>
      <c r="BB100" s="110"/>
      <c r="BC100" s="110"/>
      <c r="BD100" s="107"/>
      <c r="BE100" s="110"/>
      <c r="BF100" s="107"/>
      <c r="BG100" s="107"/>
      <c r="BH100" s="107"/>
      <c r="BI100" s="190" t="s">
        <v>213</v>
      </c>
      <c r="BJ100" s="187" t="s">
        <v>615</v>
      </c>
      <c r="BK100" s="181">
        <v>2214.4580000000001</v>
      </c>
      <c r="BL100" s="187" t="s">
        <v>612</v>
      </c>
      <c r="BM100" s="189">
        <v>2.9299999999999999E-3</v>
      </c>
      <c r="BN100" s="189">
        <v>2.9299999999999999E-3</v>
      </c>
      <c r="BO100" s="188" t="s">
        <v>241</v>
      </c>
      <c r="BP100" s="191">
        <v>29.170200000000001</v>
      </c>
      <c r="BQ100" s="187">
        <f t="shared" si="91"/>
        <v>2.91702E-2</v>
      </c>
      <c r="BR100" s="187" t="s">
        <v>613</v>
      </c>
      <c r="BS100" s="189">
        <v>3.0000000000000001E-3</v>
      </c>
      <c r="BT100" s="189">
        <v>0.03</v>
      </c>
      <c r="BU100" s="187" t="s">
        <v>242</v>
      </c>
      <c r="BV100" s="181">
        <v>43.755299999999998</v>
      </c>
      <c r="BW100" s="187">
        <f t="shared" si="92"/>
        <v>4.3755299999999997E-2</v>
      </c>
      <c r="BX100" s="187" t="s">
        <v>614</v>
      </c>
      <c r="BY100" s="189">
        <v>5.0000000000000001E-3</v>
      </c>
      <c r="BZ100" s="189">
        <v>0.05</v>
      </c>
      <c r="CA100" s="187" t="s">
        <v>242</v>
      </c>
      <c r="CB100" s="187">
        <v>0</v>
      </c>
      <c r="CC100" s="187">
        <f t="shared" si="93"/>
        <v>0</v>
      </c>
      <c r="CD100" s="187" t="s">
        <v>613</v>
      </c>
      <c r="CE100" s="189">
        <v>0</v>
      </c>
      <c r="CF100" s="189">
        <v>0</v>
      </c>
      <c r="CG100" s="187" t="s">
        <v>242</v>
      </c>
      <c r="CH100" s="181">
        <v>0</v>
      </c>
      <c r="CI100" s="187">
        <f t="shared" si="94"/>
        <v>0</v>
      </c>
      <c r="CJ100" s="187" t="s">
        <v>614</v>
      </c>
      <c r="CK100" s="189">
        <v>0</v>
      </c>
      <c r="CL100" s="189">
        <v>0</v>
      </c>
      <c r="CM100" s="187" t="s">
        <v>242</v>
      </c>
      <c r="CN100" s="116"/>
      <c r="CO100" s="100">
        <v>0.6</v>
      </c>
      <c r="CP100" s="100">
        <f t="shared" si="90"/>
        <v>0.8</v>
      </c>
      <c r="CQ100" s="100">
        <v>1</v>
      </c>
      <c r="CR100" s="101">
        <v>0.15</v>
      </c>
      <c r="CS100" s="101">
        <v>0.2</v>
      </c>
    </row>
    <row r="101" spans="1:97" s="101" customFormat="1" ht="16.5" hidden="1" customHeight="1" x14ac:dyDescent="0.25">
      <c r="A101" s="99"/>
      <c r="V101" s="103"/>
      <c r="X101" s="107"/>
      <c r="Y101" s="107"/>
      <c r="Z101" s="107"/>
      <c r="AA101" s="110"/>
      <c r="AB101" s="110"/>
      <c r="AC101" s="107"/>
      <c r="AD101" s="110"/>
      <c r="AE101" s="109"/>
      <c r="AF101" s="107"/>
      <c r="AG101" s="107"/>
      <c r="AH101" s="111"/>
      <c r="AI101" s="111"/>
      <c r="AJ101" s="107"/>
      <c r="AK101" s="110"/>
      <c r="AL101" s="107"/>
      <c r="AM101" s="107"/>
      <c r="AN101" s="107"/>
      <c r="AO101" s="107"/>
      <c r="AP101" s="107"/>
      <c r="AQ101" s="107"/>
      <c r="AR101" s="110"/>
      <c r="AS101" s="107"/>
      <c r="AT101" s="107"/>
      <c r="AU101" s="107"/>
      <c r="AV101" s="110"/>
      <c r="AW101" s="107"/>
      <c r="AX101" s="110"/>
      <c r="AY101" s="107"/>
      <c r="AZ101" s="107"/>
      <c r="BA101" s="107"/>
      <c r="BB101" s="110"/>
      <c r="BC101" s="110"/>
      <c r="BD101" s="107"/>
      <c r="BE101" s="110"/>
      <c r="BF101" s="107"/>
      <c r="BG101" s="107"/>
      <c r="BH101" s="107"/>
      <c r="BI101" s="190" t="s">
        <v>214</v>
      </c>
      <c r="BJ101" s="187" t="s">
        <v>615</v>
      </c>
      <c r="BK101" s="181">
        <v>2507.6329999999998</v>
      </c>
      <c r="BL101" s="187" t="s">
        <v>612</v>
      </c>
      <c r="BM101" s="189">
        <v>2.6099999999999999E-3</v>
      </c>
      <c r="BN101" s="189">
        <v>2.6099999999999999E-3</v>
      </c>
      <c r="BO101" s="188" t="s">
        <v>241</v>
      </c>
      <c r="BP101" s="191">
        <v>31.212299999999999</v>
      </c>
      <c r="BQ101" s="187">
        <f t="shared" si="91"/>
        <v>3.1212299999999998E-2</v>
      </c>
      <c r="BR101" s="187" t="s">
        <v>613</v>
      </c>
      <c r="BS101" s="189">
        <v>3.0000000000000001E-3</v>
      </c>
      <c r="BT101" s="189">
        <v>0.03</v>
      </c>
      <c r="BU101" s="187" t="s">
        <v>242</v>
      </c>
      <c r="BV101" s="181">
        <v>46.818399999999997</v>
      </c>
      <c r="BW101" s="187">
        <f t="shared" si="92"/>
        <v>4.6818399999999996E-2</v>
      </c>
      <c r="BX101" s="187" t="s">
        <v>614</v>
      </c>
      <c r="BY101" s="189">
        <v>5.0000000000000001E-3</v>
      </c>
      <c r="BZ101" s="189">
        <v>0.05</v>
      </c>
      <c r="CA101" s="187" t="s">
        <v>242</v>
      </c>
      <c r="CB101" s="187">
        <v>0</v>
      </c>
      <c r="CC101" s="187">
        <f t="shared" si="93"/>
        <v>0</v>
      </c>
      <c r="CD101" s="187" t="s">
        <v>613</v>
      </c>
      <c r="CE101" s="189">
        <v>0</v>
      </c>
      <c r="CF101" s="189">
        <v>0</v>
      </c>
      <c r="CG101" s="187" t="s">
        <v>242</v>
      </c>
      <c r="CH101" s="181">
        <v>0</v>
      </c>
      <c r="CI101" s="187">
        <f t="shared" si="94"/>
        <v>0</v>
      </c>
      <c r="CJ101" s="187" t="s">
        <v>614</v>
      </c>
      <c r="CK101" s="189">
        <v>0</v>
      </c>
      <c r="CL101" s="189">
        <v>0</v>
      </c>
      <c r="CM101" s="187" t="s">
        <v>242</v>
      </c>
      <c r="CN101" s="116"/>
      <c r="CO101" s="100">
        <v>0.6</v>
      </c>
      <c r="CP101" s="100">
        <f t="shared" si="90"/>
        <v>0.8</v>
      </c>
      <c r="CQ101" s="100">
        <v>1</v>
      </c>
      <c r="CR101" s="101">
        <v>0.15</v>
      </c>
      <c r="CS101" s="101">
        <v>0.2</v>
      </c>
    </row>
    <row r="102" spans="1:97" s="101" customFormat="1" ht="16.5" hidden="1" customHeight="1" x14ac:dyDescent="0.25">
      <c r="A102" s="99"/>
      <c r="V102" s="103"/>
      <c r="X102" s="107"/>
      <c r="Y102" s="107"/>
      <c r="Z102" s="107"/>
      <c r="AA102" s="110"/>
      <c r="AB102" s="110"/>
      <c r="AC102" s="107"/>
      <c r="AD102" s="110"/>
      <c r="AE102" s="109"/>
      <c r="AF102" s="107"/>
      <c r="AG102" s="107"/>
      <c r="AH102" s="111"/>
      <c r="AI102" s="111"/>
      <c r="AJ102" s="107"/>
      <c r="AK102" s="110"/>
      <c r="AL102" s="107"/>
      <c r="AM102" s="107"/>
      <c r="AN102" s="107"/>
      <c r="AO102" s="107"/>
      <c r="AP102" s="107"/>
      <c r="AQ102" s="107"/>
      <c r="AR102" s="110"/>
      <c r="AS102" s="107"/>
      <c r="AT102" s="107"/>
      <c r="AU102" s="107"/>
      <c r="AV102" s="110"/>
      <c r="AW102" s="107"/>
      <c r="AX102" s="110"/>
      <c r="AY102" s="107"/>
      <c r="AZ102" s="107"/>
      <c r="BA102" s="107"/>
      <c r="BB102" s="110"/>
      <c r="BC102" s="110"/>
      <c r="BD102" s="107"/>
      <c r="BE102" s="110"/>
      <c r="BF102" s="107"/>
      <c r="BG102" s="107"/>
      <c r="BH102" s="107"/>
      <c r="BI102" s="190" t="s">
        <v>215</v>
      </c>
      <c r="BJ102" s="187" t="s">
        <v>615</v>
      </c>
      <c r="BK102" s="181">
        <v>2812.7539999999999</v>
      </c>
      <c r="BL102" s="187" t="s">
        <v>612</v>
      </c>
      <c r="BM102" s="189">
        <v>2.3899999999999998E-3</v>
      </c>
      <c r="BN102" s="189">
        <v>2.3899999999999998E-3</v>
      </c>
      <c r="BO102" s="188" t="s">
        <v>241</v>
      </c>
      <c r="BP102" s="191">
        <v>31.229299999999999</v>
      </c>
      <c r="BQ102" s="187">
        <f t="shared" si="91"/>
        <v>3.1229299999999998E-2</v>
      </c>
      <c r="BR102" s="187" t="s">
        <v>613</v>
      </c>
      <c r="BS102" s="189">
        <v>3.0000000000000001E-3</v>
      </c>
      <c r="BT102" s="189">
        <v>0.03</v>
      </c>
      <c r="BU102" s="187" t="s">
        <v>242</v>
      </c>
      <c r="BV102" s="181">
        <v>46.843899999999998</v>
      </c>
      <c r="BW102" s="187">
        <f t="shared" si="92"/>
        <v>4.6843900000000001E-2</v>
      </c>
      <c r="BX102" s="187" t="s">
        <v>614</v>
      </c>
      <c r="BY102" s="189">
        <v>5.0000000000000001E-3</v>
      </c>
      <c r="BZ102" s="189">
        <v>0.05</v>
      </c>
      <c r="CA102" s="187" t="s">
        <v>242</v>
      </c>
      <c r="CB102" s="187">
        <v>0</v>
      </c>
      <c r="CC102" s="187">
        <f t="shared" si="93"/>
        <v>0</v>
      </c>
      <c r="CD102" s="187" t="s">
        <v>613</v>
      </c>
      <c r="CE102" s="189">
        <v>0</v>
      </c>
      <c r="CF102" s="189">
        <v>0</v>
      </c>
      <c r="CG102" s="187" t="s">
        <v>242</v>
      </c>
      <c r="CH102" s="181">
        <v>0</v>
      </c>
      <c r="CI102" s="187">
        <f t="shared" si="94"/>
        <v>0</v>
      </c>
      <c r="CJ102" s="187" t="s">
        <v>614</v>
      </c>
      <c r="CK102" s="189">
        <v>0</v>
      </c>
      <c r="CL102" s="189">
        <v>0</v>
      </c>
      <c r="CM102" s="187" t="s">
        <v>242</v>
      </c>
      <c r="CN102" s="116"/>
      <c r="CO102" s="100">
        <v>0.6</v>
      </c>
      <c r="CP102" s="100">
        <f t="shared" si="90"/>
        <v>0.8</v>
      </c>
      <c r="CQ102" s="100">
        <v>1</v>
      </c>
      <c r="CR102" s="101">
        <v>0.15</v>
      </c>
      <c r="CS102" s="101">
        <v>0.2</v>
      </c>
    </row>
    <row r="103" spans="1:97" s="101" customFormat="1" ht="16.5" hidden="1" customHeight="1" x14ac:dyDescent="0.25">
      <c r="A103" s="99"/>
      <c r="V103" s="103"/>
      <c r="X103" s="107"/>
      <c r="Y103" s="107"/>
      <c r="Z103" s="107"/>
      <c r="AA103" s="110"/>
      <c r="AB103" s="110"/>
      <c r="AC103" s="107"/>
      <c r="AD103" s="110"/>
      <c r="AE103" s="109"/>
      <c r="AF103" s="107"/>
      <c r="AG103" s="107"/>
      <c r="AH103" s="111"/>
      <c r="AI103" s="111"/>
      <c r="AJ103" s="107"/>
      <c r="AK103" s="110"/>
      <c r="AL103" s="107"/>
      <c r="AM103" s="107"/>
      <c r="AN103" s="107"/>
      <c r="AO103" s="107"/>
      <c r="AP103" s="107"/>
      <c r="AQ103" s="107"/>
      <c r="AR103" s="110"/>
      <c r="AS103" s="107"/>
      <c r="AT103" s="107"/>
      <c r="AU103" s="107"/>
      <c r="AV103" s="110"/>
      <c r="AW103" s="107"/>
      <c r="AX103" s="110"/>
      <c r="AY103" s="107"/>
      <c r="AZ103" s="107"/>
      <c r="BA103" s="107"/>
      <c r="BB103" s="110"/>
      <c r="BC103" s="110"/>
      <c r="BD103" s="107"/>
      <c r="BE103" s="110"/>
      <c r="BF103" s="107"/>
      <c r="BG103" s="107"/>
      <c r="BH103" s="107"/>
      <c r="BI103" s="190" t="s">
        <v>216</v>
      </c>
      <c r="BJ103" s="187" t="s">
        <v>615</v>
      </c>
      <c r="BK103" s="181">
        <v>1903.181</v>
      </c>
      <c r="BL103" s="187" t="s">
        <v>612</v>
      </c>
      <c r="BM103" s="189">
        <v>3.5399999999999997E-3</v>
      </c>
      <c r="BN103" s="189">
        <v>3.5399999999999997E-3</v>
      </c>
      <c r="BO103" s="188" t="s">
        <v>241</v>
      </c>
      <c r="BP103" s="191">
        <v>20.947600000000001</v>
      </c>
      <c r="BQ103" s="187">
        <f t="shared" si="91"/>
        <v>2.09476E-2</v>
      </c>
      <c r="BR103" s="187" t="s">
        <v>613</v>
      </c>
      <c r="BS103" s="189">
        <v>3.0000000000000001E-3</v>
      </c>
      <c r="BT103" s="189">
        <v>0.03</v>
      </c>
      <c r="BU103" s="187" t="s">
        <v>242</v>
      </c>
      <c r="BV103" s="181">
        <v>31.421399999999998</v>
      </c>
      <c r="BW103" s="187">
        <f t="shared" si="92"/>
        <v>3.1421399999999995E-2</v>
      </c>
      <c r="BX103" s="187" t="s">
        <v>614</v>
      </c>
      <c r="BY103" s="189">
        <v>5.0000000000000001E-3</v>
      </c>
      <c r="BZ103" s="189">
        <v>0.05</v>
      </c>
      <c r="CA103" s="187" t="s">
        <v>242</v>
      </c>
      <c r="CB103" s="187">
        <v>0</v>
      </c>
      <c r="CC103" s="187">
        <f t="shared" si="93"/>
        <v>0</v>
      </c>
      <c r="CD103" s="187" t="s">
        <v>613</v>
      </c>
      <c r="CE103" s="189">
        <v>0</v>
      </c>
      <c r="CF103" s="189">
        <v>0</v>
      </c>
      <c r="CG103" s="187" t="s">
        <v>242</v>
      </c>
      <c r="CH103" s="181">
        <v>0</v>
      </c>
      <c r="CI103" s="187">
        <f t="shared" si="94"/>
        <v>0</v>
      </c>
      <c r="CJ103" s="187" t="s">
        <v>614</v>
      </c>
      <c r="CK103" s="189">
        <v>0</v>
      </c>
      <c r="CL103" s="189">
        <v>0</v>
      </c>
      <c r="CM103" s="187" t="s">
        <v>242</v>
      </c>
      <c r="CN103" s="116"/>
      <c r="CO103" s="100">
        <v>0.15</v>
      </c>
      <c r="CP103" s="100">
        <f t="shared" si="90"/>
        <v>0.17499999999999999</v>
      </c>
      <c r="CQ103" s="100">
        <v>0.2</v>
      </c>
      <c r="CR103" s="101">
        <v>0.15</v>
      </c>
      <c r="CS103" s="101">
        <v>0.2</v>
      </c>
    </row>
    <row r="104" spans="1:97" s="101" customFormat="1" ht="16.5" hidden="1" customHeight="1" x14ac:dyDescent="0.25">
      <c r="A104" s="99"/>
      <c r="V104" s="103"/>
      <c r="X104" s="107"/>
      <c r="Y104" s="107"/>
      <c r="Z104" s="107"/>
      <c r="AA104" s="110"/>
      <c r="AB104" s="110"/>
      <c r="AC104" s="107"/>
      <c r="AD104" s="110"/>
      <c r="AE104" s="109"/>
      <c r="AF104" s="107"/>
      <c r="AG104" s="107"/>
      <c r="AH104" s="111"/>
      <c r="AI104" s="111"/>
      <c r="AJ104" s="107"/>
      <c r="AK104" s="110"/>
      <c r="AL104" s="107"/>
      <c r="AM104" s="107"/>
      <c r="AN104" s="107"/>
      <c r="AO104" s="107"/>
      <c r="AP104" s="107"/>
      <c r="AQ104" s="107"/>
      <c r="AR104" s="110"/>
      <c r="AS104" s="107"/>
      <c r="AT104" s="107"/>
      <c r="AU104" s="107"/>
      <c r="AV104" s="110"/>
      <c r="AW104" s="107"/>
      <c r="AX104" s="110"/>
      <c r="AY104" s="107"/>
      <c r="AZ104" s="107"/>
      <c r="BA104" s="107"/>
      <c r="BB104" s="110"/>
      <c r="BC104" s="110"/>
      <c r="BD104" s="107"/>
      <c r="BE104" s="110"/>
      <c r="BI104" s="190" t="s">
        <v>217</v>
      </c>
      <c r="BJ104" s="187" t="s">
        <v>615</v>
      </c>
      <c r="BK104" s="181">
        <v>2560.306</v>
      </c>
      <c r="BL104" s="187" t="s">
        <v>612</v>
      </c>
      <c r="BM104" s="189">
        <v>2.5400000000000002E-3</v>
      </c>
      <c r="BN104" s="189">
        <v>2.5400000000000002E-3</v>
      </c>
      <c r="BO104" s="188" t="s">
        <v>241</v>
      </c>
      <c r="BP104" s="191">
        <v>33.076700000000002</v>
      </c>
      <c r="BQ104" s="187">
        <f t="shared" si="91"/>
        <v>3.3076700000000001E-2</v>
      </c>
      <c r="BR104" s="187" t="s">
        <v>613</v>
      </c>
      <c r="BS104" s="189">
        <v>3.0000000000000001E-3</v>
      </c>
      <c r="BT104" s="189">
        <v>0.03</v>
      </c>
      <c r="BU104" s="187" t="s">
        <v>242</v>
      </c>
      <c r="BV104" s="181">
        <v>49.615000000000002</v>
      </c>
      <c r="BW104" s="187">
        <f t="shared" si="92"/>
        <v>4.9614999999999999E-2</v>
      </c>
      <c r="BX104" s="187" t="s">
        <v>614</v>
      </c>
      <c r="BY104" s="189">
        <v>5.0000000000000001E-3</v>
      </c>
      <c r="BZ104" s="189">
        <v>0.05</v>
      </c>
      <c r="CA104" s="187" t="s">
        <v>242</v>
      </c>
      <c r="CB104" s="187">
        <v>0</v>
      </c>
      <c r="CC104" s="187">
        <f t="shared" si="93"/>
        <v>0</v>
      </c>
      <c r="CD104" s="187" t="s">
        <v>613</v>
      </c>
      <c r="CE104" s="189">
        <v>0</v>
      </c>
      <c r="CF104" s="189">
        <v>0</v>
      </c>
      <c r="CG104" s="187" t="s">
        <v>242</v>
      </c>
      <c r="CH104" s="181">
        <v>0</v>
      </c>
      <c r="CI104" s="187">
        <f t="shared" si="94"/>
        <v>0</v>
      </c>
      <c r="CJ104" s="187" t="s">
        <v>614</v>
      </c>
      <c r="CK104" s="189">
        <v>0</v>
      </c>
      <c r="CL104" s="189">
        <v>0</v>
      </c>
      <c r="CM104" s="187" t="s">
        <v>242</v>
      </c>
      <c r="CN104" s="116"/>
      <c r="CO104" s="100"/>
      <c r="CP104" s="100"/>
      <c r="CQ104" s="100"/>
      <c r="CR104" s="101">
        <v>0.15</v>
      </c>
      <c r="CS104" s="101">
        <v>0.2</v>
      </c>
    </row>
    <row r="105" spans="1:97" s="101" customFormat="1" ht="16.5" hidden="1" customHeight="1" x14ac:dyDescent="0.25">
      <c r="A105" s="99"/>
      <c r="V105" s="103"/>
      <c r="X105" s="107"/>
      <c r="Y105" s="107"/>
      <c r="Z105" s="107"/>
      <c r="AA105" s="110"/>
      <c r="AB105" s="110"/>
      <c r="AC105" s="107"/>
      <c r="AD105" s="110"/>
      <c r="AE105" s="109"/>
      <c r="AF105" s="107"/>
      <c r="AG105" s="107"/>
      <c r="AH105" s="111"/>
      <c r="AI105" s="111"/>
      <c r="AJ105" s="107"/>
      <c r="AK105" s="110"/>
      <c r="AL105" s="107"/>
      <c r="AM105" s="107"/>
      <c r="AN105" s="107"/>
      <c r="AO105" s="107"/>
      <c r="AP105" s="107"/>
      <c r="AQ105" s="107"/>
      <c r="AR105" s="110"/>
      <c r="AS105" s="107"/>
      <c r="AT105" s="107"/>
      <c r="AU105" s="107"/>
      <c r="AV105" s="110"/>
      <c r="AW105" s="107"/>
      <c r="AX105" s="110"/>
      <c r="AY105" s="107"/>
      <c r="AZ105" s="107"/>
      <c r="BA105" s="107"/>
      <c r="BB105" s="110"/>
      <c r="BC105" s="110"/>
      <c r="BD105" s="107"/>
      <c r="BE105" s="110"/>
      <c r="BF105" s="107"/>
      <c r="BG105" s="107"/>
      <c r="BH105" s="107"/>
      <c r="BI105" s="190" t="s">
        <v>218</v>
      </c>
      <c r="BJ105" s="187" t="s">
        <v>615</v>
      </c>
      <c r="BK105" s="181">
        <v>2690.982</v>
      </c>
      <c r="BL105" s="187" t="s">
        <v>612</v>
      </c>
      <c r="BM105" s="189">
        <v>2.5100000000000001E-3</v>
      </c>
      <c r="BN105" s="189">
        <v>2.5100000000000001E-3</v>
      </c>
      <c r="BO105" s="188" t="s">
        <v>241</v>
      </c>
      <c r="BP105" s="191">
        <v>29.204699999999999</v>
      </c>
      <c r="BQ105" s="187">
        <f t="shared" si="91"/>
        <v>2.92047E-2</v>
      </c>
      <c r="BR105" s="187" t="s">
        <v>613</v>
      </c>
      <c r="BS105" s="189">
        <v>3.0000000000000001E-3</v>
      </c>
      <c r="BT105" s="189">
        <v>0.03</v>
      </c>
      <c r="BU105" s="187" t="s">
        <v>242</v>
      </c>
      <c r="BV105" s="181">
        <v>43.807099999999998</v>
      </c>
      <c r="BW105" s="187">
        <f t="shared" si="92"/>
        <v>4.3807100000000002E-2</v>
      </c>
      <c r="BX105" s="187" t="s">
        <v>614</v>
      </c>
      <c r="BY105" s="189">
        <v>5.0000000000000001E-3</v>
      </c>
      <c r="BZ105" s="189">
        <v>0.05</v>
      </c>
      <c r="CA105" s="187" t="s">
        <v>242</v>
      </c>
      <c r="CB105" s="187">
        <v>0</v>
      </c>
      <c r="CC105" s="187">
        <f t="shared" si="93"/>
        <v>0</v>
      </c>
      <c r="CD105" s="187" t="s">
        <v>613</v>
      </c>
      <c r="CE105" s="189">
        <v>0</v>
      </c>
      <c r="CF105" s="189">
        <v>0</v>
      </c>
      <c r="CG105" s="187" t="s">
        <v>242</v>
      </c>
      <c r="CH105" s="181">
        <v>0</v>
      </c>
      <c r="CI105" s="187">
        <f t="shared" si="94"/>
        <v>0</v>
      </c>
      <c r="CJ105" s="187" t="s">
        <v>614</v>
      </c>
      <c r="CK105" s="189">
        <v>0</v>
      </c>
      <c r="CL105" s="189">
        <v>0</v>
      </c>
      <c r="CM105" s="187" t="s">
        <v>242</v>
      </c>
      <c r="CN105" s="116"/>
      <c r="CO105" s="100"/>
      <c r="CP105" s="100"/>
      <c r="CQ105" s="100"/>
      <c r="CR105" s="101">
        <v>0.15</v>
      </c>
      <c r="CS105" s="101">
        <v>0.2</v>
      </c>
    </row>
    <row r="106" spans="1:97" s="101" customFormat="1" ht="16.5" hidden="1" customHeight="1" x14ac:dyDescent="0.25">
      <c r="A106" s="99"/>
      <c r="V106" s="103"/>
      <c r="AA106" s="104"/>
      <c r="AB106" s="104"/>
      <c r="AD106" s="104"/>
      <c r="AE106" s="105"/>
      <c r="AH106" s="106"/>
      <c r="AI106" s="106"/>
      <c r="AK106" s="104"/>
      <c r="AR106" s="104"/>
      <c r="AV106" s="104"/>
      <c r="AX106" s="104"/>
      <c r="BB106" s="104"/>
      <c r="BC106" s="104"/>
      <c r="BE106" s="104"/>
      <c r="BH106" s="99"/>
      <c r="BI106" s="190" t="s">
        <v>219</v>
      </c>
      <c r="BJ106" s="187" t="s">
        <v>615</v>
      </c>
      <c r="BK106" s="181">
        <v>3052.7950000000001</v>
      </c>
      <c r="BL106" s="187" t="s">
        <v>612</v>
      </c>
      <c r="BM106" s="189">
        <v>2.1800000000000001E-3</v>
      </c>
      <c r="BN106" s="189">
        <v>2.1800000000000001E-3</v>
      </c>
      <c r="BO106" s="188" t="s">
        <v>241</v>
      </c>
      <c r="BP106" s="191">
        <v>35.206200000000003</v>
      </c>
      <c r="BQ106" s="187">
        <f t="shared" si="91"/>
        <v>3.52062E-2</v>
      </c>
      <c r="BR106" s="187" t="s">
        <v>613</v>
      </c>
      <c r="BS106" s="189">
        <v>3.0000000000000001E-3</v>
      </c>
      <c r="BT106" s="189">
        <v>0.03</v>
      </c>
      <c r="BU106" s="187" t="s">
        <v>242</v>
      </c>
      <c r="BV106" s="181">
        <v>52.8093</v>
      </c>
      <c r="BW106" s="187">
        <f t="shared" si="92"/>
        <v>5.2809300000000003E-2</v>
      </c>
      <c r="BX106" s="187" t="s">
        <v>614</v>
      </c>
      <c r="BY106" s="189">
        <v>5.0000000000000001E-3</v>
      </c>
      <c r="BZ106" s="189">
        <v>0.05</v>
      </c>
      <c r="CA106" s="187" t="s">
        <v>242</v>
      </c>
      <c r="CB106" s="187">
        <v>0</v>
      </c>
      <c r="CC106" s="187">
        <f t="shared" si="93"/>
        <v>0</v>
      </c>
      <c r="CD106" s="187" t="s">
        <v>613</v>
      </c>
      <c r="CE106" s="189">
        <v>0</v>
      </c>
      <c r="CF106" s="189">
        <v>0</v>
      </c>
      <c r="CG106" s="187" t="s">
        <v>242</v>
      </c>
      <c r="CH106" s="181">
        <v>0</v>
      </c>
      <c r="CI106" s="187">
        <f t="shared" si="94"/>
        <v>0</v>
      </c>
      <c r="CJ106" s="187" t="s">
        <v>614</v>
      </c>
      <c r="CK106" s="189">
        <v>0</v>
      </c>
      <c r="CL106" s="189">
        <v>0</v>
      </c>
      <c r="CM106" s="187" t="s">
        <v>242</v>
      </c>
      <c r="CN106" s="116"/>
      <c r="CO106" s="100"/>
      <c r="CP106" s="100"/>
      <c r="CQ106" s="100"/>
      <c r="CR106" s="101">
        <v>0.15</v>
      </c>
      <c r="CS106" s="101">
        <v>0.2</v>
      </c>
    </row>
    <row r="107" spans="1:97" s="101" customFormat="1" ht="16.5" hidden="1" customHeight="1" x14ac:dyDescent="0.25">
      <c r="A107" s="99"/>
      <c r="V107" s="103"/>
      <c r="AA107" s="104"/>
      <c r="AB107" s="104"/>
      <c r="AD107" s="104"/>
      <c r="AE107" s="105"/>
      <c r="AH107" s="106"/>
      <c r="AI107" s="106"/>
      <c r="AK107" s="104"/>
      <c r="AR107" s="104"/>
      <c r="AV107" s="104"/>
      <c r="AX107" s="104"/>
      <c r="BB107" s="104"/>
      <c r="BC107" s="104"/>
      <c r="BE107" s="104"/>
      <c r="BH107" s="99"/>
      <c r="BI107" s="190" t="s">
        <v>220</v>
      </c>
      <c r="BJ107" s="187" t="s">
        <v>615</v>
      </c>
      <c r="BK107" s="181">
        <v>2277.4490000000001</v>
      </c>
      <c r="BL107" s="187" t="s">
        <v>612</v>
      </c>
      <c r="BM107" s="189">
        <v>2.98E-3</v>
      </c>
      <c r="BN107" s="189">
        <v>2.98E-3</v>
      </c>
      <c r="BO107" s="188" t="s">
        <v>241</v>
      </c>
      <c r="BP107" s="191">
        <v>24.4054</v>
      </c>
      <c r="BQ107" s="187">
        <f t="shared" si="91"/>
        <v>2.4405400000000001E-2</v>
      </c>
      <c r="BR107" s="187" t="s">
        <v>613</v>
      </c>
      <c r="BS107" s="189">
        <v>3.0000000000000001E-3</v>
      </c>
      <c r="BT107" s="189">
        <v>0.03</v>
      </c>
      <c r="BU107" s="187" t="s">
        <v>242</v>
      </c>
      <c r="BV107" s="181">
        <v>36.6081</v>
      </c>
      <c r="BW107" s="187">
        <f t="shared" si="92"/>
        <v>3.6608099999999998E-2</v>
      </c>
      <c r="BX107" s="187" t="s">
        <v>614</v>
      </c>
      <c r="BY107" s="189">
        <v>5.0000000000000001E-3</v>
      </c>
      <c r="BZ107" s="189">
        <v>0.05</v>
      </c>
      <c r="CA107" s="187" t="s">
        <v>242</v>
      </c>
      <c r="CB107" s="187">
        <v>0</v>
      </c>
      <c r="CC107" s="187">
        <f t="shared" si="93"/>
        <v>0</v>
      </c>
      <c r="CD107" s="187" t="s">
        <v>613</v>
      </c>
      <c r="CE107" s="189">
        <v>0</v>
      </c>
      <c r="CF107" s="189">
        <v>0</v>
      </c>
      <c r="CG107" s="187" t="s">
        <v>242</v>
      </c>
      <c r="CH107" s="181">
        <v>0</v>
      </c>
      <c r="CI107" s="187">
        <f t="shared" si="94"/>
        <v>0</v>
      </c>
      <c r="CJ107" s="187" t="s">
        <v>614</v>
      </c>
      <c r="CK107" s="189">
        <v>0</v>
      </c>
      <c r="CL107" s="189">
        <v>0</v>
      </c>
      <c r="CM107" s="187" t="s">
        <v>242</v>
      </c>
      <c r="CN107" s="116"/>
      <c r="CO107" s="100"/>
      <c r="CP107" s="100"/>
      <c r="CQ107" s="100"/>
      <c r="CR107" s="101">
        <v>0.15</v>
      </c>
      <c r="CS107" s="101">
        <v>0.2</v>
      </c>
    </row>
    <row r="108" spans="1:97" s="101" customFormat="1" ht="16.5" hidden="1" customHeight="1" x14ac:dyDescent="0.25">
      <c r="A108" s="99"/>
      <c r="V108" s="103"/>
      <c r="AA108" s="104"/>
      <c r="AB108" s="104"/>
      <c r="AD108" s="104"/>
      <c r="AE108" s="105"/>
      <c r="AH108" s="106"/>
      <c r="AI108" s="106"/>
      <c r="AK108" s="104"/>
      <c r="AR108" s="104"/>
      <c r="AV108" s="104"/>
      <c r="AX108" s="104"/>
      <c r="BB108" s="104"/>
      <c r="BC108" s="104"/>
      <c r="BE108" s="104"/>
      <c r="BH108" s="99"/>
      <c r="BI108" s="190" t="s">
        <v>1</v>
      </c>
      <c r="BJ108" s="187" t="s">
        <v>615</v>
      </c>
      <c r="BK108" s="213">
        <v>0</v>
      </c>
      <c r="BL108" s="187" t="s">
        <v>612</v>
      </c>
      <c r="BM108" s="189">
        <v>4.3E-3</v>
      </c>
      <c r="BN108" s="189">
        <v>4.3E-3</v>
      </c>
      <c r="BO108" s="188" t="s">
        <v>241</v>
      </c>
      <c r="BP108" s="191">
        <v>442.28840000000002</v>
      </c>
      <c r="BQ108" s="187">
        <f t="shared" si="91"/>
        <v>0.44228840000000003</v>
      </c>
      <c r="BR108" s="187" t="s">
        <v>613</v>
      </c>
      <c r="BS108" s="189">
        <v>0.1</v>
      </c>
      <c r="BT108" s="189">
        <v>1</v>
      </c>
      <c r="BU108" s="187" t="s">
        <v>242</v>
      </c>
      <c r="BV108" s="181">
        <v>58.971800000000002</v>
      </c>
      <c r="BW108" s="187">
        <f t="shared" si="92"/>
        <v>5.8971800000000005E-2</v>
      </c>
      <c r="BX108" s="187" t="s">
        <v>614</v>
      </c>
      <c r="BY108" s="189">
        <v>1.4999999999999999E-2</v>
      </c>
      <c r="BZ108" s="189">
        <v>0.15</v>
      </c>
      <c r="CA108" s="187" t="s">
        <v>242</v>
      </c>
      <c r="CB108" s="187">
        <v>0</v>
      </c>
      <c r="CC108" s="187">
        <f t="shared" si="93"/>
        <v>0</v>
      </c>
      <c r="CD108" s="187" t="s">
        <v>613</v>
      </c>
      <c r="CE108" s="189">
        <v>0</v>
      </c>
      <c r="CF108" s="189">
        <v>0</v>
      </c>
      <c r="CG108" s="187" t="s">
        <v>242</v>
      </c>
      <c r="CH108" s="181">
        <v>0</v>
      </c>
      <c r="CI108" s="187">
        <f t="shared" si="94"/>
        <v>0</v>
      </c>
      <c r="CJ108" s="187" t="s">
        <v>614</v>
      </c>
      <c r="CK108" s="189">
        <v>0</v>
      </c>
      <c r="CL108" s="189">
        <v>0</v>
      </c>
      <c r="CM108" s="187" t="s">
        <v>242</v>
      </c>
      <c r="CN108" s="116"/>
      <c r="CO108" s="100">
        <v>0.15</v>
      </c>
      <c r="CP108" s="100">
        <f t="shared" ref="CP108:CP120" si="95">(CO108+CQ108)/2</f>
        <v>0.17499999999999999</v>
      </c>
      <c r="CQ108" s="100">
        <v>0.2</v>
      </c>
      <c r="CR108" s="101">
        <v>0.6</v>
      </c>
      <c r="CS108" s="101">
        <v>1</v>
      </c>
    </row>
    <row r="109" spans="1:97" s="101" customFormat="1" ht="16.5" hidden="1" customHeight="1" x14ac:dyDescent="0.25">
      <c r="A109" s="99"/>
      <c r="V109" s="103"/>
      <c r="AA109" s="104"/>
      <c r="AB109" s="104"/>
      <c r="AD109" s="104"/>
      <c r="AE109" s="105"/>
      <c r="AH109" s="106"/>
      <c r="AI109" s="106"/>
      <c r="AK109" s="104"/>
      <c r="AR109" s="104"/>
      <c r="AV109" s="104"/>
      <c r="AX109" s="104"/>
      <c r="BB109" s="104"/>
      <c r="BC109" s="104"/>
      <c r="BE109" s="104"/>
      <c r="BH109" s="99"/>
      <c r="BI109" s="190" t="s">
        <v>221</v>
      </c>
      <c r="BJ109" s="187" t="s">
        <v>615</v>
      </c>
      <c r="BK109" s="213">
        <v>0</v>
      </c>
      <c r="BL109" s="187" t="s">
        <v>612</v>
      </c>
      <c r="BM109" s="189">
        <v>3.82E-3</v>
      </c>
      <c r="BN109" s="189">
        <v>3.82E-3</v>
      </c>
      <c r="BO109" s="188" t="s">
        <v>241</v>
      </c>
      <c r="BP109" s="191">
        <v>499.19130000000001</v>
      </c>
      <c r="BQ109" s="187">
        <f t="shared" si="91"/>
        <v>0.4991913</v>
      </c>
      <c r="BR109" s="187" t="s">
        <v>613</v>
      </c>
      <c r="BS109" s="189">
        <v>0.1</v>
      </c>
      <c r="BT109" s="189">
        <v>1</v>
      </c>
      <c r="BU109" s="187" t="s">
        <v>242</v>
      </c>
      <c r="BV109" s="181">
        <v>66.558800000000005</v>
      </c>
      <c r="BW109" s="187">
        <f t="shared" si="92"/>
        <v>6.6558800000000001E-2</v>
      </c>
      <c r="BX109" s="187" t="s">
        <v>614</v>
      </c>
      <c r="BY109" s="189">
        <v>1.4999999999999999E-2</v>
      </c>
      <c r="BZ109" s="189">
        <v>0.15</v>
      </c>
      <c r="CA109" s="187" t="s">
        <v>242</v>
      </c>
      <c r="CB109" s="187">
        <v>0</v>
      </c>
      <c r="CC109" s="187">
        <f t="shared" si="93"/>
        <v>0</v>
      </c>
      <c r="CD109" s="187" t="s">
        <v>613</v>
      </c>
      <c r="CE109" s="189">
        <v>0</v>
      </c>
      <c r="CF109" s="189">
        <v>0</v>
      </c>
      <c r="CG109" s="187" t="s">
        <v>242</v>
      </c>
      <c r="CH109" s="181">
        <v>0</v>
      </c>
      <c r="CI109" s="187">
        <f t="shared" si="94"/>
        <v>0</v>
      </c>
      <c r="CJ109" s="187" t="s">
        <v>614</v>
      </c>
      <c r="CK109" s="189">
        <v>0</v>
      </c>
      <c r="CL109" s="189">
        <v>0</v>
      </c>
      <c r="CM109" s="187" t="s">
        <v>242</v>
      </c>
      <c r="CN109" s="117"/>
      <c r="CO109" s="100">
        <v>0.15</v>
      </c>
      <c r="CP109" s="100">
        <f t="shared" si="95"/>
        <v>0.17499999999999999</v>
      </c>
      <c r="CQ109" s="100">
        <v>0.2</v>
      </c>
      <c r="CR109" s="101">
        <v>0.6</v>
      </c>
      <c r="CS109" s="101">
        <v>1</v>
      </c>
    </row>
    <row r="110" spans="1:97" s="101" customFormat="1" ht="16.5" hidden="1" customHeight="1" x14ac:dyDescent="0.25">
      <c r="A110" s="99"/>
      <c r="V110" s="103"/>
      <c r="AA110" s="104"/>
      <c r="AB110" s="104"/>
      <c r="AD110" s="104"/>
      <c r="AE110" s="105"/>
      <c r="AH110" s="106"/>
      <c r="AI110" s="106"/>
      <c r="AK110" s="104"/>
      <c r="AR110" s="104"/>
      <c r="AV110" s="104"/>
      <c r="AX110" s="104"/>
      <c r="BB110" s="104"/>
      <c r="BC110" s="104"/>
      <c r="BE110" s="104"/>
      <c r="BH110" s="99"/>
      <c r="BI110" s="190" t="s">
        <v>222</v>
      </c>
      <c r="BJ110" s="187" t="s">
        <v>615</v>
      </c>
      <c r="BK110" s="213">
        <v>0</v>
      </c>
      <c r="BL110" s="187" t="s">
        <v>612</v>
      </c>
      <c r="BM110" s="189">
        <v>3.98E-3</v>
      </c>
      <c r="BN110" s="189">
        <v>3.98E-3</v>
      </c>
      <c r="BO110" s="188" t="s">
        <v>241</v>
      </c>
      <c r="BP110" s="191">
        <v>503.12909999999999</v>
      </c>
      <c r="BQ110" s="187">
        <f t="shared" si="91"/>
        <v>0.5031291</v>
      </c>
      <c r="BR110" s="187" t="s">
        <v>613</v>
      </c>
      <c r="BS110" s="189">
        <v>0.1</v>
      </c>
      <c r="BT110" s="189">
        <v>1</v>
      </c>
      <c r="BU110" s="187" t="s">
        <v>242</v>
      </c>
      <c r="BV110" s="181">
        <v>67.0839</v>
      </c>
      <c r="BW110" s="187">
        <f t="shared" si="92"/>
        <v>6.7083900000000002E-2</v>
      </c>
      <c r="BX110" s="187" t="s">
        <v>614</v>
      </c>
      <c r="BY110" s="189">
        <v>1.4999999999999999E-2</v>
      </c>
      <c r="BZ110" s="189">
        <v>0.15</v>
      </c>
      <c r="CA110" s="187" t="s">
        <v>242</v>
      </c>
      <c r="CB110" s="187">
        <v>0</v>
      </c>
      <c r="CC110" s="187">
        <f t="shared" si="93"/>
        <v>0</v>
      </c>
      <c r="CD110" s="187" t="s">
        <v>613</v>
      </c>
      <c r="CE110" s="189">
        <v>0</v>
      </c>
      <c r="CF110" s="189">
        <v>0</v>
      </c>
      <c r="CG110" s="187" t="s">
        <v>242</v>
      </c>
      <c r="CH110" s="181">
        <v>0</v>
      </c>
      <c r="CI110" s="187">
        <f t="shared" si="94"/>
        <v>0</v>
      </c>
      <c r="CJ110" s="187" t="s">
        <v>614</v>
      </c>
      <c r="CK110" s="189">
        <v>0</v>
      </c>
      <c r="CL110" s="189">
        <v>0</v>
      </c>
      <c r="CM110" s="187" t="s">
        <v>242</v>
      </c>
      <c r="CN110" s="116"/>
      <c r="CO110" s="100">
        <v>0.15</v>
      </c>
      <c r="CP110" s="100">
        <f t="shared" si="95"/>
        <v>0.17499999999999999</v>
      </c>
      <c r="CQ110" s="100">
        <v>0.2</v>
      </c>
      <c r="CR110" s="101">
        <v>0.6</v>
      </c>
      <c r="CS110" s="101">
        <v>1</v>
      </c>
    </row>
    <row r="111" spans="1:97" s="101" customFormat="1" ht="16.5" hidden="1" customHeight="1" x14ac:dyDescent="0.25">
      <c r="A111" s="99"/>
      <c r="V111" s="103"/>
      <c r="AA111" s="104"/>
      <c r="AB111" s="104"/>
      <c r="AD111" s="104"/>
      <c r="AE111" s="105"/>
      <c r="AH111" s="106"/>
      <c r="AI111" s="106"/>
      <c r="AK111" s="104"/>
      <c r="AR111" s="104"/>
      <c r="AV111" s="104"/>
      <c r="AX111" s="104"/>
      <c r="BB111" s="104"/>
      <c r="BC111" s="104"/>
      <c r="BE111" s="104"/>
      <c r="BH111" s="99"/>
      <c r="BI111" s="190" t="s">
        <v>223</v>
      </c>
      <c r="BJ111" s="187" t="s">
        <v>615</v>
      </c>
      <c r="BK111" s="213">
        <v>0</v>
      </c>
      <c r="BL111" s="187" t="s">
        <v>612</v>
      </c>
      <c r="BM111" s="189">
        <v>3.5799999999999998E-3</v>
      </c>
      <c r="BN111" s="189">
        <v>3.5799999999999998E-3</v>
      </c>
      <c r="BO111" s="188" t="s">
        <v>241</v>
      </c>
      <c r="BP111" s="191">
        <v>548.92100000000005</v>
      </c>
      <c r="BQ111" s="187">
        <f t="shared" si="91"/>
        <v>0.5489210000000001</v>
      </c>
      <c r="BR111" s="187" t="s">
        <v>613</v>
      </c>
      <c r="BS111" s="189">
        <v>0.1</v>
      </c>
      <c r="BT111" s="189">
        <v>1</v>
      </c>
      <c r="BU111" s="187" t="s">
        <v>242</v>
      </c>
      <c r="BV111" s="181">
        <v>73.189499999999995</v>
      </c>
      <c r="BW111" s="187">
        <f t="shared" si="92"/>
        <v>7.3189499999999991E-2</v>
      </c>
      <c r="BX111" s="187" t="s">
        <v>614</v>
      </c>
      <c r="BY111" s="189">
        <v>1.4999999999999999E-2</v>
      </c>
      <c r="BZ111" s="189">
        <v>0.15</v>
      </c>
      <c r="CA111" s="187" t="s">
        <v>242</v>
      </c>
      <c r="CB111" s="187">
        <v>0</v>
      </c>
      <c r="CC111" s="187">
        <f t="shared" si="93"/>
        <v>0</v>
      </c>
      <c r="CD111" s="187" t="s">
        <v>613</v>
      </c>
      <c r="CE111" s="189">
        <v>0</v>
      </c>
      <c r="CF111" s="189">
        <v>0</v>
      </c>
      <c r="CG111" s="187" t="s">
        <v>242</v>
      </c>
      <c r="CH111" s="181">
        <v>0</v>
      </c>
      <c r="CI111" s="187">
        <f t="shared" si="94"/>
        <v>0</v>
      </c>
      <c r="CJ111" s="187" t="s">
        <v>614</v>
      </c>
      <c r="CK111" s="189">
        <v>0</v>
      </c>
      <c r="CL111" s="189">
        <v>0</v>
      </c>
      <c r="CM111" s="187" t="s">
        <v>242</v>
      </c>
      <c r="CN111" s="116"/>
      <c r="CO111" s="100">
        <v>0.15</v>
      </c>
      <c r="CP111" s="100">
        <f t="shared" si="95"/>
        <v>0.17499999999999999</v>
      </c>
      <c r="CQ111" s="100">
        <v>0.2</v>
      </c>
      <c r="CR111" s="101">
        <v>0.6</v>
      </c>
      <c r="CS111" s="101">
        <v>1</v>
      </c>
    </row>
    <row r="112" spans="1:97" s="101" customFormat="1" ht="16.5" hidden="1" customHeight="1" x14ac:dyDescent="0.25">
      <c r="A112" s="99"/>
      <c r="V112" s="103"/>
      <c r="AA112" s="104"/>
      <c r="AB112" s="104"/>
      <c r="AD112" s="104"/>
      <c r="AE112" s="105"/>
      <c r="AH112" s="106"/>
      <c r="AI112" s="106"/>
      <c r="AK112" s="104"/>
      <c r="AR112" s="104"/>
      <c r="AV112" s="104"/>
      <c r="AX112" s="104"/>
      <c r="BB112" s="104"/>
      <c r="BC112" s="104"/>
      <c r="BE112" s="104"/>
      <c r="BH112" s="99"/>
      <c r="BI112" s="190" t="s">
        <v>224</v>
      </c>
      <c r="BJ112" s="187" t="s">
        <v>615</v>
      </c>
      <c r="BK112" s="213">
        <v>0</v>
      </c>
      <c r="BL112" s="187" t="s">
        <v>612</v>
      </c>
      <c r="BM112" s="189">
        <v>4.4900000000000001E-3</v>
      </c>
      <c r="BN112" s="189">
        <v>4.4900000000000001E-3</v>
      </c>
      <c r="BO112" s="188" t="s">
        <v>241</v>
      </c>
      <c r="BP112" s="191">
        <v>448.58819999999997</v>
      </c>
      <c r="BQ112" s="187">
        <f t="shared" si="91"/>
        <v>0.44858819999999999</v>
      </c>
      <c r="BR112" s="187" t="s">
        <v>613</v>
      </c>
      <c r="BS112" s="189">
        <v>0.1</v>
      </c>
      <c r="BT112" s="189">
        <v>1</v>
      </c>
      <c r="BU112" s="187" t="s">
        <v>242</v>
      </c>
      <c r="BV112" s="181">
        <v>59.811799999999998</v>
      </c>
      <c r="BW112" s="187">
        <f t="shared" si="92"/>
        <v>5.9811799999999998E-2</v>
      </c>
      <c r="BX112" s="187" t="s">
        <v>614</v>
      </c>
      <c r="BY112" s="189">
        <v>1.4999999999999999E-2</v>
      </c>
      <c r="BZ112" s="189">
        <v>0.15</v>
      </c>
      <c r="CA112" s="187" t="s">
        <v>242</v>
      </c>
      <c r="CB112" s="187">
        <v>0</v>
      </c>
      <c r="CC112" s="187">
        <f t="shared" si="93"/>
        <v>0</v>
      </c>
      <c r="CD112" s="187" t="s">
        <v>613</v>
      </c>
      <c r="CE112" s="189">
        <v>0</v>
      </c>
      <c r="CF112" s="189">
        <v>0</v>
      </c>
      <c r="CG112" s="187" t="s">
        <v>242</v>
      </c>
      <c r="CH112" s="181">
        <v>0</v>
      </c>
      <c r="CI112" s="187">
        <f t="shared" si="94"/>
        <v>0</v>
      </c>
      <c r="CJ112" s="187" t="s">
        <v>614</v>
      </c>
      <c r="CK112" s="189">
        <v>0</v>
      </c>
      <c r="CL112" s="189">
        <v>0</v>
      </c>
      <c r="CM112" s="187" t="s">
        <v>242</v>
      </c>
      <c r="CN112" s="116"/>
      <c r="CO112" s="100">
        <v>0.15</v>
      </c>
      <c r="CP112" s="100">
        <f t="shared" si="95"/>
        <v>0.17499999999999999</v>
      </c>
      <c r="CQ112" s="100">
        <v>0.2</v>
      </c>
      <c r="CR112" s="101">
        <v>0.6</v>
      </c>
      <c r="CS112" s="101">
        <v>1</v>
      </c>
    </row>
    <row r="113" spans="1:97" s="101" customFormat="1" ht="16.5" hidden="1" customHeight="1" x14ac:dyDescent="0.25">
      <c r="A113" s="99"/>
      <c r="V113" s="103"/>
      <c r="AA113" s="104"/>
      <c r="AB113" s="104"/>
      <c r="AD113" s="104"/>
      <c r="AE113" s="105"/>
      <c r="AH113" s="106"/>
      <c r="AI113" s="106"/>
      <c r="AK113" s="104"/>
      <c r="AR113" s="104"/>
      <c r="AV113" s="104"/>
      <c r="AX113" s="104"/>
      <c r="BB113" s="104"/>
      <c r="BC113" s="104"/>
      <c r="BE113" s="104"/>
      <c r="BH113" s="99"/>
      <c r="BI113" s="190" t="s">
        <v>225</v>
      </c>
      <c r="BJ113" s="187" t="s">
        <v>615</v>
      </c>
      <c r="BK113" s="213">
        <v>0</v>
      </c>
      <c r="BL113" s="187" t="s">
        <v>612</v>
      </c>
      <c r="BM113" s="189">
        <v>3.0299999999999997E-3</v>
      </c>
      <c r="BN113" s="189">
        <v>3.0299999999999997E-3</v>
      </c>
      <c r="BO113" s="188" t="s">
        <v>241</v>
      </c>
      <c r="BP113" s="191">
        <v>735.18640000000005</v>
      </c>
      <c r="BQ113" s="187">
        <f t="shared" si="91"/>
        <v>0.73518640000000002</v>
      </c>
      <c r="BR113" s="187" t="s">
        <v>613</v>
      </c>
      <c r="BS113" s="189">
        <v>0.1</v>
      </c>
      <c r="BT113" s="189">
        <v>1</v>
      </c>
      <c r="BU113" s="187" t="s">
        <v>242</v>
      </c>
      <c r="BV113" s="181">
        <v>98.024799999999999</v>
      </c>
      <c r="BW113" s="187">
        <f t="shared" si="92"/>
        <v>9.8024799999999995E-2</v>
      </c>
      <c r="BX113" s="187" t="s">
        <v>614</v>
      </c>
      <c r="BY113" s="189">
        <v>1.4999999999999999E-2</v>
      </c>
      <c r="BZ113" s="189">
        <v>0.15</v>
      </c>
      <c r="CA113" s="187" t="s">
        <v>242</v>
      </c>
      <c r="CB113" s="187">
        <v>0</v>
      </c>
      <c r="CC113" s="187">
        <f t="shared" si="93"/>
        <v>0</v>
      </c>
      <c r="CD113" s="187" t="s">
        <v>613</v>
      </c>
      <c r="CE113" s="189">
        <v>0</v>
      </c>
      <c r="CF113" s="189">
        <v>0</v>
      </c>
      <c r="CG113" s="187" t="s">
        <v>242</v>
      </c>
      <c r="CH113" s="181">
        <v>0</v>
      </c>
      <c r="CI113" s="187">
        <f t="shared" si="94"/>
        <v>0</v>
      </c>
      <c r="CJ113" s="187" t="s">
        <v>614</v>
      </c>
      <c r="CK113" s="189">
        <v>0</v>
      </c>
      <c r="CL113" s="189">
        <v>0</v>
      </c>
      <c r="CM113" s="187" t="s">
        <v>242</v>
      </c>
      <c r="CN113" s="116"/>
      <c r="CO113" s="100">
        <v>0.15</v>
      </c>
      <c r="CP113" s="100">
        <f t="shared" si="95"/>
        <v>0.17499999999999999</v>
      </c>
      <c r="CQ113" s="100">
        <v>0.2</v>
      </c>
      <c r="CR113" s="101">
        <v>0.6</v>
      </c>
      <c r="CS113" s="101">
        <v>1</v>
      </c>
    </row>
    <row r="114" spans="1:97" s="101" customFormat="1" ht="16.5" hidden="1" customHeight="1" x14ac:dyDescent="0.25">
      <c r="A114" s="99"/>
      <c r="V114" s="103"/>
      <c r="AA114" s="104"/>
      <c r="AB114" s="104"/>
      <c r="AD114" s="104"/>
      <c r="AE114" s="105"/>
      <c r="AH114" s="106"/>
      <c r="AI114" s="106"/>
      <c r="AK114" s="104"/>
      <c r="AR114" s="104"/>
      <c r="AV114" s="104"/>
      <c r="AX114" s="104"/>
      <c r="BB114" s="104"/>
      <c r="BC114" s="104"/>
      <c r="BE114" s="104"/>
      <c r="BH114" s="99"/>
      <c r="BI114" s="190" t="s">
        <v>226</v>
      </c>
      <c r="BJ114" s="187" t="s">
        <v>615</v>
      </c>
      <c r="BK114" s="213">
        <v>0</v>
      </c>
      <c r="BL114" s="187" t="s">
        <v>612</v>
      </c>
      <c r="BM114" s="189">
        <v>3.7299999999999998E-3</v>
      </c>
      <c r="BN114" s="189">
        <v>3.7299999999999998E-3</v>
      </c>
      <c r="BO114" s="188" t="s">
        <v>241</v>
      </c>
      <c r="BP114" s="191">
        <v>537.77970000000005</v>
      </c>
      <c r="BQ114" s="187">
        <f t="shared" si="91"/>
        <v>0.53777970000000008</v>
      </c>
      <c r="BR114" s="187" t="s">
        <v>613</v>
      </c>
      <c r="BS114" s="189">
        <v>0.1</v>
      </c>
      <c r="BT114" s="189">
        <v>1</v>
      </c>
      <c r="BU114" s="187" t="s">
        <v>242</v>
      </c>
      <c r="BV114" s="181">
        <v>71.703999999999994</v>
      </c>
      <c r="BW114" s="187">
        <f t="shared" si="92"/>
        <v>7.170399999999999E-2</v>
      </c>
      <c r="BX114" s="187" t="s">
        <v>614</v>
      </c>
      <c r="BY114" s="189">
        <v>1.4999999999999999E-2</v>
      </c>
      <c r="BZ114" s="189">
        <v>0.15</v>
      </c>
      <c r="CA114" s="187" t="s">
        <v>242</v>
      </c>
      <c r="CB114" s="187">
        <v>0</v>
      </c>
      <c r="CC114" s="187">
        <f t="shared" si="93"/>
        <v>0</v>
      </c>
      <c r="CD114" s="187" t="s">
        <v>613</v>
      </c>
      <c r="CE114" s="189">
        <v>0</v>
      </c>
      <c r="CF114" s="189">
        <v>0</v>
      </c>
      <c r="CG114" s="187" t="s">
        <v>242</v>
      </c>
      <c r="CH114" s="181">
        <v>0</v>
      </c>
      <c r="CI114" s="187">
        <f t="shared" si="94"/>
        <v>0</v>
      </c>
      <c r="CJ114" s="187" t="s">
        <v>614</v>
      </c>
      <c r="CK114" s="189">
        <v>0</v>
      </c>
      <c r="CL114" s="189">
        <v>0</v>
      </c>
      <c r="CM114" s="187" t="s">
        <v>242</v>
      </c>
      <c r="CN114" s="116"/>
      <c r="CO114" s="100">
        <v>0.15</v>
      </c>
      <c r="CP114" s="100">
        <f t="shared" si="95"/>
        <v>0.17499999999999999</v>
      </c>
      <c r="CQ114" s="100">
        <v>0.2</v>
      </c>
      <c r="CR114" s="101">
        <v>0.6</v>
      </c>
      <c r="CS114" s="101">
        <v>1</v>
      </c>
    </row>
    <row r="115" spans="1:97" s="101" customFormat="1" ht="16.5" hidden="1" customHeight="1" x14ac:dyDescent="0.25">
      <c r="A115" s="99"/>
      <c r="V115" s="103"/>
      <c r="AA115" s="104"/>
      <c r="AB115" s="104"/>
      <c r="AD115" s="104"/>
      <c r="AE115" s="105"/>
      <c r="AH115" s="106"/>
      <c r="AI115" s="106"/>
      <c r="AK115" s="104"/>
      <c r="AR115" s="104"/>
      <c r="AV115" s="104"/>
      <c r="AX115" s="104"/>
      <c r="BB115" s="104"/>
      <c r="BC115" s="104"/>
      <c r="BE115" s="104"/>
      <c r="BH115" s="99"/>
      <c r="BI115" s="190" t="s">
        <v>3</v>
      </c>
      <c r="BJ115" s="187" t="s">
        <v>615</v>
      </c>
      <c r="BK115" s="213">
        <v>0</v>
      </c>
      <c r="BL115" s="187" t="s">
        <v>612</v>
      </c>
      <c r="BM115" s="189">
        <v>4.4099999999999999E-3</v>
      </c>
      <c r="BN115" s="189">
        <v>4.4099999999999999E-3</v>
      </c>
      <c r="BO115" s="188" t="s">
        <v>241</v>
      </c>
      <c r="BP115" s="191">
        <v>509.80349999999999</v>
      </c>
      <c r="BQ115" s="187">
        <f t="shared" si="91"/>
        <v>0.50980349999999997</v>
      </c>
      <c r="BR115" s="187" t="s">
        <v>613</v>
      </c>
      <c r="BS115" s="189">
        <v>0.1</v>
      </c>
      <c r="BT115" s="189">
        <v>1</v>
      </c>
      <c r="BU115" s="187" t="s">
        <v>242</v>
      </c>
      <c r="BV115" s="181">
        <v>67.973799999999997</v>
      </c>
      <c r="BW115" s="187">
        <f t="shared" si="92"/>
        <v>6.7973800000000001E-2</v>
      </c>
      <c r="BX115" s="187" t="s">
        <v>614</v>
      </c>
      <c r="BY115" s="189">
        <v>1.4999999999999999E-2</v>
      </c>
      <c r="BZ115" s="189">
        <v>0.15</v>
      </c>
      <c r="CA115" s="187" t="s">
        <v>242</v>
      </c>
      <c r="CB115" s="187">
        <v>0</v>
      </c>
      <c r="CC115" s="187">
        <f t="shared" si="93"/>
        <v>0</v>
      </c>
      <c r="CD115" s="187" t="s">
        <v>613</v>
      </c>
      <c r="CE115" s="189">
        <v>0</v>
      </c>
      <c r="CF115" s="189">
        <v>0</v>
      </c>
      <c r="CG115" s="187" t="s">
        <v>242</v>
      </c>
      <c r="CH115" s="181">
        <v>0</v>
      </c>
      <c r="CI115" s="187">
        <f t="shared" si="94"/>
        <v>0</v>
      </c>
      <c r="CJ115" s="187" t="s">
        <v>614</v>
      </c>
      <c r="CK115" s="189">
        <v>0</v>
      </c>
      <c r="CL115" s="189">
        <v>0</v>
      </c>
      <c r="CM115" s="187" t="s">
        <v>242</v>
      </c>
      <c r="CN115" s="116"/>
      <c r="CO115" s="100">
        <v>0.6</v>
      </c>
      <c r="CP115" s="100">
        <f t="shared" si="95"/>
        <v>0.8</v>
      </c>
      <c r="CQ115" s="100">
        <v>1</v>
      </c>
      <c r="CR115" s="101">
        <v>0.6</v>
      </c>
      <c r="CS115" s="101">
        <v>1</v>
      </c>
    </row>
    <row r="116" spans="1:97" s="101" customFormat="1" ht="16.5" hidden="1" customHeight="1" x14ac:dyDescent="0.25">
      <c r="A116" s="99"/>
      <c r="V116" s="103"/>
      <c r="AA116" s="104"/>
      <c r="AB116" s="104"/>
      <c r="AD116" s="104"/>
      <c r="AE116" s="105"/>
      <c r="AH116" s="106"/>
      <c r="AI116" s="106"/>
      <c r="AK116" s="104"/>
      <c r="AR116" s="104"/>
      <c r="AV116" s="104"/>
      <c r="AX116" s="104"/>
      <c r="BB116" s="104"/>
      <c r="BC116" s="104"/>
      <c r="BE116" s="104"/>
      <c r="BH116" s="99"/>
      <c r="BI116" s="190" t="s">
        <v>227</v>
      </c>
      <c r="BJ116" s="187" t="s">
        <v>615</v>
      </c>
      <c r="BK116" s="213">
        <v>0</v>
      </c>
      <c r="BL116" s="187" t="s">
        <v>612</v>
      </c>
      <c r="BM116" s="189">
        <v>3.6800000000000001E-3</v>
      </c>
      <c r="BN116" s="189">
        <v>3.6800000000000001E-3</v>
      </c>
      <c r="BO116" s="188" t="s">
        <v>241</v>
      </c>
      <c r="BP116" s="191">
        <v>509.37279999999998</v>
      </c>
      <c r="BQ116" s="187">
        <f t="shared" si="91"/>
        <v>0.50937279999999996</v>
      </c>
      <c r="BR116" s="187" t="s">
        <v>613</v>
      </c>
      <c r="BS116" s="189">
        <v>0.1</v>
      </c>
      <c r="BT116" s="189">
        <v>1</v>
      </c>
      <c r="BU116" s="187" t="s">
        <v>242</v>
      </c>
      <c r="BV116" s="181">
        <v>67.916399999999996</v>
      </c>
      <c r="BW116" s="187">
        <f t="shared" si="92"/>
        <v>6.7916400000000002E-2</v>
      </c>
      <c r="BX116" s="187" t="s">
        <v>614</v>
      </c>
      <c r="BY116" s="189">
        <v>1.4999999999999999E-2</v>
      </c>
      <c r="BZ116" s="189">
        <v>0.15</v>
      </c>
      <c r="CA116" s="187" t="s">
        <v>242</v>
      </c>
      <c r="CB116" s="187">
        <v>0</v>
      </c>
      <c r="CC116" s="187">
        <f t="shared" si="93"/>
        <v>0</v>
      </c>
      <c r="CD116" s="187" t="s">
        <v>613</v>
      </c>
      <c r="CE116" s="189">
        <v>0</v>
      </c>
      <c r="CF116" s="189">
        <v>0</v>
      </c>
      <c r="CG116" s="187" t="s">
        <v>242</v>
      </c>
      <c r="CH116" s="181">
        <v>0</v>
      </c>
      <c r="CI116" s="187">
        <f t="shared" si="94"/>
        <v>0</v>
      </c>
      <c r="CJ116" s="187" t="s">
        <v>614</v>
      </c>
      <c r="CK116" s="189">
        <v>0</v>
      </c>
      <c r="CL116" s="189">
        <v>0</v>
      </c>
      <c r="CM116" s="187" t="s">
        <v>242</v>
      </c>
      <c r="CN116" s="116"/>
      <c r="CO116" s="100">
        <v>0.6</v>
      </c>
      <c r="CP116" s="100">
        <f t="shared" si="95"/>
        <v>0.8</v>
      </c>
      <c r="CQ116" s="100">
        <v>1</v>
      </c>
      <c r="CR116" s="101">
        <v>0.6</v>
      </c>
      <c r="CS116" s="101">
        <v>1</v>
      </c>
    </row>
    <row r="117" spans="1:97" s="101" customFormat="1" ht="16.5" hidden="1" customHeight="1" x14ac:dyDescent="0.25">
      <c r="A117" s="99"/>
      <c r="V117" s="103"/>
      <c r="AA117" s="104"/>
      <c r="AB117" s="104"/>
      <c r="AD117" s="104"/>
      <c r="AE117" s="105"/>
      <c r="AH117" s="106"/>
      <c r="AI117" s="106"/>
      <c r="AK117" s="104"/>
      <c r="AR117" s="104"/>
      <c r="AV117" s="104"/>
      <c r="AX117" s="104"/>
      <c r="BB117" s="104"/>
      <c r="BC117" s="104"/>
      <c r="BE117" s="104"/>
      <c r="BH117" s="99"/>
      <c r="BI117" s="190" t="s">
        <v>228</v>
      </c>
      <c r="BJ117" s="187" t="s">
        <v>615</v>
      </c>
      <c r="BK117" s="213">
        <v>0</v>
      </c>
      <c r="BL117" s="187" t="s">
        <v>612</v>
      </c>
      <c r="BM117" s="189">
        <v>3.5899999999999999E-3</v>
      </c>
      <c r="BN117" s="189">
        <v>3.5899999999999999E-3</v>
      </c>
      <c r="BO117" s="188" t="s">
        <v>241</v>
      </c>
      <c r="BP117" s="191">
        <v>554.66999999999996</v>
      </c>
      <c r="BQ117" s="187">
        <f t="shared" si="91"/>
        <v>0.55467</v>
      </c>
      <c r="BR117" s="187" t="s">
        <v>613</v>
      </c>
      <c r="BS117" s="189">
        <v>0.1</v>
      </c>
      <c r="BT117" s="189">
        <v>1</v>
      </c>
      <c r="BU117" s="187" t="s">
        <v>242</v>
      </c>
      <c r="BV117" s="181">
        <v>73.956000000000003</v>
      </c>
      <c r="BW117" s="187">
        <f t="shared" si="92"/>
        <v>7.3956000000000008E-2</v>
      </c>
      <c r="BX117" s="187" t="s">
        <v>614</v>
      </c>
      <c r="BY117" s="189">
        <v>1.4999999999999999E-2</v>
      </c>
      <c r="BZ117" s="189">
        <v>0.15</v>
      </c>
      <c r="CA117" s="187" t="s">
        <v>242</v>
      </c>
      <c r="CB117" s="187">
        <v>0</v>
      </c>
      <c r="CC117" s="187">
        <f t="shared" si="93"/>
        <v>0</v>
      </c>
      <c r="CD117" s="187" t="s">
        <v>613</v>
      </c>
      <c r="CE117" s="189">
        <v>0</v>
      </c>
      <c r="CF117" s="189">
        <v>0</v>
      </c>
      <c r="CG117" s="187" t="s">
        <v>242</v>
      </c>
      <c r="CH117" s="181">
        <v>0</v>
      </c>
      <c r="CI117" s="187">
        <f t="shared" si="94"/>
        <v>0</v>
      </c>
      <c r="CJ117" s="187" t="s">
        <v>614</v>
      </c>
      <c r="CK117" s="189">
        <v>0</v>
      </c>
      <c r="CL117" s="189">
        <v>0</v>
      </c>
      <c r="CM117" s="187" t="s">
        <v>242</v>
      </c>
      <c r="CN117" s="116"/>
      <c r="CO117" s="100">
        <v>0.15</v>
      </c>
      <c r="CP117" s="100">
        <f t="shared" si="95"/>
        <v>0.17499999999999999</v>
      </c>
      <c r="CQ117" s="100">
        <v>0.2</v>
      </c>
      <c r="CR117" s="101">
        <v>0.6</v>
      </c>
      <c r="CS117" s="101">
        <v>1</v>
      </c>
    </row>
    <row r="118" spans="1:97" s="101" customFormat="1" ht="16.5" hidden="1" customHeight="1" x14ac:dyDescent="0.25">
      <c r="A118" s="99"/>
      <c r="V118" s="103"/>
      <c r="AA118" s="104"/>
      <c r="AB118" s="104"/>
      <c r="AD118" s="104"/>
      <c r="AE118" s="105"/>
      <c r="AH118" s="106"/>
      <c r="AI118" s="106"/>
      <c r="AK118" s="104"/>
      <c r="AR118" s="104"/>
      <c r="AV118" s="104"/>
      <c r="AX118" s="104"/>
      <c r="BB118" s="104"/>
      <c r="BC118" s="104"/>
      <c r="BE118" s="104"/>
      <c r="BH118" s="99"/>
      <c r="BI118" s="190" t="s">
        <v>229</v>
      </c>
      <c r="BJ118" s="187" t="s">
        <v>615</v>
      </c>
      <c r="BK118" s="213">
        <v>0</v>
      </c>
      <c r="BL118" s="187" t="s">
        <v>612</v>
      </c>
      <c r="BM118" s="189">
        <v>3.4999999999999996E-3</v>
      </c>
      <c r="BN118" s="189">
        <v>3.4999999999999996E-3</v>
      </c>
      <c r="BO118" s="188" t="s">
        <v>241</v>
      </c>
      <c r="BP118" s="191">
        <v>569.07000000000005</v>
      </c>
      <c r="BQ118" s="187">
        <f t="shared" si="91"/>
        <v>0.56907000000000008</v>
      </c>
      <c r="BR118" s="187" t="s">
        <v>613</v>
      </c>
      <c r="BS118" s="189">
        <v>0.1</v>
      </c>
      <c r="BT118" s="189">
        <v>1</v>
      </c>
      <c r="BU118" s="187" t="s">
        <v>242</v>
      </c>
      <c r="BV118" s="181">
        <v>75.876000000000005</v>
      </c>
      <c r="BW118" s="187">
        <f t="shared" si="92"/>
        <v>7.5875999999999999E-2</v>
      </c>
      <c r="BX118" s="187" t="s">
        <v>614</v>
      </c>
      <c r="BY118" s="189">
        <v>1.4999999999999999E-2</v>
      </c>
      <c r="BZ118" s="189">
        <v>0.15</v>
      </c>
      <c r="CA118" s="187" t="s">
        <v>242</v>
      </c>
      <c r="CB118" s="187">
        <v>0</v>
      </c>
      <c r="CC118" s="187">
        <f t="shared" si="93"/>
        <v>0</v>
      </c>
      <c r="CD118" s="187" t="s">
        <v>613</v>
      </c>
      <c r="CE118" s="189">
        <v>0</v>
      </c>
      <c r="CF118" s="189">
        <v>0</v>
      </c>
      <c r="CG118" s="187" t="s">
        <v>242</v>
      </c>
      <c r="CH118" s="181">
        <v>0</v>
      </c>
      <c r="CI118" s="187">
        <f t="shared" si="94"/>
        <v>0</v>
      </c>
      <c r="CJ118" s="187" t="s">
        <v>614</v>
      </c>
      <c r="CK118" s="189">
        <v>0</v>
      </c>
      <c r="CL118" s="189">
        <v>0</v>
      </c>
      <c r="CM118" s="187" t="s">
        <v>242</v>
      </c>
      <c r="CN118" s="116"/>
      <c r="CO118" s="100">
        <v>0.15</v>
      </c>
      <c r="CP118" s="100">
        <f t="shared" si="95"/>
        <v>0.17499999999999999</v>
      </c>
      <c r="CQ118" s="100">
        <v>0.2</v>
      </c>
      <c r="CR118" s="101">
        <v>0.6</v>
      </c>
      <c r="CS118" s="101">
        <v>1</v>
      </c>
    </row>
    <row r="119" spans="1:97" s="101" customFormat="1" ht="16.5" hidden="1" customHeight="1" x14ac:dyDescent="0.25">
      <c r="A119" s="99"/>
      <c r="V119" s="103"/>
      <c r="AA119" s="104"/>
      <c r="AB119" s="104"/>
      <c r="AD119" s="104"/>
      <c r="AE119" s="105"/>
      <c r="AH119" s="106"/>
      <c r="AI119" s="106"/>
      <c r="AK119" s="104"/>
      <c r="AR119" s="104"/>
      <c r="AV119" s="104"/>
      <c r="AX119" s="104"/>
      <c r="BB119" s="104"/>
      <c r="BC119" s="104"/>
      <c r="BE119" s="104"/>
      <c r="BH119" s="99"/>
      <c r="BI119" s="190" t="s">
        <v>230</v>
      </c>
      <c r="BJ119" s="187" t="s">
        <v>615</v>
      </c>
      <c r="BK119" s="213">
        <v>0</v>
      </c>
      <c r="BL119" s="187" t="s">
        <v>612</v>
      </c>
      <c r="BM119" s="189">
        <v>3.5899999999999999E-3</v>
      </c>
      <c r="BN119" s="189">
        <v>3.5899999999999999E-3</v>
      </c>
      <c r="BO119" s="188" t="s">
        <v>241</v>
      </c>
      <c r="BP119" s="191">
        <v>560.82000000000005</v>
      </c>
      <c r="BQ119" s="187">
        <f t="shared" si="91"/>
        <v>0.5608200000000001</v>
      </c>
      <c r="BR119" s="187" t="s">
        <v>613</v>
      </c>
      <c r="BS119" s="189">
        <v>0.1</v>
      </c>
      <c r="BT119" s="189">
        <v>1</v>
      </c>
      <c r="BU119" s="187" t="s">
        <v>242</v>
      </c>
      <c r="BV119" s="181">
        <v>74.775999999999996</v>
      </c>
      <c r="BW119" s="187">
        <f t="shared" si="92"/>
        <v>7.4775999999999995E-2</v>
      </c>
      <c r="BX119" s="187" t="s">
        <v>614</v>
      </c>
      <c r="BY119" s="189">
        <v>1.4999999999999999E-2</v>
      </c>
      <c r="BZ119" s="189">
        <v>0.15</v>
      </c>
      <c r="CA119" s="187" t="s">
        <v>242</v>
      </c>
      <c r="CB119" s="187">
        <v>0</v>
      </c>
      <c r="CC119" s="187">
        <f t="shared" si="93"/>
        <v>0</v>
      </c>
      <c r="CD119" s="187" t="s">
        <v>613</v>
      </c>
      <c r="CE119" s="189">
        <v>0</v>
      </c>
      <c r="CF119" s="189">
        <v>0</v>
      </c>
      <c r="CG119" s="187" t="s">
        <v>242</v>
      </c>
      <c r="CH119" s="181">
        <v>0</v>
      </c>
      <c r="CI119" s="187">
        <f t="shared" si="94"/>
        <v>0</v>
      </c>
      <c r="CJ119" s="187" t="s">
        <v>614</v>
      </c>
      <c r="CK119" s="189">
        <v>0</v>
      </c>
      <c r="CL119" s="189">
        <v>0</v>
      </c>
      <c r="CM119" s="187" t="s">
        <v>242</v>
      </c>
      <c r="CN119" s="116"/>
      <c r="CO119" s="100">
        <v>0.15</v>
      </c>
      <c r="CP119" s="100">
        <f t="shared" si="95"/>
        <v>0.17499999999999999</v>
      </c>
      <c r="CQ119" s="100">
        <v>0.2</v>
      </c>
      <c r="CR119" s="101">
        <v>0.6</v>
      </c>
      <c r="CS119" s="101">
        <v>1</v>
      </c>
    </row>
    <row r="120" spans="1:97" s="101" customFormat="1" ht="16.5" hidden="1" customHeight="1" x14ac:dyDescent="0.25">
      <c r="A120" s="99"/>
      <c r="V120" s="103"/>
      <c r="AA120" s="104"/>
      <c r="AB120" s="104"/>
      <c r="AD120" s="104"/>
      <c r="AE120" s="105"/>
      <c r="AH120" s="106"/>
      <c r="AI120" s="106"/>
      <c r="AK120" s="104"/>
      <c r="AR120" s="104"/>
      <c r="AV120" s="104"/>
      <c r="AX120" s="104"/>
      <c r="BB120" s="104"/>
      <c r="BC120" s="104"/>
      <c r="BE120" s="104"/>
      <c r="BH120" s="99"/>
      <c r="BI120" s="190" t="s">
        <v>231</v>
      </c>
      <c r="BJ120" s="187" t="s">
        <v>615</v>
      </c>
      <c r="BK120" s="213">
        <v>0</v>
      </c>
      <c r="BL120" s="187" t="s">
        <v>612</v>
      </c>
      <c r="BM120" s="189">
        <v>3.6099999999999999E-3</v>
      </c>
      <c r="BN120" s="189">
        <v>3.6099999999999999E-3</v>
      </c>
      <c r="BO120" s="188" t="s">
        <v>241</v>
      </c>
      <c r="BP120" s="191">
        <v>557.46</v>
      </c>
      <c r="BQ120" s="187">
        <f t="shared" si="91"/>
        <v>0.55746000000000007</v>
      </c>
      <c r="BR120" s="187" t="s">
        <v>613</v>
      </c>
      <c r="BS120" s="189">
        <v>0.1</v>
      </c>
      <c r="BT120" s="189">
        <v>1</v>
      </c>
      <c r="BU120" s="187" t="s">
        <v>242</v>
      </c>
      <c r="BV120" s="181">
        <v>74.328000000000003</v>
      </c>
      <c r="BW120" s="187">
        <f t="shared" si="92"/>
        <v>7.4328000000000005E-2</v>
      </c>
      <c r="BX120" s="187" t="s">
        <v>614</v>
      </c>
      <c r="BY120" s="189">
        <v>1.4999999999999999E-2</v>
      </c>
      <c r="BZ120" s="189">
        <v>0.15</v>
      </c>
      <c r="CA120" s="187" t="s">
        <v>242</v>
      </c>
      <c r="CB120" s="187">
        <v>0</v>
      </c>
      <c r="CC120" s="187">
        <f t="shared" si="93"/>
        <v>0</v>
      </c>
      <c r="CD120" s="187" t="s">
        <v>613</v>
      </c>
      <c r="CE120" s="189">
        <v>0</v>
      </c>
      <c r="CF120" s="189">
        <v>0</v>
      </c>
      <c r="CG120" s="187" t="s">
        <v>242</v>
      </c>
      <c r="CH120" s="181">
        <v>0</v>
      </c>
      <c r="CI120" s="187">
        <f t="shared" si="94"/>
        <v>0</v>
      </c>
      <c r="CJ120" s="187" t="s">
        <v>614</v>
      </c>
      <c r="CK120" s="189">
        <v>0</v>
      </c>
      <c r="CL120" s="189">
        <v>0</v>
      </c>
      <c r="CM120" s="187" t="s">
        <v>242</v>
      </c>
      <c r="CN120" s="116"/>
      <c r="CO120" s="100">
        <v>0.15</v>
      </c>
      <c r="CP120" s="100">
        <f t="shared" si="95"/>
        <v>0.17499999999999999</v>
      </c>
      <c r="CQ120" s="100">
        <v>0.2</v>
      </c>
      <c r="CR120" s="101">
        <v>0.6</v>
      </c>
      <c r="CS120" s="101">
        <v>1</v>
      </c>
    </row>
    <row r="121" spans="1:97" s="101" customFormat="1" ht="16.5" hidden="1" customHeight="1" x14ac:dyDescent="0.25">
      <c r="A121" s="99"/>
      <c r="V121" s="103"/>
      <c r="AA121" s="104"/>
      <c r="AB121" s="104"/>
      <c r="AD121" s="104"/>
      <c r="AE121" s="105"/>
      <c r="AH121" s="106"/>
      <c r="AI121" s="106"/>
      <c r="AK121" s="104"/>
      <c r="AR121" s="104"/>
      <c r="AV121" s="104"/>
      <c r="AX121" s="104"/>
      <c r="BB121" s="104"/>
      <c r="BC121" s="104"/>
      <c r="BE121" s="104"/>
      <c r="BH121" s="99"/>
      <c r="BI121" s="190" t="s">
        <v>372</v>
      </c>
      <c r="BJ121" s="187" t="s">
        <v>615</v>
      </c>
      <c r="BK121" s="181">
        <v>2941.7959999999998</v>
      </c>
      <c r="BL121" s="187" t="s">
        <v>612</v>
      </c>
      <c r="BM121" s="189">
        <v>2.2100000000000002E-3</v>
      </c>
      <c r="BN121" s="189">
        <v>2.2100000000000002E-3</v>
      </c>
      <c r="BO121" s="188" t="s">
        <v>241</v>
      </c>
      <c r="BP121" s="191">
        <v>1137.6222</v>
      </c>
      <c r="BQ121" s="187">
        <f t="shared" si="91"/>
        <v>1.1376222</v>
      </c>
      <c r="BR121" s="187" t="s">
        <v>613</v>
      </c>
      <c r="BS121" s="189">
        <v>3.0000000000000001E-3</v>
      </c>
      <c r="BT121" s="189">
        <v>0.03</v>
      </c>
      <c r="BU121" s="187" t="s">
        <v>242</v>
      </c>
      <c r="BV121" s="181">
        <v>3.7921</v>
      </c>
      <c r="BW121" s="187">
        <f t="shared" si="92"/>
        <v>3.7921000000000001E-3</v>
      </c>
      <c r="BX121" s="187" t="s">
        <v>614</v>
      </c>
      <c r="BY121" s="189">
        <v>3.0000000000000001E-3</v>
      </c>
      <c r="BZ121" s="189">
        <v>1.4999999999999999E-2</v>
      </c>
      <c r="CA121" s="187" t="s">
        <v>242</v>
      </c>
      <c r="CB121" s="187">
        <v>0</v>
      </c>
      <c r="CC121" s="187">
        <f t="shared" si="93"/>
        <v>0</v>
      </c>
      <c r="CD121" s="187" t="s">
        <v>613</v>
      </c>
      <c r="CE121" s="189">
        <v>0</v>
      </c>
      <c r="CF121" s="189">
        <v>0</v>
      </c>
      <c r="CG121" s="187" t="s">
        <v>242</v>
      </c>
      <c r="CH121" s="181">
        <v>0</v>
      </c>
      <c r="CI121" s="187">
        <f t="shared" si="94"/>
        <v>0</v>
      </c>
      <c r="CJ121" s="187" t="s">
        <v>614</v>
      </c>
      <c r="CK121" s="189">
        <v>0</v>
      </c>
      <c r="CL121" s="189">
        <v>0</v>
      </c>
      <c r="CM121" s="187" t="s">
        <v>242</v>
      </c>
      <c r="CN121" s="116"/>
      <c r="CO121" s="100"/>
      <c r="CP121" s="100"/>
      <c r="CQ121" s="100"/>
      <c r="CR121" s="101">
        <v>0.15</v>
      </c>
      <c r="CS121" s="101">
        <v>0.2</v>
      </c>
    </row>
    <row r="122" spans="1:97" s="101" customFormat="1" ht="16.5" hidden="1" customHeight="1" x14ac:dyDescent="0.25">
      <c r="A122" s="99"/>
      <c r="V122" s="103"/>
      <c r="AA122" s="104"/>
      <c r="AB122" s="104"/>
      <c r="AD122" s="104"/>
      <c r="AE122" s="105"/>
      <c r="AH122" s="106"/>
      <c r="AI122" s="106"/>
      <c r="AK122" s="104"/>
      <c r="AR122" s="104"/>
      <c r="AV122" s="104"/>
      <c r="AX122" s="104"/>
      <c r="BB122" s="104"/>
      <c r="BC122" s="104"/>
      <c r="BE122" s="104"/>
      <c r="BH122" s="99"/>
      <c r="BI122" s="102"/>
      <c r="BJ122" s="178"/>
      <c r="BK122" s="178"/>
      <c r="BL122" s="178"/>
      <c r="BM122" s="169"/>
      <c r="BN122" s="169"/>
      <c r="BO122" s="169"/>
      <c r="BP122" s="192"/>
      <c r="BQ122" s="192"/>
      <c r="BR122" s="192"/>
      <c r="BS122" s="192"/>
      <c r="BT122" s="192"/>
      <c r="BU122" s="192"/>
      <c r="BV122" s="178"/>
      <c r="BW122" s="192"/>
      <c r="BX122" s="192"/>
      <c r="BY122" s="178"/>
      <c r="BZ122" s="178"/>
      <c r="CA122" s="178"/>
      <c r="CB122" s="180"/>
      <c r="CC122" s="192"/>
      <c r="CD122" s="192"/>
      <c r="CE122" s="180"/>
      <c r="CF122" s="180"/>
      <c r="CG122" s="180"/>
      <c r="CH122" s="180"/>
      <c r="CI122" s="192"/>
      <c r="CJ122" s="192"/>
      <c r="CK122" s="180"/>
      <c r="CL122" s="180"/>
      <c r="CM122" s="180"/>
      <c r="CN122" s="116"/>
      <c r="CO122" s="100"/>
      <c r="CP122" s="100"/>
      <c r="CQ122" s="100"/>
    </row>
    <row r="123" spans="1:97" s="101" customFormat="1" ht="16.5" hidden="1" customHeight="1" x14ac:dyDescent="0.25">
      <c r="A123" s="99"/>
      <c r="V123" s="103"/>
      <c r="AA123" s="104"/>
      <c r="AB123" s="104"/>
      <c r="AD123" s="104"/>
      <c r="AE123" s="105"/>
      <c r="AH123" s="106"/>
      <c r="AI123" s="106"/>
      <c r="AK123" s="104"/>
      <c r="AR123" s="104"/>
      <c r="AV123" s="104"/>
      <c r="AX123" s="104"/>
      <c r="BB123" s="104"/>
      <c r="BC123" s="104"/>
      <c r="BE123" s="104"/>
      <c r="BH123" s="99"/>
      <c r="BI123" s="102"/>
      <c r="BJ123" s="178"/>
      <c r="BK123" s="178"/>
      <c r="BL123" s="178"/>
      <c r="BM123" s="169"/>
      <c r="BN123" s="169"/>
      <c r="BO123" s="169"/>
      <c r="BP123" s="192"/>
      <c r="BQ123" s="192"/>
      <c r="BR123" s="192"/>
      <c r="BS123" s="192"/>
      <c r="BT123" s="192"/>
      <c r="BU123" s="192"/>
      <c r="BV123" s="178"/>
      <c r="BW123" s="192"/>
      <c r="BX123" s="192"/>
      <c r="BY123" s="178"/>
      <c r="BZ123" s="178"/>
      <c r="CA123" s="178"/>
      <c r="CB123" s="180"/>
      <c r="CC123" s="192"/>
      <c r="CD123" s="192"/>
      <c r="CE123" s="180"/>
      <c r="CF123" s="180"/>
      <c r="CG123" s="180"/>
      <c r="CH123" s="180"/>
      <c r="CI123" s="192"/>
      <c r="CJ123" s="192"/>
      <c r="CK123" s="180"/>
      <c r="CL123" s="180"/>
      <c r="CM123" s="180"/>
      <c r="CN123" s="116"/>
      <c r="CO123" s="100"/>
      <c r="CP123" s="100"/>
      <c r="CQ123" s="100"/>
    </row>
    <row r="124" spans="1:97" s="101" customFormat="1" ht="26.25" hidden="1" customHeight="1" x14ac:dyDescent="0.25">
      <c r="A124" s="99"/>
      <c r="V124" s="103"/>
      <c r="AA124" s="104"/>
      <c r="AB124" s="104"/>
      <c r="AD124" s="104"/>
      <c r="AE124" s="105"/>
      <c r="AH124" s="106"/>
      <c r="AI124" s="106"/>
      <c r="AK124" s="104"/>
      <c r="AR124" s="104"/>
      <c r="AV124" s="104"/>
      <c r="AX124" s="104"/>
      <c r="BB124" s="104"/>
      <c r="BC124" s="104"/>
      <c r="BE124" s="104"/>
      <c r="BH124" s="99"/>
      <c r="BI124" s="1606" t="s">
        <v>232</v>
      </c>
      <c r="BJ124" s="251"/>
      <c r="BK124" s="1606" t="s">
        <v>267</v>
      </c>
      <c r="BL124" s="251"/>
      <c r="BM124" s="1606" t="s">
        <v>233</v>
      </c>
      <c r="BN124" s="1606" t="s">
        <v>233</v>
      </c>
      <c r="BO124" s="1606" t="s">
        <v>240</v>
      </c>
      <c r="BP124" s="1608" t="s">
        <v>172</v>
      </c>
      <c r="BQ124" s="1609"/>
      <c r="BR124" s="1609"/>
      <c r="BS124" s="1609"/>
      <c r="BT124" s="1609"/>
      <c r="BU124" s="1609"/>
      <c r="BV124" s="1609"/>
      <c r="BW124" s="1609"/>
      <c r="BX124" s="1609"/>
      <c r="BY124" s="1609"/>
      <c r="BZ124" s="1609"/>
      <c r="CA124" s="1610"/>
      <c r="CB124" s="1608" t="s">
        <v>173</v>
      </c>
      <c r="CC124" s="1609"/>
      <c r="CD124" s="1609"/>
      <c r="CE124" s="1609"/>
      <c r="CF124" s="1609"/>
      <c r="CG124" s="1609"/>
      <c r="CH124" s="1609"/>
      <c r="CI124" s="1609"/>
      <c r="CJ124" s="1609"/>
      <c r="CK124" s="1609"/>
      <c r="CL124" s="1609"/>
      <c r="CM124" s="1610"/>
      <c r="CN124" s="116"/>
      <c r="CO124" s="100"/>
      <c r="CP124" s="100"/>
      <c r="CQ124" s="100"/>
    </row>
    <row r="125" spans="1:97" s="101" customFormat="1" ht="58.5" hidden="1" customHeight="1" x14ac:dyDescent="0.25">
      <c r="A125" s="99"/>
      <c r="V125" s="103"/>
      <c r="AA125" s="104"/>
      <c r="AB125" s="104"/>
      <c r="AD125" s="104"/>
      <c r="AE125" s="105"/>
      <c r="AH125" s="106"/>
      <c r="AI125" s="106"/>
      <c r="AK125" s="104"/>
      <c r="AR125" s="104"/>
      <c r="AV125" s="104"/>
      <c r="AX125" s="104"/>
      <c r="BB125" s="104"/>
      <c r="BC125" s="104"/>
      <c r="BE125" s="104"/>
      <c r="BH125" s="99"/>
      <c r="BI125" s="1607"/>
      <c r="BJ125" s="252" t="s">
        <v>253</v>
      </c>
      <c r="BK125" s="1607"/>
      <c r="BL125" s="252" t="s">
        <v>251</v>
      </c>
      <c r="BM125" s="1607"/>
      <c r="BN125" s="1607"/>
      <c r="BO125" s="1607"/>
      <c r="BP125" s="185" t="s">
        <v>268</v>
      </c>
      <c r="BQ125" s="185" t="s">
        <v>269</v>
      </c>
      <c r="BR125" s="252" t="s">
        <v>251</v>
      </c>
      <c r="BS125" s="185" t="s">
        <v>233</v>
      </c>
      <c r="BT125" s="185" t="s">
        <v>233</v>
      </c>
      <c r="BU125" s="185" t="s">
        <v>240</v>
      </c>
      <c r="BV125" s="185" t="s">
        <v>270</v>
      </c>
      <c r="BW125" s="185" t="s">
        <v>271</v>
      </c>
      <c r="BX125" s="252" t="s">
        <v>251</v>
      </c>
      <c r="BY125" s="185" t="s">
        <v>233</v>
      </c>
      <c r="BZ125" s="185" t="s">
        <v>233</v>
      </c>
      <c r="CA125" s="185" t="s">
        <v>240</v>
      </c>
      <c r="CB125" s="185" t="s">
        <v>268</v>
      </c>
      <c r="CC125" s="185" t="s">
        <v>269</v>
      </c>
      <c r="CD125" s="252" t="s">
        <v>251</v>
      </c>
      <c r="CE125" s="185" t="s">
        <v>233</v>
      </c>
      <c r="CF125" s="185" t="s">
        <v>233</v>
      </c>
      <c r="CG125" s="185" t="s">
        <v>240</v>
      </c>
      <c r="CH125" s="185" t="s">
        <v>270</v>
      </c>
      <c r="CI125" s="185" t="s">
        <v>271</v>
      </c>
      <c r="CJ125" s="252" t="s">
        <v>251</v>
      </c>
      <c r="CK125" s="185" t="s">
        <v>233</v>
      </c>
      <c r="CL125" s="185" t="s">
        <v>233</v>
      </c>
      <c r="CM125" s="185" t="s">
        <v>240</v>
      </c>
      <c r="CN125" s="116"/>
      <c r="CO125" s="100">
        <v>0.6</v>
      </c>
      <c r="CP125" s="100">
        <f t="shared" ref="CP125:CP142" si="96">(CO125+CQ125)/2</f>
        <v>0.8</v>
      </c>
      <c r="CQ125" s="100">
        <v>1</v>
      </c>
    </row>
    <row r="126" spans="1:97" s="101" customFormat="1" ht="16.5" hidden="1" customHeight="1" x14ac:dyDescent="0.25">
      <c r="A126" s="99"/>
      <c r="V126" s="103"/>
      <c r="AA126" s="104"/>
      <c r="AB126" s="104"/>
      <c r="AD126" s="148"/>
      <c r="AE126" s="105"/>
      <c r="AH126" s="106"/>
      <c r="AI126" s="106"/>
      <c r="AK126" s="148"/>
      <c r="AR126" s="148"/>
      <c r="AV126" s="104"/>
      <c r="AX126" s="148"/>
      <c r="BB126" s="104"/>
      <c r="BC126" s="104"/>
      <c r="BD126" s="119"/>
      <c r="BE126" s="148"/>
      <c r="BH126" s="99"/>
      <c r="BI126" s="190" t="s">
        <v>563</v>
      </c>
      <c r="BJ126" s="181" t="s">
        <v>252</v>
      </c>
      <c r="BK126" s="181">
        <v>10.148999999999999</v>
      </c>
      <c r="BL126" s="187" t="s">
        <v>405</v>
      </c>
      <c r="BM126" s="189">
        <v>2.0499999999999997E-3</v>
      </c>
      <c r="BN126" s="189">
        <v>2.0499999999999997E-3</v>
      </c>
      <c r="BO126" s="188" t="s">
        <v>241</v>
      </c>
      <c r="BP126" s="181">
        <v>0.01</v>
      </c>
      <c r="BQ126" s="191">
        <f>BP126/1000</f>
        <v>1.0000000000000001E-5</v>
      </c>
      <c r="BR126" s="187" t="s">
        <v>406</v>
      </c>
      <c r="BS126" s="189">
        <v>0.01</v>
      </c>
      <c r="BT126" s="189">
        <v>0.1</v>
      </c>
      <c r="BU126" s="187" t="s">
        <v>242</v>
      </c>
      <c r="BV126" s="181">
        <v>6.0000000000000001E-3</v>
      </c>
      <c r="BW126" s="191">
        <f>BV126/1000</f>
        <v>6.0000000000000002E-6</v>
      </c>
      <c r="BX126" s="187" t="s">
        <v>407</v>
      </c>
      <c r="BY126" s="189">
        <v>2E-3</v>
      </c>
      <c r="BZ126" s="189">
        <v>0.02</v>
      </c>
      <c r="CA126" s="187" t="s">
        <v>242</v>
      </c>
      <c r="CB126" s="181">
        <v>3.6999999999999998E-2</v>
      </c>
      <c r="CC126" s="191">
        <f>CB126/1000</f>
        <v>3.6999999999999998E-5</v>
      </c>
      <c r="CD126" s="187" t="s">
        <v>406</v>
      </c>
      <c r="CE126" s="189">
        <v>1.6E-2</v>
      </c>
      <c r="CF126" s="189">
        <v>9.5000000000000001E-2</v>
      </c>
      <c r="CG126" s="187" t="s">
        <v>242</v>
      </c>
      <c r="CH126" s="181">
        <v>3.6999999999999998E-2</v>
      </c>
      <c r="CI126" s="191">
        <f>CH126/1000</f>
        <v>3.6999999999999998E-5</v>
      </c>
      <c r="CJ126" s="187" t="s">
        <v>407</v>
      </c>
      <c r="CK126" s="189">
        <v>1.2999999999999999E-2</v>
      </c>
      <c r="CL126" s="189">
        <v>0.12</v>
      </c>
      <c r="CM126" s="187" t="s">
        <v>242</v>
      </c>
      <c r="CN126" s="116"/>
      <c r="CO126" s="100">
        <v>0.15</v>
      </c>
      <c r="CP126" s="100">
        <f t="shared" si="96"/>
        <v>0.17499999999999999</v>
      </c>
      <c r="CQ126" s="100">
        <v>0.2</v>
      </c>
      <c r="CR126" s="101">
        <v>0.15</v>
      </c>
      <c r="CS126" s="101">
        <v>0.2</v>
      </c>
    </row>
    <row r="127" spans="1:97" s="101" customFormat="1" ht="16.5" hidden="1" customHeight="1" x14ac:dyDescent="0.25">
      <c r="A127" s="99"/>
      <c r="V127" s="103"/>
      <c r="AA127" s="104"/>
      <c r="AB127" s="104"/>
      <c r="AD127" s="148"/>
      <c r="AE127" s="105"/>
      <c r="AH127" s="106"/>
      <c r="AI127" s="106"/>
      <c r="AK127" s="148"/>
      <c r="AR127" s="148"/>
      <c r="AV127" s="104"/>
      <c r="AX127" s="148"/>
      <c r="BB127" s="104"/>
      <c r="BC127" s="104"/>
      <c r="BD127" s="119"/>
      <c r="BE127" s="148"/>
      <c r="BH127" s="99"/>
      <c r="BI127" s="190" t="s">
        <v>367</v>
      </c>
      <c r="BJ127" s="181" t="s">
        <v>252</v>
      </c>
      <c r="BK127" s="181">
        <v>8.8085000000000004</v>
      </c>
      <c r="BL127" s="187" t="s">
        <v>405</v>
      </c>
      <c r="BM127" s="189">
        <v>2.0300000000000001E-3</v>
      </c>
      <c r="BN127" s="189">
        <v>2.0300000000000001E-3</v>
      </c>
      <c r="BO127" s="188" t="s">
        <v>241</v>
      </c>
      <c r="BP127" s="181">
        <v>2.6599999999999999E-2</v>
      </c>
      <c r="BQ127" s="191">
        <f>BP127/1000</f>
        <v>2.6599999999999999E-5</v>
      </c>
      <c r="BR127" s="187" t="s">
        <v>406</v>
      </c>
      <c r="BS127" s="189">
        <v>0.01</v>
      </c>
      <c r="BT127" s="189">
        <v>0.1</v>
      </c>
      <c r="BU127" s="187" t="s">
        <v>242</v>
      </c>
      <c r="BV127" s="181">
        <v>5.3E-3</v>
      </c>
      <c r="BW127" s="191">
        <f>BV127/1000</f>
        <v>5.3000000000000001E-6</v>
      </c>
      <c r="BX127" s="187" t="s">
        <v>407</v>
      </c>
      <c r="BY127" s="189">
        <v>2E-3</v>
      </c>
      <c r="BZ127" s="189">
        <v>0.02</v>
      </c>
      <c r="CA127" s="187" t="s">
        <v>242</v>
      </c>
      <c r="CB127" s="181">
        <v>0.29260000000000003</v>
      </c>
      <c r="CC127" s="191">
        <f>CB127/1000</f>
        <v>2.9260000000000001E-4</v>
      </c>
      <c r="CD127" s="187" t="s">
        <v>406</v>
      </c>
      <c r="CE127" s="189">
        <v>9.6000000000000002E-2</v>
      </c>
      <c r="CF127" s="189">
        <v>1.1000000000000001</v>
      </c>
      <c r="CG127" s="187" t="s">
        <v>242</v>
      </c>
      <c r="CH127" s="181">
        <v>2.8400000000000002E-2</v>
      </c>
      <c r="CI127" s="191">
        <f>CH127/1000</f>
        <v>2.8400000000000003E-5</v>
      </c>
      <c r="CJ127" s="187" t="s">
        <v>407</v>
      </c>
      <c r="CK127" s="189">
        <v>9.5999999999999992E-3</v>
      </c>
      <c r="CL127" s="189">
        <v>0.11</v>
      </c>
      <c r="CM127" s="187" t="s">
        <v>242</v>
      </c>
      <c r="CN127" s="116"/>
      <c r="CO127" s="100">
        <v>0.15</v>
      </c>
      <c r="CP127" s="100">
        <f t="shared" si="96"/>
        <v>0.17499999999999999</v>
      </c>
      <c r="CQ127" s="100">
        <v>0.2</v>
      </c>
      <c r="CR127" s="101">
        <v>0.15</v>
      </c>
      <c r="CS127" s="101">
        <v>0.2</v>
      </c>
    </row>
    <row r="128" spans="1:97" s="101" customFormat="1" ht="16.5" hidden="1" customHeight="1" x14ac:dyDescent="0.25">
      <c r="A128" s="99"/>
      <c r="V128" s="103"/>
      <c r="AA128" s="104"/>
      <c r="AB128" s="104"/>
      <c r="AD128" s="104"/>
      <c r="AE128" s="105"/>
      <c r="AH128" s="106"/>
      <c r="AI128" s="106"/>
      <c r="AK128" s="104"/>
      <c r="AR128" s="104"/>
      <c r="AV128" s="104"/>
      <c r="AX128" s="104"/>
      <c r="BB128" s="104"/>
      <c r="BC128" s="104"/>
      <c r="BE128" s="104"/>
      <c r="BH128" s="99"/>
      <c r="BI128" s="186" t="s">
        <v>234</v>
      </c>
      <c r="BJ128" s="181" t="s">
        <v>252</v>
      </c>
      <c r="BK128" s="181">
        <v>9.6232000000000006</v>
      </c>
      <c r="BL128" s="187" t="s">
        <v>405</v>
      </c>
      <c r="BM128" s="189">
        <v>2.0399999999999997E-3</v>
      </c>
      <c r="BN128" s="189">
        <v>2.0399999999999997E-3</v>
      </c>
      <c r="BO128" s="188" t="s">
        <v>241</v>
      </c>
      <c r="BP128" s="191">
        <v>2.7199999999999998E-2</v>
      </c>
      <c r="BQ128" s="191">
        <f>BP128/1000</f>
        <v>2.7199999999999997E-5</v>
      </c>
      <c r="BR128" s="187" t="s">
        <v>406</v>
      </c>
      <c r="BS128" s="189">
        <v>0.01</v>
      </c>
      <c r="BT128" s="189">
        <v>0.1</v>
      </c>
      <c r="BU128" s="187" t="s">
        <v>242</v>
      </c>
      <c r="BV128" s="181">
        <v>5.4000000000000003E-3</v>
      </c>
      <c r="BW128" s="191">
        <f>BV128/1000</f>
        <v>5.4E-6</v>
      </c>
      <c r="BX128" s="187" t="s">
        <v>407</v>
      </c>
      <c r="BY128" s="189">
        <v>2E-3</v>
      </c>
      <c r="BZ128" s="189">
        <v>0.02</v>
      </c>
      <c r="CA128" s="187" t="s">
        <v>242</v>
      </c>
      <c r="CB128" s="193">
        <v>0</v>
      </c>
      <c r="CC128" s="193">
        <f>CB128/1000</f>
        <v>0</v>
      </c>
      <c r="CD128" s="187" t="s">
        <v>406</v>
      </c>
      <c r="CE128" s="189">
        <v>0</v>
      </c>
      <c r="CF128" s="189">
        <v>0</v>
      </c>
      <c r="CG128" s="187" t="s">
        <v>242</v>
      </c>
      <c r="CH128" s="194">
        <v>0</v>
      </c>
      <c r="CI128" s="193">
        <f>CH128/1000</f>
        <v>0</v>
      </c>
      <c r="CJ128" s="187" t="s">
        <v>407</v>
      </c>
      <c r="CK128" s="189">
        <v>0</v>
      </c>
      <c r="CL128" s="189">
        <v>0</v>
      </c>
      <c r="CM128" s="187" t="s">
        <v>242</v>
      </c>
      <c r="CN128" s="116"/>
      <c r="CO128" s="100">
        <v>0.15</v>
      </c>
      <c r="CP128" s="100">
        <f t="shared" si="96"/>
        <v>0.17499999999999999</v>
      </c>
      <c r="CQ128" s="100">
        <v>0.2</v>
      </c>
      <c r="CR128" s="101">
        <v>0.15</v>
      </c>
      <c r="CS128" s="101">
        <v>0.2</v>
      </c>
    </row>
    <row r="129" spans="1:97" s="101" customFormat="1" ht="16.5" hidden="1" customHeight="1" x14ac:dyDescent="0.25">
      <c r="A129" s="99"/>
      <c r="V129" s="103"/>
      <c r="AA129" s="104"/>
      <c r="AB129" s="104"/>
      <c r="AD129" s="148"/>
      <c r="AE129" s="105"/>
      <c r="AH129" s="106"/>
      <c r="AI129" s="106"/>
      <c r="AK129" s="148"/>
      <c r="AR129" s="148"/>
      <c r="AV129" s="104"/>
      <c r="AX129" s="148"/>
      <c r="BB129" s="104"/>
      <c r="BC129" s="104"/>
      <c r="BD129" s="119"/>
      <c r="BE129" s="148"/>
      <c r="BH129" s="99"/>
      <c r="BI129" s="190" t="s">
        <v>123</v>
      </c>
      <c r="BJ129" s="181" t="s">
        <v>252</v>
      </c>
      <c r="BK129" s="181">
        <v>11.624599999999999</v>
      </c>
      <c r="BL129" s="187" t="s">
        <v>405</v>
      </c>
      <c r="BM129" s="189">
        <v>2.0699999999999998E-3</v>
      </c>
      <c r="BN129" s="189">
        <v>2.0699999999999998E-3</v>
      </c>
      <c r="BO129" s="188" t="s">
        <v>241</v>
      </c>
      <c r="BP129" s="181">
        <v>3.0200000000000001E-2</v>
      </c>
      <c r="BQ129" s="191">
        <f t="shared" ref="BQ129:BQ138" si="97">BP129/1000</f>
        <v>3.0200000000000002E-5</v>
      </c>
      <c r="BR129" s="187" t="s">
        <v>406</v>
      </c>
      <c r="BS129" s="189">
        <v>0.01</v>
      </c>
      <c r="BT129" s="189">
        <v>0.1</v>
      </c>
      <c r="BU129" s="187" t="s">
        <v>242</v>
      </c>
      <c r="BV129" s="181">
        <v>6.0000000000000001E-3</v>
      </c>
      <c r="BW129" s="191">
        <f t="shared" ref="BW129:BW138" si="98">BV129/1000</f>
        <v>6.0000000000000002E-6</v>
      </c>
      <c r="BX129" s="187" t="s">
        <v>407</v>
      </c>
      <c r="BY129" s="189">
        <v>2E-3</v>
      </c>
      <c r="BZ129" s="189">
        <v>0.02</v>
      </c>
      <c r="CA129" s="187" t="s">
        <v>242</v>
      </c>
      <c r="CB129" s="194">
        <v>0</v>
      </c>
      <c r="CC129" s="193">
        <f t="shared" ref="CC129:CC138" si="99">CB129/1000</f>
        <v>0</v>
      </c>
      <c r="CD129" s="187" t="s">
        <v>406</v>
      </c>
      <c r="CE129" s="189">
        <v>0</v>
      </c>
      <c r="CF129" s="189">
        <v>0</v>
      </c>
      <c r="CG129" s="187" t="s">
        <v>242</v>
      </c>
      <c r="CH129" s="194">
        <v>0</v>
      </c>
      <c r="CI129" s="193">
        <f t="shared" ref="CI129:CI138" si="100">CH129/1000</f>
        <v>0</v>
      </c>
      <c r="CJ129" s="187" t="s">
        <v>407</v>
      </c>
      <c r="CK129" s="189">
        <v>0</v>
      </c>
      <c r="CL129" s="189">
        <v>0</v>
      </c>
      <c r="CM129" s="187" t="s">
        <v>242</v>
      </c>
      <c r="CN129" s="116"/>
      <c r="CO129" s="100">
        <v>0.15</v>
      </c>
      <c r="CP129" s="100">
        <f t="shared" si="96"/>
        <v>0.17499999999999999</v>
      </c>
      <c r="CQ129" s="100">
        <v>0.2</v>
      </c>
      <c r="CR129" s="101">
        <v>0.15</v>
      </c>
      <c r="CS129" s="101">
        <v>0.2</v>
      </c>
    </row>
    <row r="130" spans="1:97" s="101" customFormat="1" ht="16.5" hidden="1" customHeight="1" x14ac:dyDescent="0.25">
      <c r="A130" s="99"/>
      <c r="V130" s="103"/>
      <c r="AA130" s="104"/>
      <c r="AB130" s="104"/>
      <c r="AD130" s="148"/>
      <c r="AE130" s="105"/>
      <c r="AH130" s="106"/>
      <c r="AI130" s="106"/>
      <c r="AK130" s="148"/>
      <c r="AR130" s="148"/>
      <c r="AV130" s="104"/>
      <c r="AX130" s="148"/>
      <c r="BB130" s="104"/>
      <c r="BC130" s="104"/>
      <c r="BD130" s="119"/>
      <c r="BE130" s="148"/>
      <c r="BH130" s="99"/>
      <c r="BI130" s="190" t="s">
        <v>0</v>
      </c>
      <c r="BJ130" s="181" t="s">
        <v>252</v>
      </c>
      <c r="BK130" s="181">
        <v>11.2818</v>
      </c>
      <c r="BL130" s="187" t="s">
        <v>405</v>
      </c>
      <c r="BM130" s="189">
        <v>2.0599999999999998E-3</v>
      </c>
      <c r="BN130" s="189">
        <v>2.0599999999999998E-3</v>
      </c>
      <c r="BO130" s="188" t="s">
        <v>241</v>
      </c>
      <c r="BP130" s="181">
        <v>3.0300000000000001E-2</v>
      </c>
      <c r="BQ130" s="191">
        <f t="shared" si="97"/>
        <v>3.0300000000000001E-5</v>
      </c>
      <c r="BR130" s="187" t="s">
        <v>406</v>
      </c>
      <c r="BS130" s="189">
        <v>0.01</v>
      </c>
      <c r="BT130" s="189">
        <v>0.1</v>
      </c>
      <c r="BU130" s="187" t="s">
        <v>242</v>
      </c>
      <c r="BV130" s="181">
        <v>6.1000000000000004E-3</v>
      </c>
      <c r="BW130" s="191">
        <f t="shared" si="98"/>
        <v>6.1E-6</v>
      </c>
      <c r="BX130" s="187" t="s">
        <v>407</v>
      </c>
      <c r="BY130" s="189">
        <v>2E-3</v>
      </c>
      <c r="BZ130" s="189">
        <v>0.02</v>
      </c>
      <c r="CA130" s="187" t="s">
        <v>242</v>
      </c>
      <c r="CB130" s="194">
        <v>0</v>
      </c>
      <c r="CC130" s="193">
        <f t="shared" si="99"/>
        <v>0</v>
      </c>
      <c r="CD130" s="187" t="s">
        <v>406</v>
      </c>
      <c r="CE130" s="189">
        <v>0</v>
      </c>
      <c r="CF130" s="189">
        <v>0</v>
      </c>
      <c r="CG130" s="187" t="s">
        <v>242</v>
      </c>
      <c r="CH130" s="194">
        <v>0</v>
      </c>
      <c r="CI130" s="193">
        <f t="shared" si="100"/>
        <v>0</v>
      </c>
      <c r="CJ130" s="187" t="s">
        <v>407</v>
      </c>
      <c r="CK130" s="189">
        <v>0</v>
      </c>
      <c r="CL130" s="189">
        <v>0</v>
      </c>
      <c r="CM130" s="187" t="s">
        <v>242</v>
      </c>
      <c r="CN130" s="116"/>
      <c r="CO130" s="100">
        <v>0.15</v>
      </c>
      <c r="CP130" s="100">
        <f t="shared" si="96"/>
        <v>0.17499999999999999</v>
      </c>
      <c r="CQ130" s="100">
        <v>0.2</v>
      </c>
      <c r="CR130" s="101">
        <v>0.15</v>
      </c>
      <c r="CS130" s="101">
        <v>0.2</v>
      </c>
    </row>
    <row r="131" spans="1:97" s="101" customFormat="1" ht="16.5" hidden="1" customHeight="1" x14ac:dyDescent="0.25">
      <c r="A131" s="99"/>
      <c r="V131" s="103"/>
      <c r="AA131" s="104"/>
      <c r="AB131" s="104"/>
      <c r="AD131" s="148"/>
      <c r="AE131" s="105"/>
      <c r="AH131" s="106"/>
      <c r="AI131" s="106"/>
      <c r="AK131" s="148"/>
      <c r="AR131" s="148"/>
      <c r="AV131" s="104"/>
      <c r="AX131" s="148"/>
      <c r="BB131" s="104"/>
      <c r="BC131" s="104"/>
      <c r="BD131" s="119"/>
      <c r="BE131" s="148"/>
      <c r="BH131" s="99"/>
      <c r="BI131" s="190" t="s">
        <v>235</v>
      </c>
      <c r="BJ131" s="181" t="s">
        <v>252</v>
      </c>
      <c r="BK131" s="181">
        <v>6.3869999999999996</v>
      </c>
      <c r="BL131" s="187" t="s">
        <v>405</v>
      </c>
      <c r="BM131" s="189">
        <v>2.5600000000000002E-3</v>
      </c>
      <c r="BN131" s="189">
        <v>2.5600000000000002E-3</v>
      </c>
      <c r="BO131" s="188" t="s">
        <v>241</v>
      </c>
      <c r="BP131" s="181">
        <v>2.3699999999999999E-2</v>
      </c>
      <c r="BQ131" s="191">
        <f t="shared" si="97"/>
        <v>2.37E-5</v>
      </c>
      <c r="BR131" s="187" t="s">
        <v>406</v>
      </c>
      <c r="BS131" s="189">
        <v>0.01</v>
      </c>
      <c r="BT131" s="189">
        <v>0.1</v>
      </c>
      <c r="BU131" s="187" t="s">
        <v>242</v>
      </c>
      <c r="BV131" s="181">
        <v>4.7000000000000002E-3</v>
      </c>
      <c r="BW131" s="191">
        <f t="shared" si="98"/>
        <v>4.6999999999999999E-6</v>
      </c>
      <c r="BX131" s="187" t="s">
        <v>407</v>
      </c>
      <c r="BY131" s="189">
        <v>2E-3</v>
      </c>
      <c r="BZ131" s="189">
        <v>0.02</v>
      </c>
      <c r="CA131" s="187" t="s">
        <v>242</v>
      </c>
      <c r="CB131" s="194">
        <v>0</v>
      </c>
      <c r="CC131" s="193">
        <f t="shared" si="99"/>
        <v>0</v>
      </c>
      <c r="CD131" s="187" t="s">
        <v>406</v>
      </c>
      <c r="CE131" s="189">
        <v>0</v>
      </c>
      <c r="CF131" s="189">
        <v>0</v>
      </c>
      <c r="CG131" s="187" t="s">
        <v>242</v>
      </c>
      <c r="CH131" s="194">
        <v>0</v>
      </c>
      <c r="CI131" s="193">
        <f t="shared" si="100"/>
        <v>0</v>
      </c>
      <c r="CJ131" s="187" t="s">
        <v>407</v>
      </c>
      <c r="CK131" s="189">
        <v>0</v>
      </c>
      <c r="CL131" s="189">
        <v>0</v>
      </c>
      <c r="CM131" s="187" t="s">
        <v>242</v>
      </c>
      <c r="CN131" s="116"/>
      <c r="CO131" s="100">
        <v>0.15</v>
      </c>
      <c r="CP131" s="100">
        <f t="shared" si="96"/>
        <v>0.17499999999999999</v>
      </c>
      <c r="CQ131" s="100">
        <v>0.2</v>
      </c>
      <c r="CR131" s="101">
        <v>0.15</v>
      </c>
      <c r="CS131" s="101">
        <v>0.2</v>
      </c>
    </row>
    <row r="132" spans="1:97" s="101" customFormat="1" ht="16.5" hidden="1" customHeight="1" x14ac:dyDescent="0.25">
      <c r="A132" s="99"/>
      <c r="V132" s="103"/>
      <c r="AA132" s="104"/>
      <c r="AB132" s="104"/>
      <c r="AD132" s="148"/>
      <c r="AE132" s="105"/>
      <c r="AH132" s="106"/>
      <c r="AI132" s="106"/>
      <c r="AK132" s="148"/>
      <c r="AR132" s="148"/>
      <c r="AV132" s="104"/>
      <c r="AX132" s="148"/>
      <c r="BB132" s="104"/>
      <c r="BC132" s="104"/>
      <c r="BD132" s="119"/>
      <c r="BE132" s="148"/>
      <c r="BH132" s="99"/>
      <c r="BI132" s="190" t="s">
        <v>236</v>
      </c>
      <c r="BJ132" s="181" t="s">
        <v>252</v>
      </c>
      <c r="BK132" s="181">
        <v>9.8404000000000007</v>
      </c>
      <c r="BL132" s="187" t="s">
        <v>405</v>
      </c>
      <c r="BM132" s="189">
        <v>2.1299999999999999E-3</v>
      </c>
      <c r="BN132" s="189">
        <v>2.1299999999999999E-3</v>
      </c>
      <c r="BO132" s="188" t="s">
        <v>241</v>
      </c>
      <c r="BP132" s="181">
        <v>2.3300000000000001E-2</v>
      </c>
      <c r="BQ132" s="191">
        <f t="shared" si="97"/>
        <v>2.3300000000000001E-5</v>
      </c>
      <c r="BR132" s="187" t="s">
        <v>406</v>
      </c>
      <c r="BS132" s="189">
        <v>0.01</v>
      </c>
      <c r="BT132" s="189">
        <v>0.1</v>
      </c>
      <c r="BU132" s="187" t="s">
        <v>242</v>
      </c>
      <c r="BV132" s="181">
        <v>4.7000000000000002E-3</v>
      </c>
      <c r="BW132" s="191">
        <f t="shared" si="98"/>
        <v>4.6999999999999999E-6</v>
      </c>
      <c r="BX132" s="187" t="s">
        <v>407</v>
      </c>
      <c r="BY132" s="189">
        <v>2E-3</v>
      </c>
      <c r="BZ132" s="189">
        <v>0.02</v>
      </c>
      <c r="CA132" s="187" t="s">
        <v>242</v>
      </c>
      <c r="CB132" s="194">
        <v>0</v>
      </c>
      <c r="CC132" s="193">
        <f t="shared" si="99"/>
        <v>0</v>
      </c>
      <c r="CD132" s="187" t="s">
        <v>406</v>
      </c>
      <c r="CE132" s="189">
        <v>0</v>
      </c>
      <c r="CF132" s="189">
        <v>0</v>
      </c>
      <c r="CG132" s="187" t="s">
        <v>242</v>
      </c>
      <c r="CH132" s="194">
        <v>0</v>
      </c>
      <c r="CI132" s="193">
        <f t="shared" si="100"/>
        <v>0</v>
      </c>
      <c r="CJ132" s="187" t="s">
        <v>407</v>
      </c>
      <c r="CK132" s="189">
        <v>0</v>
      </c>
      <c r="CL132" s="189">
        <v>0</v>
      </c>
      <c r="CM132" s="187" t="s">
        <v>242</v>
      </c>
      <c r="CN132" s="116"/>
      <c r="CO132" s="100">
        <v>0.15</v>
      </c>
      <c r="CP132" s="100">
        <f t="shared" si="96"/>
        <v>0.17499999999999999</v>
      </c>
      <c r="CQ132" s="100">
        <v>0.2</v>
      </c>
      <c r="CR132" s="101">
        <v>0.15</v>
      </c>
      <c r="CS132" s="101">
        <v>0.2</v>
      </c>
    </row>
    <row r="133" spans="1:97" s="101" customFormat="1" ht="16.5" hidden="1" customHeight="1" x14ac:dyDescent="0.25">
      <c r="A133" s="99"/>
      <c r="V133" s="103"/>
      <c r="AA133" s="104"/>
      <c r="AB133" s="104"/>
      <c r="AD133" s="148"/>
      <c r="AE133" s="105"/>
      <c r="AH133" s="106"/>
      <c r="AI133" s="106"/>
      <c r="AK133" s="148"/>
      <c r="AR133" s="148"/>
      <c r="AV133" s="104"/>
      <c r="AX133" s="148"/>
      <c r="BB133" s="104"/>
      <c r="BC133" s="104"/>
      <c r="BD133" s="119"/>
      <c r="BE133" s="148"/>
      <c r="BH133" s="99"/>
      <c r="BI133" s="190" t="s">
        <v>237</v>
      </c>
      <c r="BJ133" s="181" t="s">
        <v>252</v>
      </c>
      <c r="BK133" s="213">
        <v>0</v>
      </c>
      <c r="BL133" s="187" t="s">
        <v>405</v>
      </c>
      <c r="BM133" s="189">
        <v>2.98E-3</v>
      </c>
      <c r="BN133" s="189">
        <v>2.98E-3</v>
      </c>
      <c r="BO133" s="188" t="s">
        <v>241</v>
      </c>
      <c r="BP133" s="181">
        <v>2.63E-2</v>
      </c>
      <c r="BQ133" s="191">
        <f t="shared" si="97"/>
        <v>2.6299999999999999E-5</v>
      </c>
      <c r="BR133" s="187" t="s">
        <v>406</v>
      </c>
      <c r="BS133" s="189">
        <v>0.01</v>
      </c>
      <c r="BT133" s="189">
        <v>0.1</v>
      </c>
      <c r="BU133" s="187" t="s">
        <v>242</v>
      </c>
      <c r="BV133" s="181">
        <v>5.3E-3</v>
      </c>
      <c r="BW133" s="191">
        <f t="shared" si="98"/>
        <v>5.3000000000000001E-6</v>
      </c>
      <c r="BX133" s="187" t="s">
        <v>407</v>
      </c>
      <c r="BY133" s="189">
        <v>2E-3</v>
      </c>
      <c r="BZ133" s="189">
        <v>0.02</v>
      </c>
      <c r="CA133" s="187" t="s">
        <v>242</v>
      </c>
      <c r="CB133" s="181">
        <v>3.4200000000000001E-2</v>
      </c>
      <c r="CC133" s="191">
        <f t="shared" si="99"/>
        <v>3.4200000000000005E-5</v>
      </c>
      <c r="CD133" s="187" t="s">
        <v>406</v>
      </c>
      <c r="CE133" s="189">
        <v>1.6E-2</v>
      </c>
      <c r="CF133" s="189">
        <v>9.5000000000000001E-2</v>
      </c>
      <c r="CG133" s="187" t="s">
        <v>242</v>
      </c>
      <c r="CH133" s="181">
        <v>3.4200000000000001E-2</v>
      </c>
      <c r="CI133" s="191">
        <f t="shared" si="100"/>
        <v>3.4200000000000005E-5</v>
      </c>
      <c r="CJ133" s="187" t="s">
        <v>407</v>
      </c>
      <c r="CK133" s="189">
        <v>1.2999999999999999E-2</v>
      </c>
      <c r="CL133" s="189">
        <v>0.12</v>
      </c>
      <c r="CM133" s="187" t="s">
        <v>242</v>
      </c>
      <c r="CN133" s="116"/>
      <c r="CO133" s="100">
        <v>0.15</v>
      </c>
      <c r="CP133" s="100">
        <f t="shared" si="96"/>
        <v>0.17499999999999999</v>
      </c>
      <c r="CQ133" s="100">
        <v>0.2</v>
      </c>
      <c r="CR133" s="101">
        <v>0.6</v>
      </c>
      <c r="CS133" s="101">
        <v>1</v>
      </c>
    </row>
    <row r="134" spans="1:97" s="101" customFormat="1" ht="16.5" hidden="1" customHeight="1" x14ac:dyDescent="0.25">
      <c r="A134" s="99"/>
      <c r="V134" s="103"/>
      <c r="AA134" s="104"/>
      <c r="AB134" s="104"/>
      <c r="AD134" s="148"/>
      <c r="AE134" s="105"/>
      <c r="AH134" s="106"/>
      <c r="AI134" s="106"/>
      <c r="AK134" s="148"/>
      <c r="AR134" s="148"/>
      <c r="AV134" s="104"/>
      <c r="AX134" s="148"/>
      <c r="BB134" s="104"/>
      <c r="BC134" s="104"/>
      <c r="BD134" s="119"/>
      <c r="BE134" s="148"/>
      <c r="BH134" s="99"/>
      <c r="BI134" s="190" t="s">
        <v>368</v>
      </c>
      <c r="BJ134" s="181" t="s">
        <v>252</v>
      </c>
      <c r="BK134" s="213">
        <v>0</v>
      </c>
      <c r="BL134" s="187" t="s">
        <v>405</v>
      </c>
      <c r="BM134" s="189">
        <v>3.4799999999999996E-3</v>
      </c>
      <c r="BN134" s="189">
        <v>3.4799999999999996E-3</v>
      </c>
      <c r="BO134" s="188" t="s">
        <v>241</v>
      </c>
      <c r="BP134" s="181">
        <v>1.46E-2</v>
      </c>
      <c r="BQ134" s="191">
        <f t="shared" si="97"/>
        <v>1.4600000000000001E-5</v>
      </c>
      <c r="BR134" s="187" t="s">
        <v>406</v>
      </c>
      <c r="BS134" s="189">
        <v>0.01</v>
      </c>
      <c r="BT134" s="189">
        <v>0.1</v>
      </c>
      <c r="BU134" s="187" t="s">
        <v>242</v>
      </c>
      <c r="BV134" s="181">
        <v>2.8999999999999998E-3</v>
      </c>
      <c r="BW134" s="191">
        <f t="shared" si="98"/>
        <v>2.8999999999999998E-6</v>
      </c>
      <c r="BX134" s="187" t="s">
        <v>407</v>
      </c>
      <c r="BY134" s="189">
        <v>2E-3</v>
      </c>
      <c r="BZ134" s="189">
        <v>0.02</v>
      </c>
      <c r="CA134" s="187" t="s">
        <v>242</v>
      </c>
      <c r="CB134" s="181">
        <v>8.77E-2</v>
      </c>
      <c r="CC134" s="191">
        <f t="shared" si="99"/>
        <v>8.7700000000000004E-5</v>
      </c>
      <c r="CD134" s="187" t="s">
        <v>406</v>
      </c>
      <c r="CE134" s="189">
        <v>0.13</v>
      </c>
      <c r="CF134" s="189">
        <v>0.84</v>
      </c>
      <c r="CG134" s="187" t="s">
        <v>242</v>
      </c>
      <c r="CH134" s="181">
        <v>0.19989999999999999</v>
      </c>
      <c r="CI134" s="191">
        <f t="shared" si="100"/>
        <v>1.9990000000000001E-4</v>
      </c>
      <c r="CJ134" s="187" t="s">
        <v>407</v>
      </c>
      <c r="CK134" s="189">
        <v>0.13</v>
      </c>
      <c r="CL134" s="189">
        <v>1.23</v>
      </c>
      <c r="CM134" s="187" t="s">
        <v>242</v>
      </c>
      <c r="CN134" s="116"/>
      <c r="CO134" s="100">
        <v>0.15</v>
      </c>
      <c r="CP134" s="100">
        <f t="shared" si="96"/>
        <v>0.17499999999999999</v>
      </c>
      <c r="CQ134" s="100">
        <v>0.2</v>
      </c>
      <c r="CR134" s="101">
        <v>0.6</v>
      </c>
      <c r="CS134" s="101">
        <v>1</v>
      </c>
    </row>
    <row r="135" spans="1:97" s="101" customFormat="1" ht="16.5" hidden="1" customHeight="1" x14ac:dyDescent="0.25">
      <c r="A135" s="99"/>
      <c r="V135" s="103"/>
      <c r="AA135" s="104"/>
      <c r="AB135" s="104"/>
      <c r="AD135" s="148"/>
      <c r="AE135" s="105"/>
      <c r="AH135" s="106"/>
      <c r="AI135" s="106"/>
      <c r="AK135" s="148"/>
      <c r="AR135" s="148"/>
      <c r="AV135" s="104"/>
      <c r="AX135" s="148"/>
      <c r="BB135" s="104"/>
      <c r="BC135" s="104"/>
      <c r="BD135" s="119"/>
      <c r="BE135" s="148"/>
      <c r="BH135" s="99"/>
      <c r="BI135" s="190" t="s">
        <v>238</v>
      </c>
      <c r="BJ135" s="181" t="s">
        <v>252</v>
      </c>
      <c r="BK135" s="181">
        <v>10.178100000000001</v>
      </c>
      <c r="BL135" s="187" t="s">
        <v>405</v>
      </c>
      <c r="BM135" s="189">
        <v>2.0599999999999998E-3</v>
      </c>
      <c r="BN135" s="189">
        <v>2.0599999999999998E-3</v>
      </c>
      <c r="BO135" s="188" t="s">
        <v>241</v>
      </c>
      <c r="BP135" s="181">
        <v>2.7199999999999998E-2</v>
      </c>
      <c r="BQ135" s="191">
        <f t="shared" si="97"/>
        <v>2.7199999999999997E-5</v>
      </c>
      <c r="BR135" s="187" t="s">
        <v>406</v>
      </c>
      <c r="BS135" s="189">
        <v>0.01</v>
      </c>
      <c r="BT135" s="189">
        <v>0.1</v>
      </c>
      <c r="BU135" s="187" t="s">
        <v>242</v>
      </c>
      <c r="BV135" s="181">
        <v>5.4000000000000003E-3</v>
      </c>
      <c r="BW135" s="191">
        <f t="shared" si="98"/>
        <v>5.4E-6</v>
      </c>
      <c r="BX135" s="187" t="s">
        <v>407</v>
      </c>
      <c r="BY135" s="189">
        <v>2E-3</v>
      </c>
      <c r="BZ135" s="189">
        <v>0.02</v>
      </c>
      <c r="CA135" s="187" t="s">
        <v>242</v>
      </c>
      <c r="CB135" s="181">
        <v>0</v>
      </c>
      <c r="CC135" s="191">
        <f t="shared" si="99"/>
        <v>0</v>
      </c>
      <c r="CD135" s="187" t="s">
        <v>406</v>
      </c>
      <c r="CE135" s="189">
        <v>0</v>
      </c>
      <c r="CF135" s="189">
        <v>0</v>
      </c>
      <c r="CG135" s="187" t="s">
        <v>242</v>
      </c>
      <c r="CH135" s="181">
        <v>0</v>
      </c>
      <c r="CI135" s="191">
        <f t="shared" si="100"/>
        <v>0</v>
      </c>
      <c r="CJ135" s="187" t="s">
        <v>407</v>
      </c>
      <c r="CK135" s="189">
        <v>0</v>
      </c>
      <c r="CL135" s="189">
        <v>0</v>
      </c>
      <c r="CM135" s="187" t="s">
        <v>242</v>
      </c>
      <c r="CN135" s="116"/>
      <c r="CO135" s="100">
        <v>0.15</v>
      </c>
      <c r="CP135" s="100">
        <f t="shared" si="96"/>
        <v>0.17499999999999999</v>
      </c>
      <c r="CQ135" s="100">
        <v>0.2</v>
      </c>
      <c r="CR135" s="101">
        <v>0.15</v>
      </c>
      <c r="CS135" s="101">
        <v>0.2</v>
      </c>
    </row>
    <row r="136" spans="1:97" s="101" customFormat="1" ht="16.5" hidden="1" customHeight="1" x14ac:dyDescent="0.25">
      <c r="A136" s="99"/>
      <c r="V136" s="103"/>
      <c r="AA136" s="104"/>
      <c r="AB136" s="104"/>
      <c r="AD136" s="148"/>
      <c r="AE136" s="105"/>
      <c r="AH136" s="106"/>
      <c r="AI136" s="106"/>
      <c r="AK136" s="148"/>
      <c r="AR136" s="148"/>
      <c r="AV136" s="104"/>
      <c r="AX136" s="148"/>
      <c r="BB136" s="104"/>
      <c r="BC136" s="104"/>
      <c r="BD136" s="119"/>
      <c r="BE136" s="148"/>
      <c r="BH136" s="99"/>
      <c r="BI136" s="190" t="s">
        <v>273</v>
      </c>
      <c r="BJ136" s="181" t="s">
        <v>252</v>
      </c>
      <c r="BK136" s="181">
        <v>8.8632000000000009</v>
      </c>
      <c r="BL136" s="187" t="s">
        <v>405</v>
      </c>
      <c r="BM136" s="189">
        <v>2.32E-3</v>
      </c>
      <c r="BN136" s="189">
        <v>2.32E-3</v>
      </c>
      <c r="BO136" s="188" t="s">
        <v>241</v>
      </c>
      <c r="BP136" s="181">
        <v>9.4999999999999998E-3</v>
      </c>
      <c r="BQ136" s="191">
        <f t="shared" si="97"/>
        <v>9.5000000000000005E-6</v>
      </c>
      <c r="BR136" s="187" t="s">
        <v>406</v>
      </c>
      <c r="BS136" s="189">
        <v>0.01</v>
      </c>
      <c r="BT136" s="189">
        <v>0.1</v>
      </c>
      <c r="BU136" s="187" t="s">
        <v>242</v>
      </c>
      <c r="BV136" s="181">
        <v>5.7000000000000002E-3</v>
      </c>
      <c r="BW136" s="191">
        <f t="shared" si="98"/>
        <v>5.7000000000000005E-6</v>
      </c>
      <c r="BX136" s="187" t="s">
        <v>407</v>
      </c>
      <c r="BY136" s="189">
        <v>2E-3</v>
      </c>
      <c r="BZ136" s="189">
        <v>0.02</v>
      </c>
      <c r="CA136" s="187" t="s">
        <v>242</v>
      </c>
      <c r="CB136" s="181">
        <v>3.6999999999999998E-2</v>
      </c>
      <c r="CC136" s="191">
        <f t="shared" si="99"/>
        <v>3.6999999999999998E-5</v>
      </c>
      <c r="CD136" s="187" t="s">
        <v>406</v>
      </c>
      <c r="CE136" s="189">
        <v>1.6E-2</v>
      </c>
      <c r="CF136" s="189">
        <v>9.5000000000000001E-2</v>
      </c>
      <c r="CG136" s="187" t="s">
        <v>242</v>
      </c>
      <c r="CH136" s="181">
        <v>3.6999999999999998E-2</v>
      </c>
      <c r="CI136" s="191">
        <f t="shared" si="100"/>
        <v>3.6999999999999998E-5</v>
      </c>
      <c r="CJ136" s="187" t="s">
        <v>407</v>
      </c>
      <c r="CK136" s="189">
        <v>1.2999999999999999E-2</v>
      </c>
      <c r="CL136" s="189">
        <v>0.12</v>
      </c>
      <c r="CM136" s="187" t="s">
        <v>242</v>
      </c>
      <c r="CN136" s="116"/>
      <c r="CO136" s="100">
        <v>0.15</v>
      </c>
      <c r="CP136" s="100">
        <f t="shared" si="96"/>
        <v>0.17499999999999999</v>
      </c>
      <c r="CQ136" s="100">
        <v>0.2</v>
      </c>
      <c r="CR136" s="101">
        <v>0.15</v>
      </c>
      <c r="CS136" s="101">
        <v>0.2</v>
      </c>
    </row>
    <row r="137" spans="1:97" s="101" customFormat="1" ht="16.5" hidden="1" customHeight="1" x14ac:dyDescent="0.25">
      <c r="A137" s="99"/>
      <c r="V137" s="103"/>
      <c r="AA137" s="104"/>
      <c r="AB137" s="104"/>
      <c r="AD137" s="148"/>
      <c r="AE137" s="105"/>
      <c r="AH137" s="106"/>
      <c r="AI137" s="106"/>
      <c r="AK137" s="148"/>
      <c r="AR137" s="148"/>
      <c r="AV137" s="104"/>
      <c r="AX137" s="148"/>
      <c r="BB137" s="104"/>
      <c r="BC137" s="104"/>
      <c r="BD137" s="119"/>
      <c r="BE137" s="148"/>
      <c r="BH137" s="99"/>
      <c r="BI137" s="190" t="s">
        <v>272</v>
      </c>
      <c r="BJ137" s="181" t="s">
        <v>252</v>
      </c>
      <c r="BK137" s="181">
        <v>10.2765</v>
      </c>
      <c r="BL137" s="187" t="s">
        <v>405</v>
      </c>
      <c r="BM137" s="189">
        <v>2.0499999999999997E-3</v>
      </c>
      <c r="BN137" s="189">
        <v>2.0499999999999997E-3</v>
      </c>
      <c r="BO137" s="188" t="s">
        <v>241</v>
      </c>
      <c r="BP137" s="181">
        <v>9.5999999999999992E-3</v>
      </c>
      <c r="BQ137" s="191">
        <f>BP137/1000</f>
        <v>9.5999999999999996E-6</v>
      </c>
      <c r="BR137" s="187" t="s">
        <v>406</v>
      </c>
      <c r="BS137" s="189">
        <v>0.01</v>
      </c>
      <c r="BT137" s="189">
        <v>0.1</v>
      </c>
      <c r="BU137" s="187" t="s">
        <v>242</v>
      </c>
      <c r="BV137" s="181">
        <v>5.7999999999999996E-3</v>
      </c>
      <c r="BW137" s="191">
        <f>BV137/1000</f>
        <v>5.7999999999999995E-6</v>
      </c>
      <c r="BX137" s="187" t="s">
        <v>407</v>
      </c>
      <c r="BY137" s="189">
        <v>2E-3</v>
      </c>
      <c r="BZ137" s="189">
        <v>0.02</v>
      </c>
      <c r="CA137" s="187" t="s">
        <v>242</v>
      </c>
      <c r="CB137" s="181">
        <v>3.7400000000000003E-2</v>
      </c>
      <c r="CC137" s="191">
        <f>CB137/1000</f>
        <v>3.7400000000000001E-5</v>
      </c>
      <c r="CD137" s="187" t="s">
        <v>406</v>
      </c>
      <c r="CE137" s="189">
        <v>1.6E-2</v>
      </c>
      <c r="CF137" s="189">
        <v>9.5000000000000001E-2</v>
      </c>
      <c r="CG137" s="187" t="s">
        <v>242</v>
      </c>
      <c r="CH137" s="181">
        <v>3.7400000000000003E-2</v>
      </c>
      <c r="CI137" s="191">
        <f>CH137/1000</f>
        <v>3.7400000000000001E-5</v>
      </c>
      <c r="CJ137" s="187" t="s">
        <v>407</v>
      </c>
      <c r="CK137" s="189">
        <v>1.2999999999999999E-2</v>
      </c>
      <c r="CL137" s="189">
        <v>0.12</v>
      </c>
      <c r="CM137" s="187" t="s">
        <v>242</v>
      </c>
      <c r="CN137" s="116"/>
      <c r="CO137" s="100">
        <v>0.15</v>
      </c>
      <c r="CP137" s="100">
        <f t="shared" si="96"/>
        <v>0.17499999999999999</v>
      </c>
      <c r="CQ137" s="100">
        <v>0.2</v>
      </c>
      <c r="CR137" s="101">
        <v>0.15</v>
      </c>
      <c r="CS137" s="101">
        <v>0.2</v>
      </c>
    </row>
    <row r="138" spans="1:97" s="101" customFormat="1" ht="16.5" hidden="1" customHeight="1" x14ac:dyDescent="0.25">
      <c r="A138" s="99"/>
      <c r="V138" s="103"/>
      <c r="AA138" s="104"/>
      <c r="AB138" s="104"/>
      <c r="AD138" s="148"/>
      <c r="AE138" s="105"/>
      <c r="AH138" s="106"/>
      <c r="AI138" s="106"/>
      <c r="AK138" s="148"/>
      <c r="AR138" s="148"/>
      <c r="AV138" s="104"/>
      <c r="AX138" s="148"/>
      <c r="BB138" s="104"/>
      <c r="BC138" s="104"/>
      <c r="BD138" s="119"/>
      <c r="BE138" s="148"/>
      <c r="BH138" s="99"/>
      <c r="BI138" s="190" t="s">
        <v>239</v>
      </c>
      <c r="BJ138" s="181" t="s">
        <v>252</v>
      </c>
      <c r="BK138" s="181">
        <v>7.6181000000000001</v>
      </c>
      <c r="BL138" s="187" t="s">
        <v>405</v>
      </c>
      <c r="BM138" s="189">
        <v>2.3400000000000001E-3</v>
      </c>
      <c r="BN138" s="189">
        <v>2.3400000000000001E-3</v>
      </c>
      <c r="BO138" s="188" t="s">
        <v>241</v>
      </c>
      <c r="BP138" s="181">
        <v>2.3900000000000001E-2</v>
      </c>
      <c r="BQ138" s="191">
        <f t="shared" si="97"/>
        <v>2.3900000000000002E-5</v>
      </c>
      <c r="BR138" s="187" t="s">
        <v>406</v>
      </c>
      <c r="BS138" s="189">
        <v>0.01</v>
      </c>
      <c r="BT138" s="189">
        <v>0.1</v>
      </c>
      <c r="BU138" s="187" t="s">
        <v>242</v>
      </c>
      <c r="BV138" s="181">
        <v>4.7999999999999996E-3</v>
      </c>
      <c r="BW138" s="191">
        <f t="shared" si="98"/>
        <v>4.7999999999999998E-6</v>
      </c>
      <c r="BX138" s="187" t="s">
        <v>407</v>
      </c>
      <c r="BY138" s="189">
        <v>2E-3</v>
      </c>
      <c r="BZ138" s="189">
        <v>0.02</v>
      </c>
      <c r="CA138" s="187" t="s">
        <v>242</v>
      </c>
      <c r="CB138" s="181">
        <v>0.26269999999999999</v>
      </c>
      <c r="CC138" s="191">
        <f t="shared" si="99"/>
        <v>2.6269999999999999E-4</v>
      </c>
      <c r="CD138" s="187" t="s">
        <v>406</v>
      </c>
      <c r="CE138" s="189">
        <v>9.6000000000000002E-2</v>
      </c>
      <c r="CF138" s="189">
        <v>1.1000000000000001</v>
      </c>
      <c r="CG138" s="187" t="s">
        <v>242</v>
      </c>
      <c r="CH138" s="181">
        <v>2.5499999999999998E-2</v>
      </c>
      <c r="CI138" s="191">
        <f t="shared" si="100"/>
        <v>2.55E-5</v>
      </c>
      <c r="CJ138" s="187" t="s">
        <v>407</v>
      </c>
      <c r="CK138" s="189">
        <v>9.5999999999999992E-3</v>
      </c>
      <c r="CL138" s="189">
        <v>0.11</v>
      </c>
      <c r="CM138" s="187" t="s">
        <v>242</v>
      </c>
      <c r="CN138" s="116"/>
      <c r="CO138" s="100">
        <v>0.15</v>
      </c>
      <c r="CP138" s="100">
        <f t="shared" si="96"/>
        <v>0.17499999999999999</v>
      </c>
      <c r="CQ138" s="100">
        <v>0.2</v>
      </c>
      <c r="CR138" s="101">
        <v>0.15</v>
      </c>
      <c r="CS138" s="101">
        <v>0.2</v>
      </c>
    </row>
    <row r="139" spans="1:97" s="101" customFormat="1" hidden="1" x14ac:dyDescent="0.25">
      <c r="A139" s="99"/>
      <c r="V139" s="103"/>
      <c r="AA139" s="104"/>
      <c r="AB139" s="104"/>
      <c r="AD139" s="104"/>
      <c r="AE139" s="105"/>
      <c r="AH139" s="106"/>
      <c r="AI139" s="106"/>
      <c r="AK139" s="104"/>
      <c r="AR139" s="104"/>
      <c r="AV139" s="104"/>
      <c r="AX139" s="104"/>
      <c r="BB139" s="104"/>
      <c r="BC139" s="104"/>
      <c r="BE139" s="104"/>
      <c r="BH139" s="99"/>
      <c r="BI139" s="102"/>
      <c r="BJ139" s="178"/>
      <c r="BK139" s="178"/>
      <c r="BL139" s="178"/>
      <c r="BM139" s="169"/>
      <c r="BN139" s="169"/>
      <c r="BO139" s="169"/>
      <c r="BP139" s="192"/>
      <c r="BQ139" s="192"/>
      <c r="BR139" s="192"/>
      <c r="BS139" s="192"/>
      <c r="BT139" s="192"/>
      <c r="BU139" s="192"/>
      <c r="BV139" s="178"/>
      <c r="BW139" s="192"/>
      <c r="BX139" s="192"/>
      <c r="BY139" s="178"/>
      <c r="BZ139" s="178"/>
      <c r="CA139" s="178"/>
      <c r="CB139" s="180"/>
      <c r="CC139" s="192"/>
      <c r="CD139" s="192"/>
      <c r="CE139" s="180"/>
      <c r="CF139" s="180"/>
      <c r="CG139" s="180"/>
      <c r="CH139" s="180"/>
      <c r="CI139" s="192"/>
      <c r="CJ139" s="192"/>
      <c r="CK139" s="180"/>
      <c r="CL139" s="180"/>
      <c r="CM139" s="180"/>
      <c r="CN139" s="116"/>
      <c r="CO139" s="100">
        <v>0.15</v>
      </c>
      <c r="CP139" s="100">
        <f t="shared" si="96"/>
        <v>0.17499999999999999</v>
      </c>
      <c r="CQ139" s="100">
        <v>0.2</v>
      </c>
    </row>
    <row r="140" spans="1:97" s="101" customFormat="1" hidden="1" x14ac:dyDescent="0.25">
      <c r="A140" s="99"/>
      <c r="V140" s="103"/>
      <c r="AA140" s="104"/>
      <c r="AB140" s="104"/>
      <c r="AD140" s="104"/>
      <c r="AE140" s="105"/>
      <c r="AH140" s="106"/>
      <c r="AI140" s="106"/>
      <c r="AK140" s="104"/>
      <c r="AR140" s="104"/>
      <c r="AV140" s="104"/>
      <c r="AX140" s="104"/>
      <c r="BB140" s="104"/>
      <c r="BC140" s="104"/>
      <c r="BE140" s="104"/>
      <c r="BH140" s="99"/>
      <c r="BI140" s="102"/>
      <c r="BJ140" s="178"/>
      <c r="BK140" s="178"/>
      <c r="BL140" s="178"/>
      <c r="BM140" s="169"/>
      <c r="BN140" s="169"/>
      <c r="BO140" s="169"/>
      <c r="BP140" s="192"/>
      <c r="BQ140" s="192"/>
      <c r="BR140" s="192"/>
      <c r="BS140" s="192"/>
      <c r="BT140" s="192"/>
      <c r="BU140" s="192"/>
      <c r="BV140" s="178"/>
      <c r="BW140" s="192"/>
      <c r="BX140" s="192"/>
      <c r="BY140" s="178"/>
      <c r="BZ140" s="178"/>
      <c r="CA140" s="178"/>
      <c r="CB140" s="180"/>
      <c r="CC140" s="192"/>
      <c r="CD140" s="192"/>
      <c r="CE140" s="180"/>
      <c r="CF140" s="180"/>
      <c r="CG140" s="180"/>
      <c r="CH140" s="180"/>
      <c r="CI140" s="192"/>
      <c r="CJ140" s="192"/>
      <c r="CK140" s="180"/>
      <c r="CL140" s="180"/>
      <c r="CM140" s="180"/>
      <c r="CN140" s="116"/>
      <c r="CO140" s="100">
        <v>0.15</v>
      </c>
      <c r="CP140" s="100">
        <f t="shared" si="96"/>
        <v>0.17499999999999999</v>
      </c>
      <c r="CQ140" s="100">
        <v>0.2</v>
      </c>
    </row>
    <row r="141" spans="1:97" s="101" customFormat="1" ht="26.25" hidden="1" customHeight="1" x14ac:dyDescent="0.25">
      <c r="A141" s="99"/>
      <c r="V141" s="103"/>
      <c r="AA141" s="104"/>
      <c r="AB141" s="104"/>
      <c r="AD141" s="104"/>
      <c r="AE141" s="105"/>
      <c r="AH141" s="106"/>
      <c r="AI141" s="106"/>
      <c r="AK141" s="104"/>
      <c r="AR141" s="104"/>
      <c r="AV141" s="104"/>
      <c r="AX141" s="104"/>
      <c r="BB141" s="104"/>
      <c r="BC141" s="104"/>
      <c r="BE141" s="104"/>
      <c r="BH141" s="99"/>
      <c r="BI141" s="1606" t="s">
        <v>232</v>
      </c>
      <c r="BJ141" s="251"/>
      <c r="BK141" s="1606" t="s">
        <v>267</v>
      </c>
      <c r="BL141" s="251"/>
      <c r="BM141" s="1606" t="s">
        <v>233</v>
      </c>
      <c r="BN141" s="1606" t="s">
        <v>233</v>
      </c>
      <c r="BO141" s="1606" t="s">
        <v>240</v>
      </c>
      <c r="BP141" s="1608" t="s">
        <v>172</v>
      </c>
      <c r="BQ141" s="1609"/>
      <c r="BR141" s="1609"/>
      <c r="BS141" s="1609"/>
      <c r="BT141" s="1609"/>
      <c r="BU141" s="1609"/>
      <c r="BV141" s="1609"/>
      <c r="BW141" s="1609"/>
      <c r="BX141" s="1609"/>
      <c r="BY141" s="1609"/>
      <c r="BZ141" s="1609"/>
      <c r="CA141" s="1610"/>
      <c r="CB141" s="1608" t="s">
        <v>173</v>
      </c>
      <c r="CC141" s="1609"/>
      <c r="CD141" s="1609"/>
      <c r="CE141" s="1609"/>
      <c r="CF141" s="1609"/>
      <c r="CG141" s="1609"/>
      <c r="CH141" s="1609"/>
      <c r="CI141" s="1609"/>
      <c r="CJ141" s="1609"/>
      <c r="CK141" s="1609"/>
      <c r="CL141" s="1609"/>
      <c r="CM141" s="1610"/>
      <c r="CN141" s="116"/>
      <c r="CO141" s="100">
        <v>0.15</v>
      </c>
      <c r="CP141" s="100">
        <f t="shared" si="96"/>
        <v>0.17499999999999999</v>
      </c>
      <c r="CQ141" s="100">
        <v>0.2</v>
      </c>
    </row>
    <row r="142" spans="1:97" s="101" customFormat="1" ht="59.25" hidden="1" customHeight="1" x14ac:dyDescent="0.25">
      <c r="A142" s="99"/>
      <c r="V142" s="103"/>
      <c r="AA142" s="104"/>
      <c r="AB142" s="104"/>
      <c r="AD142" s="104"/>
      <c r="AE142" s="105"/>
      <c r="AH142" s="106"/>
      <c r="AI142" s="106"/>
      <c r="AK142" s="104"/>
      <c r="AR142" s="104"/>
      <c r="AV142" s="104"/>
      <c r="AX142" s="104"/>
      <c r="BB142" s="104"/>
      <c r="BC142" s="104"/>
      <c r="BE142" s="104"/>
      <c r="BH142" s="99"/>
      <c r="BI142" s="1607"/>
      <c r="BJ142" s="252" t="s">
        <v>253</v>
      </c>
      <c r="BK142" s="1607"/>
      <c r="BL142" s="252" t="s">
        <v>251</v>
      </c>
      <c r="BM142" s="1607"/>
      <c r="BN142" s="1607"/>
      <c r="BO142" s="1607"/>
      <c r="BP142" s="185" t="s">
        <v>268</v>
      </c>
      <c r="BQ142" s="185" t="s">
        <v>269</v>
      </c>
      <c r="BR142" s="252" t="s">
        <v>251</v>
      </c>
      <c r="BS142" s="185" t="s">
        <v>233</v>
      </c>
      <c r="BT142" s="185" t="s">
        <v>233</v>
      </c>
      <c r="BU142" s="185" t="s">
        <v>240</v>
      </c>
      <c r="BV142" s="185" t="s">
        <v>270</v>
      </c>
      <c r="BW142" s="185" t="s">
        <v>271</v>
      </c>
      <c r="BX142" s="252" t="s">
        <v>251</v>
      </c>
      <c r="BY142" s="185" t="s">
        <v>233</v>
      </c>
      <c r="BZ142" s="185" t="s">
        <v>233</v>
      </c>
      <c r="CA142" s="185" t="s">
        <v>240</v>
      </c>
      <c r="CB142" s="185" t="s">
        <v>268</v>
      </c>
      <c r="CC142" s="185" t="s">
        <v>269</v>
      </c>
      <c r="CD142" s="252" t="s">
        <v>251</v>
      </c>
      <c r="CE142" s="185" t="s">
        <v>233</v>
      </c>
      <c r="CF142" s="185" t="s">
        <v>233</v>
      </c>
      <c r="CG142" s="185" t="s">
        <v>240</v>
      </c>
      <c r="CH142" s="185" t="s">
        <v>270</v>
      </c>
      <c r="CI142" s="185" t="s">
        <v>271</v>
      </c>
      <c r="CJ142" s="252" t="s">
        <v>251</v>
      </c>
      <c r="CK142" s="185" t="s">
        <v>233</v>
      </c>
      <c r="CL142" s="185" t="s">
        <v>233</v>
      </c>
      <c r="CM142" s="185" t="s">
        <v>240</v>
      </c>
      <c r="CN142" s="116"/>
      <c r="CO142" s="100">
        <v>0.15</v>
      </c>
      <c r="CP142" s="100">
        <f t="shared" si="96"/>
        <v>0.17499999999999999</v>
      </c>
      <c r="CQ142" s="100">
        <v>0.2</v>
      </c>
    </row>
    <row r="143" spans="1:97" s="101" customFormat="1" ht="17.25" hidden="1" thickBot="1" x14ac:dyDescent="0.3">
      <c r="A143" s="99"/>
      <c r="V143" s="103"/>
      <c r="AA143" s="104"/>
      <c r="AB143" s="104"/>
      <c r="AD143" s="104"/>
      <c r="AE143" s="105"/>
      <c r="AH143" s="106"/>
      <c r="AI143" s="106"/>
      <c r="AK143" s="104"/>
      <c r="AR143" s="104"/>
      <c r="AV143" s="104"/>
      <c r="AX143" s="104"/>
      <c r="BB143" s="104"/>
      <c r="BC143" s="104"/>
      <c r="BE143" s="104"/>
      <c r="BF143" s="119"/>
      <c r="BH143" s="99"/>
      <c r="BI143" s="186" t="s">
        <v>274</v>
      </c>
      <c r="BJ143" s="187" t="s">
        <v>408</v>
      </c>
      <c r="BK143" s="214">
        <v>0</v>
      </c>
      <c r="BL143" s="187" t="s">
        <v>409</v>
      </c>
      <c r="BM143" s="189">
        <v>8.8870000000000005E-2</v>
      </c>
      <c r="BN143" s="189">
        <v>8.8870000000000005E-2</v>
      </c>
      <c r="BO143" s="188" t="s">
        <v>241</v>
      </c>
      <c r="BP143" s="195">
        <v>2.1999999999999999E-2</v>
      </c>
      <c r="BQ143" s="195">
        <f>BP143/1000</f>
        <v>2.1999999999999999E-5</v>
      </c>
      <c r="BR143" s="187" t="s">
        <v>410</v>
      </c>
      <c r="BS143" s="189">
        <v>3.0000000000000001E-3</v>
      </c>
      <c r="BT143" s="189">
        <v>0.03</v>
      </c>
      <c r="BU143" s="187" t="s">
        <v>242</v>
      </c>
      <c r="BV143" s="195">
        <v>2.2000000000000001E-3</v>
      </c>
      <c r="BW143" s="195">
        <f>BV143/1000</f>
        <v>2.2000000000000001E-6</v>
      </c>
      <c r="BX143" s="187" t="s">
        <v>515</v>
      </c>
      <c r="BY143" s="189">
        <v>2.9999999999999997E-4</v>
      </c>
      <c r="BZ143" s="189">
        <v>0.03</v>
      </c>
      <c r="CA143" s="187" t="s">
        <v>242</v>
      </c>
      <c r="CB143" s="181">
        <v>0</v>
      </c>
      <c r="CC143" s="195">
        <f>CB143/1000</f>
        <v>0</v>
      </c>
      <c r="CD143" s="187" t="s">
        <v>410</v>
      </c>
      <c r="CE143" s="189">
        <v>0</v>
      </c>
      <c r="CF143" s="189">
        <v>0</v>
      </c>
      <c r="CG143" s="187" t="s">
        <v>242</v>
      </c>
      <c r="CH143" s="181">
        <v>0</v>
      </c>
      <c r="CI143" s="195">
        <f>CH143/1000</f>
        <v>0</v>
      </c>
      <c r="CJ143" s="187" t="s">
        <v>515</v>
      </c>
      <c r="CK143" s="189">
        <v>0</v>
      </c>
      <c r="CL143" s="189">
        <v>0</v>
      </c>
      <c r="CM143" s="187" t="s">
        <v>242</v>
      </c>
      <c r="CN143" s="116"/>
      <c r="CO143" s="100"/>
      <c r="CP143" s="100"/>
      <c r="CQ143" s="100"/>
      <c r="CR143" s="101">
        <v>0.6</v>
      </c>
      <c r="CS143" s="101">
        <v>1</v>
      </c>
    </row>
    <row r="144" spans="1:97" s="101" customFormat="1" ht="17.25" hidden="1" thickBot="1" x14ac:dyDescent="0.3">
      <c r="A144" s="99"/>
      <c r="V144" s="103"/>
      <c r="AA144" s="104"/>
      <c r="AB144" s="104"/>
      <c r="AD144" s="104"/>
      <c r="AE144" s="105"/>
      <c r="AH144" s="106"/>
      <c r="AI144" s="106"/>
      <c r="AK144" s="104"/>
      <c r="AR144" s="104"/>
      <c r="AV144" s="104"/>
      <c r="AX144" s="104"/>
      <c r="BB144" s="104"/>
      <c r="BC144" s="104"/>
      <c r="BE144" s="104"/>
      <c r="BF144" s="119"/>
      <c r="BH144" s="99"/>
      <c r="BI144" s="190" t="s">
        <v>243</v>
      </c>
      <c r="BJ144" s="187" t="s">
        <v>408</v>
      </c>
      <c r="BK144" s="196">
        <v>0.6129</v>
      </c>
      <c r="BL144" s="187" t="s">
        <v>409</v>
      </c>
      <c r="BM144" s="189">
        <v>0.18914999999999998</v>
      </c>
      <c r="BN144" s="189">
        <v>0.18914999999999998</v>
      </c>
      <c r="BO144" s="188" t="s">
        <v>241</v>
      </c>
      <c r="BP144" s="195">
        <v>1.4999999999999999E-2</v>
      </c>
      <c r="BQ144" s="195">
        <f t="shared" ref="BQ144:BQ160" si="101">BP144/1000</f>
        <v>1.4999999999999999E-5</v>
      </c>
      <c r="BR144" s="187" t="s">
        <v>410</v>
      </c>
      <c r="BS144" s="189">
        <v>3.0000000000000001E-3</v>
      </c>
      <c r="BT144" s="189">
        <v>0.03</v>
      </c>
      <c r="BU144" s="187" t="s">
        <v>242</v>
      </c>
      <c r="BV144" s="195">
        <v>1.5E-3</v>
      </c>
      <c r="BW144" s="195">
        <f t="shared" ref="BW144:BW160" si="102">BV144/1000</f>
        <v>1.5E-6</v>
      </c>
      <c r="BX144" s="187" t="s">
        <v>515</v>
      </c>
      <c r="BY144" s="189">
        <v>2.9999999999999997E-4</v>
      </c>
      <c r="BZ144" s="189">
        <v>0.03</v>
      </c>
      <c r="CA144" s="187" t="s">
        <v>242</v>
      </c>
      <c r="CB144" s="181">
        <v>0</v>
      </c>
      <c r="CC144" s="195">
        <f t="shared" ref="CC144:CC160" si="103">CB144/1000</f>
        <v>0</v>
      </c>
      <c r="CD144" s="187" t="s">
        <v>410</v>
      </c>
      <c r="CE144" s="189">
        <v>0</v>
      </c>
      <c r="CF144" s="189">
        <v>0</v>
      </c>
      <c r="CG144" s="187" t="s">
        <v>242</v>
      </c>
      <c r="CH144" s="181">
        <v>0</v>
      </c>
      <c r="CI144" s="195">
        <f t="shared" ref="CI144:CI160" si="104">CH144/1000</f>
        <v>0</v>
      </c>
      <c r="CJ144" s="187" t="s">
        <v>515</v>
      </c>
      <c r="CK144" s="189">
        <v>0</v>
      </c>
      <c r="CL144" s="189">
        <v>0</v>
      </c>
      <c r="CM144" s="187" t="s">
        <v>242</v>
      </c>
      <c r="CN144" s="116"/>
      <c r="CO144" s="100"/>
      <c r="CP144" s="100"/>
      <c r="CQ144" s="100"/>
      <c r="CR144" s="101">
        <v>0.15</v>
      </c>
      <c r="CS144" s="101">
        <v>0.2</v>
      </c>
    </row>
    <row r="145" spans="1:97" s="101" customFormat="1" ht="17.25" hidden="1" thickBot="1" x14ac:dyDescent="0.3">
      <c r="A145" s="99"/>
      <c r="V145" s="103"/>
      <c r="AA145" s="104"/>
      <c r="AB145" s="104"/>
      <c r="AD145" s="104"/>
      <c r="AE145" s="105"/>
      <c r="AH145" s="106"/>
      <c r="AI145" s="106"/>
      <c r="AK145" s="104"/>
      <c r="AR145" s="104"/>
      <c r="AV145" s="104"/>
      <c r="AX145" s="104"/>
      <c r="BB145" s="104"/>
      <c r="BC145" s="104"/>
      <c r="BE145" s="104"/>
      <c r="BF145" s="119"/>
      <c r="BH145" s="99"/>
      <c r="BI145" s="190" t="s">
        <v>427</v>
      </c>
      <c r="BJ145" s="187" t="s">
        <v>408</v>
      </c>
      <c r="BK145" s="196">
        <v>1.9805999999999999</v>
      </c>
      <c r="BL145" s="187" t="s">
        <v>409</v>
      </c>
      <c r="BM145" s="189">
        <v>6.5890000000000004E-2</v>
      </c>
      <c r="BN145" s="189">
        <v>6.5890000000000004E-2</v>
      </c>
      <c r="BO145" s="188" t="s">
        <v>241</v>
      </c>
      <c r="BP145" s="195">
        <v>3.5700000000000003E-2</v>
      </c>
      <c r="BQ145" s="195">
        <f>BP145/1000</f>
        <v>3.57E-5</v>
      </c>
      <c r="BR145" s="187" t="s">
        <v>410</v>
      </c>
      <c r="BS145" s="189">
        <v>3.0000000000000001E-3</v>
      </c>
      <c r="BT145" s="189">
        <v>0.03</v>
      </c>
      <c r="BU145" s="187" t="s">
        <v>242</v>
      </c>
      <c r="BV145" s="195">
        <v>3.5999999999999999E-3</v>
      </c>
      <c r="BW145" s="195">
        <f>BV145/1000</f>
        <v>3.5999999999999998E-6</v>
      </c>
      <c r="BX145" s="187" t="s">
        <v>515</v>
      </c>
      <c r="BY145" s="189">
        <v>2.9999999999999997E-4</v>
      </c>
      <c r="BZ145" s="189">
        <v>0.03</v>
      </c>
      <c r="CA145" s="187" t="s">
        <v>242</v>
      </c>
      <c r="CB145" s="181">
        <v>3.28</v>
      </c>
      <c r="CC145" s="195">
        <f>CB145/1000</f>
        <v>3.2799999999999999E-3</v>
      </c>
      <c r="CD145" s="187" t="s">
        <v>410</v>
      </c>
      <c r="CE145" s="189">
        <v>0.5</v>
      </c>
      <c r="CF145" s="189">
        <v>15.4</v>
      </c>
      <c r="CG145" s="187" t="s">
        <v>242</v>
      </c>
      <c r="CH145" s="181">
        <v>0.107</v>
      </c>
      <c r="CI145" s="195">
        <f>CH145/1000</f>
        <v>1.07E-4</v>
      </c>
      <c r="CJ145" s="187" t="s">
        <v>515</v>
      </c>
      <c r="CK145" s="189">
        <v>0.01</v>
      </c>
      <c r="CL145" s="189">
        <v>0.77</v>
      </c>
      <c r="CM145" s="187" t="s">
        <v>242</v>
      </c>
      <c r="CN145" s="116"/>
      <c r="CO145" s="100"/>
      <c r="CP145" s="100"/>
      <c r="CQ145" s="100"/>
      <c r="CR145" s="101">
        <v>0.15</v>
      </c>
      <c r="CS145" s="101">
        <v>0.2</v>
      </c>
    </row>
    <row r="146" spans="1:97" s="101" customFormat="1" ht="17.25" hidden="1" thickBot="1" x14ac:dyDescent="0.3">
      <c r="A146" s="99"/>
      <c r="V146" s="103"/>
      <c r="AA146" s="104"/>
      <c r="AB146" s="104"/>
      <c r="AD146" s="104"/>
      <c r="AE146" s="105"/>
      <c r="AH146" s="106"/>
      <c r="AI146" s="106"/>
      <c r="AK146" s="104"/>
      <c r="AR146" s="104"/>
      <c r="AV146" s="104"/>
      <c r="AX146" s="104"/>
      <c r="BB146" s="104"/>
      <c r="BC146" s="104"/>
      <c r="BE146" s="104"/>
      <c r="BF146" s="119"/>
      <c r="BH146" s="99"/>
      <c r="BI146" s="190" t="s">
        <v>4</v>
      </c>
      <c r="BJ146" s="187" t="s">
        <v>408</v>
      </c>
      <c r="BK146" s="196">
        <v>2.1913</v>
      </c>
      <c r="BL146" s="187" t="s">
        <v>409</v>
      </c>
      <c r="BM146" s="189">
        <v>1.15E-3</v>
      </c>
      <c r="BN146" s="189">
        <v>1.15E-3</v>
      </c>
      <c r="BO146" s="188" t="s">
        <v>241</v>
      </c>
      <c r="BP146" s="195">
        <v>3.8699999999999998E-2</v>
      </c>
      <c r="BQ146" s="195">
        <f t="shared" si="101"/>
        <v>3.8699999999999999E-5</v>
      </c>
      <c r="BR146" s="187" t="s">
        <v>410</v>
      </c>
      <c r="BS146" s="189">
        <v>3.0000000000000001E-3</v>
      </c>
      <c r="BT146" s="189">
        <v>0.03</v>
      </c>
      <c r="BU146" s="187" t="s">
        <v>242</v>
      </c>
      <c r="BV146" s="195">
        <v>3.8999999999999998E-3</v>
      </c>
      <c r="BW146" s="195">
        <f t="shared" si="102"/>
        <v>3.8999999999999999E-6</v>
      </c>
      <c r="BX146" s="187" t="s">
        <v>515</v>
      </c>
      <c r="BY146" s="189">
        <v>2.9999999999999997E-4</v>
      </c>
      <c r="BZ146" s="189">
        <v>0.03</v>
      </c>
      <c r="CA146" s="187" t="s">
        <v>242</v>
      </c>
      <c r="CB146" s="181">
        <v>3.5579999999999998</v>
      </c>
      <c r="CC146" s="195">
        <f t="shared" si="103"/>
        <v>3.558E-3</v>
      </c>
      <c r="CD146" s="187" t="s">
        <v>410</v>
      </c>
      <c r="CE146" s="189">
        <v>0.5</v>
      </c>
      <c r="CF146" s="189">
        <v>15.4</v>
      </c>
      <c r="CG146" s="187" t="s">
        <v>242</v>
      </c>
      <c r="CH146" s="181">
        <v>0.11600000000000001</v>
      </c>
      <c r="CI146" s="195">
        <f t="shared" si="104"/>
        <v>1.16E-4</v>
      </c>
      <c r="CJ146" s="187" t="s">
        <v>515</v>
      </c>
      <c r="CK146" s="189">
        <v>0.01</v>
      </c>
      <c r="CL146" s="189">
        <v>0.77</v>
      </c>
      <c r="CM146" s="187" t="s">
        <v>242</v>
      </c>
      <c r="CN146" s="116"/>
      <c r="CO146" s="100">
        <v>0.01</v>
      </c>
      <c r="CP146" s="100">
        <f t="shared" ref="CP146:CP167" si="105">(CO146+CQ146)/2</f>
        <v>0.255</v>
      </c>
      <c r="CQ146" s="100">
        <v>0.5</v>
      </c>
      <c r="CR146" s="101">
        <v>0.15</v>
      </c>
      <c r="CS146" s="101">
        <v>0.2</v>
      </c>
    </row>
    <row r="147" spans="1:97" s="101" customFormat="1" ht="17.25" hidden="1" thickBot="1" x14ac:dyDescent="0.3">
      <c r="A147" s="99"/>
      <c r="V147" s="103"/>
      <c r="AA147" s="104"/>
      <c r="AB147" s="104"/>
      <c r="AD147" s="104"/>
      <c r="AE147" s="105"/>
      <c r="AH147" s="106"/>
      <c r="AI147" s="106"/>
      <c r="AK147" s="104"/>
      <c r="AR147" s="104"/>
      <c r="AV147" s="104"/>
      <c r="AX147" s="104"/>
      <c r="BB147" s="104"/>
      <c r="BC147" s="104"/>
      <c r="BE147" s="104"/>
      <c r="BF147" s="119"/>
      <c r="BH147" s="99"/>
      <c r="BI147" s="190" t="s">
        <v>5</v>
      </c>
      <c r="BJ147" s="187" t="s">
        <v>408</v>
      </c>
      <c r="BK147" s="196">
        <v>1.8396999999999999</v>
      </c>
      <c r="BL147" s="187" t="s">
        <v>409</v>
      </c>
      <c r="BM147" s="189">
        <v>1.16E-3</v>
      </c>
      <c r="BN147" s="189">
        <v>1.16E-3</v>
      </c>
      <c r="BO147" s="188" t="s">
        <v>241</v>
      </c>
      <c r="BP147" s="195">
        <v>3.3500000000000002E-2</v>
      </c>
      <c r="BQ147" s="195">
        <f t="shared" si="101"/>
        <v>3.3500000000000001E-5</v>
      </c>
      <c r="BR147" s="187" t="s">
        <v>410</v>
      </c>
      <c r="BS147" s="189">
        <v>3.0000000000000001E-3</v>
      </c>
      <c r="BT147" s="189">
        <v>0.03</v>
      </c>
      <c r="BU147" s="187" t="s">
        <v>242</v>
      </c>
      <c r="BV147" s="195">
        <v>3.3E-3</v>
      </c>
      <c r="BW147" s="195">
        <f t="shared" si="102"/>
        <v>3.3000000000000002E-6</v>
      </c>
      <c r="BX147" s="187" t="s">
        <v>515</v>
      </c>
      <c r="BY147" s="189">
        <v>2.9999999999999997E-4</v>
      </c>
      <c r="BZ147" s="189">
        <v>0.03</v>
      </c>
      <c r="CA147" s="187" t="s">
        <v>242</v>
      </c>
      <c r="CB147" s="181">
        <v>3.0815000000000001</v>
      </c>
      <c r="CC147" s="195">
        <f t="shared" si="103"/>
        <v>3.0815E-3</v>
      </c>
      <c r="CD147" s="187" t="s">
        <v>410</v>
      </c>
      <c r="CE147" s="189">
        <v>0.5</v>
      </c>
      <c r="CF147" s="189">
        <v>15.4</v>
      </c>
      <c r="CG147" s="187" t="s">
        <v>242</v>
      </c>
      <c r="CH147" s="181">
        <v>0.10050000000000001</v>
      </c>
      <c r="CI147" s="195">
        <f t="shared" si="104"/>
        <v>1.005E-4</v>
      </c>
      <c r="CJ147" s="187" t="s">
        <v>515</v>
      </c>
      <c r="CK147" s="189">
        <v>0.01</v>
      </c>
      <c r="CL147" s="189">
        <v>0.77</v>
      </c>
      <c r="CM147" s="187" t="s">
        <v>242</v>
      </c>
      <c r="CN147" s="116"/>
      <c r="CO147" s="100">
        <v>0.01</v>
      </c>
      <c r="CP147" s="100">
        <f t="shared" si="105"/>
        <v>0.255</v>
      </c>
      <c r="CQ147" s="100">
        <v>0.5</v>
      </c>
      <c r="CR147" s="101">
        <v>0.15</v>
      </c>
      <c r="CS147" s="101">
        <v>0.2</v>
      </c>
    </row>
    <row r="148" spans="1:97" s="101" customFormat="1" ht="17.25" hidden="1" thickBot="1" x14ac:dyDescent="0.3">
      <c r="A148" s="99"/>
      <c r="V148" s="103"/>
      <c r="AA148" s="104"/>
      <c r="AB148" s="104"/>
      <c r="AD148" s="104"/>
      <c r="AE148" s="105"/>
      <c r="AH148" s="106"/>
      <c r="AI148" s="106"/>
      <c r="AK148" s="104"/>
      <c r="AR148" s="104"/>
      <c r="AV148" s="104"/>
      <c r="AX148" s="104"/>
      <c r="BB148" s="104"/>
      <c r="BC148" s="104"/>
      <c r="BE148" s="104"/>
      <c r="BF148" s="119"/>
      <c r="BH148" s="99"/>
      <c r="BI148" s="190" t="s">
        <v>6</v>
      </c>
      <c r="BJ148" s="187" t="s">
        <v>408</v>
      </c>
      <c r="BK148" s="196">
        <v>1.8259000000000001</v>
      </c>
      <c r="BL148" s="187" t="s">
        <v>409</v>
      </c>
      <c r="BM148" s="189">
        <v>7.107999999999999E-2</v>
      </c>
      <c r="BN148" s="189">
        <v>7.107999999999999E-2</v>
      </c>
      <c r="BO148" s="188" t="s">
        <v>241</v>
      </c>
      <c r="BP148" s="195">
        <v>3.3300000000000003E-2</v>
      </c>
      <c r="BQ148" s="195">
        <f t="shared" si="101"/>
        <v>3.3300000000000003E-5</v>
      </c>
      <c r="BR148" s="187" t="s">
        <v>410</v>
      </c>
      <c r="BS148" s="189">
        <v>3.0000000000000001E-3</v>
      </c>
      <c r="BT148" s="189">
        <v>0.03</v>
      </c>
      <c r="BU148" s="187" t="s">
        <v>242</v>
      </c>
      <c r="BV148" s="195">
        <v>3.3E-3</v>
      </c>
      <c r="BW148" s="195">
        <f t="shared" si="102"/>
        <v>3.3000000000000002E-6</v>
      </c>
      <c r="BX148" s="187" t="s">
        <v>515</v>
      </c>
      <c r="BY148" s="189">
        <v>2.9999999999999997E-4</v>
      </c>
      <c r="BZ148" s="189">
        <v>0.03</v>
      </c>
      <c r="CA148" s="187" t="s">
        <v>242</v>
      </c>
      <c r="CB148" s="181">
        <v>3.0607000000000002</v>
      </c>
      <c r="CC148" s="195">
        <f t="shared" si="103"/>
        <v>3.0607000000000004E-3</v>
      </c>
      <c r="CD148" s="187" t="s">
        <v>410</v>
      </c>
      <c r="CE148" s="189">
        <v>0.5</v>
      </c>
      <c r="CF148" s="189">
        <v>15.4</v>
      </c>
      <c r="CG148" s="187" t="s">
        <v>242</v>
      </c>
      <c r="CH148" s="181">
        <v>9.98E-2</v>
      </c>
      <c r="CI148" s="195">
        <f t="shared" si="104"/>
        <v>9.98E-5</v>
      </c>
      <c r="CJ148" s="187" t="s">
        <v>515</v>
      </c>
      <c r="CK148" s="189">
        <v>0.01</v>
      </c>
      <c r="CL148" s="189">
        <v>0.77</v>
      </c>
      <c r="CM148" s="187" t="s">
        <v>242</v>
      </c>
      <c r="CN148" s="116"/>
      <c r="CO148" s="100">
        <v>0.01</v>
      </c>
      <c r="CP148" s="100">
        <f t="shared" si="105"/>
        <v>0.255</v>
      </c>
      <c r="CQ148" s="100">
        <v>0.5</v>
      </c>
      <c r="CR148" s="101">
        <v>0.15</v>
      </c>
      <c r="CS148" s="101">
        <v>0.2</v>
      </c>
    </row>
    <row r="149" spans="1:97" s="101" customFormat="1" ht="17.25" hidden="1" thickBot="1" x14ac:dyDescent="0.3">
      <c r="A149" s="99"/>
      <c r="V149" s="103"/>
      <c r="AA149" s="104"/>
      <c r="AB149" s="104"/>
      <c r="AD149" s="104"/>
      <c r="AE149" s="105"/>
      <c r="AH149" s="106"/>
      <c r="AI149" s="106"/>
      <c r="AK149" s="104"/>
      <c r="AR149" s="104"/>
      <c r="AV149" s="104"/>
      <c r="AX149" s="104"/>
      <c r="BB149" s="104"/>
      <c r="BC149" s="104"/>
      <c r="BE149" s="104"/>
      <c r="BF149" s="119"/>
      <c r="BH149" s="99"/>
      <c r="BI149" s="190" t="s">
        <v>244</v>
      </c>
      <c r="BJ149" s="187" t="s">
        <v>408</v>
      </c>
      <c r="BK149" s="196">
        <v>2.0354999999999999</v>
      </c>
      <c r="BL149" s="187" t="s">
        <v>409</v>
      </c>
      <c r="BM149" s="189">
        <v>6.3630000000000006E-2</v>
      </c>
      <c r="BN149" s="189">
        <v>6.3630000000000006E-2</v>
      </c>
      <c r="BO149" s="188" t="s">
        <v>241</v>
      </c>
      <c r="BP149" s="195">
        <v>3.73E-2</v>
      </c>
      <c r="BQ149" s="195">
        <f t="shared" si="101"/>
        <v>3.7299999999999999E-5</v>
      </c>
      <c r="BR149" s="187" t="s">
        <v>410</v>
      </c>
      <c r="BS149" s="189">
        <v>3.0000000000000001E-3</v>
      </c>
      <c r="BT149" s="189">
        <v>0.03</v>
      </c>
      <c r="BU149" s="187" t="s">
        <v>242</v>
      </c>
      <c r="BV149" s="195">
        <v>3.7000000000000002E-3</v>
      </c>
      <c r="BW149" s="195">
        <f t="shared" si="102"/>
        <v>3.7000000000000002E-6</v>
      </c>
      <c r="BX149" s="187" t="s">
        <v>515</v>
      </c>
      <c r="BY149" s="189">
        <v>2.9999999999999997E-4</v>
      </c>
      <c r="BZ149" s="189">
        <v>0.03</v>
      </c>
      <c r="CA149" s="187" t="s">
        <v>242</v>
      </c>
      <c r="CB149" s="181">
        <v>3.4278</v>
      </c>
      <c r="CC149" s="195">
        <f t="shared" si="103"/>
        <v>3.4277999999999999E-3</v>
      </c>
      <c r="CD149" s="187" t="s">
        <v>410</v>
      </c>
      <c r="CE149" s="189">
        <v>0.5</v>
      </c>
      <c r="CF149" s="189">
        <v>15.4</v>
      </c>
      <c r="CG149" s="187" t="s">
        <v>242</v>
      </c>
      <c r="CH149" s="181">
        <v>0.1118</v>
      </c>
      <c r="CI149" s="195">
        <f t="shared" si="104"/>
        <v>1.1179999999999999E-4</v>
      </c>
      <c r="CJ149" s="187" t="s">
        <v>515</v>
      </c>
      <c r="CK149" s="189">
        <v>0.01</v>
      </c>
      <c r="CL149" s="189">
        <v>0.77</v>
      </c>
      <c r="CM149" s="187" t="s">
        <v>242</v>
      </c>
      <c r="CN149" s="116"/>
      <c r="CO149" s="100">
        <v>0.01</v>
      </c>
      <c r="CP149" s="100">
        <f t="shared" si="105"/>
        <v>0.255</v>
      </c>
      <c r="CQ149" s="100">
        <v>0.5</v>
      </c>
      <c r="CR149" s="101">
        <v>0.15</v>
      </c>
      <c r="CS149" s="101">
        <v>0.2</v>
      </c>
    </row>
    <row r="150" spans="1:97" s="101" customFormat="1" ht="17.25" hidden="1" thickBot="1" x14ac:dyDescent="0.3">
      <c r="A150" s="99"/>
      <c r="V150" s="103"/>
      <c r="AA150" s="104"/>
      <c r="AB150" s="104"/>
      <c r="AD150" s="104"/>
      <c r="AE150" s="105"/>
      <c r="AH150" s="106"/>
      <c r="AI150" s="106"/>
      <c r="AK150" s="104"/>
      <c r="AR150" s="104"/>
      <c r="AV150" s="104"/>
      <c r="AX150" s="104"/>
      <c r="BB150" s="104"/>
      <c r="BC150" s="104"/>
      <c r="BE150" s="104"/>
      <c r="BF150" s="119"/>
      <c r="BH150" s="99"/>
      <c r="BI150" s="190" t="s">
        <v>245</v>
      </c>
      <c r="BJ150" s="187" t="s">
        <v>408</v>
      </c>
      <c r="BK150" s="196">
        <v>1.9775</v>
      </c>
      <c r="BL150" s="187" t="s">
        <v>409</v>
      </c>
      <c r="BM150" s="189">
        <v>3.7130000000000003E-2</v>
      </c>
      <c r="BN150" s="189">
        <v>3.7130000000000003E-2</v>
      </c>
      <c r="BO150" s="188" t="s">
        <v>241</v>
      </c>
      <c r="BP150" s="195">
        <v>3.5400000000000001E-2</v>
      </c>
      <c r="BQ150" s="195">
        <f t="shared" si="101"/>
        <v>3.54E-5</v>
      </c>
      <c r="BR150" s="187" t="s">
        <v>410</v>
      </c>
      <c r="BS150" s="189">
        <v>3.0000000000000001E-3</v>
      </c>
      <c r="BT150" s="189">
        <v>0.03</v>
      </c>
      <c r="BU150" s="187" t="s">
        <v>242</v>
      </c>
      <c r="BV150" s="195">
        <v>3.5000000000000001E-3</v>
      </c>
      <c r="BW150" s="195">
        <f t="shared" si="102"/>
        <v>3.4999999999999999E-6</v>
      </c>
      <c r="BX150" s="187" t="s">
        <v>515</v>
      </c>
      <c r="BY150" s="189">
        <v>2.9999999999999997E-4</v>
      </c>
      <c r="BZ150" s="189">
        <v>0.03</v>
      </c>
      <c r="CA150" s="187" t="s">
        <v>242</v>
      </c>
      <c r="CB150" s="181">
        <v>3.2595000000000001</v>
      </c>
      <c r="CC150" s="195">
        <f t="shared" si="103"/>
        <v>3.2595000000000002E-3</v>
      </c>
      <c r="CD150" s="187" t="s">
        <v>410</v>
      </c>
      <c r="CE150" s="189">
        <v>0.5</v>
      </c>
      <c r="CF150" s="189">
        <v>15.4</v>
      </c>
      <c r="CG150" s="187" t="s">
        <v>242</v>
      </c>
      <c r="CH150" s="181">
        <v>0.10630000000000001</v>
      </c>
      <c r="CI150" s="195">
        <f t="shared" si="104"/>
        <v>1.0630000000000001E-4</v>
      </c>
      <c r="CJ150" s="187" t="s">
        <v>515</v>
      </c>
      <c r="CK150" s="189">
        <v>0.01</v>
      </c>
      <c r="CL150" s="189">
        <v>0.77</v>
      </c>
      <c r="CM150" s="187" t="s">
        <v>242</v>
      </c>
      <c r="CN150" s="116"/>
      <c r="CO150" s="100">
        <v>0.01</v>
      </c>
      <c r="CP150" s="100">
        <f t="shared" si="105"/>
        <v>0.255</v>
      </c>
      <c r="CQ150" s="100">
        <v>0.5</v>
      </c>
      <c r="CR150" s="101">
        <v>0.15</v>
      </c>
      <c r="CS150" s="101">
        <v>0.2</v>
      </c>
    </row>
    <row r="151" spans="1:97" s="101" customFormat="1" ht="17.25" hidden="1" thickBot="1" x14ac:dyDescent="0.3">
      <c r="A151" s="99"/>
      <c r="V151" s="103"/>
      <c r="AA151" s="104"/>
      <c r="AB151" s="104"/>
      <c r="AD151" s="104"/>
      <c r="AE151" s="105"/>
      <c r="AH151" s="106"/>
      <c r="AI151" s="106"/>
      <c r="AK151" s="104"/>
      <c r="AR151" s="104"/>
      <c r="AV151" s="104"/>
      <c r="AX151" s="104"/>
      <c r="BB151" s="104"/>
      <c r="BC151" s="104"/>
      <c r="BE151" s="104"/>
      <c r="BF151" s="119"/>
      <c r="BH151" s="99"/>
      <c r="BI151" s="190" t="s">
        <v>246</v>
      </c>
      <c r="BJ151" s="187" t="s">
        <v>408</v>
      </c>
      <c r="BK151" s="196">
        <v>2.1621000000000001</v>
      </c>
      <c r="BL151" s="187" t="s">
        <v>409</v>
      </c>
      <c r="BM151" s="189">
        <v>3.0299999999999997E-3</v>
      </c>
      <c r="BN151" s="189">
        <v>3.0299999999999997E-3</v>
      </c>
      <c r="BO151" s="188" t="s">
        <v>241</v>
      </c>
      <c r="BP151" s="195">
        <v>3.7900000000000003E-2</v>
      </c>
      <c r="BQ151" s="195">
        <f t="shared" si="101"/>
        <v>3.7900000000000006E-5</v>
      </c>
      <c r="BR151" s="187" t="s">
        <v>410</v>
      </c>
      <c r="BS151" s="189">
        <v>3.0000000000000001E-3</v>
      </c>
      <c r="BT151" s="189">
        <v>0.03</v>
      </c>
      <c r="BU151" s="187" t="s">
        <v>242</v>
      </c>
      <c r="BV151" s="195">
        <v>3.8E-3</v>
      </c>
      <c r="BW151" s="195">
        <f t="shared" si="102"/>
        <v>3.8E-6</v>
      </c>
      <c r="BX151" s="187" t="s">
        <v>515</v>
      </c>
      <c r="BY151" s="189">
        <v>2.9999999999999997E-4</v>
      </c>
      <c r="BZ151" s="189">
        <v>0.03</v>
      </c>
      <c r="CA151" s="187" t="s">
        <v>242</v>
      </c>
      <c r="CB151" s="181">
        <v>3.49</v>
      </c>
      <c r="CC151" s="195">
        <f t="shared" si="103"/>
        <v>3.49E-3</v>
      </c>
      <c r="CD151" s="187" t="s">
        <v>410</v>
      </c>
      <c r="CE151" s="189">
        <v>0.5</v>
      </c>
      <c r="CF151" s="189">
        <v>15.4</v>
      </c>
      <c r="CG151" s="187" t="s">
        <v>242</v>
      </c>
      <c r="CH151" s="181">
        <v>0.1138</v>
      </c>
      <c r="CI151" s="195">
        <f t="shared" si="104"/>
        <v>1.138E-4</v>
      </c>
      <c r="CJ151" s="187" t="s">
        <v>515</v>
      </c>
      <c r="CK151" s="189">
        <v>0.01</v>
      </c>
      <c r="CL151" s="189">
        <v>0.77</v>
      </c>
      <c r="CM151" s="187" t="s">
        <v>242</v>
      </c>
      <c r="CN151" s="116"/>
      <c r="CO151" s="100">
        <v>0.01</v>
      </c>
      <c r="CP151" s="100">
        <f t="shared" si="105"/>
        <v>0.255</v>
      </c>
      <c r="CQ151" s="100">
        <v>0.5</v>
      </c>
      <c r="CR151" s="101">
        <v>0.15</v>
      </c>
      <c r="CS151" s="101">
        <v>0.2</v>
      </c>
    </row>
    <row r="152" spans="1:97" s="101" customFormat="1" ht="17.25" hidden="1" thickBot="1" x14ac:dyDescent="0.3">
      <c r="A152" s="99"/>
      <c r="V152" s="103"/>
      <c r="AA152" s="104"/>
      <c r="AB152" s="104"/>
      <c r="AD152" s="104"/>
      <c r="AE152" s="105"/>
      <c r="AH152" s="106"/>
      <c r="AI152" s="106"/>
      <c r="AK152" s="104"/>
      <c r="AR152" s="104"/>
      <c r="AV152" s="104"/>
      <c r="AX152" s="104"/>
      <c r="BB152" s="104"/>
      <c r="BC152" s="104"/>
      <c r="BE152" s="104"/>
      <c r="BF152" s="119"/>
      <c r="BH152" s="99"/>
      <c r="BI152" s="190" t="s">
        <v>247</v>
      </c>
      <c r="BJ152" s="187" t="s">
        <v>408</v>
      </c>
      <c r="BK152" s="196">
        <v>1.8321000000000001</v>
      </c>
      <c r="BL152" s="187" t="s">
        <v>409</v>
      </c>
      <c r="BM152" s="189">
        <v>7.0720000000000005E-2</v>
      </c>
      <c r="BN152" s="189">
        <v>7.0720000000000005E-2</v>
      </c>
      <c r="BO152" s="188" t="s">
        <v>241</v>
      </c>
      <c r="BP152" s="195">
        <v>3.3500000000000002E-2</v>
      </c>
      <c r="BQ152" s="195">
        <f t="shared" si="101"/>
        <v>3.3500000000000001E-5</v>
      </c>
      <c r="BR152" s="187" t="s">
        <v>410</v>
      </c>
      <c r="BS152" s="189">
        <v>3.0000000000000001E-3</v>
      </c>
      <c r="BT152" s="189">
        <v>0.03</v>
      </c>
      <c r="BU152" s="187" t="s">
        <v>242</v>
      </c>
      <c r="BV152" s="195">
        <v>3.3999999999999998E-3</v>
      </c>
      <c r="BW152" s="195">
        <f t="shared" si="102"/>
        <v>3.3999999999999996E-6</v>
      </c>
      <c r="BX152" s="187" t="s">
        <v>515</v>
      </c>
      <c r="BY152" s="189">
        <v>2.9999999999999997E-4</v>
      </c>
      <c r="BZ152" s="189">
        <v>0.03</v>
      </c>
      <c r="CA152" s="187" t="s">
        <v>242</v>
      </c>
      <c r="CB152" s="181">
        <v>3.0825</v>
      </c>
      <c r="CC152" s="195">
        <f t="shared" si="103"/>
        <v>3.0825000000000002E-3</v>
      </c>
      <c r="CD152" s="187" t="s">
        <v>410</v>
      </c>
      <c r="CE152" s="189">
        <v>0.5</v>
      </c>
      <c r="CF152" s="189">
        <v>15.4</v>
      </c>
      <c r="CG152" s="187" t="s">
        <v>242</v>
      </c>
      <c r="CH152" s="181">
        <v>0.10050000000000001</v>
      </c>
      <c r="CI152" s="195">
        <f t="shared" si="104"/>
        <v>1.005E-4</v>
      </c>
      <c r="CJ152" s="187" t="s">
        <v>515</v>
      </c>
      <c r="CK152" s="189">
        <v>0.01</v>
      </c>
      <c r="CL152" s="189">
        <v>0.77</v>
      </c>
      <c r="CM152" s="187" t="s">
        <v>242</v>
      </c>
      <c r="CN152" s="116"/>
      <c r="CO152" s="100">
        <v>0.01</v>
      </c>
      <c r="CP152" s="100">
        <f t="shared" si="105"/>
        <v>0.255</v>
      </c>
      <c r="CQ152" s="100">
        <v>0.5</v>
      </c>
      <c r="CR152" s="101">
        <v>0.15</v>
      </c>
      <c r="CS152" s="101">
        <v>0.2</v>
      </c>
    </row>
    <row r="153" spans="1:97" s="101" customFormat="1" ht="17.25" hidden="1" thickBot="1" x14ac:dyDescent="0.3">
      <c r="A153" s="99"/>
      <c r="V153" s="103"/>
      <c r="AA153" s="104"/>
      <c r="AB153" s="104"/>
      <c r="AD153" s="104"/>
      <c r="AE153" s="105"/>
      <c r="AH153" s="106"/>
      <c r="AI153" s="106"/>
      <c r="AK153" s="104"/>
      <c r="AR153" s="104"/>
      <c r="AV153" s="104"/>
      <c r="AX153" s="104"/>
      <c r="BB153" s="104"/>
      <c r="BC153" s="104"/>
      <c r="BE153" s="104"/>
      <c r="BF153" s="119"/>
      <c r="BH153" s="99"/>
      <c r="BI153" s="190" t="s">
        <v>275</v>
      </c>
      <c r="BJ153" s="187" t="s">
        <v>408</v>
      </c>
      <c r="BK153" s="196">
        <v>4.6929999999999996</v>
      </c>
      <c r="BL153" s="187" t="s">
        <v>409</v>
      </c>
      <c r="BM153" s="189">
        <v>2.6000000000000002E-2</v>
      </c>
      <c r="BN153" s="189">
        <v>2.6000000000000002E-2</v>
      </c>
      <c r="BO153" s="188" t="s">
        <v>241</v>
      </c>
      <c r="BP153" s="195">
        <v>9.9199999999999997E-2</v>
      </c>
      <c r="BQ153" s="195">
        <f t="shared" si="101"/>
        <v>9.9199999999999999E-5</v>
      </c>
      <c r="BR153" s="187" t="s">
        <v>410</v>
      </c>
      <c r="BS153" s="189">
        <v>3.0000000000000001E-3</v>
      </c>
      <c r="BT153" s="189">
        <v>0.03</v>
      </c>
      <c r="BU153" s="187" t="s">
        <v>242</v>
      </c>
      <c r="BV153" s="195">
        <v>9.9000000000000008E-3</v>
      </c>
      <c r="BW153" s="195">
        <f t="shared" si="102"/>
        <v>9.9000000000000001E-6</v>
      </c>
      <c r="BX153" s="187" t="s">
        <v>515</v>
      </c>
      <c r="BY153" s="189">
        <v>2.9999999999999997E-4</v>
      </c>
      <c r="BZ153" s="189">
        <v>0.03</v>
      </c>
      <c r="CA153" s="187" t="s">
        <v>242</v>
      </c>
      <c r="CB153" s="181">
        <v>6.1513</v>
      </c>
      <c r="CC153" s="195">
        <f t="shared" si="103"/>
        <v>6.1513000000000002E-3</v>
      </c>
      <c r="CD153" s="187" t="s">
        <v>410</v>
      </c>
      <c r="CE153" s="189">
        <v>0</v>
      </c>
      <c r="CF153" s="189">
        <v>0</v>
      </c>
      <c r="CG153" s="187" t="s">
        <v>242</v>
      </c>
      <c r="CH153" s="181">
        <v>1.9800000000000002E-2</v>
      </c>
      <c r="CI153" s="195">
        <f t="shared" si="104"/>
        <v>1.98E-5</v>
      </c>
      <c r="CJ153" s="187" t="s">
        <v>515</v>
      </c>
      <c r="CK153" s="189">
        <v>0</v>
      </c>
      <c r="CL153" s="189">
        <v>0</v>
      </c>
      <c r="CM153" s="187" t="s">
        <v>242</v>
      </c>
      <c r="CN153" s="116"/>
      <c r="CO153" s="100">
        <v>0.01</v>
      </c>
      <c r="CP153" s="100">
        <f t="shared" si="105"/>
        <v>0.255</v>
      </c>
      <c r="CQ153" s="100">
        <v>0.5</v>
      </c>
      <c r="CR153" s="101">
        <v>0.15</v>
      </c>
      <c r="CS153" s="101">
        <v>0.2</v>
      </c>
    </row>
    <row r="154" spans="1:97" s="101" customFormat="1" ht="17.25" hidden="1" thickBot="1" x14ac:dyDescent="0.3">
      <c r="A154" s="99"/>
      <c r="V154" s="103"/>
      <c r="AA154" s="104"/>
      <c r="AB154" s="104"/>
      <c r="AD154" s="104"/>
      <c r="AE154" s="105"/>
      <c r="AH154" s="106"/>
      <c r="AI154" s="106"/>
      <c r="AK154" s="104"/>
      <c r="AR154" s="104"/>
      <c r="AV154" s="104"/>
      <c r="AX154" s="104"/>
      <c r="BB154" s="104"/>
      <c r="BC154" s="104"/>
      <c r="BE154" s="104"/>
      <c r="BF154" s="119"/>
      <c r="BH154" s="99"/>
      <c r="BI154" s="190" t="s">
        <v>7</v>
      </c>
      <c r="BJ154" s="187" t="s">
        <v>408</v>
      </c>
      <c r="BK154" s="196">
        <v>5.5792000000000002</v>
      </c>
      <c r="BL154" s="187" t="s">
        <v>409</v>
      </c>
      <c r="BM154" s="189">
        <v>2.5219999999999999E-2</v>
      </c>
      <c r="BN154" s="189">
        <v>2.5219999999999999E-2</v>
      </c>
      <c r="BO154" s="188" t="s">
        <v>241</v>
      </c>
      <c r="BP154" s="195">
        <v>8.6300000000000002E-2</v>
      </c>
      <c r="BQ154" s="195">
        <f t="shared" si="101"/>
        <v>8.6299999999999997E-5</v>
      </c>
      <c r="BR154" s="187" t="s">
        <v>410</v>
      </c>
      <c r="BS154" s="189">
        <v>3.0000000000000001E-3</v>
      </c>
      <c r="BT154" s="189">
        <v>0.03</v>
      </c>
      <c r="BU154" s="187" t="s">
        <v>242</v>
      </c>
      <c r="BV154" s="195">
        <v>8.6E-3</v>
      </c>
      <c r="BW154" s="195">
        <f t="shared" si="102"/>
        <v>8.6000000000000007E-6</v>
      </c>
      <c r="BX154" s="187" t="s">
        <v>515</v>
      </c>
      <c r="BY154" s="189">
        <v>2.9999999999999997E-4</v>
      </c>
      <c r="BZ154" s="189">
        <v>0.03</v>
      </c>
      <c r="CA154" s="187" t="s">
        <v>242</v>
      </c>
      <c r="CB154" s="181">
        <v>5.3475999999999999</v>
      </c>
      <c r="CC154" s="195">
        <f t="shared" si="103"/>
        <v>5.3476000000000001E-3</v>
      </c>
      <c r="CD154" s="187" t="s">
        <v>410</v>
      </c>
      <c r="CE154" s="189">
        <v>0</v>
      </c>
      <c r="CF154" s="189">
        <v>0</v>
      </c>
      <c r="CG154" s="187" t="s">
        <v>242</v>
      </c>
      <c r="CH154" s="181">
        <v>1.7299999999999999E-2</v>
      </c>
      <c r="CI154" s="195">
        <f t="shared" si="104"/>
        <v>1.73E-5</v>
      </c>
      <c r="CJ154" s="187" t="s">
        <v>515</v>
      </c>
      <c r="CK154" s="189">
        <v>0</v>
      </c>
      <c r="CL154" s="189">
        <v>0</v>
      </c>
      <c r="CM154" s="187" t="s">
        <v>242</v>
      </c>
      <c r="CN154" s="116"/>
      <c r="CO154" s="100">
        <v>0.01</v>
      </c>
      <c r="CP154" s="100">
        <f t="shared" si="105"/>
        <v>0.255</v>
      </c>
      <c r="CQ154" s="100">
        <v>0.5</v>
      </c>
      <c r="CR154" s="101">
        <v>0.15</v>
      </c>
      <c r="CS154" s="101">
        <v>0.2</v>
      </c>
    </row>
    <row r="155" spans="1:97" s="101" customFormat="1" ht="17.25" hidden="1" thickBot="1" x14ac:dyDescent="0.3">
      <c r="A155" s="99"/>
      <c r="V155" s="103"/>
      <c r="AA155" s="104"/>
      <c r="AB155" s="104"/>
      <c r="AD155" s="104"/>
      <c r="AE155" s="105"/>
      <c r="AH155" s="106"/>
      <c r="AI155" s="106"/>
      <c r="AK155" s="104"/>
      <c r="AR155" s="104"/>
      <c r="AV155" s="104"/>
      <c r="AX155" s="104"/>
      <c r="BB155" s="104"/>
      <c r="BC155" s="104"/>
      <c r="BE155" s="104"/>
      <c r="BF155" s="119"/>
      <c r="BH155" s="99"/>
      <c r="BI155" s="190" t="s">
        <v>248</v>
      </c>
      <c r="BJ155" s="187" t="s">
        <v>408</v>
      </c>
      <c r="BK155" s="196">
        <v>2.2818000000000001</v>
      </c>
      <c r="BL155" s="187" t="s">
        <v>409</v>
      </c>
      <c r="BM155" s="189">
        <v>2.8499999999999997E-3</v>
      </c>
      <c r="BN155" s="189">
        <v>2.8499999999999997E-3</v>
      </c>
      <c r="BO155" s="188" t="s">
        <v>241</v>
      </c>
      <c r="BP155" s="195">
        <v>4.0599999999999997E-2</v>
      </c>
      <c r="BQ155" s="195">
        <f t="shared" si="101"/>
        <v>4.0599999999999998E-5</v>
      </c>
      <c r="BR155" s="187" t="s">
        <v>410</v>
      </c>
      <c r="BS155" s="189">
        <v>3.0000000000000001E-3</v>
      </c>
      <c r="BT155" s="189">
        <v>0.03</v>
      </c>
      <c r="BU155" s="187" t="s">
        <v>242</v>
      </c>
      <c r="BV155" s="195">
        <v>4.1000000000000003E-3</v>
      </c>
      <c r="BW155" s="195">
        <f t="shared" si="102"/>
        <v>4.1000000000000006E-6</v>
      </c>
      <c r="BX155" s="187" t="s">
        <v>515</v>
      </c>
      <c r="BY155" s="189">
        <v>2.9999999999999997E-4</v>
      </c>
      <c r="BZ155" s="189">
        <v>0.03</v>
      </c>
      <c r="CA155" s="187" t="s">
        <v>242</v>
      </c>
      <c r="CB155" s="181">
        <v>0</v>
      </c>
      <c r="CC155" s="195">
        <f t="shared" si="103"/>
        <v>0</v>
      </c>
      <c r="CD155" s="187" t="s">
        <v>410</v>
      </c>
      <c r="CE155" s="189">
        <v>0</v>
      </c>
      <c r="CF155" s="189">
        <v>0</v>
      </c>
      <c r="CG155" s="187" t="s">
        <v>242</v>
      </c>
      <c r="CH155" s="181">
        <v>0</v>
      </c>
      <c r="CI155" s="195">
        <f t="shared" si="104"/>
        <v>0</v>
      </c>
      <c r="CJ155" s="187" t="s">
        <v>515</v>
      </c>
      <c r="CK155" s="189">
        <v>0</v>
      </c>
      <c r="CL155" s="189">
        <v>0</v>
      </c>
      <c r="CM155" s="187" t="s">
        <v>242</v>
      </c>
      <c r="CN155" s="116"/>
      <c r="CO155" s="100">
        <v>0.01</v>
      </c>
      <c r="CP155" s="100">
        <f t="shared" si="105"/>
        <v>0.255</v>
      </c>
      <c r="CQ155" s="100">
        <v>0.5</v>
      </c>
      <c r="CR155" s="101">
        <v>0.15</v>
      </c>
      <c r="CS155" s="101">
        <v>0.2</v>
      </c>
    </row>
    <row r="156" spans="1:97" s="101" customFormat="1" ht="17.25" hidden="1" thickBot="1" x14ac:dyDescent="0.3">
      <c r="A156" s="99"/>
      <c r="V156" s="103"/>
      <c r="AA156" s="104"/>
      <c r="AB156" s="104"/>
      <c r="AD156" s="104"/>
      <c r="AE156" s="105"/>
      <c r="AH156" s="106"/>
      <c r="AI156" s="106"/>
      <c r="AK156" s="104"/>
      <c r="AR156" s="104"/>
      <c r="AV156" s="104"/>
      <c r="AX156" s="104"/>
      <c r="BB156" s="104"/>
      <c r="BC156" s="104"/>
      <c r="BE156" s="104"/>
      <c r="BF156" s="119"/>
      <c r="BH156" s="99"/>
      <c r="BI156" s="190" t="s">
        <v>369</v>
      </c>
      <c r="BJ156" s="187" t="s">
        <v>408</v>
      </c>
      <c r="BK156" s="196">
        <v>1.9420999999999999</v>
      </c>
      <c r="BL156" s="187" t="s">
        <v>409</v>
      </c>
      <c r="BM156" s="189">
        <v>0.10070999999999999</v>
      </c>
      <c r="BN156" s="189">
        <v>0.10070999999999999</v>
      </c>
      <c r="BO156" s="188" t="s">
        <v>241</v>
      </c>
      <c r="BP156" s="195">
        <v>3.5499999999999997E-2</v>
      </c>
      <c r="BQ156" s="195">
        <f t="shared" si="101"/>
        <v>3.5499999999999996E-5</v>
      </c>
      <c r="BR156" s="187" t="s">
        <v>410</v>
      </c>
      <c r="BS156" s="189">
        <v>3.0000000000000001E-3</v>
      </c>
      <c r="BT156" s="189">
        <v>0.03</v>
      </c>
      <c r="BU156" s="187" t="s">
        <v>242</v>
      </c>
      <c r="BV156" s="195">
        <v>3.5999999999999999E-3</v>
      </c>
      <c r="BW156" s="195">
        <f t="shared" si="102"/>
        <v>3.5999999999999998E-6</v>
      </c>
      <c r="BX156" s="187" t="s">
        <v>515</v>
      </c>
      <c r="BY156" s="189">
        <v>2.9999999999999997E-4</v>
      </c>
      <c r="BZ156" s="189">
        <v>0.03</v>
      </c>
      <c r="CA156" s="187" t="s">
        <v>242</v>
      </c>
      <c r="CB156" s="181">
        <v>3.2690000000000001</v>
      </c>
      <c r="CC156" s="195">
        <f t="shared" si="103"/>
        <v>3.2690000000000002E-3</v>
      </c>
      <c r="CD156" s="187" t="s">
        <v>410</v>
      </c>
      <c r="CE156" s="189">
        <v>0.5</v>
      </c>
      <c r="CF156" s="189">
        <v>15.4</v>
      </c>
      <c r="CG156" s="187" t="s">
        <v>242</v>
      </c>
      <c r="CH156" s="181">
        <v>0.1066</v>
      </c>
      <c r="CI156" s="195">
        <f t="shared" si="104"/>
        <v>1.066E-4</v>
      </c>
      <c r="CJ156" s="187" t="s">
        <v>515</v>
      </c>
      <c r="CK156" s="189">
        <v>0.01</v>
      </c>
      <c r="CL156" s="189">
        <v>0.77</v>
      </c>
      <c r="CM156" s="187" t="s">
        <v>242</v>
      </c>
      <c r="CN156" s="116"/>
      <c r="CO156" s="100">
        <v>0.01</v>
      </c>
      <c r="CP156" s="100">
        <f t="shared" si="105"/>
        <v>0.255</v>
      </c>
      <c r="CQ156" s="100">
        <v>0.5</v>
      </c>
      <c r="CR156" s="101">
        <v>0.15</v>
      </c>
      <c r="CS156" s="101">
        <v>0.2</v>
      </c>
    </row>
    <row r="157" spans="1:97" s="101" customFormat="1" ht="17.25" hidden="1" thickBot="1" x14ac:dyDescent="0.3">
      <c r="A157" s="99"/>
      <c r="V157" s="103"/>
      <c r="AA157" s="104"/>
      <c r="AB157" s="104"/>
      <c r="AD157" s="104"/>
      <c r="AE157" s="105"/>
      <c r="AH157" s="106"/>
      <c r="AI157" s="106"/>
      <c r="AK157" s="104"/>
      <c r="AR157" s="104"/>
      <c r="AV157" s="104"/>
      <c r="AX157" s="104"/>
      <c r="BB157" s="104"/>
      <c r="BC157" s="104"/>
      <c r="BE157" s="104"/>
      <c r="BF157" s="119"/>
      <c r="BH157" s="99"/>
      <c r="BI157" s="190" t="s">
        <v>370</v>
      </c>
      <c r="BJ157" s="187" t="s">
        <v>408</v>
      </c>
      <c r="BK157" s="196">
        <v>2.101</v>
      </c>
      <c r="BL157" s="187" t="s">
        <v>409</v>
      </c>
      <c r="BM157" s="189">
        <v>6.6460000000000005E-2</v>
      </c>
      <c r="BN157" s="189">
        <v>6.6460000000000005E-2</v>
      </c>
      <c r="BO157" s="188" t="s">
        <v>241</v>
      </c>
      <c r="BP157" s="195">
        <v>3.73E-2</v>
      </c>
      <c r="BQ157" s="195">
        <f t="shared" si="101"/>
        <v>3.7299999999999999E-5</v>
      </c>
      <c r="BR157" s="187" t="s">
        <v>410</v>
      </c>
      <c r="BS157" s="189">
        <v>3.0000000000000001E-3</v>
      </c>
      <c r="BT157" s="189">
        <v>0.03</v>
      </c>
      <c r="BU157" s="187" t="s">
        <v>242</v>
      </c>
      <c r="BV157" s="195">
        <v>3.7000000000000002E-3</v>
      </c>
      <c r="BW157" s="195">
        <f t="shared" si="102"/>
        <v>3.7000000000000002E-6</v>
      </c>
      <c r="BX157" s="187" t="s">
        <v>515</v>
      </c>
      <c r="BY157" s="189">
        <v>2.9999999999999997E-4</v>
      </c>
      <c r="BZ157" s="189">
        <v>0.03</v>
      </c>
      <c r="CA157" s="187" t="s">
        <v>242</v>
      </c>
      <c r="CB157" s="181">
        <v>3.4272999999999998</v>
      </c>
      <c r="CC157" s="195">
        <f t="shared" si="103"/>
        <v>3.4272999999999999E-3</v>
      </c>
      <c r="CD157" s="187" t="s">
        <v>410</v>
      </c>
      <c r="CE157" s="189">
        <v>0.5</v>
      </c>
      <c r="CF157" s="189">
        <v>15.4</v>
      </c>
      <c r="CG157" s="187" t="s">
        <v>242</v>
      </c>
      <c r="CH157" s="181">
        <v>0.1118</v>
      </c>
      <c r="CI157" s="195">
        <f t="shared" si="104"/>
        <v>1.1179999999999999E-4</v>
      </c>
      <c r="CJ157" s="187" t="s">
        <v>515</v>
      </c>
      <c r="CK157" s="189">
        <v>0.01</v>
      </c>
      <c r="CL157" s="189">
        <v>0.77</v>
      </c>
      <c r="CM157" s="187" t="s">
        <v>242</v>
      </c>
      <c r="CN157" s="116"/>
      <c r="CO157" s="100">
        <v>0.01</v>
      </c>
      <c r="CP157" s="100">
        <f t="shared" si="105"/>
        <v>0.255</v>
      </c>
      <c r="CQ157" s="100">
        <v>0.5</v>
      </c>
      <c r="CR157" s="101">
        <v>0.15</v>
      </c>
      <c r="CS157" s="101">
        <v>0.2</v>
      </c>
    </row>
    <row r="158" spans="1:97" s="101" customFormat="1" ht="17.25" hidden="1" thickBot="1" x14ac:dyDescent="0.3">
      <c r="A158" s="99"/>
      <c r="V158" s="103"/>
      <c r="AA158" s="104"/>
      <c r="AB158" s="104"/>
      <c r="AD158" s="104"/>
      <c r="AE158" s="105"/>
      <c r="AH158" s="106"/>
      <c r="AI158" s="106"/>
      <c r="AK158" s="104"/>
      <c r="AR158" s="104"/>
      <c r="AV158" s="104"/>
      <c r="AX158" s="104"/>
      <c r="BB158" s="104"/>
      <c r="BC158" s="104"/>
      <c r="BE158" s="104"/>
      <c r="BF158" s="119"/>
      <c r="BH158" s="99"/>
      <c r="BI158" s="190" t="s">
        <v>371</v>
      </c>
      <c r="BJ158" s="187" t="s">
        <v>408</v>
      </c>
      <c r="BK158" s="196">
        <v>2.1795</v>
      </c>
      <c r="BL158" s="187" t="s">
        <v>409</v>
      </c>
      <c r="BM158" s="189">
        <v>4.79E-3</v>
      </c>
      <c r="BN158" s="189">
        <v>4.79E-3</v>
      </c>
      <c r="BO158" s="188" t="s">
        <v>241</v>
      </c>
      <c r="BP158" s="195">
        <v>3.85E-2</v>
      </c>
      <c r="BQ158" s="195">
        <f>BP158/1000</f>
        <v>3.8500000000000001E-5</v>
      </c>
      <c r="BR158" s="187" t="s">
        <v>410</v>
      </c>
      <c r="BS158" s="189">
        <v>3.0000000000000001E-3</v>
      </c>
      <c r="BT158" s="189">
        <v>0.03</v>
      </c>
      <c r="BU158" s="187" t="s">
        <v>242</v>
      </c>
      <c r="BV158" s="195">
        <v>3.8E-3</v>
      </c>
      <c r="BW158" s="195">
        <f>BV158/1000</f>
        <v>3.8E-6</v>
      </c>
      <c r="BX158" s="187" t="s">
        <v>515</v>
      </c>
      <c r="BY158" s="189">
        <v>2.9999999999999997E-4</v>
      </c>
      <c r="BZ158" s="189">
        <v>0.03</v>
      </c>
      <c r="CA158" s="187" t="s">
        <v>242</v>
      </c>
      <c r="CB158" s="181">
        <v>3.5390999999999999</v>
      </c>
      <c r="CC158" s="195">
        <f>CB158/1000</f>
        <v>3.5390999999999999E-3</v>
      </c>
      <c r="CD158" s="187" t="s">
        <v>410</v>
      </c>
      <c r="CE158" s="189">
        <v>0.5</v>
      </c>
      <c r="CF158" s="189">
        <v>15.4</v>
      </c>
      <c r="CG158" s="187" t="s">
        <v>242</v>
      </c>
      <c r="CH158" s="181">
        <v>0.1154</v>
      </c>
      <c r="CI158" s="195">
        <f>CH158/1000</f>
        <v>1.154E-4</v>
      </c>
      <c r="CJ158" s="187" t="s">
        <v>515</v>
      </c>
      <c r="CK158" s="189">
        <v>0.01</v>
      </c>
      <c r="CL158" s="189">
        <v>0.77</v>
      </c>
      <c r="CM158" s="187" t="s">
        <v>242</v>
      </c>
      <c r="CN158" s="116"/>
      <c r="CO158" s="100">
        <v>0.01</v>
      </c>
      <c r="CP158" s="100">
        <f t="shared" si="105"/>
        <v>0.255</v>
      </c>
      <c r="CQ158" s="100">
        <v>0.5</v>
      </c>
      <c r="CR158" s="101">
        <v>0.15</v>
      </c>
      <c r="CS158" s="101">
        <v>0.2</v>
      </c>
    </row>
    <row r="159" spans="1:97" s="101" customFormat="1" ht="16.5" hidden="1" customHeight="1" x14ac:dyDescent="0.25">
      <c r="A159" s="99"/>
      <c r="V159" s="103"/>
      <c r="AA159" s="104"/>
      <c r="AB159" s="104"/>
      <c r="AD159" s="104"/>
      <c r="AE159" s="105"/>
      <c r="AH159" s="106"/>
      <c r="AI159" s="106"/>
      <c r="AK159" s="104"/>
      <c r="AR159" s="104"/>
      <c r="AV159" s="104"/>
      <c r="AX159" s="104"/>
      <c r="BB159" s="104"/>
      <c r="BC159" s="104"/>
      <c r="BE159" s="104"/>
      <c r="BF159" s="119"/>
      <c r="BH159" s="99"/>
      <c r="BI159" s="190" t="s">
        <v>356</v>
      </c>
      <c r="BJ159" s="181" t="s">
        <v>49</v>
      </c>
      <c r="BK159" s="196">
        <f>(3.13757879682717*99.5%)</f>
        <v>3.1218909028430342</v>
      </c>
      <c r="BL159" s="196" t="s">
        <v>423</v>
      </c>
      <c r="BM159" s="189">
        <v>0.02</v>
      </c>
      <c r="BN159" s="189">
        <v>0.5</v>
      </c>
      <c r="BO159" s="188" t="s">
        <v>382</v>
      </c>
      <c r="BP159" s="195">
        <v>0</v>
      </c>
      <c r="BQ159" s="195">
        <f>BP159/1000</f>
        <v>0</v>
      </c>
      <c r="BR159" s="187" t="s">
        <v>410</v>
      </c>
      <c r="BS159" s="189">
        <v>0</v>
      </c>
      <c r="BT159" s="189">
        <v>0</v>
      </c>
      <c r="BU159" s="187"/>
      <c r="BV159" s="195">
        <v>0</v>
      </c>
      <c r="BW159" s="195">
        <f>BV159/1000</f>
        <v>0</v>
      </c>
      <c r="BX159" s="187" t="s">
        <v>515</v>
      </c>
      <c r="BY159" s="189">
        <v>0</v>
      </c>
      <c r="BZ159" s="189">
        <v>0</v>
      </c>
      <c r="CA159" s="187"/>
      <c r="CB159" s="181">
        <v>0</v>
      </c>
      <c r="CC159" s="195">
        <f>CB159/1000</f>
        <v>0</v>
      </c>
      <c r="CD159" s="187" t="s">
        <v>410</v>
      </c>
      <c r="CE159" s="189">
        <v>0</v>
      </c>
      <c r="CF159" s="189">
        <v>0</v>
      </c>
      <c r="CG159" s="187"/>
      <c r="CH159" s="181">
        <v>0</v>
      </c>
      <c r="CI159" s="195">
        <f>CH159/1000</f>
        <v>0</v>
      </c>
      <c r="CJ159" s="187" t="s">
        <v>515</v>
      </c>
      <c r="CK159" s="189">
        <v>0</v>
      </c>
      <c r="CL159" s="189">
        <v>0</v>
      </c>
      <c r="CM159" s="187"/>
      <c r="CN159" s="116"/>
      <c r="CO159" s="100">
        <v>0.01</v>
      </c>
      <c r="CP159" s="100">
        <f t="shared" si="105"/>
        <v>0.255</v>
      </c>
      <c r="CQ159" s="100">
        <v>0.5</v>
      </c>
      <c r="CR159" s="101">
        <v>0.15</v>
      </c>
      <c r="CS159" s="101">
        <v>0.2</v>
      </c>
    </row>
    <row r="160" spans="1:97" s="101" customFormat="1" ht="17.25" hidden="1" thickBot="1" x14ac:dyDescent="0.3">
      <c r="A160" s="99"/>
      <c r="V160" s="103"/>
      <c r="AA160" s="104"/>
      <c r="AB160" s="104"/>
      <c r="AD160" s="104"/>
      <c r="AE160" s="105"/>
      <c r="AH160" s="106"/>
      <c r="AI160" s="106"/>
      <c r="AK160" s="104"/>
      <c r="AR160" s="104"/>
      <c r="AV160" s="104"/>
      <c r="AX160" s="104"/>
      <c r="BB160" s="104"/>
      <c r="BC160" s="104"/>
      <c r="BE160" s="104"/>
      <c r="BF160" s="119"/>
      <c r="BH160" s="99"/>
      <c r="BI160" s="190" t="s">
        <v>349</v>
      </c>
      <c r="BJ160" s="187" t="s">
        <v>49</v>
      </c>
      <c r="BK160" s="196">
        <v>3.38</v>
      </c>
      <c r="BL160" s="187" t="s">
        <v>404</v>
      </c>
      <c r="BM160" s="189">
        <v>0.1</v>
      </c>
      <c r="BN160" s="189">
        <v>0.2</v>
      </c>
      <c r="BO160" s="188" t="s">
        <v>494</v>
      </c>
      <c r="BP160" s="195">
        <v>0</v>
      </c>
      <c r="BQ160" s="195">
        <f t="shared" si="101"/>
        <v>0</v>
      </c>
      <c r="BR160" s="187" t="s">
        <v>410</v>
      </c>
      <c r="BS160" s="189">
        <v>0</v>
      </c>
      <c r="BT160" s="189">
        <v>0</v>
      </c>
      <c r="BU160" s="187"/>
      <c r="BV160" s="195">
        <v>0</v>
      </c>
      <c r="BW160" s="195">
        <f t="shared" si="102"/>
        <v>0</v>
      </c>
      <c r="BX160" s="187" t="s">
        <v>515</v>
      </c>
      <c r="BY160" s="189">
        <v>0</v>
      </c>
      <c r="BZ160" s="189">
        <v>0</v>
      </c>
      <c r="CA160" s="187"/>
      <c r="CB160" s="181">
        <v>0</v>
      </c>
      <c r="CC160" s="195">
        <f t="shared" si="103"/>
        <v>0</v>
      </c>
      <c r="CD160" s="187" t="s">
        <v>410</v>
      </c>
      <c r="CE160" s="189">
        <v>0</v>
      </c>
      <c r="CF160" s="189">
        <v>0</v>
      </c>
      <c r="CG160" s="187"/>
      <c r="CH160" s="181">
        <v>0</v>
      </c>
      <c r="CI160" s="195">
        <f t="shared" si="104"/>
        <v>0</v>
      </c>
      <c r="CJ160" s="187" t="s">
        <v>515</v>
      </c>
      <c r="CK160" s="189">
        <v>0</v>
      </c>
      <c r="CL160" s="189">
        <v>0</v>
      </c>
      <c r="CM160" s="187"/>
      <c r="CN160" s="116"/>
      <c r="CO160" s="100">
        <v>0.01</v>
      </c>
      <c r="CP160" s="100">
        <f t="shared" si="105"/>
        <v>0.255</v>
      </c>
      <c r="CQ160" s="100">
        <v>0.5</v>
      </c>
      <c r="CR160" s="101">
        <v>0.15</v>
      </c>
      <c r="CS160" s="101">
        <v>0.2</v>
      </c>
    </row>
    <row r="161" spans="1:97" s="101" customFormat="1" hidden="1" x14ac:dyDescent="0.25">
      <c r="A161" s="99"/>
      <c r="V161" s="103"/>
      <c r="AA161" s="104"/>
      <c r="AB161" s="104"/>
      <c r="AD161" s="104"/>
      <c r="AE161" s="105"/>
      <c r="AH161" s="106"/>
      <c r="AI161" s="106"/>
      <c r="AK161" s="104"/>
      <c r="AR161" s="104"/>
      <c r="AV161" s="104"/>
      <c r="AX161" s="104"/>
      <c r="BB161" s="104"/>
      <c r="BC161" s="104"/>
      <c r="BE161" s="104"/>
      <c r="BH161" s="99"/>
      <c r="BI161" s="102"/>
      <c r="BJ161" s="178"/>
      <c r="BK161" s="178"/>
      <c r="BL161" s="178"/>
      <c r="BM161" s="169"/>
      <c r="BN161" s="169"/>
      <c r="BO161" s="169"/>
      <c r="BP161" s="192"/>
      <c r="BQ161" s="192"/>
      <c r="BR161" s="192"/>
      <c r="BS161" s="192"/>
      <c r="BT161" s="192"/>
      <c r="BU161" s="192"/>
      <c r="BV161" s="178"/>
      <c r="BW161" s="192"/>
      <c r="BX161" s="192"/>
      <c r="BY161" s="178"/>
      <c r="BZ161" s="178"/>
      <c r="CA161" s="178"/>
      <c r="CB161" s="180"/>
      <c r="CC161" s="192"/>
      <c r="CD161" s="192"/>
      <c r="CE161" s="180"/>
      <c r="CF161" s="180"/>
      <c r="CG161" s="180"/>
      <c r="CH161" s="180"/>
      <c r="CI161" s="192"/>
      <c r="CJ161" s="192"/>
      <c r="CK161" s="180"/>
      <c r="CL161" s="180"/>
      <c r="CM161" s="180"/>
      <c r="CN161" s="116"/>
      <c r="CO161" s="100">
        <v>0.01</v>
      </c>
      <c r="CP161" s="100">
        <f t="shared" si="105"/>
        <v>0.255</v>
      </c>
      <c r="CQ161" s="100">
        <v>0.5</v>
      </c>
    </row>
    <row r="162" spans="1:97" s="101" customFormat="1" ht="27" hidden="1" customHeight="1" x14ac:dyDescent="0.25">
      <c r="A162" s="99"/>
      <c r="V162" s="103"/>
      <c r="AA162" s="104"/>
      <c r="AB162" s="104"/>
      <c r="AD162" s="104"/>
      <c r="AE162" s="105"/>
      <c r="AH162" s="106"/>
      <c r="AI162" s="106"/>
      <c r="AK162" s="104"/>
      <c r="AR162" s="104"/>
      <c r="AV162" s="104"/>
      <c r="AX162" s="104"/>
      <c r="BB162" s="104"/>
      <c r="BC162" s="104"/>
      <c r="BE162" s="104"/>
      <c r="BH162" s="99"/>
      <c r="BI162" s="1606" t="s">
        <v>255</v>
      </c>
      <c r="BJ162" s="251"/>
      <c r="BK162" s="1606" t="s">
        <v>276</v>
      </c>
      <c r="BL162" s="251"/>
      <c r="BM162" s="1606" t="s">
        <v>233</v>
      </c>
      <c r="BN162" s="1606" t="s">
        <v>233</v>
      </c>
      <c r="BO162" s="1606" t="s">
        <v>240</v>
      </c>
      <c r="BP162" s="251"/>
      <c r="BQ162" s="1606" t="s">
        <v>276</v>
      </c>
      <c r="BR162" s="251"/>
      <c r="BS162" s="1606" t="s">
        <v>233</v>
      </c>
      <c r="BT162" s="1606" t="s">
        <v>233</v>
      </c>
      <c r="BU162" s="1606" t="s">
        <v>240</v>
      </c>
      <c r="BV162" s="178"/>
      <c r="BW162" s="192"/>
      <c r="BX162" s="192"/>
      <c r="BY162" s="178"/>
      <c r="BZ162" s="178"/>
      <c r="CA162" s="178"/>
      <c r="CB162" s="180"/>
      <c r="CC162" s="192"/>
      <c r="CD162" s="192"/>
      <c r="CE162" s="180"/>
      <c r="CF162" s="180"/>
      <c r="CG162" s="180"/>
      <c r="CH162" s="180"/>
      <c r="CI162" s="192"/>
      <c r="CJ162" s="192"/>
      <c r="CK162" s="180"/>
      <c r="CL162" s="180"/>
      <c r="CM162" s="180"/>
      <c r="CN162" s="116"/>
      <c r="CO162" s="100">
        <v>0.01</v>
      </c>
      <c r="CP162" s="100">
        <f t="shared" si="105"/>
        <v>0.255</v>
      </c>
      <c r="CQ162" s="100">
        <v>0.5</v>
      </c>
    </row>
    <row r="163" spans="1:97" s="101" customFormat="1" ht="53.25" hidden="1" customHeight="1" x14ac:dyDescent="0.25">
      <c r="A163" s="99"/>
      <c r="V163" s="103"/>
      <c r="AA163" s="104"/>
      <c r="AB163" s="104"/>
      <c r="AD163" s="104"/>
      <c r="AE163" s="105"/>
      <c r="AH163" s="106"/>
      <c r="AI163" s="106"/>
      <c r="AK163" s="104"/>
      <c r="AR163" s="104"/>
      <c r="AV163" s="104"/>
      <c r="AX163" s="104"/>
      <c r="BB163" s="104"/>
      <c r="BC163" s="104"/>
      <c r="BE163" s="104"/>
      <c r="BH163" s="99"/>
      <c r="BI163" s="1607"/>
      <c r="BJ163" s="252" t="s">
        <v>253</v>
      </c>
      <c r="BK163" s="1607"/>
      <c r="BL163" s="252" t="s">
        <v>251</v>
      </c>
      <c r="BM163" s="1607"/>
      <c r="BN163" s="1607"/>
      <c r="BO163" s="1607"/>
      <c r="BP163" s="252" t="s">
        <v>253</v>
      </c>
      <c r="BQ163" s="1607"/>
      <c r="BR163" s="252" t="s">
        <v>251</v>
      </c>
      <c r="BS163" s="1607"/>
      <c r="BT163" s="1607"/>
      <c r="BU163" s="1607"/>
      <c r="BV163" s="178"/>
      <c r="BW163" s="192"/>
      <c r="BX163" s="192"/>
      <c r="BY163" s="178"/>
      <c r="BZ163" s="178"/>
      <c r="CA163" s="178"/>
      <c r="CB163" s="180"/>
      <c r="CC163" s="192"/>
      <c r="CD163" s="192"/>
      <c r="CE163" s="180"/>
      <c r="CF163" s="180"/>
      <c r="CG163" s="180"/>
      <c r="CH163" s="180"/>
      <c r="CI163" s="192"/>
      <c r="CJ163" s="192"/>
      <c r="CK163" s="180"/>
      <c r="CL163" s="180"/>
      <c r="CM163" s="180"/>
      <c r="CN163" s="116"/>
      <c r="CO163" s="100">
        <v>0.01</v>
      </c>
      <c r="CP163" s="100">
        <f t="shared" si="105"/>
        <v>0.255</v>
      </c>
      <c r="CQ163" s="100">
        <v>0.5</v>
      </c>
    </row>
    <row r="164" spans="1:97" s="101" customFormat="1" ht="18.75" hidden="1" thickBot="1" x14ac:dyDescent="0.3">
      <c r="A164" s="99"/>
      <c r="V164" s="103"/>
      <c r="AA164" s="104"/>
      <c r="AB164" s="104"/>
      <c r="AD164" s="104"/>
      <c r="AE164" s="105"/>
      <c r="AH164" s="106"/>
      <c r="AI164" s="106"/>
      <c r="AK164" s="104"/>
      <c r="AR164" s="104"/>
      <c r="AV164" s="104"/>
      <c r="AX164" s="104"/>
      <c r="BB164" s="104"/>
      <c r="BC164" s="104"/>
      <c r="BE164" s="104"/>
      <c r="BH164" s="99"/>
      <c r="BI164" s="190" t="s">
        <v>176</v>
      </c>
      <c r="BJ164" s="187" t="s">
        <v>49</v>
      </c>
      <c r="BK164" s="196">
        <v>4660</v>
      </c>
      <c r="BL164" s="187" t="s">
        <v>411</v>
      </c>
      <c r="BM164" s="189">
        <v>0.01</v>
      </c>
      <c r="BN164" s="189">
        <v>0.5</v>
      </c>
      <c r="BO164" s="188" t="s">
        <v>311</v>
      </c>
      <c r="BP164" s="187" t="s">
        <v>49</v>
      </c>
      <c r="BQ164" s="196">
        <v>4750</v>
      </c>
      <c r="BR164" s="187" t="s">
        <v>411</v>
      </c>
      <c r="BS164" s="189">
        <v>0.01</v>
      </c>
      <c r="BT164" s="189">
        <v>0.5</v>
      </c>
      <c r="BU164" s="188" t="s">
        <v>254</v>
      </c>
      <c r="BV164" s="102"/>
      <c r="BW164" s="102"/>
      <c r="BX164" s="102"/>
      <c r="BY164" s="102"/>
      <c r="BZ164" s="102"/>
      <c r="CA164" s="102"/>
      <c r="CB164" s="102"/>
      <c r="CC164" s="102"/>
      <c r="CD164" s="102"/>
      <c r="CE164" s="180"/>
      <c r="CF164" s="180"/>
      <c r="CG164" s="180"/>
      <c r="CH164" s="180"/>
      <c r="CI164" s="178"/>
      <c r="CJ164" s="178"/>
      <c r="CK164" s="180"/>
      <c r="CL164" s="180"/>
      <c r="CM164" s="180"/>
      <c r="CN164" s="116"/>
      <c r="CO164" s="100">
        <v>0.01</v>
      </c>
      <c r="CP164" s="100">
        <f t="shared" si="105"/>
        <v>0.255</v>
      </c>
      <c r="CQ164" s="100">
        <v>0.5</v>
      </c>
      <c r="CR164" s="101">
        <v>0.01</v>
      </c>
      <c r="CS164" s="101">
        <v>0.5</v>
      </c>
    </row>
    <row r="165" spans="1:97" s="101" customFormat="1" ht="18.75" hidden="1" thickBot="1" x14ac:dyDescent="0.3">
      <c r="A165" s="99"/>
      <c r="V165" s="103"/>
      <c r="AA165" s="104"/>
      <c r="AB165" s="104"/>
      <c r="AD165" s="104"/>
      <c r="AE165" s="105"/>
      <c r="AH165" s="106"/>
      <c r="AI165" s="106"/>
      <c r="AK165" s="104"/>
      <c r="AR165" s="104"/>
      <c r="AV165" s="104"/>
      <c r="AX165" s="104"/>
      <c r="BB165" s="104"/>
      <c r="BC165" s="104"/>
      <c r="BE165" s="104"/>
      <c r="BH165" s="99"/>
      <c r="BI165" s="190" t="s">
        <v>177</v>
      </c>
      <c r="BJ165" s="187" t="s">
        <v>49</v>
      </c>
      <c r="BK165" s="196">
        <v>10200</v>
      </c>
      <c r="BL165" s="187" t="s">
        <v>411</v>
      </c>
      <c r="BM165" s="189">
        <v>0.01</v>
      </c>
      <c r="BN165" s="189">
        <v>0.5</v>
      </c>
      <c r="BO165" s="188" t="s">
        <v>311</v>
      </c>
      <c r="BP165" s="187" t="s">
        <v>49</v>
      </c>
      <c r="BQ165" s="196">
        <v>10900</v>
      </c>
      <c r="BR165" s="187" t="s">
        <v>411</v>
      </c>
      <c r="BS165" s="189">
        <v>0.01</v>
      </c>
      <c r="BT165" s="189">
        <v>0.5</v>
      </c>
      <c r="BU165" s="188" t="s">
        <v>254</v>
      </c>
      <c r="BV165" s="102"/>
      <c r="BW165" s="102"/>
      <c r="BX165" s="102"/>
      <c r="BY165" s="102"/>
      <c r="BZ165" s="102"/>
      <c r="CA165" s="102"/>
      <c r="CB165" s="102"/>
      <c r="CC165" s="102"/>
      <c r="CD165" s="102"/>
      <c r="CE165" s="192"/>
      <c r="CF165" s="192"/>
      <c r="CG165" s="192"/>
      <c r="CH165" s="197"/>
      <c r="CI165" s="192"/>
      <c r="CJ165" s="192"/>
      <c r="CK165" s="197"/>
      <c r="CL165" s="197"/>
      <c r="CM165" s="192"/>
      <c r="CN165" s="116"/>
      <c r="CO165" s="100">
        <v>0.01</v>
      </c>
      <c r="CP165" s="100">
        <f t="shared" si="105"/>
        <v>0.255</v>
      </c>
      <c r="CQ165" s="100">
        <v>0.5</v>
      </c>
      <c r="CR165" s="101">
        <v>0.01</v>
      </c>
      <c r="CS165" s="101">
        <v>0.5</v>
      </c>
    </row>
    <row r="166" spans="1:97" s="101" customFormat="1" ht="18.75" hidden="1" thickBot="1" x14ac:dyDescent="0.3">
      <c r="A166" s="99"/>
      <c r="V166" s="103"/>
      <c r="AA166" s="104"/>
      <c r="AB166" s="104"/>
      <c r="AD166" s="104"/>
      <c r="AE166" s="105"/>
      <c r="AH166" s="106"/>
      <c r="AI166" s="106"/>
      <c r="AK166" s="104"/>
      <c r="AR166" s="104"/>
      <c r="AV166" s="104"/>
      <c r="AX166" s="104"/>
      <c r="BB166" s="104"/>
      <c r="BC166" s="104"/>
      <c r="BE166" s="104"/>
      <c r="BH166" s="99"/>
      <c r="BI166" s="190" t="s">
        <v>178</v>
      </c>
      <c r="BJ166" s="187" t="s">
        <v>49</v>
      </c>
      <c r="BK166" s="196">
        <v>1760</v>
      </c>
      <c r="BL166" s="187" t="s">
        <v>411</v>
      </c>
      <c r="BM166" s="189">
        <v>0.01</v>
      </c>
      <c r="BN166" s="189">
        <v>0.5</v>
      </c>
      <c r="BO166" s="188" t="s">
        <v>311</v>
      </c>
      <c r="BP166" s="187" t="s">
        <v>49</v>
      </c>
      <c r="BQ166" s="196">
        <v>1810</v>
      </c>
      <c r="BR166" s="187" t="s">
        <v>411</v>
      </c>
      <c r="BS166" s="189">
        <v>0.01</v>
      </c>
      <c r="BT166" s="189">
        <v>0.5</v>
      </c>
      <c r="BU166" s="188" t="s">
        <v>254</v>
      </c>
      <c r="BV166" s="102"/>
      <c r="BW166" s="102"/>
      <c r="BX166" s="102"/>
      <c r="BY166" s="102"/>
      <c r="BZ166" s="102"/>
      <c r="CA166" s="102"/>
      <c r="CB166" s="102"/>
      <c r="CC166" s="102"/>
      <c r="CD166" s="102"/>
      <c r="CE166" s="192"/>
      <c r="CF166" s="192"/>
      <c r="CG166" s="192"/>
      <c r="CH166" s="197"/>
      <c r="CI166" s="192"/>
      <c r="CJ166" s="192"/>
      <c r="CK166" s="197"/>
      <c r="CL166" s="197"/>
      <c r="CM166" s="192"/>
      <c r="CN166" s="116"/>
      <c r="CO166" s="100">
        <v>0.01</v>
      </c>
      <c r="CP166" s="100">
        <f t="shared" si="105"/>
        <v>0.255</v>
      </c>
      <c r="CQ166" s="100">
        <v>0.5</v>
      </c>
      <c r="CR166" s="101">
        <v>0.01</v>
      </c>
      <c r="CS166" s="101">
        <v>0.5</v>
      </c>
    </row>
    <row r="167" spans="1:97" s="101" customFormat="1" ht="18.75" hidden="1" thickBot="1" x14ac:dyDescent="0.3">
      <c r="A167" s="99"/>
      <c r="V167" s="103"/>
      <c r="AA167" s="104"/>
      <c r="AB167" s="104"/>
      <c r="AD167" s="104"/>
      <c r="AE167" s="105"/>
      <c r="AH167" s="106"/>
      <c r="AI167" s="106"/>
      <c r="AK167" s="104"/>
      <c r="AR167" s="104"/>
      <c r="AV167" s="104"/>
      <c r="AX167" s="104"/>
      <c r="BB167" s="104"/>
      <c r="BC167" s="104"/>
      <c r="BE167" s="104"/>
      <c r="BH167" s="99"/>
      <c r="BI167" s="190" t="s">
        <v>357</v>
      </c>
      <c r="BJ167" s="187" t="s">
        <v>49</v>
      </c>
      <c r="BK167" s="196">
        <v>782</v>
      </c>
      <c r="BL167" s="187" t="s">
        <v>411</v>
      </c>
      <c r="BM167" s="189">
        <v>0.01</v>
      </c>
      <c r="BN167" s="189">
        <v>0.5</v>
      </c>
      <c r="BO167" s="188" t="s">
        <v>311</v>
      </c>
      <c r="BP167" s="187"/>
      <c r="BQ167" s="196"/>
      <c r="BR167" s="187"/>
      <c r="BS167" s="189"/>
      <c r="BT167" s="189"/>
      <c r="BU167" s="188"/>
      <c r="BV167" s="102"/>
      <c r="BW167" s="102"/>
      <c r="BX167" s="102"/>
      <c r="BY167" s="102"/>
      <c r="BZ167" s="102"/>
      <c r="CA167" s="102"/>
      <c r="CB167" s="102"/>
      <c r="CC167" s="102"/>
      <c r="CD167" s="102"/>
      <c r="CE167" s="192"/>
      <c r="CF167" s="192"/>
      <c r="CG167" s="192"/>
      <c r="CH167" s="197"/>
      <c r="CI167" s="192"/>
      <c r="CJ167" s="192"/>
      <c r="CK167" s="197"/>
      <c r="CL167" s="197"/>
      <c r="CM167" s="192"/>
      <c r="CN167" s="116"/>
      <c r="CO167" s="100">
        <v>0.01</v>
      </c>
      <c r="CP167" s="100">
        <f t="shared" si="105"/>
        <v>0.255</v>
      </c>
      <c r="CQ167" s="100">
        <v>0.5</v>
      </c>
    </row>
    <row r="168" spans="1:97" s="101" customFormat="1" ht="18.75" hidden="1" thickBot="1" x14ac:dyDescent="0.3">
      <c r="A168" s="99"/>
      <c r="V168" s="103"/>
      <c r="AA168" s="104"/>
      <c r="AB168" s="104"/>
      <c r="AD168" s="104"/>
      <c r="AE168" s="105"/>
      <c r="AH168" s="106"/>
      <c r="AI168" s="106"/>
      <c r="AK168" s="104"/>
      <c r="AR168" s="104"/>
      <c r="AV168" s="104"/>
      <c r="AX168" s="104"/>
      <c r="BB168" s="104"/>
      <c r="BC168" s="104"/>
      <c r="BE168" s="104"/>
      <c r="BH168" s="99"/>
      <c r="BI168" s="190" t="s">
        <v>179</v>
      </c>
      <c r="BJ168" s="187" t="s">
        <v>49</v>
      </c>
      <c r="BK168" s="196">
        <v>12400</v>
      </c>
      <c r="BL168" s="187" t="s">
        <v>411</v>
      </c>
      <c r="BM168" s="189">
        <v>0.01</v>
      </c>
      <c r="BN168" s="189">
        <v>0.5</v>
      </c>
      <c r="BO168" s="188" t="s">
        <v>311</v>
      </c>
      <c r="BP168" s="187" t="s">
        <v>49</v>
      </c>
      <c r="BQ168" s="196">
        <v>14800</v>
      </c>
      <c r="BR168" s="187" t="s">
        <v>411</v>
      </c>
      <c r="BS168" s="189">
        <v>0.01</v>
      </c>
      <c r="BT168" s="189">
        <v>0.5</v>
      </c>
      <c r="BU168" s="188" t="s">
        <v>254</v>
      </c>
      <c r="BV168" s="102"/>
      <c r="BW168" s="102"/>
      <c r="BX168" s="102"/>
      <c r="BY168" s="102"/>
      <c r="BZ168" s="102"/>
      <c r="CA168" s="102"/>
      <c r="CB168" s="102"/>
      <c r="CC168" s="102"/>
      <c r="CD168" s="102"/>
      <c r="CE168" s="192"/>
      <c r="CF168" s="192"/>
      <c r="CG168" s="192"/>
      <c r="CH168" s="197"/>
      <c r="CI168" s="192"/>
      <c r="CJ168" s="192"/>
      <c r="CK168" s="197"/>
      <c r="CL168" s="197"/>
      <c r="CM168" s="192"/>
      <c r="CN168" s="116"/>
      <c r="CO168" s="100"/>
      <c r="CP168" s="100"/>
      <c r="CQ168" s="100"/>
      <c r="CR168" s="101">
        <v>0.01</v>
      </c>
      <c r="CS168" s="101">
        <v>0.5</v>
      </c>
    </row>
    <row r="169" spans="1:97" s="101" customFormat="1" ht="18.75" hidden="1" thickBot="1" x14ac:dyDescent="0.3">
      <c r="A169" s="99"/>
      <c r="V169" s="103"/>
      <c r="AA169" s="104"/>
      <c r="AB169" s="104"/>
      <c r="AD169" s="104"/>
      <c r="AE169" s="105"/>
      <c r="AH169" s="106"/>
      <c r="AI169" s="106"/>
      <c r="AK169" s="104"/>
      <c r="AR169" s="104"/>
      <c r="AV169" s="104"/>
      <c r="AX169" s="104"/>
      <c r="BB169" s="104"/>
      <c r="BC169" s="104"/>
      <c r="BE169" s="104"/>
      <c r="BH169" s="99"/>
      <c r="BI169" s="190" t="s">
        <v>180</v>
      </c>
      <c r="BJ169" s="187" t="s">
        <v>49</v>
      </c>
      <c r="BK169" s="196">
        <v>677</v>
      </c>
      <c r="BL169" s="187" t="s">
        <v>411</v>
      </c>
      <c r="BM169" s="189">
        <v>0.01</v>
      </c>
      <c r="BN169" s="189">
        <v>0.5</v>
      </c>
      <c r="BO169" s="188" t="s">
        <v>311</v>
      </c>
      <c r="BP169" s="187" t="s">
        <v>49</v>
      </c>
      <c r="BQ169" s="196">
        <v>675</v>
      </c>
      <c r="BR169" s="187" t="s">
        <v>411</v>
      </c>
      <c r="BS169" s="189">
        <v>0.01</v>
      </c>
      <c r="BT169" s="189">
        <v>0.5</v>
      </c>
      <c r="BU169" s="188" t="s">
        <v>254</v>
      </c>
      <c r="BV169" s="102"/>
      <c r="BW169" s="102"/>
      <c r="BX169" s="102"/>
      <c r="BY169" s="102"/>
      <c r="BZ169" s="102"/>
      <c r="CA169" s="102"/>
      <c r="CB169" s="102"/>
      <c r="CC169" s="102"/>
      <c r="CD169" s="102"/>
      <c r="CE169" s="192"/>
      <c r="CF169" s="192"/>
      <c r="CG169" s="192"/>
      <c r="CH169" s="197"/>
      <c r="CI169" s="192"/>
      <c r="CJ169" s="192"/>
      <c r="CK169" s="197"/>
      <c r="CL169" s="197"/>
      <c r="CM169" s="192"/>
      <c r="CN169" s="116"/>
      <c r="CO169" s="100"/>
      <c r="CP169" s="100"/>
      <c r="CQ169" s="100"/>
      <c r="CR169" s="101">
        <v>0.01</v>
      </c>
      <c r="CS169" s="101">
        <v>0.5</v>
      </c>
    </row>
    <row r="170" spans="1:97" s="101" customFormat="1" ht="18.75" hidden="1" thickBot="1" x14ac:dyDescent="0.3">
      <c r="A170" s="99"/>
      <c r="V170" s="103"/>
      <c r="AA170" s="104"/>
      <c r="AB170" s="104"/>
      <c r="AD170" s="104"/>
      <c r="AE170" s="105"/>
      <c r="AH170" s="106"/>
      <c r="AI170" s="106"/>
      <c r="AK170" s="104"/>
      <c r="AR170" s="104"/>
      <c r="AV170" s="104"/>
      <c r="AX170" s="104"/>
      <c r="BB170" s="104"/>
      <c r="BC170" s="104"/>
      <c r="BE170" s="104"/>
      <c r="BH170" s="99"/>
      <c r="BI170" s="190" t="s">
        <v>360</v>
      </c>
      <c r="BJ170" s="187" t="s">
        <v>49</v>
      </c>
      <c r="BK170" s="196">
        <v>3170</v>
      </c>
      <c r="BL170" s="187" t="s">
        <v>411</v>
      </c>
      <c r="BM170" s="189">
        <v>0.01</v>
      </c>
      <c r="BN170" s="189">
        <v>0.5</v>
      </c>
      <c r="BO170" s="188" t="s">
        <v>311</v>
      </c>
      <c r="BP170" s="187"/>
      <c r="BQ170" s="196"/>
      <c r="BR170" s="187"/>
      <c r="BS170" s="189"/>
      <c r="BT170" s="189"/>
      <c r="BU170" s="188"/>
      <c r="BV170" s="102"/>
      <c r="BW170" s="102"/>
      <c r="BX170" s="102"/>
      <c r="BY170" s="102"/>
      <c r="BZ170" s="102"/>
      <c r="CA170" s="102"/>
      <c r="CB170" s="102"/>
      <c r="CC170" s="102"/>
      <c r="CD170" s="102"/>
      <c r="CE170" s="192"/>
      <c r="CF170" s="192"/>
      <c r="CG170" s="192"/>
      <c r="CH170" s="197"/>
      <c r="CI170" s="192"/>
      <c r="CJ170" s="192"/>
      <c r="CK170" s="197"/>
      <c r="CL170" s="197"/>
      <c r="CM170" s="192"/>
      <c r="CN170" s="116"/>
      <c r="CO170" s="100"/>
      <c r="CP170" s="100"/>
      <c r="CQ170" s="100"/>
      <c r="CR170" s="101">
        <v>0.01</v>
      </c>
      <c r="CS170" s="101">
        <v>0.5</v>
      </c>
    </row>
    <row r="171" spans="1:97" s="101" customFormat="1" ht="18.75" hidden="1" thickBot="1" x14ac:dyDescent="0.3">
      <c r="A171" s="99"/>
      <c r="V171" s="103"/>
      <c r="AA171" s="104"/>
      <c r="AB171" s="104"/>
      <c r="AD171" s="104"/>
      <c r="AE171" s="105"/>
      <c r="AH171" s="106"/>
      <c r="AI171" s="106"/>
      <c r="AK171" s="104"/>
      <c r="AR171" s="104"/>
      <c r="AV171" s="104"/>
      <c r="AX171" s="104"/>
      <c r="BB171" s="104"/>
      <c r="BC171" s="104"/>
      <c r="BE171" s="104"/>
      <c r="BH171" s="99"/>
      <c r="BI171" s="190" t="s">
        <v>181</v>
      </c>
      <c r="BJ171" s="187" t="s">
        <v>49</v>
      </c>
      <c r="BK171" s="196">
        <v>1120</v>
      </c>
      <c r="BL171" s="187" t="s">
        <v>411</v>
      </c>
      <c r="BM171" s="189">
        <v>0.01</v>
      </c>
      <c r="BN171" s="189">
        <v>0.5</v>
      </c>
      <c r="BO171" s="188" t="s">
        <v>311</v>
      </c>
      <c r="BP171" s="187" t="s">
        <v>49</v>
      </c>
      <c r="BQ171" s="196">
        <v>1100</v>
      </c>
      <c r="BR171" s="187" t="s">
        <v>411</v>
      </c>
      <c r="BS171" s="189">
        <v>0.01</v>
      </c>
      <c r="BT171" s="189">
        <v>0.5</v>
      </c>
      <c r="BU171" s="188" t="s">
        <v>254</v>
      </c>
      <c r="BV171" s="102"/>
      <c r="BW171" s="102"/>
      <c r="BX171" s="102"/>
      <c r="BY171" s="102"/>
      <c r="BZ171" s="102"/>
      <c r="CA171" s="102"/>
      <c r="CB171" s="102"/>
      <c r="CC171" s="102"/>
      <c r="CD171" s="102"/>
      <c r="CE171" s="192"/>
      <c r="CF171" s="192"/>
      <c r="CG171" s="192"/>
      <c r="CH171" s="197"/>
      <c r="CI171" s="192"/>
      <c r="CJ171" s="192"/>
      <c r="CK171" s="197"/>
      <c r="CL171" s="197"/>
      <c r="CM171" s="192"/>
      <c r="CN171" s="116"/>
      <c r="CO171" s="100"/>
      <c r="CP171" s="100"/>
      <c r="CQ171" s="100"/>
      <c r="CR171" s="101">
        <v>0.01</v>
      </c>
      <c r="CS171" s="101">
        <v>0.5</v>
      </c>
    </row>
    <row r="172" spans="1:97" s="101" customFormat="1" ht="18.75" hidden="1" thickBot="1" x14ac:dyDescent="0.3">
      <c r="A172" s="99"/>
      <c r="V172" s="103"/>
      <c r="AA172" s="104"/>
      <c r="AB172" s="104"/>
      <c r="AD172" s="104"/>
      <c r="AE172" s="105"/>
      <c r="AH172" s="106"/>
      <c r="AI172" s="106"/>
      <c r="AK172" s="104"/>
      <c r="AR172" s="104"/>
      <c r="AV172" s="104"/>
      <c r="AX172" s="104"/>
      <c r="BB172" s="104"/>
      <c r="BC172" s="104"/>
      <c r="BE172" s="104"/>
      <c r="BH172" s="99"/>
      <c r="BI172" s="190" t="s">
        <v>182</v>
      </c>
      <c r="BJ172" s="187" t="s">
        <v>49</v>
      </c>
      <c r="BK172" s="196">
        <v>1300</v>
      </c>
      <c r="BL172" s="187" t="s">
        <v>411</v>
      </c>
      <c r="BM172" s="189">
        <v>0.01</v>
      </c>
      <c r="BN172" s="189">
        <v>0.5</v>
      </c>
      <c r="BO172" s="188" t="s">
        <v>311</v>
      </c>
      <c r="BP172" s="187" t="s">
        <v>49</v>
      </c>
      <c r="BQ172" s="196">
        <v>1430</v>
      </c>
      <c r="BR172" s="187" t="s">
        <v>411</v>
      </c>
      <c r="BS172" s="189">
        <v>0.01</v>
      </c>
      <c r="BT172" s="189">
        <v>0.5</v>
      </c>
      <c r="BU172" s="188" t="s">
        <v>254</v>
      </c>
      <c r="BV172" s="102"/>
      <c r="BW172" s="102"/>
      <c r="BX172" s="102"/>
      <c r="BY172" s="102"/>
      <c r="BZ172" s="102"/>
      <c r="CA172" s="102"/>
      <c r="CB172" s="102"/>
      <c r="CC172" s="102"/>
      <c r="CD172" s="102"/>
      <c r="CE172" s="192"/>
      <c r="CF172" s="192"/>
      <c r="CG172" s="192"/>
      <c r="CH172" s="197"/>
      <c r="CI172" s="192"/>
      <c r="CJ172" s="192"/>
      <c r="CK172" s="197"/>
      <c r="CL172" s="197"/>
      <c r="CM172" s="192"/>
      <c r="CN172" s="116"/>
      <c r="CO172" s="100">
        <v>0.01</v>
      </c>
      <c r="CP172" s="100">
        <f>(CO172+CQ172)/2</f>
        <v>0.255</v>
      </c>
      <c r="CQ172" s="100">
        <v>0.5</v>
      </c>
      <c r="CR172" s="101">
        <v>0.01</v>
      </c>
      <c r="CS172" s="101">
        <v>0.5</v>
      </c>
    </row>
    <row r="173" spans="1:97" s="101" customFormat="1" ht="18.75" hidden="1" thickBot="1" x14ac:dyDescent="0.3">
      <c r="A173" s="99"/>
      <c r="V173" s="103"/>
      <c r="AA173" s="104"/>
      <c r="AB173" s="104"/>
      <c r="AD173" s="104"/>
      <c r="AE173" s="105"/>
      <c r="AH173" s="106"/>
      <c r="AI173" s="106"/>
      <c r="AK173" s="104"/>
      <c r="AR173" s="104"/>
      <c r="AV173" s="104"/>
      <c r="AX173" s="104"/>
      <c r="BB173" s="104"/>
      <c r="BC173" s="104"/>
      <c r="BE173" s="104"/>
      <c r="BH173" s="99"/>
      <c r="BI173" s="190" t="s">
        <v>186</v>
      </c>
      <c r="BJ173" s="187" t="s">
        <v>49</v>
      </c>
      <c r="BK173" s="196">
        <v>328</v>
      </c>
      <c r="BL173" s="187" t="s">
        <v>411</v>
      </c>
      <c r="BM173" s="189">
        <v>0.01</v>
      </c>
      <c r="BN173" s="189">
        <v>0.5</v>
      </c>
      <c r="BO173" s="188" t="s">
        <v>311</v>
      </c>
      <c r="BP173" s="187" t="s">
        <v>49</v>
      </c>
      <c r="BQ173" s="196">
        <v>353</v>
      </c>
      <c r="BR173" s="187" t="s">
        <v>411</v>
      </c>
      <c r="BS173" s="189">
        <v>0.01</v>
      </c>
      <c r="BT173" s="189">
        <v>0.5</v>
      </c>
      <c r="BU173" s="188" t="s">
        <v>254</v>
      </c>
      <c r="BV173" s="102"/>
      <c r="BW173" s="102"/>
      <c r="BX173" s="102"/>
      <c r="BY173" s="102"/>
      <c r="BZ173" s="102"/>
      <c r="CA173" s="102"/>
      <c r="CB173" s="102"/>
      <c r="CC173" s="102"/>
      <c r="CD173" s="102"/>
      <c r="CE173" s="192"/>
      <c r="CF173" s="192"/>
      <c r="CG173" s="192"/>
      <c r="CH173" s="197"/>
      <c r="CI173" s="192"/>
      <c r="CJ173" s="192"/>
      <c r="CK173" s="197"/>
      <c r="CL173" s="197"/>
      <c r="CM173" s="192"/>
      <c r="CN173" s="116"/>
      <c r="CO173" s="100">
        <v>0.01</v>
      </c>
      <c r="CP173" s="100">
        <f>(CO173+CQ173)/2</f>
        <v>0.255</v>
      </c>
      <c r="CQ173" s="100">
        <v>0.5</v>
      </c>
      <c r="CR173" s="101">
        <v>0.01</v>
      </c>
      <c r="CS173" s="101">
        <v>0.5</v>
      </c>
    </row>
    <row r="174" spans="1:97" s="101" customFormat="1" ht="18.75" hidden="1" thickBot="1" x14ac:dyDescent="0.3">
      <c r="A174" s="99"/>
      <c r="V174" s="103"/>
      <c r="AA174" s="104"/>
      <c r="AB174" s="104"/>
      <c r="AD174" s="104"/>
      <c r="AE174" s="105"/>
      <c r="AH174" s="106"/>
      <c r="AI174" s="106"/>
      <c r="AK174" s="104"/>
      <c r="AR174" s="104"/>
      <c r="AV174" s="104"/>
      <c r="AX174" s="104"/>
      <c r="BB174" s="104"/>
      <c r="BC174" s="104"/>
      <c r="BE174" s="104"/>
      <c r="BH174" s="99"/>
      <c r="BI174" s="190" t="s">
        <v>187</v>
      </c>
      <c r="BJ174" s="187" t="s">
        <v>49</v>
      </c>
      <c r="BK174" s="196">
        <v>4800</v>
      </c>
      <c r="BL174" s="187" t="s">
        <v>411</v>
      </c>
      <c r="BM174" s="189">
        <v>0.01</v>
      </c>
      <c r="BN174" s="189">
        <v>0.5</v>
      </c>
      <c r="BO174" s="188" t="s">
        <v>311</v>
      </c>
      <c r="BP174" s="187" t="s">
        <v>49</v>
      </c>
      <c r="BQ174" s="196">
        <v>4470</v>
      </c>
      <c r="BR174" s="187" t="s">
        <v>411</v>
      </c>
      <c r="BS174" s="189">
        <v>0.01</v>
      </c>
      <c r="BT174" s="189">
        <v>0.5</v>
      </c>
      <c r="BU174" s="188" t="s">
        <v>254</v>
      </c>
      <c r="BV174" s="102"/>
      <c r="BW174" s="102"/>
      <c r="BX174" s="102"/>
      <c r="BY174" s="102"/>
      <c r="BZ174" s="102"/>
      <c r="CA174" s="102"/>
      <c r="CB174" s="102"/>
      <c r="CC174" s="102"/>
      <c r="CD174" s="102"/>
      <c r="CE174" s="192"/>
      <c r="CF174" s="192"/>
      <c r="CG174" s="192"/>
      <c r="CH174" s="197"/>
      <c r="CI174" s="192"/>
      <c r="CJ174" s="192"/>
      <c r="CK174" s="197"/>
      <c r="CL174" s="197"/>
      <c r="CM174" s="192"/>
      <c r="CN174" s="116"/>
      <c r="CO174" s="100"/>
      <c r="CP174" s="100"/>
      <c r="CQ174" s="100"/>
      <c r="CR174" s="101">
        <v>0.01</v>
      </c>
      <c r="CS174" s="101">
        <v>0.5</v>
      </c>
    </row>
    <row r="175" spans="1:97" s="101" customFormat="1" ht="18.75" hidden="1" thickBot="1" x14ac:dyDescent="0.3">
      <c r="A175" s="99"/>
      <c r="V175" s="103"/>
      <c r="AA175" s="104"/>
      <c r="AB175" s="104"/>
      <c r="AD175" s="104"/>
      <c r="AE175" s="105"/>
      <c r="AH175" s="106"/>
      <c r="AI175" s="106"/>
      <c r="AK175" s="104"/>
      <c r="AR175" s="104"/>
      <c r="AV175" s="104"/>
      <c r="AX175" s="104"/>
      <c r="BB175" s="104"/>
      <c r="BC175" s="104"/>
      <c r="BE175" s="104"/>
      <c r="BH175" s="99"/>
      <c r="BI175" s="190" t="s">
        <v>395</v>
      </c>
      <c r="BJ175" s="187" t="s">
        <v>49</v>
      </c>
      <c r="BK175" s="196">
        <v>3350</v>
      </c>
      <c r="BL175" s="187" t="s">
        <v>411</v>
      </c>
      <c r="BM175" s="189">
        <v>0.01</v>
      </c>
      <c r="BN175" s="189">
        <v>0.5</v>
      </c>
      <c r="BO175" s="188" t="s">
        <v>311</v>
      </c>
      <c r="BP175" s="187"/>
      <c r="BQ175" s="196"/>
      <c r="BR175" s="187"/>
      <c r="BS175" s="189"/>
      <c r="BT175" s="189"/>
      <c r="BU175" s="188"/>
      <c r="BV175" s="102"/>
      <c r="BW175" s="102"/>
      <c r="BX175" s="102"/>
      <c r="BY175" s="102"/>
      <c r="BZ175" s="102"/>
      <c r="CA175" s="102"/>
      <c r="CB175" s="102"/>
      <c r="CC175" s="102"/>
      <c r="CD175" s="102"/>
      <c r="CE175" s="192"/>
      <c r="CF175" s="192"/>
      <c r="CG175" s="192"/>
      <c r="CH175" s="197"/>
      <c r="CI175" s="192"/>
      <c r="CJ175" s="192"/>
      <c r="CK175" s="197"/>
      <c r="CL175" s="197"/>
      <c r="CM175" s="192"/>
      <c r="CN175" s="116"/>
      <c r="CO175" s="100"/>
      <c r="CP175" s="100"/>
      <c r="CQ175" s="100"/>
    </row>
    <row r="176" spans="1:97" s="101" customFormat="1" ht="90.75" hidden="1" thickBot="1" x14ac:dyDescent="0.3">
      <c r="A176" s="99"/>
      <c r="V176" s="103"/>
      <c r="AA176" s="104"/>
      <c r="AB176" s="104"/>
      <c r="AD176" s="104"/>
      <c r="AE176" s="105"/>
      <c r="AH176" s="106"/>
      <c r="AI176" s="106"/>
      <c r="AK176" s="104"/>
      <c r="AR176" s="104"/>
      <c r="AV176" s="104"/>
      <c r="AX176" s="104"/>
      <c r="BB176" s="104"/>
      <c r="BC176" s="104"/>
      <c r="BE176" s="104"/>
      <c r="BH176" s="99"/>
      <c r="BI176" s="190" t="s">
        <v>359</v>
      </c>
      <c r="BJ176" s="187" t="s">
        <v>49</v>
      </c>
      <c r="BK176" s="196">
        <f>(BK172*4%)+(BK170*44%)+(BK174*52%)</f>
        <v>3942.8</v>
      </c>
      <c r="BL176" s="187" t="s">
        <v>411</v>
      </c>
      <c r="BM176" s="189">
        <v>0.01</v>
      </c>
      <c r="BN176" s="189">
        <v>0.5</v>
      </c>
      <c r="BO176" s="188" t="s">
        <v>383</v>
      </c>
      <c r="BP176" s="187" t="s">
        <v>49</v>
      </c>
      <c r="BQ176" s="196">
        <v>3922</v>
      </c>
      <c r="BR176" s="187" t="s">
        <v>411</v>
      </c>
      <c r="BS176" s="189">
        <v>0.01</v>
      </c>
      <c r="BT176" s="189">
        <v>0.5</v>
      </c>
      <c r="BU176" s="198" t="s">
        <v>358</v>
      </c>
      <c r="BV176" s="102"/>
      <c r="BW176" s="102"/>
      <c r="BX176" s="102"/>
      <c r="BY176" s="102"/>
      <c r="BZ176" s="102"/>
      <c r="CA176" s="102"/>
      <c r="CB176" s="102"/>
      <c r="CC176" s="102"/>
      <c r="CD176" s="102"/>
      <c r="CE176" s="192"/>
      <c r="CF176" s="192"/>
      <c r="CG176" s="192"/>
      <c r="CH176" s="197"/>
      <c r="CI176" s="192"/>
      <c r="CJ176" s="192"/>
      <c r="CK176" s="197"/>
      <c r="CL176" s="197"/>
      <c r="CM176" s="192"/>
      <c r="CN176" s="116"/>
      <c r="CO176" s="100"/>
      <c r="CP176" s="100"/>
      <c r="CQ176" s="100"/>
      <c r="CR176" s="101">
        <v>0.01</v>
      </c>
      <c r="CS176" s="101">
        <v>0.5</v>
      </c>
    </row>
    <row r="177" spans="1:97" s="101" customFormat="1" ht="128.25" hidden="1" thickBot="1" x14ac:dyDescent="0.3">
      <c r="A177" s="99"/>
      <c r="V177" s="103"/>
      <c r="AA177" s="104"/>
      <c r="AB177" s="104"/>
      <c r="AD177" s="104"/>
      <c r="AE177" s="105"/>
      <c r="AH177" s="106"/>
      <c r="AI177" s="106"/>
      <c r="AK177" s="104"/>
      <c r="AR177" s="104"/>
      <c r="AV177" s="104"/>
      <c r="AX177" s="104"/>
      <c r="BB177" s="104"/>
      <c r="BC177" s="104"/>
      <c r="BE177" s="104"/>
      <c r="BH177" s="99"/>
      <c r="BI177" s="190" t="s">
        <v>185</v>
      </c>
      <c r="BJ177" s="187" t="s">
        <v>49</v>
      </c>
      <c r="BK177" s="196">
        <f>(BK172*52%)+(BK170*25%)+(BK169*23%)</f>
        <v>1624.21</v>
      </c>
      <c r="BL177" s="187" t="s">
        <v>411</v>
      </c>
      <c r="BM177" s="189">
        <v>0.01</v>
      </c>
      <c r="BN177" s="189">
        <v>0.5</v>
      </c>
      <c r="BO177" s="188" t="s">
        <v>384</v>
      </c>
      <c r="BP177" s="187" t="s">
        <v>49</v>
      </c>
      <c r="BQ177" s="196">
        <v>1774</v>
      </c>
      <c r="BR177" s="187" t="s">
        <v>411</v>
      </c>
      <c r="BS177" s="189">
        <v>0.01</v>
      </c>
      <c r="BT177" s="189">
        <v>0.5</v>
      </c>
      <c r="BU177" s="188" t="s">
        <v>254</v>
      </c>
      <c r="BV177" s="102"/>
      <c r="BW177" s="102"/>
      <c r="BX177" s="102"/>
      <c r="BY177" s="102"/>
      <c r="BZ177" s="102"/>
      <c r="CA177" s="102"/>
      <c r="CB177" s="102"/>
      <c r="CC177" s="102"/>
      <c r="CD177" s="102"/>
      <c r="CE177" s="192"/>
      <c r="CF177" s="192"/>
      <c r="CG177" s="192"/>
      <c r="CH177" s="197"/>
      <c r="CI177" s="192"/>
      <c r="CJ177" s="192"/>
      <c r="CK177" s="197"/>
      <c r="CL177" s="197"/>
      <c r="CM177" s="192"/>
      <c r="CN177" s="116"/>
      <c r="CO177" s="100"/>
      <c r="CP177" s="100"/>
      <c r="CQ177" s="100"/>
      <c r="CR177" s="101">
        <v>0.01</v>
      </c>
      <c r="CS177" s="101">
        <v>0.5</v>
      </c>
    </row>
    <row r="178" spans="1:97" s="101" customFormat="1" ht="128.25" hidden="1" thickBot="1" x14ac:dyDescent="0.3">
      <c r="A178" s="99"/>
      <c r="V178" s="103"/>
      <c r="AA178" s="104"/>
      <c r="AB178" s="104"/>
      <c r="AD178" s="104"/>
      <c r="AE178" s="105"/>
      <c r="AH178" s="106"/>
      <c r="AI178" s="106"/>
      <c r="AK178" s="104"/>
      <c r="AR178" s="104"/>
      <c r="AV178" s="104"/>
      <c r="AX178" s="104"/>
      <c r="BB178" s="104"/>
      <c r="BC178" s="104"/>
      <c r="BE178" s="104"/>
      <c r="BH178" s="99"/>
      <c r="BI178" s="190" t="s">
        <v>184</v>
      </c>
      <c r="BJ178" s="187" t="s">
        <v>49</v>
      </c>
      <c r="BK178" s="196">
        <f>(BK170*50%)+(BK169*50%)</f>
        <v>1923.5</v>
      </c>
      <c r="BL178" s="187" t="s">
        <v>411</v>
      </c>
      <c r="BM178" s="189">
        <v>0.01</v>
      </c>
      <c r="BN178" s="189">
        <v>0.5</v>
      </c>
      <c r="BO178" s="188" t="s">
        <v>385</v>
      </c>
      <c r="BP178" s="187" t="s">
        <v>49</v>
      </c>
      <c r="BQ178" s="196">
        <v>2088</v>
      </c>
      <c r="BR178" s="187" t="s">
        <v>411</v>
      </c>
      <c r="BS178" s="189">
        <v>0.01</v>
      </c>
      <c r="BT178" s="189">
        <v>0.5</v>
      </c>
      <c r="BU178" s="188" t="s">
        <v>254</v>
      </c>
      <c r="BV178" s="102"/>
      <c r="BW178" s="102"/>
      <c r="BX178" s="102"/>
      <c r="BY178" s="102"/>
      <c r="BZ178" s="102"/>
      <c r="CA178" s="102"/>
      <c r="CB178" s="102"/>
      <c r="CC178" s="102"/>
      <c r="CD178" s="102"/>
      <c r="CE178" s="192"/>
      <c r="CF178" s="192"/>
      <c r="CG178" s="192"/>
      <c r="CH178" s="197"/>
      <c r="CI178" s="192"/>
      <c r="CJ178" s="192"/>
      <c r="CK178" s="197"/>
      <c r="CL178" s="197"/>
      <c r="CM178" s="192"/>
      <c r="CN178" s="116"/>
      <c r="CO178" s="100">
        <v>0.15</v>
      </c>
      <c r="CP178" s="100">
        <f>(CO178+CQ178)/2</f>
        <v>0.17499999999999999</v>
      </c>
      <c r="CQ178" s="100">
        <v>0.2</v>
      </c>
      <c r="CR178" s="101">
        <v>0.01</v>
      </c>
      <c r="CS178" s="101">
        <v>0.5</v>
      </c>
    </row>
    <row r="179" spans="1:97" s="101" customFormat="1" ht="128.25" hidden="1" thickBot="1" x14ac:dyDescent="0.3">
      <c r="A179" s="99"/>
      <c r="V179" s="103"/>
      <c r="AA179" s="104"/>
      <c r="AB179" s="104"/>
      <c r="AD179" s="104"/>
      <c r="AE179" s="105"/>
      <c r="AH179" s="106"/>
      <c r="AI179" s="106"/>
      <c r="AK179" s="104"/>
      <c r="AR179" s="104"/>
      <c r="AV179" s="104"/>
      <c r="AX179" s="104"/>
      <c r="BB179" s="104"/>
      <c r="BC179" s="104"/>
      <c r="BE179" s="104"/>
      <c r="BH179" s="99"/>
      <c r="BI179" s="190" t="s">
        <v>188</v>
      </c>
      <c r="BJ179" s="187" t="s">
        <v>49</v>
      </c>
      <c r="BK179" s="196">
        <f>(BK170*65.1%)+(BK172*31.5%)+(BK183*3.4%)</f>
        <v>2473.2039999999997</v>
      </c>
      <c r="BL179" s="187" t="s">
        <v>411</v>
      </c>
      <c r="BM179" s="189">
        <v>0.01</v>
      </c>
      <c r="BN179" s="189">
        <v>0.5</v>
      </c>
      <c r="BO179" s="188" t="s">
        <v>386</v>
      </c>
      <c r="BP179" s="187" t="s">
        <v>49</v>
      </c>
      <c r="BQ179" s="196">
        <v>2729</v>
      </c>
      <c r="BR179" s="187" t="s">
        <v>411</v>
      </c>
      <c r="BS179" s="189">
        <v>0.01</v>
      </c>
      <c r="BT179" s="189">
        <v>0.5</v>
      </c>
      <c r="BU179" s="188" t="s">
        <v>254</v>
      </c>
      <c r="BV179" s="102"/>
      <c r="BW179" s="102"/>
      <c r="BX179" s="102"/>
      <c r="BY179" s="102"/>
      <c r="BZ179" s="102"/>
      <c r="CA179" s="102"/>
      <c r="CB179" s="102"/>
      <c r="CC179" s="102"/>
      <c r="CD179" s="102"/>
      <c r="CE179" s="192"/>
      <c r="CF179" s="192"/>
      <c r="CG179" s="192"/>
      <c r="CH179" s="197"/>
      <c r="CI179" s="192"/>
      <c r="CJ179" s="192"/>
      <c r="CK179" s="197"/>
      <c r="CL179" s="197"/>
      <c r="CM179" s="192"/>
      <c r="CN179" s="116"/>
      <c r="CO179" s="100">
        <v>0.15</v>
      </c>
      <c r="CP179" s="100">
        <f>(CO179+CQ179)/2</f>
        <v>0.17499999999999999</v>
      </c>
      <c r="CQ179" s="100">
        <v>0.2</v>
      </c>
      <c r="CR179" s="101">
        <v>0.01</v>
      </c>
      <c r="CS179" s="101">
        <v>0.5</v>
      </c>
    </row>
    <row r="180" spans="1:97" s="101" customFormat="1" ht="18.75" hidden="1" thickBot="1" x14ac:dyDescent="0.3">
      <c r="A180" s="99"/>
      <c r="V180" s="103"/>
      <c r="AA180" s="104"/>
      <c r="AB180" s="104"/>
      <c r="AD180" s="104"/>
      <c r="AE180" s="105"/>
      <c r="AH180" s="106"/>
      <c r="AI180" s="106"/>
      <c r="AK180" s="104"/>
      <c r="AR180" s="104"/>
      <c r="AV180" s="104"/>
      <c r="AX180" s="104"/>
      <c r="BB180" s="104"/>
      <c r="BC180" s="104"/>
      <c r="BE180" s="104"/>
      <c r="BH180" s="99"/>
      <c r="BI180" s="190" t="s">
        <v>183</v>
      </c>
      <c r="BJ180" s="187" t="s">
        <v>49</v>
      </c>
      <c r="BK180" s="196">
        <v>6630</v>
      </c>
      <c r="BL180" s="187" t="s">
        <v>411</v>
      </c>
      <c r="BM180" s="189">
        <v>0.01</v>
      </c>
      <c r="BN180" s="189">
        <v>0.5</v>
      </c>
      <c r="BO180" s="188" t="s">
        <v>311</v>
      </c>
      <c r="BP180" s="187" t="s">
        <v>49</v>
      </c>
      <c r="BQ180" s="196">
        <v>7390</v>
      </c>
      <c r="BR180" s="187" t="s">
        <v>411</v>
      </c>
      <c r="BS180" s="189">
        <v>0.01</v>
      </c>
      <c r="BT180" s="189">
        <v>0.5</v>
      </c>
      <c r="BU180" s="188" t="s">
        <v>254</v>
      </c>
      <c r="BV180" s="102"/>
      <c r="BW180" s="102"/>
      <c r="BX180" s="102"/>
      <c r="BY180" s="102"/>
      <c r="BZ180" s="102"/>
      <c r="CA180" s="102"/>
      <c r="CB180" s="102"/>
      <c r="CC180" s="102"/>
      <c r="CD180" s="102"/>
      <c r="CE180" s="192"/>
      <c r="CF180" s="192"/>
      <c r="CG180" s="192"/>
      <c r="CH180" s="180"/>
      <c r="CI180" s="192"/>
      <c r="CJ180" s="192"/>
      <c r="CK180" s="180"/>
      <c r="CL180" s="180"/>
      <c r="CM180" s="192"/>
      <c r="CN180" s="116"/>
      <c r="CO180" s="100"/>
      <c r="CP180" s="100"/>
      <c r="CQ180" s="100"/>
      <c r="CR180" s="101">
        <v>0.01</v>
      </c>
      <c r="CS180" s="101">
        <v>0.5</v>
      </c>
    </row>
    <row r="181" spans="1:97" s="101" customFormat="1" ht="18.75" hidden="1" thickBot="1" x14ac:dyDescent="0.3">
      <c r="A181" s="99"/>
      <c r="V181" s="103"/>
      <c r="AA181" s="104"/>
      <c r="AB181" s="104"/>
      <c r="AD181" s="104"/>
      <c r="AE181" s="105"/>
      <c r="AH181" s="106"/>
      <c r="AI181" s="106"/>
      <c r="AK181" s="104"/>
      <c r="AR181" s="104"/>
      <c r="AV181" s="104"/>
      <c r="AX181" s="104"/>
      <c r="BB181" s="104"/>
      <c r="BC181" s="104"/>
      <c r="BE181" s="104"/>
      <c r="BH181" s="99"/>
      <c r="BI181" s="190" t="s">
        <v>394</v>
      </c>
      <c r="BJ181" s="187" t="s">
        <v>49</v>
      </c>
      <c r="BK181" s="196">
        <v>182</v>
      </c>
      <c r="BL181" s="187" t="s">
        <v>411</v>
      </c>
      <c r="BM181" s="189">
        <v>0.01</v>
      </c>
      <c r="BN181" s="189">
        <v>0.5</v>
      </c>
      <c r="BO181" s="188" t="s">
        <v>311</v>
      </c>
      <c r="BP181" s="187"/>
      <c r="BQ181" s="196"/>
      <c r="BR181" s="187"/>
      <c r="BS181" s="189"/>
      <c r="BT181" s="189"/>
      <c r="BU181" s="188"/>
      <c r="BV181" s="102"/>
      <c r="BW181" s="102"/>
      <c r="BX181" s="102"/>
      <c r="BY181" s="102"/>
      <c r="BZ181" s="102"/>
      <c r="CA181" s="102"/>
      <c r="CB181" s="102"/>
      <c r="CC181" s="102"/>
      <c r="CD181" s="102"/>
      <c r="CE181" s="192"/>
      <c r="CF181" s="192"/>
      <c r="CG181" s="192"/>
      <c r="CH181" s="180"/>
      <c r="CI181" s="192"/>
      <c r="CJ181" s="192"/>
      <c r="CK181" s="180"/>
      <c r="CL181" s="180"/>
      <c r="CM181" s="192"/>
      <c r="CN181" s="116"/>
      <c r="CO181" s="100"/>
      <c r="CP181" s="100"/>
      <c r="CQ181" s="100"/>
    </row>
    <row r="182" spans="1:97" s="101" customFormat="1" ht="105.75" hidden="1" thickBot="1" x14ac:dyDescent="0.3">
      <c r="A182" s="99"/>
      <c r="V182" s="103"/>
      <c r="AA182" s="104"/>
      <c r="AB182" s="104"/>
      <c r="AD182" s="104"/>
      <c r="AE182" s="105"/>
      <c r="AH182" s="106"/>
      <c r="AI182" s="106"/>
      <c r="AK182" s="104"/>
      <c r="AR182" s="104"/>
      <c r="AV182" s="104"/>
      <c r="AX182" s="104"/>
      <c r="BB182" s="104"/>
      <c r="BC182" s="104"/>
      <c r="BE182" s="104"/>
      <c r="BH182" s="99"/>
      <c r="BI182" s="190" t="s">
        <v>361</v>
      </c>
      <c r="BJ182" s="187" t="s">
        <v>49</v>
      </c>
      <c r="BK182" s="196">
        <v>3</v>
      </c>
      <c r="BL182" s="187" t="s">
        <v>411</v>
      </c>
      <c r="BM182" s="189">
        <v>0.01</v>
      </c>
      <c r="BN182" s="189">
        <v>0.5</v>
      </c>
      <c r="BO182" s="198" t="s">
        <v>312</v>
      </c>
      <c r="BP182" s="187" t="s">
        <v>49</v>
      </c>
      <c r="BQ182" s="196">
        <v>3</v>
      </c>
      <c r="BR182" s="187" t="s">
        <v>411</v>
      </c>
      <c r="BS182" s="189">
        <v>0.01</v>
      </c>
      <c r="BT182" s="189">
        <v>0.5</v>
      </c>
      <c r="BU182" s="188" t="s">
        <v>254</v>
      </c>
      <c r="BV182" s="102"/>
      <c r="BW182" s="102"/>
      <c r="BX182" s="102"/>
      <c r="BY182" s="102"/>
      <c r="BZ182" s="102"/>
      <c r="CA182" s="102"/>
      <c r="CB182" s="102"/>
      <c r="CC182" s="102"/>
      <c r="CD182" s="102"/>
      <c r="CE182" s="192"/>
      <c r="CF182" s="192"/>
      <c r="CG182" s="192"/>
      <c r="CH182" s="197"/>
      <c r="CI182" s="192"/>
      <c r="CJ182" s="192"/>
      <c r="CK182" s="197"/>
      <c r="CL182" s="197"/>
      <c r="CM182" s="192"/>
      <c r="CN182" s="116"/>
      <c r="CO182" s="100"/>
      <c r="CP182" s="100"/>
      <c r="CQ182" s="100"/>
      <c r="CR182" s="101">
        <v>0.01</v>
      </c>
      <c r="CS182" s="101">
        <v>0.5</v>
      </c>
    </row>
    <row r="183" spans="1:97" s="101" customFormat="1" ht="64.5" hidden="1" thickBot="1" x14ac:dyDescent="0.3">
      <c r="A183" s="99"/>
      <c r="V183" s="103"/>
      <c r="AA183" s="104"/>
      <c r="AB183" s="104"/>
      <c r="AD183" s="104"/>
      <c r="AE183" s="105"/>
      <c r="AH183" s="106"/>
      <c r="AI183" s="106"/>
      <c r="AK183" s="104"/>
      <c r="AR183" s="104"/>
      <c r="AV183" s="104"/>
      <c r="AX183" s="104"/>
      <c r="BB183" s="104"/>
      <c r="BC183" s="104"/>
      <c r="BE183" s="104"/>
      <c r="BH183" s="99"/>
      <c r="BI183" s="190" t="s">
        <v>362</v>
      </c>
      <c r="BJ183" s="187" t="s">
        <v>49</v>
      </c>
      <c r="BK183" s="196">
        <v>1</v>
      </c>
      <c r="BL183" s="187" t="s">
        <v>411</v>
      </c>
      <c r="BM183" s="189">
        <v>0.01</v>
      </c>
      <c r="BN183" s="189">
        <v>0.5</v>
      </c>
      <c r="BO183" s="188" t="s">
        <v>312</v>
      </c>
      <c r="BP183" s="187" t="s">
        <v>49</v>
      </c>
      <c r="BQ183" s="196">
        <v>3</v>
      </c>
      <c r="BR183" s="187" t="s">
        <v>411</v>
      </c>
      <c r="BS183" s="189">
        <v>0.01</v>
      </c>
      <c r="BT183" s="189">
        <v>0.5</v>
      </c>
      <c r="BU183" s="188" t="s">
        <v>254</v>
      </c>
      <c r="BV183" s="102"/>
      <c r="BW183" s="102"/>
      <c r="BX183" s="102"/>
      <c r="BY183" s="102"/>
      <c r="BZ183" s="102"/>
      <c r="CA183" s="102"/>
      <c r="CB183" s="102"/>
      <c r="CC183" s="102"/>
      <c r="CD183" s="102"/>
      <c r="CE183" s="192"/>
      <c r="CF183" s="192"/>
      <c r="CG183" s="192"/>
      <c r="CH183" s="197"/>
      <c r="CI183" s="192"/>
      <c r="CJ183" s="192"/>
      <c r="CK183" s="197"/>
      <c r="CL183" s="197"/>
      <c r="CM183" s="192"/>
      <c r="CN183" s="116"/>
      <c r="CO183" s="100"/>
      <c r="CP183" s="100"/>
      <c r="CQ183" s="100"/>
      <c r="CR183" s="101">
        <v>0.01</v>
      </c>
      <c r="CS183" s="101">
        <v>0.5</v>
      </c>
    </row>
    <row r="184" spans="1:97" s="101" customFormat="1" ht="18.75" hidden="1" thickBot="1" x14ac:dyDescent="0.3">
      <c r="A184" s="99"/>
      <c r="V184" s="103"/>
      <c r="AA184" s="104"/>
      <c r="AB184" s="104"/>
      <c r="AD184" s="104"/>
      <c r="AE184" s="105"/>
      <c r="AH184" s="106"/>
      <c r="AI184" s="106"/>
      <c r="AK184" s="104"/>
      <c r="AR184" s="104"/>
      <c r="AV184" s="104"/>
      <c r="AX184" s="104"/>
      <c r="BB184" s="104"/>
      <c r="BC184" s="104"/>
      <c r="BE184" s="104"/>
      <c r="BH184" s="99"/>
      <c r="BI184" s="190" t="s">
        <v>192</v>
      </c>
      <c r="BJ184" s="187" t="s">
        <v>49</v>
      </c>
      <c r="BK184" s="196">
        <v>6290</v>
      </c>
      <c r="BL184" s="187" t="s">
        <v>411</v>
      </c>
      <c r="BM184" s="189">
        <v>0.01</v>
      </c>
      <c r="BN184" s="189">
        <v>0.5</v>
      </c>
      <c r="BO184" s="188" t="s">
        <v>311</v>
      </c>
      <c r="BP184" s="187" t="s">
        <v>49</v>
      </c>
      <c r="BQ184" s="196">
        <v>7140</v>
      </c>
      <c r="BR184" s="187" t="s">
        <v>411</v>
      </c>
      <c r="BS184" s="189">
        <v>0.01</v>
      </c>
      <c r="BT184" s="189">
        <v>0.5</v>
      </c>
      <c r="BU184" s="188" t="s">
        <v>254</v>
      </c>
      <c r="BV184" s="102"/>
      <c r="BW184" s="102"/>
      <c r="BX184" s="102"/>
      <c r="BY184" s="102"/>
      <c r="BZ184" s="102"/>
      <c r="CA184" s="102"/>
      <c r="CB184" s="102"/>
      <c r="CC184" s="102"/>
      <c r="CD184" s="102"/>
      <c r="CE184" s="192"/>
      <c r="CF184" s="192"/>
      <c r="CG184" s="192"/>
      <c r="CH184" s="197"/>
      <c r="CI184" s="192"/>
      <c r="CJ184" s="192"/>
      <c r="CK184" s="197"/>
      <c r="CL184" s="197"/>
      <c r="CM184" s="192"/>
      <c r="CN184" s="116"/>
      <c r="CO184" s="100">
        <v>0.01</v>
      </c>
      <c r="CP184" s="100">
        <f>(CO184+CQ184)/2</f>
        <v>0.255</v>
      </c>
      <c r="CQ184" s="100">
        <v>0.5</v>
      </c>
      <c r="CR184" s="101">
        <v>0.01</v>
      </c>
      <c r="CS184" s="101">
        <v>0.5</v>
      </c>
    </row>
    <row r="185" spans="1:97" s="101" customFormat="1" ht="15.75" hidden="1" thickBot="1" x14ac:dyDescent="0.3">
      <c r="A185" s="99"/>
      <c r="V185" s="103"/>
      <c r="AA185" s="104"/>
      <c r="AB185" s="104"/>
      <c r="AD185" s="104"/>
      <c r="AE185" s="105"/>
      <c r="AH185" s="106"/>
      <c r="AI185" s="106"/>
      <c r="AK185" s="104"/>
      <c r="AR185" s="104"/>
      <c r="AV185" s="104"/>
      <c r="AX185" s="104"/>
      <c r="BB185" s="104"/>
      <c r="BC185" s="104"/>
      <c r="BE185" s="104"/>
      <c r="BH185" s="99"/>
      <c r="BI185" s="190"/>
      <c r="BJ185" s="187"/>
      <c r="BK185" s="196"/>
      <c r="BL185" s="187"/>
      <c r="BM185" s="189"/>
      <c r="BN185" s="189"/>
      <c r="BO185" s="188"/>
      <c r="BP185" s="187"/>
      <c r="BQ185" s="196"/>
      <c r="BR185" s="187"/>
      <c r="BS185" s="189"/>
      <c r="BT185" s="189"/>
      <c r="BU185" s="188"/>
      <c r="BV185" s="102"/>
      <c r="BW185" s="102"/>
      <c r="BX185" s="102"/>
      <c r="BY185" s="102"/>
      <c r="BZ185" s="102"/>
      <c r="CA185" s="102"/>
      <c r="CB185" s="102"/>
      <c r="CC185" s="102"/>
      <c r="CD185" s="102"/>
      <c r="CE185" s="192"/>
      <c r="CF185" s="192"/>
      <c r="CG185" s="192"/>
      <c r="CH185" s="180"/>
      <c r="CI185" s="192"/>
      <c r="CJ185" s="192"/>
      <c r="CK185" s="180"/>
      <c r="CL185" s="180"/>
      <c r="CM185" s="192"/>
      <c r="CN185" s="116"/>
      <c r="CO185" s="100"/>
      <c r="CP185" s="100"/>
      <c r="CQ185" s="100"/>
      <c r="CR185" s="101">
        <v>0.01</v>
      </c>
      <c r="CS185" s="101">
        <v>0.5</v>
      </c>
    </row>
    <row r="186" spans="1:97" s="101" customFormat="1" hidden="1" x14ac:dyDescent="0.25">
      <c r="A186" s="99"/>
      <c r="V186" s="103"/>
      <c r="AA186" s="104"/>
      <c r="AB186" s="104"/>
      <c r="AD186" s="104"/>
      <c r="AE186" s="105"/>
      <c r="AH186" s="106"/>
      <c r="AI186" s="106"/>
      <c r="AK186" s="104"/>
      <c r="AR186" s="104"/>
      <c r="AV186" s="104"/>
      <c r="AX186" s="104"/>
      <c r="BB186" s="104"/>
      <c r="BC186" s="104"/>
      <c r="BE186" s="104"/>
      <c r="BH186" s="99"/>
      <c r="BI186" s="102"/>
      <c r="BJ186" s="178"/>
      <c r="BK186" s="178"/>
      <c r="BL186" s="178"/>
      <c r="BM186" s="169"/>
      <c r="BN186" s="169"/>
      <c r="BO186" s="169"/>
      <c r="BP186" s="192"/>
      <c r="BQ186" s="192"/>
      <c r="BR186" s="192"/>
      <c r="BS186" s="192"/>
      <c r="BT186" s="192"/>
      <c r="BU186" s="192"/>
      <c r="BV186" s="178"/>
      <c r="BW186" s="192"/>
      <c r="BX186" s="192"/>
      <c r="BY186" s="178"/>
      <c r="BZ186" s="178"/>
      <c r="CA186" s="178"/>
      <c r="CB186" s="192"/>
      <c r="CC186" s="192"/>
      <c r="CD186" s="192"/>
      <c r="CE186" s="192"/>
      <c r="CF186" s="192"/>
      <c r="CG186" s="192"/>
      <c r="CH186" s="180"/>
      <c r="CI186" s="192"/>
      <c r="CJ186" s="192"/>
      <c r="CK186" s="180"/>
      <c r="CL186" s="180"/>
      <c r="CM186" s="192"/>
      <c r="CN186" s="116"/>
      <c r="CO186" s="100"/>
      <c r="CP186" s="100"/>
      <c r="CQ186" s="100"/>
    </row>
    <row r="187" spans="1:97" s="101" customFormat="1" hidden="1" x14ac:dyDescent="0.25">
      <c r="A187" s="99"/>
      <c r="V187" s="103"/>
      <c r="AA187" s="104"/>
      <c r="AB187" s="104"/>
      <c r="AD187" s="104"/>
      <c r="AE187" s="105"/>
      <c r="AH187" s="106"/>
      <c r="AI187" s="106"/>
      <c r="AK187" s="104"/>
      <c r="AR187" s="104"/>
      <c r="AV187" s="104"/>
      <c r="AX187" s="104"/>
      <c r="BB187" s="104"/>
      <c r="BC187" s="104"/>
      <c r="BE187" s="104"/>
      <c r="BH187" s="99"/>
      <c r="BI187" s="102"/>
      <c r="BJ187" s="178"/>
      <c r="BK187" s="178"/>
      <c r="BL187" s="178"/>
      <c r="BM187" s="169"/>
      <c r="BN187" s="169"/>
      <c r="BO187" s="169"/>
      <c r="BP187" s="178"/>
      <c r="BQ187" s="178"/>
      <c r="BR187" s="178"/>
      <c r="BS187" s="178"/>
      <c r="BT187" s="178"/>
      <c r="BU187" s="178"/>
      <c r="BV187" s="178"/>
      <c r="BW187" s="178"/>
      <c r="BX187" s="178"/>
      <c r="BY187" s="178"/>
      <c r="BZ187" s="178"/>
      <c r="CA187" s="178"/>
      <c r="CB187" s="180"/>
      <c r="CC187" s="178"/>
      <c r="CD187" s="178"/>
      <c r="CE187" s="180"/>
      <c r="CF187" s="180"/>
      <c r="CG187" s="180"/>
      <c r="CH187" s="180"/>
      <c r="CI187" s="178"/>
      <c r="CJ187" s="178"/>
      <c r="CK187" s="180"/>
      <c r="CL187" s="180"/>
      <c r="CM187" s="180"/>
      <c r="CN187" s="116"/>
      <c r="CO187" s="100"/>
      <c r="CP187" s="100"/>
      <c r="CQ187" s="100"/>
    </row>
    <row r="188" spans="1:97" s="101" customFormat="1" ht="33.75" hidden="1" customHeight="1" x14ac:dyDescent="0.25">
      <c r="A188" s="99"/>
      <c r="V188" s="103"/>
      <c r="AA188" s="104"/>
      <c r="AB188" s="104"/>
      <c r="AD188" s="104"/>
      <c r="AE188" s="105"/>
      <c r="AH188" s="106"/>
      <c r="AI188" s="106"/>
      <c r="AK188" s="104"/>
      <c r="AR188" s="104"/>
      <c r="AV188" s="104"/>
      <c r="AX188" s="104"/>
      <c r="BB188" s="104"/>
      <c r="BC188" s="104"/>
      <c r="BE188" s="104"/>
      <c r="BH188" s="99"/>
      <c r="BI188" s="1606" t="s">
        <v>250</v>
      </c>
      <c r="BJ188" s="251"/>
      <c r="BK188" s="1606" t="s">
        <v>276</v>
      </c>
      <c r="BL188" s="251"/>
      <c r="BM188" s="1606" t="s">
        <v>233</v>
      </c>
      <c r="BN188" s="1606" t="s">
        <v>233</v>
      </c>
      <c r="BO188" s="1606" t="s">
        <v>240</v>
      </c>
      <c r="BP188" s="251"/>
      <c r="BQ188" s="1606" t="s">
        <v>276</v>
      </c>
      <c r="BR188" s="251"/>
      <c r="BS188" s="1606" t="s">
        <v>233</v>
      </c>
      <c r="BT188" s="1606" t="s">
        <v>233</v>
      </c>
      <c r="BU188" s="1606" t="s">
        <v>240</v>
      </c>
      <c r="BV188" s="178"/>
      <c r="BW188" s="178"/>
      <c r="BX188" s="178"/>
      <c r="BY188" s="178"/>
      <c r="BZ188" s="178"/>
      <c r="CA188" s="178"/>
      <c r="CB188" s="180"/>
      <c r="CC188" s="178"/>
      <c r="CD188" s="178"/>
      <c r="CE188" s="180"/>
      <c r="CF188" s="180"/>
      <c r="CG188" s="180"/>
      <c r="CH188" s="180"/>
      <c r="CI188" s="178"/>
      <c r="CJ188" s="178"/>
      <c r="CK188" s="180"/>
      <c r="CL188" s="180"/>
      <c r="CM188" s="180"/>
      <c r="CN188" s="116"/>
      <c r="CO188" s="100"/>
      <c r="CP188" s="100"/>
      <c r="CQ188" s="100"/>
    </row>
    <row r="189" spans="1:97" s="101" customFormat="1" ht="37.5" hidden="1" customHeight="1" x14ac:dyDescent="0.25">
      <c r="A189" s="99"/>
      <c r="V189" s="103"/>
      <c r="AA189" s="104"/>
      <c r="AB189" s="104"/>
      <c r="AD189" s="104"/>
      <c r="AE189" s="105"/>
      <c r="AH189" s="106"/>
      <c r="AI189" s="106"/>
      <c r="AK189" s="104"/>
      <c r="AR189" s="104"/>
      <c r="AV189" s="104"/>
      <c r="AX189" s="104"/>
      <c r="BB189" s="104"/>
      <c r="BC189" s="104"/>
      <c r="BE189" s="104"/>
      <c r="BH189" s="99"/>
      <c r="BI189" s="1607"/>
      <c r="BJ189" s="252" t="s">
        <v>253</v>
      </c>
      <c r="BK189" s="1607"/>
      <c r="BL189" s="252" t="s">
        <v>251</v>
      </c>
      <c r="BM189" s="1607"/>
      <c r="BN189" s="1607"/>
      <c r="BO189" s="1607"/>
      <c r="BP189" s="252" t="s">
        <v>253</v>
      </c>
      <c r="BQ189" s="1607"/>
      <c r="BR189" s="252" t="s">
        <v>251</v>
      </c>
      <c r="BS189" s="1607"/>
      <c r="BT189" s="1607"/>
      <c r="BU189" s="1607"/>
      <c r="BV189" s="178"/>
      <c r="BW189" s="178"/>
      <c r="BX189" s="178"/>
      <c r="BY189" s="178"/>
      <c r="BZ189" s="178"/>
      <c r="CA189" s="178"/>
      <c r="CB189" s="180"/>
      <c r="CC189" s="178"/>
      <c r="CD189" s="178"/>
      <c r="CE189" s="180"/>
      <c r="CF189" s="180"/>
      <c r="CG189" s="180"/>
      <c r="CH189" s="180"/>
      <c r="CI189" s="178"/>
      <c r="CJ189" s="178"/>
      <c r="CK189" s="180"/>
      <c r="CL189" s="180"/>
      <c r="CM189" s="180"/>
      <c r="CN189" s="116"/>
      <c r="CO189" s="100">
        <v>0.01</v>
      </c>
      <c r="CP189" s="100">
        <f>(CO189+CQ189)/2</f>
        <v>0.255</v>
      </c>
      <c r="CQ189" s="100">
        <v>0.5</v>
      </c>
    </row>
    <row r="190" spans="1:97" s="101" customFormat="1" ht="18.75" hidden="1" thickBot="1" x14ac:dyDescent="0.3">
      <c r="A190" s="99"/>
      <c r="V190" s="103"/>
      <c r="AA190" s="104"/>
      <c r="AB190" s="104"/>
      <c r="AD190" s="104"/>
      <c r="AE190" s="105"/>
      <c r="AH190" s="106"/>
      <c r="AI190" s="106"/>
      <c r="AK190" s="104"/>
      <c r="AR190" s="104"/>
      <c r="AV190" s="104"/>
      <c r="AX190" s="104"/>
      <c r="BB190" s="104"/>
      <c r="BC190" s="104"/>
      <c r="BE190" s="104"/>
      <c r="BH190" s="99"/>
      <c r="BI190" s="190" t="s">
        <v>373</v>
      </c>
      <c r="BJ190" s="187" t="s">
        <v>49</v>
      </c>
      <c r="BK190" s="196">
        <v>1</v>
      </c>
      <c r="BL190" s="187" t="s">
        <v>411</v>
      </c>
      <c r="BM190" s="189">
        <v>0.01</v>
      </c>
      <c r="BN190" s="189">
        <v>0.5</v>
      </c>
      <c r="BO190" s="188" t="s">
        <v>311</v>
      </c>
      <c r="BP190" s="187" t="s">
        <v>49</v>
      </c>
      <c r="BQ190" s="196">
        <v>1</v>
      </c>
      <c r="BR190" s="187" t="s">
        <v>411</v>
      </c>
      <c r="BS190" s="189">
        <v>0.01</v>
      </c>
      <c r="BT190" s="189">
        <v>0.5</v>
      </c>
      <c r="BU190" s="188" t="s">
        <v>254</v>
      </c>
      <c r="BV190" s="178"/>
      <c r="BW190" s="178"/>
      <c r="BX190" s="178"/>
      <c r="BY190" s="178"/>
      <c r="BZ190" s="178"/>
      <c r="CA190" s="178"/>
      <c r="CB190" s="180"/>
      <c r="CC190" s="178"/>
      <c r="CD190" s="178"/>
      <c r="CE190" s="180"/>
      <c r="CF190" s="180"/>
      <c r="CG190" s="180"/>
      <c r="CH190" s="180"/>
      <c r="CI190" s="178"/>
      <c r="CJ190" s="178"/>
      <c r="CK190" s="180"/>
      <c r="CL190" s="180"/>
      <c r="CM190" s="180"/>
      <c r="CN190" s="116"/>
      <c r="CO190" s="100"/>
      <c r="CP190" s="100"/>
      <c r="CQ190" s="100"/>
      <c r="CR190" s="101">
        <v>0.01</v>
      </c>
      <c r="CS190" s="101">
        <v>0.5</v>
      </c>
    </row>
    <row r="191" spans="1:97" s="101" customFormat="1" ht="18.75" hidden="1" thickBot="1" x14ac:dyDescent="0.3">
      <c r="A191" s="99"/>
      <c r="V191" s="103"/>
      <c r="AA191" s="104"/>
      <c r="AB191" s="104"/>
      <c r="AD191" s="104"/>
      <c r="AE191" s="105"/>
      <c r="AH191" s="106"/>
      <c r="AI191" s="106"/>
      <c r="AK191" s="104"/>
      <c r="AR191" s="104"/>
      <c r="AV191" s="104"/>
      <c r="AX191" s="104"/>
      <c r="BB191" s="104"/>
      <c r="BC191" s="104"/>
      <c r="BE191" s="104"/>
      <c r="BH191" s="99"/>
      <c r="BI191" s="190" t="s">
        <v>374</v>
      </c>
      <c r="BJ191" s="187" t="s">
        <v>49</v>
      </c>
      <c r="BK191" s="196">
        <v>79</v>
      </c>
      <c r="BL191" s="187" t="s">
        <v>411</v>
      </c>
      <c r="BM191" s="189">
        <v>0.01</v>
      </c>
      <c r="BN191" s="189">
        <v>0.5</v>
      </c>
      <c r="BO191" s="188" t="s">
        <v>311</v>
      </c>
      <c r="BP191" s="187" t="s">
        <v>49</v>
      </c>
      <c r="BQ191" s="196">
        <v>77</v>
      </c>
      <c r="BR191" s="187" t="s">
        <v>411</v>
      </c>
      <c r="BS191" s="189">
        <v>0.01</v>
      </c>
      <c r="BT191" s="189">
        <v>0.5</v>
      </c>
      <c r="BU191" s="188" t="s">
        <v>254</v>
      </c>
      <c r="BV191" s="178"/>
      <c r="BW191" s="178"/>
      <c r="BX191" s="178"/>
      <c r="BY191" s="178"/>
      <c r="BZ191" s="178"/>
      <c r="CA191" s="178"/>
      <c r="CB191" s="178"/>
      <c r="CC191" s="178"/>
      <c r="CD191" s="178"/>
      <c r="CE191" s="178"/>
      <c r="CF191" s="178"/>
      <c r="CG191" s="178"/>
      <c r="CH191" s="178"/>
      <c r="CI191" s="178"/>
      <c r="CJ191" s="178"/>
      <c r="CK191" s="178"/>
      <c r="CL191" s="178"/>
      <c r="CM191" s="178"/>
      <c r="CN191" s="116"/>
      <c r="CO191" s="100"/>
      <c r="CP191" s="100"/>
      <c r="CQ191" s="100"/>
      <c r="CR191" s="101">
        <v>0.01</v>
      </c>
      <c r="CS191" s="101">
        <v>0.5</v>
      </c>
    </row>
    <row r="192" spans="1:97" s="101" customFormat="1" hidden="1" x14ac:dyDescent="0.25">
      <c r="A192" s="99"/>
      <c r="V192" s="103"/>
      <c r="AA192" s="104"/>
      <c r="AB192" s="104"/>
      <c r="AD192" s="104"/>
      <c r="AE192" s="105"/>
      <c r="AH192" s="106"/>
      <c r="AI192" s="106"/>
      <c r="AK192" s="104"/>
      <c r="AR192" s="104"/>
      <c r="AV192" s="104"/>
      <c r="AX192" s="104"/>
      <c r="BB192" s="104"/>
      <c r="BC192" s="104"/>
      <c r="BE192" s="104"/>
      <c r="BH192" s="99"/>
      <c r="BI192" s="102"/>
      <c r="BJ192" s="178"/>
      <c r="BK192" s="178"/>
      <c r="BL192" s="178"/>
      <c r="BM192" s="169"/>
      <c r="BN192" s="169"/>
      <c r="BO192" s="169"/>
      <c r="BP192" s="178"/>
      <c r="BQ192" s="178"/>
      <c r="BR192" s="178"/>
      <c r="BS192" s="178"/>
      <c r="BT192" s="178"/>
      <c r="BU192" s="178"/>
      <c r="BV192" s="180"/>
      <c r="BW192" s="178"/>
      <c r="BX192" s="178"/>
      <c r="BY192" s="180"/>
      <c r="BZ192" s="180"/>
      <c r="CA192" s="180"/>
      <c r="CB192" s="178"/>
      <c r="CC192" s="178"/>
      <c r="CD192" s="178"/>
      <c r="CE192" s="178"/>
      <c r="CF192" s="178"/>
      <c r="CG192" s="178"/>
      <c r="CH192" s="178"/>
      <c r="CI192" s="178"/>
      <c r="CJ192" s="178"/>
      <c r="CK192" s="178"/>
      <c r="CL192" s="178"/>
      <c r="CM192" s="178"/>
      <c r="CN192" s="118"/>
      <c r="CO192" s="100"/>
      <c r="CP192" s="100"/>
      <c r="CQ192" s="100"/>
    </row>
    <row r="193" spans="1:97" s="101" customFormat="1" hidden="1" x14ac:dyDescent="0.25">
      <c r="A193" s="99"/>
      <c r="V193" s="103"/>
      <c r="AA193" s="104"/>
      <c r="AB193" s="104"/>
      <c r="AD193" s="104"/>
      <c r="AE193" s="105"/>
      <c r="AH193" s="106"/>
      <c r="AI193" s="106"/>
      <c r="AK193" s="104"/>
      <c r="AR193" s="104"/>
      <c r="AV193" s="104"/>
      <c r="AX193" s="104"/>
      <c r="BB193" s="104"/>
      <c r="BC193" s="104"/>
      <c r="BE193" s="104"/>
      <c r="BH193" s="99"/>
      <c r="BI193" s="102"/>
      <c r="BJ193" s="178"/>
      <c r="BK193" s="178"/>
      <c r="BL193" s="178"/>
      <c r="BM193" s="169"/>
      <c r="BN193" s="169"/>
      <c r="BO193" s="169"/>
      <c r="BP193" s="178"/>
      <c r="BQ193" s="178"/>
      <c r="BR193" s="178"/>
      <c r="BS193" s="178"/>
      <c r="BT193" s="178"/>
      <c r="BU193" s="178"/>
      <c r="BV193" s="180"/>
      <c r="BW193" s="178"/>
      <c r="BX193" s="178"/>
      <c r="BY193" s="180"/>
      <c r="BZ193" s="180"/>
      <c r="CA193" s="180"/>
      <c r="CB193" s="178"/>
      <c r="CC193" s="178"/>
      <c r="CD193" s="178"/>
      <c r="CE193" s="178"/>
      <c r="CF193" s="178"/>
      <c r="CG193" s="178"/>
      <c r="CH193" s="178"/>
      <c r="CI193" s="178"/>
      <c r="CJ193" s="178"/>
      <c r="CK193" s="178"/>
      <c r="CL193" s="178"/>
      <c r="CM193" s="178"/>
      <c r="CN193" s="118"/>
      <c r="CO193" s="100"/>
      <c r="CP193" s="100"/>
      <c r="CQ193" s="100"/>
    </row>
    <row r="194" spans="1:97" s="101" customFormat="1" hidden="1" x14ac:dyDescent="0.25">
      <c r="A194" s="99"/>
      <c r="V194" s="103"/>
      <c r="AA194" s="104"/>
      <c r="AB194" s="104"/>
      <c r="AD194" s="104"/>
      <c r="AE194" s="105"/>
      <c r="AH194" s="106"/>
      <c r="AI194" s="106"/>
      <c r="AK194" s="104"/>
      <c r="AR194" s="104"/>
      <c r="AV194" s="104"/>
      <c r="AX194" s="104"/>
      <c r="BB194" s="104"/>
      <c r="BC194" s="104"/>
      <c r="BE194" s="104"/>
      <c r="BH194" s="99"/>
      <c r="BI194" s="1606" t="s">
        <v>249</v>
      </c>
      <c r="BJ194" s="251"/>
      <c r="BK194" s="1606" t="s">
        <v>277</v>
      </c>
      <c r="BL194" s="251"/>
      <c r="BM194" s="1606" t="s">
        <v>233</v>
      </c>
      <c r="BN194" s="1606" t="s">
        <v>233</v>
      </c>
      <c r="BO194" s="1606" t="s">
        <v>240</v>
      </c>
      <c r="BP194" s="178"/>
      <c r="BQ194" s="178"/>
      <c r="BR194" s="178"/>
      <c r="BS194" s="178"/>
      <c r="BT194" s="178"/>
      <c r="BU194" s="178"/>
      <c r="BV194" s="180"/>
      <c r="BW194" s="178"/>
      <c r="BX194" s="178"/>
      <c r="BY194" s="180"/>
      <c r="BZ194" s="180"/>
      <c r="CA194" s="180"/>
      <c r="CB194" s="199"/>
      <c r="CC194" s="178"/>
      <c r="CD194" s="178"/>
      <c r="CE194" s="199"/>
      <c r="CF194" s="199"/>
      <c r="CG194" s="199"/>
      <c r="CH194" s="199"/>
      <c r="CI194" s="178"/>
      <c r="CJ194" s="178"/>
      <c r="CK194" s="199"/>
      <c r="CL194" s="199"/>
      <c r="CM194" s="199"/>
      <c r="CN194" s="118"/>
      <c r="CO194" s="100"/>
      <c r="CP194" s="100"/>
      <c r="CQ194" s="100"/>
    </row>
    <row r="195" spans="1:97" s="101" customFormat="1" ht="49.5" hidden="1" customHeight="1" x14ac:dyDescent="0.25">
      <c r="A195" s="99"/>
      <c r="V195" s="103"/>
      <c r="AA195" s="104"/>
      <c r="AB195" s="104"/>
      <c r="AD195" s="104"/>
      <c r="AE195" s="105"/>
      <c r="AH195" s="106"/>
      <c r="AI195" s="106"/>
      <c r="AK195" s="104"/>
      <c r="AR195" s="104"/>
      <c r="AV195" s="104"/>
      <c r="AX195" s="104"/>
      <c r="BB195" s="104"/>
      <c r="BC195" s="104"/>
      <c r="BE195" s="104"/>
      <c r="BH195" s="99"/>
      <c r="BI195" s="1607"/>
      <c r="BJ195" s="252" t="s">
        <v>253</v>
      </c>
      <c r="BK195" s="1607"/>
      <c r="BL195" s="252" t="s">
        <v>251</v>
      </c>
      <c r="BM195" s="1607"/>
      <c r="BN195" s="1607"/>
      <c r="BO195" s="1607"/>
      <c r="BP195" s="178"/>
      <c r="BQ195" s="178"/>
      <c r="BR195" s="178"/>
      <c r="BS195" s="178"/>
      <c r="BT195" s="178"/>
      <c r="BU195" s="178"/>
      <c r="BV195" s="180"/>
      <c r="BW195" s="178"/>
      <c r="BX195" s="178"/>
      <c r="BY195" s="180"/>
      <c r="BZ195" s="180"/>
      <c r="CA195" s="180"/>
      <c r="CB195" s="199"/>
      <c r="CC195" s="178"/>
      <c r="CD195" s="178"/>
      <c r="CE195" s="199"/>
      <c r="CF195" s="199"/>
      <c r="CG195" s="199"/>
      <c r="CH195" s="199"/>
      <c r="CI195" s="178"/>
      <c r="CJ195" s="178"/>
      <c r="CK195" s="199"/>
      <c r="CL195" s="199"/>
      <c r="CM195" s="199"/>
      <c r="CN195" s="118"/>
      <c r="CO195" s="100"/>
      <c r="CP195" s="100"/>
      <c r="CQ195" s="100"/>
    </row>
    <row r="196" spans="1:97" s="101" customFormat="1" ht="15.75" hidden="1" thickBot="1" x14ac:dyDescent="0.3">
      <c r="A196" s="99"/>
      <c r="V196" s="103"/>
      <c r="AA196" s="104"/>
      <c r="AB196" s="104"/>
      <c r="AD196" s="104"/>
      <c r="AE196" s="105"/>
      <c r="AH196" s="106"/>
      <c r="AI196" s="106"/>
      <c r="AK196" s="104"/>
      <c r="AR196" s="104"/>
      <c r="AV196" s="104"/>
      <c r="AX196" s="104"/>
      <c r="BB196" s="104"/>
      <c r="BC196" s="104"/>
      <c r="BE196" s="104"/>
      <c r="BH196" s="99"/>
      <c r="BI196" s="190" t="s">
        <v>256</v>
      </c>
      <c r="BJ196" s="187" t="s">
        <v>75</v>
      </c>
      <c r="BK196" s="196">
        <v>1.7829504000000003E-3</v>
      </c>
      <c r="BL196" s="187" t="s">
        <v>278</v>
      </c>
      <c r="BM196" s="189">
        <v>0.01</v>
      </c>
      <c r="BN196" s="189">
        <v>0.5</v>
      </c>
      <c r="BO196" s="188" t="s">
        <v>258</v>
      </c>
      <c r="BP196" s="178"/>
      <c r="BQ196" s="178"/>
      <c r="BR196" s="178"/>
      <c r="BS196" s="178"/>
      <c r="BT196" s="178"/>
      <c r="BU196" s="178"/>
      <c r="BV196" s="180"/>
      <c r="BW196" s="178"/>
      <c r="BX196" s="178"/>
      <c r="BY196" s="180"/>
      <c r="BZ196" s="180"/>
      <c r="CA196" s="180"/>
      <c r="CB196" s="180"/>
      <c r="CC196" s="178"/>
      <c r="CD196" s="178"/>
      <c r="CE196" s="180"/>
      <c r="CF196" s="180"/>
      <c r="CG196" s="180"/>
      <c r="CH196" s="180"/>
      <c r="CI196" s="178"/>
      <c r="CJ196" s="178"/>
      <c r="CK196" s="180"/>
      <c r="CL196" s="180"/>
      <c r="CM196" s="180"/>
      <c r="CN196" s="116"/>
      <c r="CO196" s="218">
        <f>BM196</f>
        <v>0.01</v>
      </c>
      <c r="CP196" s="100">
        <f>(CO196+CQ196)/2</f>
        <v>0.255</v>
      </c>
      <c r="CQ196" s="218">
        <f>BN196</f>
        <v>0.5</v>
      </c>
      <c r="CR196" s="101">
        <v>0.15</v>
      </c>
      <c r="CS196" s="101">
        <v>0.2</v>
      </c>
    </row>
    <row r="197" spans="1:97" s="101" customFormat="1" ht="15.75" hidden="1" thickBot="1" x14ac:dyDescent="0.3">
      <c r="A197" s="99"/>
      <c r="V197" s="103"/>
      <c r="AA197" s="104"/>
      <c r="AB197" s="104"/>
      <c r="AD197" s="104"/>
      <c r="AE197" s="105"/>
      <c r="AH197" s="106"/>
      <c r="AI197" s="106"/>
      <c r="AK197" s="104"/>
      <c r="AR197" s="104"/>
      <c r="AV197" s="104"/>
      <c r="AX197" s="104"/>
      <c r="BB197" s="104"/>
      <c r="BC197" s="104"/>
      <c r="BE197" s="104"/>
      <c r="BH197" s="99"/>
      <c r="BI197" s="190" t="s">
        <v>257</v>
      </c>
      <c r="BJ197" s="187" t="s">
        <v>49</v>
      </c>
      <c r="BK197" s="196">
        <v>5.8960000000000013E-4</v>
      </c>
      <c r="BL197" s="187" t="s">
        <v>259</v>
      </c>
      <c r="BM197" s="189">
        <v>0.01</v>
      </c>
      <c r="BN197" s="189">
        <v>0.5</v>
      </c>
      <c r="BO197" s="188" t="s">
        <v>258</v>
      </c>
      <c r="BP197" s="178"/>
      <c r="BQ197" s="178"/>
      <c r="BR197" s="178"/>
      <c r="BS197" s="178"/>
      <c r="BT197" s="178"/>
      <c r="BU197" s="178"/>
      <c r="BV197" s="180"/>
      <c r="BW197" s="178"/>
      <c r="BX197" s="178"/>
      <c r="BY197" s="180"/>
      <c r="BZ197" s="180"/>
      <c r="CA197" s="180"/>
      <c r="CB197" s="180"/>
      <c r="CC197" s="178"/>
      <c r="CD197" s="178"/>
      <c r="CE197" s="180"/>
      <c r="CF197" s="180"/>
      <c r="CG197" s="180"/>
      <c r="CH197" s="180"/>
      <c r="CI197" s="178"/>
      <c r="CJ197" s="178"/>
      <c r="CK197" s="180"/>
      <c r="CL197" s="180"/>
      <c r="CM197" s="180"/>
      <c r="CN197" s="116"/>
      <c r="CO197" s="218">
        <f t="shared" ref="CO197:CO260" si="106">BM197</f>
        <v>0.01</v>
      </c>
      <c r="CP197" s="100">
        <f t="shared" ref="CP197:CP260" si="107">(CO197+CQ197)/2</f>
        <v>0.255</v>
      </c>
      <c r="CQ197" s="218">
        <f t="shared" ref="CQ197:CQ260" si="108">BN197</f>
        <v>0.5</v>
      </c>
      <c r="CR197" s="101">
        <v>0.15</v>
      </c>
      <c r="CS197" s="101">
        <v>0.2</v>
      </c>
    </row>
    <row r="198" spans="1:97" s="101" customFormat="1" hidden="1" x14ac:dyDescent="0.25">
      <c r="A198" s="99"/>
      <c r="V198" s="103"/>
      <c r="AA198" s="104"/>
      <c r="AB198" s="104"/>
      <c r="AD198" s="104"/>
      <c r="AE198" s="105"/>
      <c r="AH198" s="106"/>
      <c r="AI198" s="106"/>
      <c r="AK198" s="104"/>
      <c r="AR198" s="104"/>
      <c r="AV198" s="104"/>
      <c r="AX198" s="104"/>
      <c r="BB198" s="104"/>
      <c r="BC198" s="104"/>
      <c r="BE198" s="104"/>
      <c r="BH198" s="99"/>
      <c r="BI198" s="102"/>
      <c r="BJ198" s="178"/>
      <c r="BK198" s="178"/>
      <c r="BL198" s="178"/>
      <c r="BM198" s="169"/>
      <c r="BN198" s="169"/>
      <c r="BO198" s="169"/>
      <c r="BP198" s="178"/>
      <c r="BQ198" s="178"/>
      <c r="BR198" s="178"/>
      <c r="BS198" s="178"/>
      <c r="BT198" s="178"/>
      <c r="BU198" s="178"/>
      <c r="BV198" s="180"/>
      <c r="BW198" s="178"/>
      <c r="BX198" s="178"/>
      <c r="BY198" s="180"/>
      <c r="BZ198" s="180"/>
      <c r="CA198" s="180"/>
      <c r="CB198" s="180"/>
      <c r="CC198" s="178"/>
      <c r="CD198" s="178"/>
      <c r="CE198" s="180"/>
      <c r="CF198" s="180"/>
      <c r="CG198" s="180"/>
      <c r="CH198" s="180"/>
      <c r="CI198" s="178"/>
      <c r="CJ198" s="178"/>
      <c r="CK198" s="180"/>
      <c r="CL198" s="180"/>
      <c r="CM198" s="180"/>
      <c r="CN198" s="116"/>
      <c r="CO198" s="218">
        <f t="shared" si="106"/>
        <v>0</v>
      </c>
      <c r="CP198" s="100">
        <f t="shared" si="107"/>
        <v>0</v>
      </c>
      <c r="CQ198" s="218">
        <f t="shared" si="108"/>
        <v>0</v>
      </c>
    </row>
    <row r="199" spans="1:97" s="101" customFormat="1" hidden="1" x14ac:dyDescent="0.25">
      <c r="A199" s="99"/>
      <c r="V199" s="103"/>
      <c r="AA199" s="104"/>
      <c r="AB199" s="104"/>
      <c r="AD199" s="104"/>
      <c r="AE199" s="105"/>
      <c r="AH199" s="106"/>
      <c r="AI199" s="106"/>
      <c r="AK199" s="104"/>
      <c r="AR199" s="104"/>
      <c r="AV199" s="104"/>
      <c r="AX199" s="104"/>
      <c r="BB199" s="104"/>
      <c r="BC199" s="104"/>
      <c r="BE199" s="104"/>
      <c r="BH199" s="99"/>
      <c r="BI199" s="102"/>
      <c r="BJ199" s="178"/>
      <c r="BK199" s="178"/>
      <c r="BL199" s="178"/>
      <c r="BM199" s="169"/>
      <c r="BN199" s="169"/>
      <c r="BO199" s="169"/>
      <c r="BP199" s="178"/>
      <c r="BQ199" s="178"/>
      <c r="BR199" s="178"/>
      <c r="BS199" s="178"/>
      <c r="BT199" s="178"/>
      <c r="BU199" s="178"/>
      <c r="BV199" s="180"/>
      <c r="BW199" s="178"/>
      <c r="BX199" s="178"/>
      <c r="BY199" s="180"/>
      <c r="BZ199" s="180"/>
      <c r="CA199" s="180"/>
      <c r="CB199" s="180"/>
      <c r="CC199" s="178"/>
      <c r="CD199" s="178"/>
      <c r="CE199" s="180"/>
      <c r="CF199" s="180"/>
      <c r="CG199" s="180"/>
      <c r="CH199" s="180"/>
      <c r="CI199" s="178"/>
      <c r="CJ199" s="178"/>
      <c r="CK199" s="180"/>
      <c r="CL199" s="180"/>
      <c r="CM199" s="180"/>
      <c r="CN199" s="116"/>
      <c r="CO199" s="218">
        <f t="shared" si="106"/>
        <v>0</v>
      </c>
      <c r="CP199" s="100">
        <f t="shared" si="107"/>
        <v>0</v>
      </c>
      <c r="CQ199" s="218">
        <f t="shared" si="108"/>
        <v>0</v>
      </c>
    </row>
    <row r="200" spans="1:97" s="101" customFormat="1" hidden="1" x14ac:dyDescent="0.25">
      <c r="A200" s="99"/>
      <c r="V200" s="103"/>
      <c r="AA200" s="104"/>
      <c r="AB200" s="104"/>
      <c r="AD200" s="104"/>
      <c r="AE200" s="105"/>
      <c r="AH200" s="106"/>
      <c r="AI200" s="106"/>
      <c r="AK200" s="104"/>
      <c r="AR200" s="104"/>
      <c r="AV200" s="104"/>
      <c r="AX200" s="104"/>
      <c r="BB200" s="104"/>
      <c r="BC200" s="104"/>
      <c r="BE200" s="104"/>
      <c r="BH200" s="99"/>
      <c r="BI200" s="1606" t="s">
        <v>171</v>
      </c>
      <c r="BJ200" s="251"/>
      <c r="BK200" s="1606" t="s">
        <v>276</v>
      </c>
      <c r="BL200" s="251"/>
      <c r="BM200" s="1606" t="s">
        <v>233</v>
      </c>
      <c r="BN200" s="1606" t="s">
        <v>233</v>
      </c>
      <c r="BO200" s="1606" t="s">
        <v>240</v>
      </c>
      <c r="BP200" s="178"/>
      <c r="BQ200" s="178"/>
      <c r="BR200" s="178"/>
      <c r="BS200" s="178"/>
      <c r="BT200" s="178"/>
      <c r="BU200" s="178"/>
      <c r="BV200" s="180"/>
      <c r="BW200" s="178"/>
      <c r="BX200" s="178"/>
      <c r="BY200" s="180"/>
      <c r="BZ200" s="180"/>
      <c r="CA200" s="180"/>
      <c r="CB200" s="180"/>
      <c r="CC200" s="178"/>
      <c r="CD200" s="178"/>
      <c r="CE200" s="180"/>
      <c r="CF200" s="180"/>
      <c r="CG200" s="180"/>
      <c r="CH200" s="180"/>
      <c r="CI200" s="178"/>
      <c r="CJ200" s="178"/>
      <c r="CK200" s="180"/>
      <c r="CL200" s="180"/>
      <c r="CM200" s="180"/>
      <c r="CN200" s="116"/>
      <c r="CO200" s="218" t="str">
        <f t="shared" si="106"/>
        <v>Incertidumbre (+/- %)</v>
      </c>
      <c r="CP200" s="100" t="e">
        <f t="shared" si="107"/>
        <v>#VALUE!</v>
      </c>
      <c r="CQ200" s="218" t="str">
        <f t="shared" si="108"/>
        <v>Incertidumbre (+/- %)</v>
      </c>
    </row>
    <row r="201" spans="1:97" s="101" customFormat="1" ht="41.25" hidden="1" customHeight="1" x14ac:dyDescent="0.25">
      <c r="A201" s="99"/>
      <c r="V201" s="103"/>
      <c r="AA201" s="104"/>
      <c r="AB201" s="104"/>
      <c r="AD201" s="104"/>
      <c r="AE201" s="105"/>
      <c r="AH201" s="106"/>
      <c r="AI201" s="106"/>
      <c r="AK201" s="104"/>
      <c r="AR201" s="104"/>
      <c r="AV201" s="104"/>
      <c r="AX201" s="104"/>
      <c r="BB201" s="104"/>
      <c r="BC201" s="104"/>
      <c r="BE201" s="104"/>
      <c r="BH201" s="99"/>
      <c r="BI201" s="1607"/>
      <c r="BJ201" s="252" t="s">
        <v>253</v>
      </c>
      <c r="BK201" s="1607"/>
      <c r="BL201" s="252" t="s">
        <v>251</v>
      </c>
      <c r="BM201" s="1607"/>
      <c r="BN201" s="1607"/>
      <c r="BO201" s="1607"/>
      <c r="BP201" s="178"/>
      <c r="BQ201" s="178"/>
      <c r="BR201" s="178"/>
      <c r="BS201" s="178"/>
      <c r="BT201" s="178"/>
      <c r="BU201" s="178"/>
      <c r="BV201" s="180"/>
      <c r="BW201" s="178"/>
      <c r="BX201" s="178"/>
      <c r="BY201" s="180"/>
      <c r="BZ201" s="180"/>
      <c r="CA201" s="180"/>
      <c r="CB201" s="180"/>
      <c r="CC201" s="178"/>
      <c r="CD201" s="178"/>
      <c r="CE201" s="180"/>
      <c r="CF201" s="180"/>
      <c r="CG201" s="180"/>
      <c r="CH201" s="180"/>
      <c r="CI201" s="178"/>
      <c r="CJ201" s="178"/>
      <c r="CK201" s="180"/>
      <c r="CL201" s="180"/>
      <c r="CM201" s="180"/>
      <c r="CN201" s="116"/>
      <c r="CO201" s="218">
        <f t="shared" si="106"/>
        <v>0</v>
      </c>
      <c r="CP201" s="100">
        <f t="shared" si="107"/>
        <v>0</v>
      </c>
      <c r="CQ201" s="218">
        <f t="shared" si="108"/>
        <v>0</v>
      </c>
    </row>
    <row r="202" spans="1:97" s="101" customFormat="1" ht="18.75" hidden="1" thickBot="1" x14ac:dyDescent="0.3">
      <c r="A202" s="99"/>
      <c r="V202" s="103"/>
      <c r="AA202" s="104"/>
      <c r="AB202" s="104"/>
      <c r="AD202" s="104"/>
      <c r="AE202" s="105"/>
      <c r="AH202" s="106"/>
      <c r="AI202" s="106"/>
      <c r="AK202" s="104"/>
      <c r="AR202" s="104"/>
      <c r="AV202" s="104"/>
      <c r="AX202" s="104"/>
      <c r="BB202" s="104"/>
      <c r="BC202" s="104"/>
      <c r="BE202" s="104"/>
      <c r="BH202" s="99"/>
      <c r="BI202" s="190" t="s">
        <v>170</v>
      </c>
      <c r="BJ202" s="187" t="s">
        <v>49</v>
      </c>
      <c r="BK202" s="196">
        <v>1</v>
      </c>
      <c r="BL202" s="187" t="s">
        <v>411</v>
      </c>
      <c r="BM202" s="189">
        <v>0.01</v>
      </c>
      <c r="BN202" s="189">
        <v>0.5</v>
      </c>
      <c r="BO202" s="188" t="s">
        <v>311</v>
      </c>
      <c r="BP202" s="178"/>
      <c r="BQ202" s="178"/>
      <c r="BR202" s="178"/>
      <c r="BS202" s="178"/>
      <c r="BT202" s="178"/>
      <c r="BU202" s="178"/>
      <c r="BV202" s="180"/>
      <c r="BW202" s="178"/>
      <c r="BX202" s="178"/>
      <c r="BY202" s="180"/>
      <c r="BZ202" s="180"/>
      <c r="CA202" s="180"/>
      <c r="CB202" s="180"/>
      <c r="CC202" s="178"/>
      <c r="CD202" s="178"/>
      <c r="CE202" s="180"/>
      <c r="CF202" s="180"/>
      <c r="CG202" s="180"/>
      <c r="CH202" s="180"/>
      <c r="CI202" s="178"/>
      <c r="CJ202" s="178"/>
      <c r="CK202" s="180"/>
      <c r="CL202" s="180"/>
      <c r="CM202" s="180"/>
      <c r="CN202" s="116"/>
      <c r="CO202" s="218">
        <f t="shared" si="106"/>
        <v>0.01</v>
      </c>
      <c r="CP202" s="100">
        <f t="shared" si="107"/>
        <v>0.255</v>
      </c>
      <c r="CQ202" s="218">
        <f t="shared" si="108"/>
        <v>0.5</v>
      </c>
      <c r="CR202" s="101">
        <v>0.01</v>
      </c>
      <c r="CS202" s="101">
        <v>0.5</v>
      </c>
    </row>
    <row r="203" spans="1:97" s="101" customFormat="1" hidden="1" x14ac:dyDescent="0.25">
      <c r="A203" s="99"/>
      <c r="V203" s="103"/>
      <c r="AA203" s="104"/>
      <c r="AB203" s="104"/>
      <c r="AD203" s="104"/>
      <c r="AE203" s="105"/>
      <c r="AH203" s="106"/>
      <c r="AI203" s="106"/>
      <c r="AK203" s="104"/>
      <c r="AR203" s="104"/>
      <c r="AV203" s="104"/>
      <c r="AX203" s="104"/>
      <c r="BB203" s="104"/>
      <c r="BC203" s="104"/>
      <c r="BE203" s="104"/>
      <c r="BH203" s="99"/>
      <c r="BI203" s="200"/>
      <c r="BJ203" s="201"/>
      <c r="BK203" s="201"/>
      <c r="BL203" s="201"/>
      <c r="BM203" s="202"/>
      <c r="BN203" s="202"/>
      <c r="BO203" s="202"/>
      <c r="BP203" s="178"/>
      <c r="BQ203" s="178"/>
      <c r="BR203" s="178"/>
      <c r="BS203" s="178"/>
      <c r="BT203" s="178"/>
      <c r="BU203" s="178"/>
      <c r="BV203" s="180"/>
      <c r="BW203" s="178"/>
      <c r="BX203" s="178"/>
      <c r="BY203" s="180"/>
      <c r="BZ203" s="180"/>
      <c r="CA203" s="180"/>
      <c r="CB203" s="180"/>
      <c r="CC203" s="178"/>
      <c r="CD203" s="178"/>
      <c r="CE203" s="180"/>
      <c r="CF203" s="180"/>
      <c r="CG203" s="180"/>
      <c r="CH203" s="180"/>
      <c r="CI203" s="178"/>
      <c r="CJ203" s="178"/>
      <c r="CK203" s="180"/>
      <c r="CL203" s="180"/>
      <c r="CM203" s="180"/>
      <c r="CN203" s="116"/>
      <c r="CO203" s="218">
        <f t="shared" si="106"/>
        <v>0</v>
      </c>
      <c r="CP203" s="100">
        <f t="shared" si="107"/>
        <v>0</v>
      </c>
      <c r="CQ203" s="218">
        <f t="shared" si="108"/>
        <v>0</v>
      </c>
    </row>
    <row r="204" spans="1:97" s="101" customFormat="1" hidden="1" x14ac:dyDescent="0.25">
      <c r="A204" s="99"/>
      <c r="V204" s="103"/>
      <c r="AA204" s="104"/>
      <c r="AB204" s="104"/>
      <c r="AD204" s="104"/>
      <c r="AE204" s="105"/>
      <c r="AH204" s="106"/>
      <c r="AI204" s="106"/>
      <c r="AK204" s="104"/>
      <c r="AR204" s="104"/>
      <c r="AV204" s="104"/>
      <c r="AX204" s="104"/>
      <c r="BB204" s="104"/>
      <c r="BC204" s="104"/>
      <c r="BE204" s="104"/>
      <c r="BH204" s="99"/>
      <c r="BI204" s="200"/>
      <c r="BJ204" s="201"/>
      <c r="BK204" s="201"/>
      <c r="BL204" s="201"/>
      <c r="BM204" s="202"/>
      <c r="BN204" s="202"/>
      <c r="BO204" s="202"/>
      <c r="BP204" s="178"/>
      <c r="BQ204" s="178"/>
      <c r="BR204" s="178"/>
      <c r="BS204" s="178"/>
      <c r="BT204" s="178"/>
      <c r="BU204" s="178"/>
      <c r="BV204" s="180"/>
      <c r="BW204" s="178"/>
      <c r="BX204" s="178"/>
      <c r="BY204" s="180"/>
      <c r="BZ204" s="180"/>
      <c r="CA204" s="180"/>
      <c r="CB204" s="180"/>
      <c r="CC204" s="178"/>
      <c r="CD204" s="178"/>
      <c r="CE204" s="180"/>
      <c r="CF204" s="180"/>
      <c r="CG204" s="180"/>
      <c r="CH204" s="180"/>
      <c r="CI204" s="178"/>
      <c r="CJ204" s="178"/>
      <c r="CK204" s="180"/>
      <c r="CL204" s="180"/>
      <c r="CM204" s="180"/>
      <c r="CN204" s="116"/>
      <c r="CO204" s="218">
        <f t="shared" si="106"/>
        <v>0</v>
      </c>
      <c r="CP204" s="100">
        <f t="shared" si="107"/>
        <v>0</v>
      </c>
      <c r="CQ204" s="218">
        <f t="shared" si="108"/>
        <v>0</v>
      </c>
    </row>
    <row r="205" spans="1:97" s="101" customFormat="1" hidden="1" x14ac:dyDescent="0.25">
      <c r="A205" s="99"/>
      <c r="V205" s="103"/>
      <c r="AA205" s="104"/>
      <c r="AB205" s="104"/>
      <c r="AD205" s="104"/>
      <c r="AE205" s="105"/>
      <c r="AH205" s="106"/>
      <c r="AI205" s="106"/>
      <c r="AK205" s="104"/>
      <c r="AR205" s="104"/>
      <c r="AV205" s="104"/>
      <c r="AX205" s="104"/>
      <c r="BB205" s="104"/>
      <c r="BC205" s="104"/>
      <c r="BE205" s="104"/>
      <c r="BH205" s="99"/>
      <c r="BI205" s="1606" t="s">
        <v>264</v>
      </c>
      <c r="BJ205" s="251"/>
      <c r="BK205" s="1606" t="s">
        <v>276</v>
      </c>
      <c r="BL205" s="251"/>
      <c r="BM205" s="1606" t="s">
        <v>233</v>
      </c>
      <c r="BN205" s="1606" t="s">
        <v>233</v>
      </c>
      <c r="BO205" s="1606" t="s">
        <v>240</v>
      </c>
      <c r="BP205" s="251"/>
      <c r="BQ205" s="1606" t="s">
        <v>276</v>
      </c>
      <c r="BR205" s="251"/>
      <c r="BS205" s="1606" t="s">
        <v>233</v>
      </c>
      <c r="BT205" s="1606" t="s">
        <v>233</v>
      </c>
      <c r="BU205" s="1606" t="s">
        <v>240</v>
      </c>
      <c r="BV205" s="180"/>
      <c r="BW205" s="178"/>
      <c r="BX205" s="178"/>
      <c r="BY205" s="180"/>
      <c r="BZ205" s="180"/>
      <c r="CA205" s="180"/>
      <c r="CB205" s="180"/>
      <c r="CC205" s="178"/>
      <c r="CD205" s="178"/>
      <c r="CE205" s="180"/>
      <c r="CF205" s="180"/>
      <c r="CG205" s="180"/>
      <c r="CH205" s="180"/>
      <c r="CI205" s="178"/>
      <c r="CJ205" s="178"/>
      <c r="CK205" s="180"/>
      <c r="CL205" s="180"/>
      <c r="CM205" s="180"/>
      <c r="CN205" s="116"/>
      <c r="CO205" s="218" t="str">
        <f t="shared" si="106"/>
        <v>Incertidumbre (+/- %)</v>
      </c>
      <c r="CP205" s="100" t="e">
        <f t="shared" si="107"/>
        <v>#VALUE!</v>
      </c>
      <c r="CQ205" s="218" t="str">
        <f t="shared" si="108"/>
        <v>Incertidumbre (+/- %)</v>
      </c>
    </row>
    <row r="206" spans="1:97" s="101" customFormat="1" ht="15.75" hidden="1" thickBot="1" x14ac:dyDescent="0.3">
      <c r="A206" s="99"/>
      <c r="V206" s="103"/>
      <c r="AA206" s="104"/>
      <c r="AB206" s="104"/>
      <c r="AD206" s="104"/>
      <c r="AE206" s="105"/>
      <c r="AH206" s="106"/>
      <c r="AI206" s="106"/>
      <c r="AK206" s="104"/>
      <c r="AR206" s="104"/>
      <c r="AV206" s="104"/>
      <c r="AX206" s="104"/>
      <c r="BB206" s="104"/>
      <c r="BC206" s="104"/>
      <c r="BE206" s="104"/>
      <c r="BH206" s="99"/>
      <c r="BI206" s="1607"/>
      <c r="BJ206" s="252" t="s">
        <v>253</v>
      </c>
      <c r="BK206" s="1607"/>
      <c r="BL206" s="252" t="s">
        <v>251</v>
      </c>
      <c r="BM206" s="1607"/>
      <c r="BN206" s="1607"/>
      <c r="BO206" s="1607"/>
      <c r="BP206" s="252" t="s">
        <v>253</v>
      </c>
      <c r="BQ206" s="1607"/>
      <c r="BR206" s="252" t="s">
        <v>251</v>
      </c>
      <c r="BS206" s="1607"/>
      <c r="BT206" s="1607"/>
      <c r="BU206" s="1607"/>
      <c r="BV206" s="180"/>
      <c r="BW206" s="178"/>
      <c r="BX206" s="178"/>
      <c r="BY206" s="180"/>
      <c r="BZ206" s="180"/>
      <c r="CA206" s="180"/>
      <c r="CB206" s="180"/>
      <c r="CC206" s="178"/>
      <c r="CD206" s="178"/>
      <c r="CE206" s="180"/>
      <c r="CF206" s="180"/>
      <c r="CG206" s="180"/>
      <c r="CH206" s="180"/>
      <c r="CI206" s="178"/>
      <c r="CJ206" s="178"/>
      <c r="CK206" s="180"/>
      <c r="CL206" s="180"/>
      <c r="CM206" s="180"/>
      <c r="CN206" s="116"/>
      <c r="CO206" s="218">
        <f t="shared" si="106"/>
        <v>0</v>
      </c>
      <c r="CP206" s="100">
        <f t="shared" si="107"/>
        <v>0</v>
      </c>
      <c r="CQ206" s="218">
        <f t="shared" si="108"/>
        <v>0</v>
      </c>
    </row>
    <row r="207" spans="1:97" s="101" customFormat="1" ht="18.75" hidden="1" thickBot="1" x14ac:dyDescent="0.3">
      <c r="A207" s="99"/>
      <c r="V207" s="103"/>
      <c r="AA207" s="104"/>
      <c r="AB207" s="104"/>
      <c r="AD207" s="104"/>
      <c r="AE207" s="105"/>
      <c r="AH207" s="106"/>
      <c r="AI207" s="106"/>
      <c r="AK207" s="104"/>
      <c r="AR207" s="104"/>
      <c r="AV207" s="104"/>
      <c r="AX207" s="104"/>
      <c r="BB207" s="104"/>
      <c r="BC207" s="104"/>
      <c r="BE207" s="104"/>
      <c r="BH207" s="99"/>
      <c r="BI207" s="190" t="s">
        <v>8</v>
      </c>
      <c r="BJ207" s="187" t="s">
        <v>49</v>
      </c>
      <c r="BK207" s="196">
        <f>BJ450</f>
        <v>23500</v>
      </c>
      <c r="BL207" s="187" t="s">
        <v>411</v>
      </c>
      <c r="BM207" s="189">
        <v>0.01</v>
      </c>
      <c r="BN207" s="189">
        <v>0.5</v>
      </c>
      <c r="BO207" s="188" t="s">
        <v>311</v>
      </c>
      <c r="BP207" s="187" t="s">
        <v>49</v>
      </c>
      <c r="BQ207" s="196">
        <v>22800</v>
      </c>
      <c r="BR207" s="187" t="s">
        <v>411</v>
      </c>
      <c r="BS207" s="189">
        <v>0.01</v>
      </c>
      <c r="BT207" s="189">
        <v>0.5</v>
      </c>
      <c r="BU207" s="188" t="s">
        <v>254</v>
      </c>
      <c r="BV207" s="180"/>
      <c r="BW207" s="178"/>
      <c r="BX207" s="178"/>
      <c r="BY207" s="180"/>
      <c r="BZ207" s="180"/>
      <c r="CA207" s="180"/>
      <c r="CB207" s="180"/>
      <c r="CC207" s="178"/>
      <c r="CD207" s="178"/>
      <c r="CE207" s="180"/>
      <c r="CF207" s="180"/>
      <c r="CG207" s="180"/>
      <c r="CH207" s="180"/>
      <c r="CI207" s="178"/>
      <c r="CJ207" s="178"/>
      <c r="CK207" s="180"/>
      <c r="CL207" s="180"/>
      <c r="CM207" s="180"/>
      <c r="CN207" s="116"/>
      <c r="CO207" s="218">
        <f t="shared" si="106"/>
        <v>0.01</v>
      </c>
      <c r="CP207" s="100">
        <f t="shared" si="107"/>
        <v>0.255</v>
      </c>
      <c r="CQ207" s="218">
        <f t="shared" si="108"/>
        <v>0.5</v>
      </c>
      <c r="CR207" s="101">
        <v>0.01</v>
      </c>
      <c r="CS207" s="101">
        <v>0.5</v>
      </c>
    </row>
    <row r="208" spans="1:97" s="101" customFormat="1" hidden="1" x14ac:dyDescent="0.25">
      <c r="A208" s="99"/>
      <c r="V208" s="103"/>
      <c r="AA208" s="104"/>
      <c r="AB208" s="104"/>
      <c r="AD208" s="104"/>
      <c r="AE208" s="105"/>
      <c r="AH208" s="106"/>
      <c r="AI208" s="106"/>
      <c r="AK208" s="104"/>
      <c r="AR208" s="104"/>
      <c r="AV208" s="104"/>
      <c r="AX208" s="104"/>
      <c r="BB208" s="104"/>
      <c r="BC208" s="104"/>
      <c r="BE208" s="104"/>
      <c r="BH208" s="99"/>
      <c r="BI208" s="200"/>
      <c r="BJ208" s="201"/>
      <c r="BK208" s="201"/>
      <c r="BL208" s="201"/>
      <c r="BM208" s="202"/>
      <c r="BN208" s="202"/>
      <c r="BO208" s="202"/>
      <c r="BP208" s="178"/>
      <c r="BQ208" s="178"/>
      <c r="BR208" s="178"/>
      <c r="BS208" s="178"/>
      <c r="BT208" s="178"/>
      <c r="BU208" s="178"/>
      <c r="BV208" s="180"/>
      <c r="BW208" s="178"/>
      <c r="BX208" s="178"/>
      <c r="BY208" s="180"/>
      <c r="BZ208" s="180"/>
      <c r="CA208" s="180"/>
      <c r="CB208" s="180"/>
      <c r="CC208" s="178"/>
      <c r="CD208" s="178"/>
      <c r="CE208" s="180"/>
      <c r="CF208" s="180"/>
      <c r="CG208" s="180"/>
      <c r="CH208" s="180"/>
      <c r="CI208" s="178"/>
      <c r="CJ208" s="178"/>
      <c r="CK208" s="180"/>
      <c r="CL208" s="180"/>
      <c r="CM208" s="180"/>
      <c r="CN208" s="116"/>
      <c r="CO208" s="218">
        <f t="shared" si="106"/>
        <v>0</v>
      </c>
      <c r="CP208" s="100">
        <f t="shared" si="107"/>
        <v>0</v>
      </c>
      <c r="CQ208" s="218">
        <f t="shared" si="108"/>
        <v>0</v>
      </c>
    </row>
    <row r="209" spans="1:97" s="101" customFormat="1" hidden="1" x14ac:dyDescent="0.25">
      <c r="A209" s="99"/>
      <c r="V209" s="103"/>
      <c r="AA209" s="104"/>
      <c r="AB209" s="104"/>
      <c r="AD209" s="104"/>
      <c r="AE209" s="105"/>
      <c r="AH209" s="106"/>
      <c r="AI209" s="106"/>
      <c r="AK209" s="104"/>
      <c r="AR209" s="104"/>
      <c r="AV209" s="104"/>
      <c r="AX209" s="104"/>
      <c r="BB209" s="104"/>
      <c r="BC209" s="104"/>
      <c r="BE209" s="104"/>
      <c r="BH209" s="99"/>
      <c r="BI209" s="200"/>
      <c r="BJ209" s="201"/>
      <c r="BK209" s="201"/>
      <c r="BL209" s="201"/>
      <c r="BM209" s="202"/>
      <c r="BN209" s="202"/>
      <c r="BO209" s="202"/>
      <c r="BP209" s="178"/>
      <c r="BQ209" s="178"/>
      <c r="BR209" s="178"/>
      <c r="BS209" s="178"/>
      <c r="BT209" s="178"/>
      <c r="BU209" s="178"/>
      <c r="BV209" s="180"/>
      <c r="BW209" s="178"/>
      <c r="BX209" s="178"/>
      <c r="BY209" s="180"/>
      <c r="BZ209" s="180"/>
      <c r="CA209" s="180"/>
      <c r="CB209" s="180"/>
      <c r="CC209" s="178"/>
      <c r="CD209" s="178"/>
      <c r="CE209" s="180"/>
      <c r="CF209" s="180"/>
      <c r="CG209" s="180"/>
      <c r="CH209" s="180"/>
      <c r="CI209" s="178"/>
      <c r="CJ209" s="178"/>
      <c r="CK209" s="180"/>
      <c r="CL209" s="180"/>
      <c r="CM209" s="180"/>
      <c r="CN209" s="116"/>
      <c r="CO209" s="218">
        <f t="shared" si="106"/>
        <v>0</v>
      </c>
      <c r="CP209" s="100">
        <f t="shared" si="107"/>
        <v>0</v>
      </c>
      <c r="CQ209" s="218">
        <f t="shared" si="108"/>
        <v>0</v>
      </c>
    </row>
    <row r="210" spans="1:97" s="101" customFormat="1" hidden="1" x14ac:dyDescent="0.25">
      <c r="A210" s="99"/>
      <c r="V210" s="103"/>
      <c r="AA210" s="104"/>
      <c r="AB210" s="104"/>
      <c r="AD210" s="104"/>
      <c r="AE210" s="105"/>
      <c r="AH210" s="106"/>
      <c r="AI210" s="106"/>
      <c r="AK210" s="104"/>
      <c r="AR210" s="104"/>
      <c r="AV210" s="104"/>
      <c r="AX210" s="104"/>
      <c r="BB210" s="104"/>
      <c r="BC210" s="104"/>
      <c r="BE210" s="104"/>
      <c r="BH210" s="99"/>
      <c r="BI210" s="200"/>
      <c r="BJ210" s="201"/>
      <c r="BK210" s="201"/>
      <c r="BL210" s="201"/>
      <c r="BM210" s="202"/>
      <c r="BN210" s="202"/>
      <c r="BO210" s="202"/>
      <c r="BP210" s="178"/>
      <c r="BQ210" s="178"/>
      <c r="BR210" s="178"/>
      <c r="BS210" s="178"/>
      <c r="BT210" s="178"/>
      <c r="BU210" s="178"/>
      <c r="BV210" s="180"/>
      <c r="BW210" s="178"/>
      <c r="BX210" s="178"/>
      <c r="BY210" s="180"/>
      <c r="BZ210" s="180"/>
      <c r="CA210" s="180"/>
      <c r="CB210" s="180"/>
      <c r="CC210" s="178"/>
      <c r="CD210" s="178"/>
      <c r="CE210" s="180"/>
      <c r="CF210" s="180"/>
      <c r="CG210" s="180"/>
      <c r="CH210" s="180"/>
      <c r="CI210" s="178"/>
      <c r="CJ210" s="178"/>
      <c r="CK210" s="180"/>
      <c r="CL210" s="180"/>
      <c r="CM210" s="180"/>
      <c r="CN210" s="116"/>
      <c r="CO210" s="218">
        <f t="shared" si="106"/>
        <v>0</v>
      </c>
      <c r="CP210" s="100">
        <f t="shared" si="107"/>
        <v>0</v>
      </c>
      <c r="CQ210" s="218">
        <f t="shared" si="108"/>
        <v>0</v>
      </c>
    </row>
    <row r="211" spans="1:97" s="101" customFormat="1" hidden="1" x14ac:dyDescent="0.25">
      <c r="A211" s="99"/>
      <c r="V211" s="103"/>
      <c r="AA211" s="104"/>
      <c r="AB211" s="104"/>
      <c r="AD211" s="104"/>
      <c r="AE211" s="105"/>
      <c r="AH211" s="106"/>
      <c r="AI211" s="106"/>
      <c r="AK211" s="104"/>
      <c r="AR211" s="104"/>
      <c r="AV211" s="104"/>
      <c r="AX211" s="104"/>
      <c r="BB211" s="104"/>
      <c r="BC211" s="104"/>
      <c r="BE211" s="104"/>
      <c r="BH211" s="99"/>
      <c r="BI211" s="102"/>
      <c r="BJ211" s="178"/>
      <c r="BK211" s="178"/>
      <c r="BL211" s="178"/>
      <c r="BM211" s="169"/>
      <c r="BN211" s="169"/>
      <c r="BO211" s="169"/>
      <c r="BP211" s="178"/>
      <c r="BQ211" s="178"/>
      <c r="BR211" s="178"/>
      <c r="BS211" s="178"/>
      <c r="BT211" s="178"/>
      <c r="BU211" s="178"/>
      <c r="BV211" s="180"/>
      <c r="BW211" s="178"/>
      <c r="BX211" s="178"/>
      <c r="BY211" s="180"/>
      <c r="BZ211" s="180"/>
      <c r="CA211" s="180"/>
      <c r="CB211" s="180"/>
      <c r="CC211" s="178"/>
      <c r="CD211" s="178"/>
      <c r="CE211" s="180"/>
      <c r="CF211" s="180"/>
      <c r="CG211" s="180"/>
      <c r="CH211" s="180"/>
      <c r="CI211" s="178"/>
      <c r="CJ211" s="178"/>
      <c r="CK211" s="180"/>
      <c r="CL211" s="180"/>
      <c r="CM211" s="180"/>
      <c r="CN211" s="116"/>
      <c r="CO211" s="218">
        <f t="shared" si="106"/>
        <v>0</v>
      </c>
      <c r="CP211" s="100">
        <f t="shared" si="107"/>
        <v>0</v>
      </c>
      <c r="CQ211" s="218">
        <f t="shared" si="108"/>
        <v>0</v>
      </c>
    </row>
    <row r="212" spans="1:97" s="101" customFormat="1" ht="27" hidden="1" customHeight="1" x14ac:dyDescent="0.25">
      <c r="A212" s="99"/>
      <c r="V212" s="103"/>
      <c r="AA212" s="104"/>
      <c r="AB212" s="104"/>
      <c r="AD212" s="104"/>
      <c r="AE212" s="105"/>
      <c r="AH212" s="106"/>
      <c r="AI212" s="106"/>
      <c r="AK212" s="104"/>
      <c r="AR212" s="104"/>
      <c r="AV212" s="104"/>
      <c r="AX212" s="104"/>
      <c r="BB212" s="104"/>
      <c r="BC212" s="104"/>
      <c r="BE212" s="104"/>
      <c r="BH212" s="99"/>
      <c r="BI212" s="1606" t="s">
        <v>260</v>
      </c>
      <c r="BJ212" s="251"/>
      <c r="BK212" s="1606" t="s">
        <v>276</v>
      </c>
      <c r="BL212" s="251"/>
      <c r="BM212" s="1606" t="s">
        <v>233</v>
      </c>
      <c r="BN212" s="1606" t="s">
        <v>233</v>
      </c>
      <c r="BO212" s="1606" t="s">
        <v>240</v>
      </c>
      <c r="BP212" s="178"/>
      <c r="BQ212" s="178"/>
      <c r="BR212" s="178"/>
      <c r="BS212" s="178"/>
      <c r="BT212" s="178"/>
      <c r="BU212" s="178"/>
      <c r="BV212" s="180"/>
      <c r="BW212" s="178"/>
      <c r="BX212" s="178"/>
      <c r="BY212" s="180"/>
      <c r="BZ212" s="180"/>
      <c r="CA212" s="180"/>
      <c r="CB212" s="180"/>
      <c r="CC212" s="178"/>
      <c r="CD212" s="178"/>
      <c r="CE212" s="180"/>
      <c r="CF212" s="180"/>
      <c r="CG212" s="180"/>
      <c r="CH212" s="180"/>
      <c r="CI212" s="178"/>
      <c r="CJ212" s="178"/>
      <c r="CK212" s="180"/>
      <c r="CL212" s="180"/>
      <c r="CM212" s="180"/>
      <c r="CN212" s="116"/>
      <c r="CO212" s="218" t="str">
        <f t="shared" si="106"/>
        <v>Incertidumbre (+/- %)</v>
      </c>
      <c r="CP212" s="100" t="e">
        <f t="shared" si="107"/>
        <v>#VALUE!</v>
      </c>
      <c r="CQ212" s="218" t="str">
        <f t="shared" si="108"/>
        <v>Incertidumbre (+/- %)</v>
      </c>
    </row>
    <row r="213" spans="1:97" s="101" customFormat="1" ht="34.5" hidden="1" customHeight="1" x14ac:dyDescent="0.25">
      <c r="A213" s="99"/>
      <c r="V213" s="103"/>
      <c r="AA213" s="104"/>
      <c r="AB213" s="104"/>
      <c r="AD213" s="104"/>
      <c r="AE213" s="105"/>
      <c r="AH213" s="106"/>
      <c r="AI213" s="106"/>
      <c r="AK213" s="104"/>
      <c r="AR213" s="104"/>
      <c r="AV213" s="104"/>
      <c r="AX213" s="104"/>
      <c r="BB213" s="104"/>
      <c r="BC213" s="104"/>
      <c r="BE213" s="104"/>
      <c r="BH213" s="99"/>
      <c r="BI213" s="1607"/>
      <c r="BJ213" s="252" t="s">
        <v>253</v>
      </c>
      <c r="BK213" s="1607"/>
      <c r="BL213" s="252" t="s">
        <v>251</v>
      </c>
      <c r="BM213" s="1607"/>
      <c r="BN213" s="1607"/>
      <c r="BO213" s="1607"/>
      <c r="BP213" s="178"/>
      <c r="BQ213" s="178"/>
      <c r="BR213" s="178"/>
      <c r="BS213" s="178"/>
      <c r="BT213" s="178"/>
      <c r="BU213" s="178"/>
      <c r="BV213" s="180"/>
      <c r="BW213" s="178"/>
      <c r="BX213" s="178"/>
      <c r="BY213" s="180"/>
      <c r="BZ213" s="180"/>
      <c r="CA213" s="180"/>
      <c r="CB213" s="180"/>
      <c r="CC213" s="178"/>
      <c r="CD213" s="178"/>
      <c r="CE213" s="180"/>
      <c r="CF213" s="180"/>
      <c r="CG213" s="180"/>
      <c r="CH213" s="180"/>
      <c r="CI213" s="178"/>
      <c r="CJ213" s="178"/>
      <c r="CK213" s="180"/>
      <c r="CL213" s="180"/>
      <c r="CM213" s="180"/>
      <c r="CN213" s="116"/>
      <c r="CO213" s="218">
        <f t="shared" si="106"/>
        <v>0</v>
      </c>
      <c r="CP213" s="100">
        <f t="shared" si="107"/>
        <v>0</v>
      </c>
      <c r="CQ213" s="218">
        <f t="shared" si="108"/>
        <v>0</v>
      </c>
    </row>
    <row r="214" spans="1:97" s="101" customFormat="1" ht="102.75" hidden="1" thickBot="1" x14ac:dyDescent="0.3">
      <c r="A214" s="99"/>
      <c r="V214" s="103"/>
      <c r="AA214" s="104"/>
      <c r="AB214" s="104"/>
      <c r="AD214" s="104"/>
      <c r="AE214" s="105"/>
      <c r="AH214" s="106"/>
      <c r="AI214" s="106"/>
      <c r="AK214" s="104"/>
      <c r="AR214" s="104"/>
      <c r="AV214" s="104"/>
      <c r="AX214" s="104"/>
      <c r="BB214" s="104"/>
      <c r="BC214" s="104"/>
      <c r="BD214" s="100">
        <f>(10+0.9)*(0.67)</f>
        <v>7.3030000000000008</v>
      </c>
      <c r="BE214" s="100">
        <f>25*(0.67)</f>
        <v>16.75</v>
      </c>
      <c r="BF214" s="100">
        <f>(18+2.5)*(0.67)</f>
        <v>13.735000000000001</v>
      </c>
      <c r="BG214" s="100">
        <f>(25+4)*(0.67)</f>
        <v>19.43</v>
      </c>
      <c r="BH214" s="120" t="s">
        <v>52</v>
      </c>
      <c r="BI214" s="203" t="s">
        <v>10</v>
      </c>
      <c r="BJ214" s="190" t="s">
        <v>615</v>
      </c>
      <c r="BK214" s="196">
        <f>BG214</f>
        <v>19.43</v>
      </c>
      <c r="BL214" s="190" t="s">
        <v>634</v>
      </c>
      <c r="BM214" s="189">
        <v>0.5</v>
      </c>
      <c r="BN214" s="189">
        <v>3</v>
      </c>
      <c r="BO214" s="188" t="s">
        <v>429</v>
      </c>
      <c r="BP214" s="178"/>
      <c r="BQ214" s="102"/>
      <c r="BR214" s="102"/>
      <c r="BS214" s="178"/>
      <c r="BT214" s="178"/>
      <c r="BU214" s="178"/>
      <c r="BV214" s="180"/>
      <c r="BW214" s="178"/>
      <c r="BX214" s="196">
        <v>312.39</v>
      </c>
      <c r="BY214" s="190" t="s">
        <v>635</v>
      </c>
      <c r="BZ214" s="180"/>
      <c r="CA214" s="180"/>
      <c r="CB214" s="180"/>
      <c r="CC214" s="178"/>
      <c r="CD214" s="178"/>
      <c r="CE214" s="180"/>
      <c r="CF214" s="180"/>
      <c r="CG214" s="180"/>
      <c r="CH214" s="180"/>
      <c r="CI214" s="178"/>
      <c r="CJ214" s="178"/>
      <c r="CK214" s="180"/>
      <c r="CL214" s="180"/>
      <c r="CM214" s="180"/>
      <c r="CN214" s="116"/>
      <c r="CO214" s="218">
        <f t="shared" si="106"/>
        <v>0.5</v>
      </c>
      <c r="CP214" s="100">
        <f t="shared" si="107"/>
        <v>1.75</v>
      </c>
      <c r="CQ214" s="218">
        <f t="shared" si="108"/>
        <v>3</v>
      </c>
      <c r="CR214" s="101">
        <v>0.05</v>
      </c>
      <c r="CS214" s="101">
        <v>0.3</v>
      </c>
    </row>
    <row r="215" spans="1:97" s="101" customFormat="1" ht="102.75" hidden="1" thickBot="1" x14ac:dyDescent="0.3">
      <c r="A215" s="99"/>
      <c r="V215" s="103"/>
      <c r="AA215" s="104"/>
      <c r="AB215" s="104"/>
      <c r="AD215" s="104"/>
      <c r="AE215" s="105"/>
      <c r="AH215" s="106"/>
      <c r="AI215" s="106"/>
      <c r="AK215" s="104"/>
      <c r="AR215" s="104"/>
      <c r="AV215" s="104"/>
      <c r="AX215" s="104"/>
      <c r="BB215" s="104"/>
      <c r="BC215" s="104"/>
      <c r="BD215" s="100">
        <f>(0.31+0)*(0.67)</f>
        <v>0.20770000000000002</v>
      </c>
      <c r="BE215" s="100">
        <f>25*(0.67)</f>
        <v>16.75</v>
      </c>
      <c r="BF215" s="100">
        <f>(1.2+0.1)*(0.67)</f>
        <v>0.87100000000000011</v>
      </c>
      <c r="BG215" s="100">
        <f>(2+0.2)*(0.67)</f>
        <v>1.4740000000000002</v>
      </c>
      <c r="BH215" s="120" t="s">
        <v>52</v>
      </c>
      <c r="BI215" s="203" t="s">
        <v>11</v>
      </c>
      <c r="BJ215" s="190" t="s">
        <v>615</v>
      </c>
      <c r="BK215" s="196">
        <f>BG215</f>
        <v>1.4740000000000002</v>
      </c>
      <c r="BL215" s="190" t="s">
        <v>634</v>
      </c>
      <c r="BM215" s="189">
        <v>0.5</v>
      </c>
      <c r="BN215" s="189">
        <v>3</v>
      </c>
      <c r="BO215" s="188" t="s">
        <v>430</v>
      </c>
      <c r="BP215" s="178"/>
      <c r="BQ215" s="102"/>
      <c r="BR215" s="102"/>
      <c r="BS215" s="178"/>
      <c r="BT215" s="178"/>
      <c r="BU215" s="178"/>
      <c r="BV215" s="180"/>
      <c r="BW215" s="178"/>
      <c r="BX215" s="196">
        <v>20.94</v>
      </c>
      <c r="BY215" s="190" t="s">
        <v>635</v>
      </c>
      <c r="BZ215" s="180"/>
      <c r="CA215" s="180"/>
      <c r="CB215" s="180"/>
      <c r="CC215" s="178"/>
      <c r="CD215" s="178"/>
      <c r="CE215" s="180"/>
      <c r="CF215" s="180"/>
      <c r="CG215" s="180"/>
      <c r="CH215" s="180"/>
      <c r="CI215" s="178"/>
      <c r="CJ215" s="178"/>
      <c r="CK215" s="180"/>
      <c r="CL215" s="180"/>
      <c r="CM215" s="180"/>
      <c r="CN215" s="116"/>
      <c r="CO215" s="218">
        <f t="shared" si="106"/>
        <v>0.5</v>
      </c>
      <c r="CP215" s="100">
        <f t="shared" si="107"/>
        <v>1.75</v>
      </c>
      <c r="CQ215" s="218">
        <f t="shared" si="108"/>
        <v>3</v>
      </c>
      <c r="CR215" s="101">
        <v>0.05</v>
      </c>
      <c r="CS215" s="101">
        <v>0.3</v>
      </c>
    </row>
    <row r="216" spans="1:97" s="101" customFormat="1" ht="141" hidden="1" thickBot="1" x14ac:dyDescent="0.3">
      <c r="A216" s="99"/>
      <c r="V216" s="103"/>
      <c r="AA216" s="104"/>
      <c r="AB216" s="104"/>
      <c r="AD216" s="104"/>
      <c r="AE216" s="105"/>
      <c r="AH216" s="106"/>
      <c r="AI216" s="106"/>
      <c r="AK216" s="104"/>
      <c r="AR216" s="104"/>
      <c r="AV216" s="104"/>
      <c r="AX216" s="104"/>
      <c r="BB216" s="104"/>
      <c r="BC216" s="104"/>
      <c r="BE216" s="104"/>
      <c r="BH216" s="120" t="s">
        <v>347</v>
      </c>
      <c r="BI216" s="203" t="s">
        <v>345</v>
      </c>
      <c r="BJ216" s="203" t="s">
        <v>346</v>
      </c>
      <c r="BK216" s="196">
        <v>36.5</v>
      </c>
      <c r="BL216" s="190" t="s">
        <v>424</v>
      </c>
      <c r="BM216" s="189">
        <v>0.9</v>
      </c>
      <c r="BN216" s="189">
        <v>1.06</v>
      </c>
      <c r="BO216" s="188" t="s">
        <v>348</v>
      </c>
      <c r="BP216" s="178"/>
      <c r="BQ216" s="102"/>
      <c r="BR216" s="102"/>
      <c r="BS216" s="178"/>
      <c r="BT216" s="178"/>
      <c r="BU216" s="178"/>
      <c r="BV216" s="180"/>
      <c r="BW216" s="178"/>
      <c r="BX216" s="196">
        <v>20.94</v>
      </c>
      <c r="BY216" s="190" t="s">
        <v>635</v>
      </c>
      <c r="BZ216" s="180"/>
      <c r="CA216" s="180"/>
      <c r="CB216" s="180"/>
      <c r="CC216" s="178"/>
      <c r="CD216" s="178"/>
      <c r="CE216" s="180"/>
      <c r="CF216" s="180"/>
      <c r="CG216" s="180"/>
      <c r="CH216" s="180"/>
      <c r="CI216" s="178"/>
      <c r="CJ216" s="178"/>
      <c r="CK216" s="180"/>
      <c r="CL216" s="180"/>
      <c r="CM216" s="180"/>
      <c r="CN216" s="116"/>
      <c r="CO216" s="218">
        <f t="shared" si="106"/>
        <v>0.9</v>
      </c>
      <c r="CP216" s="100">
        <f t="shared" si="107"/>
        <v>0.98</v>
      </c>
      <c r="CQ216" s="218">
        <f t="shared" si="108"/>
        <v>1.06</v>
      </c>
      <c r="CR216" s="101">
        <v>0.9</v>
      </c>
      <c r="CS216" s="101">
        <v>1.06</v>
      </c>
    </row>
    <row r="217" spans="1:97" s="101" customFormat="1" ht="18.75" hidden="1" thickBot="1" x14ac:dyDescent="0.3">
      <c r="A217" s="99"/>
      <c r="V217" s="103"/>
      <c r="AA217" s="104"/>
      <c r="AB217" s="104"/>
      <c r="AD217" s="104"/>
      <c r="AE217" s="105"/>
      <c r="AH217" s="106"/>
      <c r="AI217" s="106"/>
      <c r="AK217" s="104"/>
      <c r="AR217" s="104"/>
      <c r="AV217" s="104"/>
      <c r="AX217" s="104"/>
      <c r="BB217" s="104"/>
      <c r="BC217" s="104"/>
      <c r="BE217" s="104"/>
      <c r="BG217" s="100"/>
      <c r="BH217" s="120" t="s">
        <v>53</v>
      </c>
      <c r="BI217" s="203" t="s">
        <v>12</v>
      </c>
      <c r="BJ217" s="203" t="s">
        <v>615</v>
      </c>
      <c r="BK217" s="196">
        <v>1E-4</v>
      </c>
      <c r="BL217" s="190" t="s">
        <v>627</v>
      </c>
      <c r="BM217" s="189">
        <v>0.1</v>
      </c>
      <c r="BN217" s="189">
        <v>0.25</v>
      </c>
      <c r="BO217" s="188" t="s">
        <v>258</v>
      </c>
      <c r="BP217" s="215" t="s">
        <v>615</v>
      </c>
      <c r="BQ217" s="216">
        <v>560</v>
      </c>
      <c r="BR217" s="215" t="s">
        <v>637</v>
      </c>
      <c r="BS217" s="217">
        <v>0.1</v>
      </c>
      <c r="BT217" s="217">
        <v>0.25</v>
      </c>
      <c r="BU217" s="188" t="s">
        <v>258</v>
      </c>
      <c r="BV217" s="180"/>
      <c r="BW217" s="178"/>
      <c r="BX217" s="196">
        <v>12.5</v>
      </c>
      <c r="BY217" s="190" t="s">
        <v>635</v>
      </c>
      <c r="BZ217" s="180"/>
      <c r="CA217" s="180"/>
      <c r="CB217" s="180"/>
      <c r="CC217" s="178"/>
      <c r="CD217" s="178"/>
      <c r="CE217" s="180"/>
      <c r="CF217" s="180"/>
      <c r="CG217" s="180"/>
      <c r="CH217" s="180"/>
      <c r="CI217" s="178"/>
      <c r="CJ217" s="178"/>
      <c r="CK217" s="180"/>
      <c r="CL217" s="180"/>
      <c r="CM217" s="180"/>
      <c r="CN217" s="116"/>
      <c r="CO217" s="218">
        <f t="shared" si="106"/>
        <v>0.1</v>
      </c>
      <c r="CP217" s="100">
        <f t="shared" si="107"/>
        <v>0.17499999999999999</v>
      </c>
      <c r="CQ217" s="218">
        <f t="shared" si="108"/>
        <v>0.25</v>
      </c>
      <c r="CR217" s="101">
        <v>0.02</v>
      </c>
      <c r="CS217" s="101">
        <v>0.5</v>
      </c>
    </row>
    <row r="218" spans="1:97" s="101" customFormat="1" ht="26.25" hidden="1" thickBot="1" x14ac:dyDescent="0.3">
      <c r="A218" s="99"/>
      <c r="V218" s="103"/>
      <c r="AA218" s="104"/>
      <c r="AB218" s="104"/>
      <c r="AD218" s="104"/>
      <c r="AE218" s="105"/>
      <c r="AH218" s="106"/>
      <c r="AI218" s="106"/>
      <c r="AK218" s="104"/>
      <c r="AR218" s="104"/>
      <c r="AV218" s="104"/>
      <c r="AX218" s="104"/>
      <c r="BB218" s="104"/>
      <c r="BC218" s="104"/>
      <c r="BE218" s="104"/>
      <c r="BH218" s="120" t="s">
        <v>53</v>
      </c>
      <c r="BI218" s="203" t="s">
        <v>343</v>
      </c>
      <c r="BJ218" s="203" t="s">
        <v>615</v>
      </c>
      <c r="BK218" s="196">
        <v>1000</v>
      </c>
      <c r="BL218" s="190" t="s">
        <v>627</v>
      </c>
      <c r="BM218" s="189">
        <v>0.02</v>
      </c>
      <c r="BN218" s="189">
        <v>0.5</v>
      </c>
      <c r="BO218" s="188" t="s">
        <v>387</v>
      </c>
      <c r="BP218" s="178"/>
      <c r="BQ218" s="102"/>
      <c r="BR218" s="102"/>
      <c r="BS218" s="178"/>
      <c r="BT218" s="178"/>
      <c r="BU218" s="178"/>
      <c r="BV218" s="180"/>
      <c r="BW218" s="178"/>
      <c r="BX218" s="196"/>
      <c r="BY218" s="190"/>
      <c r="BZ218" s="180"/>
      <c r="CA218" s="180"/>
      <c r="CB218" s="180"/>
      <c r="CC218" s="178"/>
      <c r="CD218" s="178"/>
      <c r="CE218" s="180"/>
      <c r="CF218" s="180"/>
      <c r="CG218" s="180"/>
      <c r="CH218" s="180"/>
      <c r="CI218" s="178"/>
      <c r="CJ218" s="178"/>
      <c r="CK218" s="180"/>
      <c r="CL218" s="180"/>
      <c r="CM218" s="180"/>
      <c r="CN218" s="116"/>
      <c r="CO218" s="218">
        <f t="shared" si="106"/>
        <v>0.02</v>
      </c>
      <c r="CP218" s="100">
        <f t="shared" si="107"/>
        <v>0.26</v>
      </c>
      <c r="CQ218" s="218">
        <f t="shared" si="108"/>
        <v>0.5</v>
      </c>
      <c r="CR218" s="101">
        <v>0.02</v>
      </c>
      <c r="CS218" s="101">
        <v>0.5</v>
      </c>
    </row>
    <row r="219" spans="1:97" s="101" customFormat="1" ht="16.5" hidden="1" thickBot="1" x14ac:dyDescent="0.3">
      <c r="A219" s="99"/>
      <c r="V219" s="103"/>
      <c r="AA219" s="104"/>
      <c r="AB219" s="104"/>
      <c r="AD219" s="104"/>
      <c r="AE219" s="105"/>
      <c r="AH219" s="106"/>
      <c r="AI219" s="106"/>
      <c r="AK219" s="104"/>
      <c r="AR219" s="104"/>
      <c r="AV219" s="104"/>
      <c r="AX219" s="104"/>
      <c r="BB219" s="104"/>
      <c r="BC219" s="104"/>
      <c r="BE219" s="104"/>
      <c r="BH219" s="120"/>
      <c r="BI219" s="203" t="s">
        <v>438</v>
      </c>
      <c r="BJ219" s="190" t="s">
        <v>626</v>
      </c>
      <c r="BK219" s="196">
        <v>520</v>
      </c>
      <c r="BL219" s="190" t="s">
        <v>628</v>
      </c>
      <c r="BM219" s="189">
        <v>0.01</v>
      </c>
      <c r="BN219" s="189">
        <v>0.35</v>
      </c>
      <c r="BO219" s="188" t="s">
        <v>258</v>
      </c>
      <c r="BP219" s="178"/>
      <c r="BQ219" s="102"/>
      <c r="BR219" s="102"/>
      <c r="BS219" s="178"/>
      <c r="BT219" s="178"/>
      <c r="BU219" s="178"/>
      <c r="BV219" s="180"/>
      <c r="BW219" s="178"/>
      <c r="BX219" s="196"/>
      <c r="BY219" s="190"/>
      <c r="BZ219" s="180"/>
      <c r="CA219" s="180"/>
      <c r="CB219" s="180"/>
      <c r="CC219" s="178"/>
      <c r="CD219" s="178"/>
      <c r="CE219" s="180"/>
      <c r="CF219" s="180"/>
      <c r="CG219" s="180"/>
      <c r="CH219" s="180"/>
      <c r="CI219" s="178"/>
      <c r="CJ219" s="178"/>
      <c r="CK219" s="180"/>
      <c r="CL219" s="180"/>
      <c r="CM219" s="180"/>
      <c r="CN219" s="116"/>
      <c r="CO219" s="218">
        <f t="shared" si="106"/>
        <v>0.01</v>
      </c>
      <c r="CP219" s="100">
        <f t="shared" si="107"/>
        <v>0.18</v>
      </c>
      <c r="CQ219" s="218">
        <f t="shared" si="108"/>
        <v>0.35</v>
      </c>
    </row>
    <row r="220" spans="1:97" s="101" customFormat="1" ht="16.5" hidden="1" thickBot="1" x14ac:dyDescent="0.3">
      <c r="A220" s="99"/>
      <c r="V220" s="103"/>
      <c r="AA220" s="104"/>
      <c r="AB220" s="104"/>
      <c r="AD220" s="104"/>
      <c r="AE220" s="105"/>
      <c r="AH220" s="106"/>
      <c r="AI220" s="106"/>
      <c r="AK220" s="104"/>
      <c r="AR220" s="104"/>
      <c r="AV220" s="104"/>
      <c r="AX220" s="104"/>
      <c r="BB220" s="104"/>
      <c r="BC220" s="104"/>
      <c r="BE220" s="104"/>
      <c r="BH220" s="120" t="s">
        <v>53</v>
      </c>
      <c r="BI220" s="203" t="s">
        <v>13</v>
      </c>
      <c r="BJ220" s="190" t="s">
        <v>615</v>
      </c>
      <c r="BK220" s="196">
        <v>750</v>
      </c>
      <c r="BL220" s="190" t="s">
        <v>629</v>
      </c>
      <c r="BM220" s="189">
        <v>0.02</v>
      </c>
      <c r="BN220" s="189">
        <v>0.15</v>
      </c>
      <c r="BO220" s="188" t="s">
        <v>258</v>
      </c>
      <c r="BP220" s="178"/>
      <c r="BQ220" s="102"/>
      <c r="BR220" s="102"/>
      <c r="BS220" s="178"/>
      <c r="BT220" s="178"/>
      <c r="BU220" s="178"/>
      <c r="BV220" s="180"/>
      <c r="BW220" s="178"/>
      <c r="BX220" s="196">
        <v>790</v>
      </c>
      <c r="BY220" s="190" t="s">
        <v>635</v>
      </c>
      <c r="BZ220" s="180"/>
      <c r="CA220" s="180"/>
      <c r="CB220" s="180"/>
      <c r="CC220" s="178"/>
      <c r="CD220" s="178"/>
      <c r="CE220" s="180"/>
      <c r="CF220" s="180"/>
      <c r="CG220" s="180"/>
      <c r="CH220" s="180"/>
      <c r="CI220" s="178"/>
      <c r="CJ220" s="178"/>
      <c r="CK220" s="180"/>
      <c r="CL220" s="180"/>
      <c r="CM220" s="180"/>
      <c r="CN220" s="116"/>
      <c r="CO220" s="218">
        <f t="shared" si="106"/>
        <v>0.02</v>
      </c>
      <c r="CP220" s="100">
        <f t="shared" si="107"/>
        <v>8.4999999999999992E-2</v>
      </c>
      <c r="CQ220" s="218">
        <f t="shared" si="108"/>
        <v>0.15</v>
      </c>
      <c r="CR220" s="101">
        <v>0.02</v>
      </c>
      <c r="CS220" s="101">
        <v>0.5</v>
      </c>
    </row>
    <row r="221" spans="1:97" s="101" customFormat="1" ht="16.5" hidden="1" thickBot="1" x14ac:dyDescent="0.3">
      <c r="A221" s="99"/>
      <c r="V221" s="103"/>
      <c r="AA221" s="104"/>
      <c r="AB221" s="104"/>
      <c r="AD221" s="104"/>
      <c r="AE221" s="105"/>
      <c r="AH221" s="106"/>
      <c r="AI221" s="106"/>
      <c r="AK221" s="104"/>
      <c r="AR221" s="104"/>
      <c r="AV221" s="104"/>
      <c r="AX221" s="104"/>
      <c r="BB221" s="104"/>
      <c r="BC221" s="104"/>
      <c r="BE221" s="104"/>
      <c r="BH221" s="120" t="s">
        <v>53</v>
      </c>
      <c r="BI221" s="203" t="s">
        <v>14</v>
      </c>
      <c r="BJ221" s="190" t="s">
        <v>615</v>
      </c>
      <c r="BK221" s="196">
        <v>860</v>
      </c>
      <c r="BL221" s="190" t="s">
        <v>629</v>
      </c>
      <c r="BM221" s="189">
        <v>0.02</v>
      </c>
      <c r="BN221" s="189">
        <v>0.15</v>
      </c>
      <c r="BO221" s="188" t="s">
        <v>258</v>
      </c>
      <c r="BP221" s="178"/>
      <c r="BQ221" s="102"/>
      <c r="BR221" s="102"/>
      <c r="BS221" s="178"/>
      <c r="BT221" s="178"/>
      <c r="BU221" s="178"/>
      <c r="BV221" s="180"/>
      <c r="BW221" s="178"/>
      <c r="BX221" s="196">
        <v>910</v>
      </c>
      <c r="BY221" s="190" t="s">
        <v>635</v>
      </c>
      <c r="BZ221" s="180"/>
      <c r="CA221" s="180"/>
      <c r="CB221" s="180"/>
      <c r="CC221" s="178"/>
      <c r="CD221" s="178"/>
      <c r="CE221" s="180"/>
      <c r="CF221" s="180"/>
      <c r="CG221" s="180"/>
      <c r="CH221" s="180"/>
      <c r="CI221" s="178"/>
      <c r="CJ221" s="178"/>
      <c r="CK221" s="180"/>
      <c r="CL221" s="180"/>
      <c r="CM221" s="180"/>
      <c r="CN221" s="116"/>
      <c r="CO221" s="218">
        <f t="shared" si="106"/>
        <v>0.02</v>
      </c>
      <c r="CP221" s="100">
        <f t="shared" si="107"/>
        <v>8.4999999999999992E-2</v>
      </c>
      <c r="CQ221" s="218">
        <f t="shared" si="108"/>
        <v>0.15</v>
      </c>
      <c r="CR221" s="101">
        <v>0.02</v>
      </c>
      <c r="CS221" s="101">
        <v>0.5</v>
      </c>
    </row>
    <row r="222" spans="1:97" s="101" customFormat="1" ht="16.5" hidden="1" thickBot="1" x14ac:dyDescent="0.3">
      <c r="A222" s="99"/>
      <c r="V222" s="103"/>
      <c r="AA222" s="104"/>
      <c r="AB222" s="104"/>
      <c r="AD222" s="104"/>
      <c r="AE222" s="105"/>
      <c r="AH222" s="106"/>
      <c r="AI222" s="106"/>
      <c r="AK222" s="104"/>
      <c r="AR222" s="104"/>
      <c r="AV222" s="104"/>
      <c r="AX222" s="104"/>
      <c r="BB222" s="104"/>
      <c r="BC222" s="104"/>
      <c r="BE222" s="104"/>
      <c r="BH222" s="120"/>
      <c r="BI222" s="203" t="s">
        <v>431</v>
      </c>
      <c r="BJ222" s="190" t="s">
        <v>615</v>
      </c>
      <c r="BK222" s="196">
        <v>439.71</v>
      </c>
      <c r="BL222" s="190" t="s">
        <v>629</v>
      </c>
      <c r="BM222" s="189">
        <v>0.02</v>
      </c>
      <c r="BN222" s="189">
        <v>0.15</v>
      </c>
      <c r="BO222" s="188" t="s">
        <v>258</v>
      </c>
      <c r="BP222" s="178"/>
      <c r="BQ222" s="102"/>
      <c r="BR222" s="102"/>
      <c r="BS222" s="178"/>
      <c r="BT222" s="178"/>
      <c r="BU222" s="178"/>
      <c r="BV222" s="180"/>
      <c r="BW222" s="178"/>
      <c r="BX222" s="196"/>
      <c r="BY222" s="190"/>
      <c r="BZ222" s="180"/>
      <c r="CA222" s="180"/>
      <c r="CB222" s="180"/>
      <c r="CC222" s="178"/>
      <c r="CD222" s="178"/>
      <c r="CE222" s="180"/>
      <c r="CF222" s="180"/>
      <c r="CG222" s="180"/>
      <c r="CH222" s="180"/>
      <c r="CI222" s="178"/>
      <c r="CJ222" s="178"/>
      <c r="CK222" s="180"/>
      <c r="CL222" s="180"/>
      <c r="CM222" s="180"/>
      <c r="CN222" s="116"/>
      <c r="CO222" s="218">
        <f t="shared" si="106"/>
        <v>0.02</v>
      </c>
      <c r="CP222" s="100">
        <f t="shared" si="107"/>
        <v>8.4999999999999992E-2</v>
      </c>
      <c r="CQ222" s="218">
        <f t="shared" si="108"/>
        <v>0.15</v>
      </c>
    </row>
    <row r="223" spans="1:97" s="101" customFormat="1" ht="16.5" hidden="1" thickBot="1" x14ac:dyDescent="0.3">
      <c r="A223" s="99"/>
      <c r="V223" s="103"/>
      <c r="AA223" s="104"/>
      <c r="AB223" s="104"/>
      <c r="AD223" s="104"/>
      <c r="AE223" s="105"/>
      <c r="AH223" s="106"/>
      <c r="AI223" s="106"/>
      <c r="AK223" s="104"/>
      <c r="AR223" s="104"/>
      <c r="AV223" s="104"/>
      <c r="AX223" s="104"/>
      <c r="BB223" s="104"/>
      <c r="BC223" s="104"/>
      <c r="BE223" s="104"/>
      <c r="BH223" s="120"/>
      <c r="BI223" s="203" t="s">
        <v>432</v>
      </c>
      <c r="BJ223" s="190" t="s">
        <v>615</v>
      </c>
      <c r="BK223" s="196">
        <v>521.97</v>
      </c>
      <c r="BL223" s="190" t="s">
        <v>629</v>
      </c>
      <c r="BM223" s="189">
        <v>0.02</v>
      </c>
      <c r="BN223" s="189">
        <v>0.15</v>
      </c>
      <c r="BO223" s="188" t="s">
        <v>258</v>
      </c>
      <c r="BP223" s="178"/>
      <c r="BQ223" s="102"/>
      <c r="BR223" s="102"/>
      <c r="BS223" s="178"/>
      <c r="BT223" s="178"/>
      <c r="BU223" s="178"/>
      <c r="BV223" s="180"/>
      <c r="BW223" s="178"/>
      <c r="BX223" s="196"/>
      <c r="BY223" s="190"/>
      <c r="BZ223" s="180"/>
      <c r="CA223" s="180"/>
      <c r="CB223" s="180"/>
      <c r="CC223" s="178"/>
      <c r="CD223" s="178"/>
      <c r="CE223" s="180"/>
      <c r="CF223" s="180"/>
      <c r="CG223" s="180"/>
      <c r="CH223" s="180"/>
      <c r="CI223" s="178"/>
      <c r="CJ223" s="178"/>
      <c r="CK223" s="180"/>
      <c r="CL223" s="180"/>
      <c r="CM223" s="180"/>
      <c r="CN223" s="116"/>
      <c r="CO223" s="218">
        <f t="shared" si="106"/>
        <v>0.02</v>
      </c>
      <c r="CP223" s="100">
        <f t="shared" si="107"/>
        <v>8.4999999999999992E-2</v>
      </c>
      <c r="CQ223" s="218">
        <f t="shared" si="108"/>
        <v>0.15</v>
      </c>
    </row>
    <row r="224" spans="1:97" s="101" customFormat="1" ht="16.5" hidden="1" thickBot="1" x14ac:dyDescent="0.3">
      <c r="A224" s="99"/>
      <c r="V224" s="103"/>
      <c r="AA224" s="104"/>
      <c r="AB224" s="104"/>
      <c r="AD224" s="104"/>
      <c r="AE224" s="105"/>
      <c r="AH224" s="106"/>
      <c r="AI224" s="106"/>
      <c r="AK224" s="104"/>
      <c r="AR224" s="104"/>
      <c r="AV224" s="104"/>
      <c r="AX224" s="104"/>
      <c r="BB224" s="104"/>
      <c r="BC224" s="104"/>
      <c r="BE224" s="104"/>
      <c r="BH224" s="120"/>
      <c r="BI224" s="203" t="s">
        <v>433</v>
      </c>
      <c r="BJ224" s="190" t="s">
        <v>615</v>
      </c>
      <c r="BK224" s="196">
        <v>477.32</v>
      </c>
      <c r="BL224" s="190" t="s">
        <v>629</v>
      </c>
      <c r="BM224" s="189">
        <v>0.02</v>
      </c>
      <c r="BN224" s="189">
        <v>0.15</v>
      </c>
      <c r="BO224" s="188" t="s">
        <v>258</v>
      </c>
      <c r="BP224" s="178"/>
      <c r="BQ224" s="102"/>
      <c r="BR224" s="102"/>
      <c r="BS224" s="178"/>
      <c r="BT224" s="178"/>
      <c r="BU224" s="178"/>
      <c r="BV224" s="180"/>
      <c r="BW224" s="178"/>
      <c r="BX224" s="196"/>
      <c r="BY224" s="190"/>
      <c r="BZ224" s="180"/>
      <c r="CA224" s="180"/>
      <c r="CB224" s="180"/>
      <c r="CC224" s="178"/>
      <c r="CD224" s="178"/>
      <c r="CE224" s="180"/>
      <c r="CF224" s="180"/>
      <c r="CG224" s="180"/>
      <c r="CH224" s="180"/>
      <c r="CI224" s="178"/>
      <c r="CJ224" s="178"/>
      <c r="CK224" s="180"/>
      <c r="CL224" s="180"/>
      <c r="CM224" s="180"/>
      <c r="CN224" s="116"/>
      <c r="CO224" s="218">
        <f t="shared" si="106"/>
        <v>0.02</v>
      </c>
      <c r="CP224" s="100">
        <f t="shared" si="107"/>
        <v>8.4999999999999992E-2</v>
      </c>
      <c r="CQ224" s="218">
        <f t="shared" si="108"/>
        <v>0.15</v>
      </c>
    </row>
    <row r="225" spans="1:97" s="101" customFormat="1" ht="16.5" hidden="1" thickBot="1" x14ac:dyDescent="0.3">
      <c r="A225" s="99"/>
      <c r="V225" s="103"/>
      <c r="AA225" s="104"/>
      <c r="AB225" s="104"/>
      <c r="AD225" s="104"/>
      <c r="AE225" s="105"/>
      <c r="AH225" s="106"/>
      <c r="AI225" s="106"/>
      <c r="AK225" s="104"/>
      <c r="AR225" s="104"/>
      <c r="AV225" s="104"/>
      <c r="AX225" s="104"/>
      <c r="BB225" s="104"/>
      <c r="BC225" s="104"/>
      <c r="BE225" s="104"/>
      <c r="BH225" s="120"/>
      <c r="BI225" s="203" t="s">
        <v>434</v>
      </c>
      <c r="BJ225" s="190" t="s">
        <v>615</v>
      </c>
      <c r="BK225" s="196">
        <v>379.87</v>
      </c>
      <c r="BL225" s="190" t="s">
        <v>629</v>
      </c>
      <c r="BM225" s="189">
        <v>0.02</v>
      </c>
      <c r="BN225" s="189">
        <v>0.15</v>
      </c>
      <c r="BO225" s="188" t="s">
        <v>258</v>
      </c>
      <c r="BP225" s="178"/>
      <c r="BQ225" s="102"/>
      <c r="BR225" s="102"/>
      <c r="BS225" s="178"/>
      <c r="BT225" s="178"/>
      <c r="BU225" s="178"/>
      <c r="BV225" s="180"/>
      <c r="BW225" s="178"/>
      <c r="BX225" s="196"/>
      <c r="BY225" s="190"/>
      <c r="BZ225" s="180"/>
      <c r="CA225" s="180"/>
      <c r="CB225" s="180"/>
      <c r="CC225" s="178"/>
      <c r="CD225" s="178"/>
      <c r="CE225" s="180"/>
      <c r="CF225" s="180"/>
      <c r="CG225" s="180"/>
      <c r="CH225" s="180"/>
      <c r="CI225" s="178"/>
      <c r="CJ225" s="178"/>
      <c r="CK225" s="180"/>
      <c r="CL225" s="180"/>
      <c r="CM225" s="180"/>
      <c r="CN225" s="116"/>
      <c r="CO225" s="218">
        <f t="shared" si="106"/>
        <v>0.02</v>
      </c>
      <c r="CP225" s="100">
        <f t="shared" si="107"/>
        <v>8.4999999999999992E-2</v>
      </c>
      <c r="CQ225" s="218">
        <f t="shared" si="108"/>
        <v>0.15</v>
      </c>
    </row>
    <row r="226" spans="1:97" s="101" customFormat="1" ht="16.5" hidden="1" thickBot="1" x14ac:dyDescent="0.3">
      <c r="A226" s="99"/>
      <c r="V226" s="103"/>
      <c r="AA226" s="104"/>
      <c r="AB226" s="104"/>
      <c r="AD226" s="104"/>
      <c r="AE226" s="105"/>
      <c r="AH226" s="106"/>
      <c r="AI226" s="106"/>
      <c r="AK226" s="104"/>
      <c r="AR226" s="104"/>
      <c r="AV226" s="104"/>
      <c r="AX226" s="104"/>
      <c r="BB226" s="104"/>
      <c r="BC226" s="104"/>
      <c r="BE226" s="104"/>
      <c r="BH226" s="120"/>
      <c r="BI226" s="203" t="s">
        <v>436</v>
      </c>
      <c r="BJ226" s="190" t="s">
        <v>615</v>
      </c>
      <c r="BK226" s="196">
        <v>382.86</v>
      </c>
      <c r="BL226" s="190" t="s">
        <v>629</v>
      </c>
      <c r="BM226" s="189">
        <v>0.02</v>
      </c>
      <c r="BN226" s="189">
        <v>0.15</v>
      </c>
      <c r="BO226" s="188" t="s">
        <v>258</v>
      </c>
      <c r="BP226" s="178"/>
      <c r="BQ226" s="102"/>
      <c r="BR226" s="102"/>
      <c r="BS226" s="178"/>
      <c r="BT226" s="178"/>
      <c r="BU226" s="178"/>
      <c r="BV226" s="180"/>
      <c r="BW226" s="178"/>
      <c r="BX226" s="196"/>
      <c r="BY226" s="190"/>
      <c r="BZ226" s="180"/>
      <c r="CA226" s="180"/>
      <c r="CB226" s="180"/>
      <c r="CC226" s="178"/>
      <c r="CD226" s="178"/>
      <c r="CE226" s="180"/>
      <c r="CF226" s="180"/>
      <c r="CG226" s="180"/>
      <c r="CH226" s="180"/>
      <c r="CI226" s="178"/>
      <c r="CJ226" s="178"/>
      <c r="CK226" s="180"/>
      <c r="CL226" s="180"/>
      <c r="CM226" s="180"/>
      <c r="CN226" s="116"/>
      <c r="CO226" s="218">
        <f t="shared" si="106"/>
        <v>0.02</v>
      </c>
      <c r="CP226" s="100">
        <f t="shared" si="107"/>
        <v>8.4999999999999992E-2</v>
      </c>
      <c r="CQ226" s="218">
        <f t="shared" si="108"/>
        <v>0.15</v>
      </c>
    </row>
    <row r="227" spans="1:97" s="101" customFormat="1" ht="16.5" hidden="1" thickBot="1" x14ac:dyDescent="0.3">
      <c r="A227" s="99"/>
      <c r="V227" s="103"/>
      <c r="AA227" s="104"/>
      <c r="AB227" s="104"/>
      <c r="AD227" s="104"/>
      <c r="AE227" s="105"/>
      <c r="AH227" s="106"/>
      <c r="AI227" s="106"/>
      <c r="AK227" s="104"/>
      <c r="AR227" s="104"/>
      <c r="AV227" s="104"/>
      <c r="AX227" s="104"/>
      <c r="BB227" s="104"/>
      <c r="BC227" s="104"/>
      <c r="BE227" s="104"/>
      <c r="BH227" s="120"/>
      <c r="BI227" s="203" t="s">
        <v>437</v>
      </c>
      <c r="BJ227" s="190" t="s">
        <v>615</v>
      </c>
      <c r="BK227" s="196">
        <v>414.92</v>
      </c>
      <c r="BL227" s="190" t="s">
        <v>629</v>
      </c>
      <c r="BM227" s="189">
        <v>0.02</v>
      </c>
      <c r="BN227" s="189">
        <v>0.15</v>
      </c>
      <c r="BO227" s="188" t="s">
        <v>258</v>
      </c>
      <c r="BP227" s="178"/>
      <c r="BQ227" s="102"/>
      <c r="BR227" s="102"/>
      <c r="BS227" s="178"/>
      <c r="BT227" s="178"/>
      <c r="BU227" s="178"/>
      <c r="BV227" s="180"/>
      <c r="BW227" s="178"/>
      <c r="BX227" s="196"/>
      <c r="BY227" s="190"/>
      <c r="BZ227" s="180"/>
      <c r="CA227" s="180"/>
      <c r="CB227" s="180"/>
      <c r="CC227" s="178"/>
      <c r="CD227" s="178"/>
      <c r="CE227" s="180"/>
      <c r="CF227" s="180"/>
      <c r="CG227" s="180"/>
      <c r="CH227" s="180"/>
      <c r="CI227" s="178"/>
      <c r="CJ227" s="178"/>
      <c r="CK227" s="180"/>
      <c r="CL227" s="180"/>
      <c r="CM227" s="180"/>
      <c r="CN227" s="116"/>
      <c r="CO227" s="218">
        <f t="shared" si="106"/>
        <v>0.02</v>
      </c>
      <c r="CP227" s="100">
        <f t="shared" si="107"/>
        <v>8.4999999999999992E-2</v>
      </c>
      <c r="CQ227" s="218">
        <f t="shared" si="108"/>
        <v>0.15</v>
      </c>
    </row>
    <row r="228" spans="1:97" s="101" customFormat="1" ht="16.5" hidden="1" thickBot="1" x14ac:dyDescent="0.3">
      <c r="A228" s="99"/>
      <c r="V228" s="103"/>
      <c r="AA228" s="104"/>
      <c r="AB228" s="104"/>
      <c r="AD228" s="104"/>
      <c r="AE228" s="105"/>
      <c r="AH228" s="106"/>
      <c r="AI228" s="106"/>
      <c r="AK228" s="104"/>
      <c r="AR228" s="104"/>
      <c r="AV228" s="104"/>
      <c r="AX228" s="104"/>
      <c r="BB228" s="104"/>
      <c r="BC228" s="104"/>
      <c r="BE228" s="104"/>
      <c r="BH228" s="120"/>
      <c r="BI228" s="203" t="s">
        <v>435</v>
      </c>
      <c r="BJ228" s="190" t="s">
        <v>615</v>
      </c>
      <c r="BK228" s="196">
        <v>475.72</v>
      </c>
      <c r="BL228" s="190" t="s">
        <v>629</v>
      </c>
      <c r="BM228" s="189">
        <v>0.02</v>
      </c>
      <c r="BN228" s="189">
        <v>0.15</v>
      </c>
      <c r="BO228" s="188" t="s">
        <v>258</v>
      </c>
      <c r="BP228" s="178"/>
      <c r="BQ228" s="102"/>
      <c r="BR228" s="102"/>
      <c r="BS228" s="178"/>
      <c r="BT228" s="178"/>
      <c r="BU228" s="178"/>
      <c r="BV228" s="180"/>
      <c r="BW228" s="178"/>
      <c r="BX228" s="196"/>
      <c r="BY228" s="190"/>
      <c r="BZ228" s="180"/>
      <c r="CA228" s="180"/>
      <c r="CB228" s="180"/>
      <c r="CC228" s="178"/>
      <c r="CD228" s="178"/>
      <c r="CE228" s="180"/>
      <c r="CF228" s="180"/>
      <c r="CG228" s="180"/>
      <c r="CH228" s="180"/>
      <c r="CI228" s="178"/>
      <c r="CJ228" s="178"/>
      <c r="CK228" s="180"/>
      <c r="CL228" s="180"/>
      <c r="CM228" s="180"/>
      <c r="CN228" s="116"/>
      <c r="CO228" s="218">
        <f t="shared" si="106"/>
        <v>0.02</v>
      </c>
      <c r="CP228" s="100">
        <f t="shared" si="107"/>
        <v>8.4999999999999992E-2</v>
      </c>
      <c r="CQ228" s="218">
        <f t="shared" si="108"/>
        <v>0.15</v>
      </c>
    </row>
    <row r="229" spans="1:97" s="101" customFormat="1" ht="16.5" hidden="1" thickBot="1" x14ac:dyDescent="0.3">
      <c r="A229" s="99"/>
      <c r="V229" s="103"/>
      <c r="AA229" s="104"/>
      <c r="AB229" s="104"/>
      <c r="AD229" s="104"/>
      <c r="AE229" s="105"/>
      <c r="AH229" s="106"/>
      <c r="AI229" s="106"/>
      <c r="AK229" s="104"/>
      <c r="AR229" s="104"/>
      <c r="AV229" s="104"/>
      <c r="AX229" s="104"/>
      <c r="BB229" s="104"/>
      <c r="BC229" s="104"/>
      <c r="BE229" s="104"/>
      <c r="BH229" s="120"/>
      <c r="BI229" s="203" t="s">
        <v>439</v>
      </c>
      <c r="BJ229" s="203" t="s">
        <v>49</v>
      </c>
      <c r="BK229" s="196">
        <v>0.21</v>
      </c>
      <c r="BL229" s="190" t="s">
        <v>629</v>
      </c>
      <c r="BM229" s="189">
        <v>0.1</v>
      </c>
      <c r="BN229" s="189">
        <v>0.6</v>
      </c>
      <c r="BO229" s="188" t="s">
        <v>258</v>
      </c>
      <c r="BP229" s="178"/>
      <c r="BQ229" s="102"/>
      <c r="BR229" s="102"/>
      <c r="BS229" s="178"/>
      <c r="BT229" s="178"/>
      <c r="BU229" s="178"/>
      <c r="BV229" s="180"/>
      <c r="BW229" s="178"/>
      <c r="BX229" s="196"/>
      <c r="BY229" s="190"/>
      <c r="BZ229" s="180"/>
      <c r="CA229" s="180"/>
      <c r="CB229" s="180"/>
      <c r="CC229" s="178"/>
      <c r="CD229" s="178"/>
      <c r="CE229" s="180"/>
      <c r="CF229" s="180"/>
      <c r="CG229" s="180"/>
      <c r="CH229" s="180"/>
      <c r="CI229" s="178"/>
      <c r="CJ229" s="178"/>
      <c r="CK229" s="180"/>
      <c r="CL229" s="180"/>
      <c r="CM229" s="180"/>
      <c r="CN229" s="116"/>
      <c r="CO229" s="218">
        <f t="shared" si="106"/>
        <v>0.1</v>
      </c>
      <c r="CP229" s="100">
        <f t="shared" si="107"/>
        <v>0.35</v>
      </c>
      <c r="CQ229" s="218">
        <f t="shared" si="108"/>
        <v>0.6</v>
      </c>
    </row>
    <row r="230" spans="1:97" s="101" customFormat="1" ht="16.5" hidden="1" thickBot="1" x14ac:dyDescent="0.3">
      <c r="A230" s="99"/>
      <c r="V230" s="103"/>
      <c r="AA230" s="104"/>
      <c r="AB230" s="104"/>
      <c r="AD230" s="104"/>
      <c r="AE230" s="105"/>
      <c r="AH230" s="106"/>
      <c r="AI230" s="106"/>
      <c r="AK230" s="104"/>
      <c r="AR230" s="104"/>
      <c r="AV230" s="104"/>
      <c r="AX230" s="104"/>
      <c r="BB230" s="104"/>
      <c r="BC230" s="104"/>
      <c r="BE230" s="104"/>
      <c r="BH230" s="120"/>
      <c r="BI230" s="203" t="s">
        <v>577</v>
      </c>
      <c r="BJ230" s="203" t="s">
        <v>49</v>
      </c>
      <c r="BK230" s="196">
        <v>0.25</v>
      </c>
      <c r="BL230" s="190" t="s">
        <v>629</v>
      </c>
      <c r="BM230" s="189">
        <v>0.1</v>
      </c>
      <c r="BN230" s="189">
        <v>0.6</v>
      </c>
      <c r="BO230" s="188" t="s">
        <v>258</v>
      </c>
      <c r="BP230" s="178"/>
      <c r="BQ230" s="102"/>
      <c r="BR230" s="102"/>
      <c r="BS230" s="178"/>
      <c r="BT230" s="178"/>
      <c r="BU230" s="178"/>
      <c r="BV230" s="180"/>
      <c r="BW230" s="178"/>
      <c r="BX230" s="196"/>
      <c r="BY230" s="190"/>
      <c r="BZ230" s="180"/>
      <c r="CA230" s="180"/>
      <c r="CB230" s="180"/>
      <c r="CC230" s="178"/>
      <c r="CD230" s="178"/>
      <c r="CE230" s="180"/>
      <c r="CF230" s="180"/>
      <c r="CG230" s="180"/>
      <c r="CH230" s="180"/>
      <c r="CI230" s="178"/>
      <c r="CJ230" s="178"/>
      <c r="CK230" s="180"/>
      <c r="CL230" s="180"/>
      <c r="CM230" s="180"/>
      <c r="CN230" s="116"/>
      <c r="CO230" s="218">
        <f t="shared" si="106"/>
        <v>0.1</v>
      </c>
      <c r="CP230" s="100">
        <f t="shared" si="107"/>
        <v>0.35</v>
      </c>
      <c r="CQ230" s="218">
        <f t="shared" si="108"/>
        <v>0.6</v>
      </c>
    </row>
    <row r="231" spans="1:97" s="101" customFormat="1" ht="16.5" hidden="1" thickBot="1" x14ac:dyDescent="0.3">
      <c r="A231" s="99"/>
      <c r="V231" s="103"/>
      <c r="AA231" s="104"/>
      <c r="AB231" s="104"/>
      <c r="AD231" s="104"/>
      <c r="AE231" s="105"/>
      <c r="AH231" s="106"/>
      <c r="AI231" s="106"/>
      <c r="AK231" s="104"/>
      <c r="AR231" s="104"/>
      <c r="AV231" s="104"/>
      <c r="AX231" s="104"/>
      <c r="BB231" s="104"/>
      <c r="BC231" s="104"/>
      <c r="BE231" s="104"/>
      <c r="BH231" s="120"/>
      <c r="BI231" s="203" t="s">
        <v>441</v>
      </c>
      <c r="BJ231" s="203" t="s">
        <v>49</v>
      </c>
      <c r="BK231" s="196">
        <v>0.1</v>
      </c>
      <c r="BL231" s="190" t="s">
        <v>629</v>
      </c>
      <c r="BM231" s="189">
        <v>0.1</v>
      </c>
      <c r="BN231" s="189">
        <v>0.6</v>
      </c>
      <c r="BO231" s="188" t="s">
        <v>258</v>
      </c>
      <c r="BP231" s="178"/>
      <c r="BQ231" s="102"/>
      <c r="BR231" s="102"/>
      <c r="BS231" s="178"/>
      <c r="BT231" s="178"/>
      <c r="BU231" s="178"/>
      <c r="BV231" s="180"/>
      <c r="BW231" s="178"/>
      <c r="BX231" s="196"/>
      <c r="BY231" s="190"/>
      <c r="BZ231" s="180"/>
      <c r="CA231" s="180"/>
      <c r="CB231" s="180"/>
      <c r="CC231" s="178"/>
      <c r="CD231" s="178"/>
      <c r="CE231" s="180"/>
      <c r="CF231" s="180"/>
      <c r="CG231" s="180"/>
      <c r="CH231" s="180"/>
      <c r="CI231" s="178"/>
      <c r="CJ231" s="178"/>
      <c r="CK231" s="180"/>
      <c r="CL231" s="180"/>
      <c r="CM231" s="180"/>
      <c r="CN231" s="116"/>
      <c r="CO231" s="218">
        <f t="shared" si="106"/>
        <v>0.1</v>
      </c>
      <c r="CP231" s="100">
        <f t="shared" si="107"/>
        <v>0.35</v>
      </c>
      <c r="CQ231" s="218">
        <f t="shared" si="108"/>
        <v>0.6</v>
      </c>
    </row>
    <row r="232" spans="1:97" s="101" customFormat="1" ht="16.5" hidden="1" thickBot="1" x14ac:dyDescent="0.3">
      <c r="A232" s="99"/>
      <c r="V232" s="103"/>
      <c r="AA232" s="104"/>
      <c r="AB232" s="104"/>
      <c r="AD232" s="104"/>
      <c r="AE232" s="105"/>
      <c r="AH232" s="106"/>
      <c r="AI232" s="106"/>
      <c r="AK232" s="104"/>
      <c r="AR232" s="104"/>
      <c r="AV232" s="104"/>
      <c r="AX232" s="104"/>
      <c r="BB232" s="104"/>
      <c r="BC232" s="104"/>
      <c r="BE232" s="104"/>
      <c r="BH232" s="120"/>
      <c r="BI232" s="203" t="s">
        <v>442</v>
      </c>
      <c r="BJ232" s="203" t="s">
        <v>49</v>
      </c>
      <c r="BK232" s="196">
        <v>0.2</v>
      </c>
      <c r="BL232" s="190" t="s">
        <v>629</v>
      </c>
      <c r="BM232" s="189">
        <v>0.1</v>
      </c>
      <c r="BN232" s="189">
        <v>0.6</v>
      </c>
      <c r="BO232" s="188" t="s">
        <v>258</v>
      </c>
      <c r="BP232" s="178"/>
      <c r="BQ232" s="102"/>
      <c r="BR232" s="102"/>
      <c r="BS232" s="178"/>
      <c r="BT232" s="178"/>
      <c r="BU232" s="178"/>
      <c r="BV232" s="180"/>
      <c r="BW232" s="178"/>
      <c r="BX232" s="196"/>
      <c r="BY232" s="190"/>
      <c r="BZ232" s="180"/>
      <c r="CA232" s="180"/>
      <c r="CB232" s="180"/>
      <c r="CC232" s="178"/>
      <c r="CD232" s="178"/>
      <c r="CE232" s="180"/>
      <c r="CF232" s="180"/>
      <c r="CG232" s="180"/>
      <c r="CH232" s="180"/>
      <c r="CI232" s="178"/>
      <c r="CJ232" s="178"/>
      <c r="CK232" s="180"/>
      <c r="CL232" s="180"/>
      <c r="CM232" s="180"/>
      <c r="CN232" s="116"/>
      <c r="CO232" s="218">
        <f t="shared" si="106"/>
        <v>0.1</v>
      </c>
      <c r="CP232" s="100">
        <f t="shared" si="107"/>
        <v>0.35</v>
      </c>
      <c r="CQ232" s="218">
        <f t="shared" si="108"/>
        <v>0.6</v>
      </c>
    </row>
    <row r="233" spans="1:97" s="101" customFormat="1" ht="16.5" hidden="1" thickBot="1" x14ac:dyDescent="0.3">
      <c r="A233" s="99"/>
      <c r="V233" s="103"/>
      <c r="AA233" s="104"/>
      <c r="AB233" s="104"/>
      <c r="AD233" s="104"/>
      <c r="AE233" s="105"/>
      <c r="AH233" s="106"/>
      <c r="AI233" s="106"/>
      <c r="AK233" s="104"/>
      <c r="AR233" s="104"/>
      <c r="AV233" s="104"/>
      <c r="AX233" s="104"/>
      <c r="BB233" s="104"/>
      <c r="BC233" s="104"/>
      <c r="BE233" s="104"/>
      <c r="BH233" s="120"/>
      <c r="BI233" s="203" t="s">
        <v>440</v>
      </c>
      <c r="BJ233" s="203" t="s">
        <v>49</v>
      </c>
      <c r="BK233" s="196">
        <v>0.03</v>
      </c>
      <c r="BL233" s="190" t="s">
        <v>629</v>
      </c>
      <c r="BM233" s="189">
        <v>0.1</v>
      </c>
      <c r="BN233" s="189">
        <v>0.6</v>
      </c>
      <c r="BO233" s="188" t="s">
        <v>258</v>
      </c>
      <c r="BP233" s="178"/>
      <c r="BQ233" s="102"/>
      <c r="BR233" s="102"/>
      <c r="BS233" s="178"/>
      <c r="BT233" s="178"/>
      <c r="BU233" s="178"/>
      <c r="BV233" s="180"/>
      <c r="BW233" s="178"/>
      <c r="BX233" s="196"/>
      <c r="BY233" s="190"/>
      <c r="BZ233" s="180"/>
      <c r="CA233" s="180"/>
      <c r="CB233" s="180"/>
      <c r="CC233" s="178"/>
      <c r="CD233" s="178"/>
      <c r="CE233" s="180"/>
      <c r="CF233" s="180"/>
      <c r="CG233" s="180"/>
      <c r="CH233" s="180"/>
      <c r="CI233" s="178"/>
      <c r="CJ233" s="178"/>
      <c r="CK233" s="180"/>
      <c r="CL233" s="180"/>
      <c r="CM233" s="180"/>
      <c r="CN233" s="116"/>
      <c r="CO233" s="218">
        <f t="shared" si="106"/>
        <v>0.1</v>
      </c>
      <c r="CP233" s="100">
        <f t="shared" si="107"/>
        <v>0.35</v>
      </c>
      <c r="CQ233" s="218">
        <f t="shared" si="108"/>
        <v>0.6</v>
      </c>
    </row>
    <row r="234" spans="1:97" s="101" customFormat="1" ht="15.75" hidden="1" thickBot="1" x14ac:dyDescent="0.3">
      <c r="A234" s="99"/>
      <c r="V234" s="103"/>
      <c r="AA234" s="104"/>
      <c r="AB234" s="104"/>
      <c r="AD234" s="104"/>
      <c r="AE234" s="105"/>
      <c r="AH234" s="106"/>
      <c r="AI234" s="106"/>
      <c r="AK234" s="104"/>
      <c r="AR234" s="104"/>
      <c r="AV234" s="104"/>
      <c r="AX234" s="104"/>
      <c r="BB234" s="104"/>
      <c r="BC234" s="104"/>
      <c r="BE234" s="104"/>
      <c r="BH234" s="120"/>
      <c r="BI234" s="203" t="s">
        <v>15</v>
      </c>
      <c r="BJ234" s="190" t="s">
        <v>636</v>
      </c>
      <c r="BK234" s="196">
        <v>3273</v>
      </c>
      <c r="BL234" s="190" t="s">
        <v>630</v>
      </c>
      <c r="BM234" s="189">
        <v>0.02</v>
      </c>
      <c r="BN234" s="189">
        <v>0.05</v>
      </c>
      <c r="BO234" s="188" t="s">
        <v>258</v>
      </c>
      <c r="BP234" s="178"/>
      <c r="BQ234" s="102"/>
      <c r="BR234" s="102"/>
      <c r="BS234" s="178"/>
      <c r="BT234" s="178"/>
      <c r="BU234" s="178"/>
      <c r="BV234" s="180"/>
      <c r="BW234" s="178"/>
      <c r="BX234" s="196"/>
      <c r="BY234" s="190"/>
      <c r="BZ234" s="180"/>
      <c r="CA234" s="180"/>
      <c r="CB234" s="180"/>
      <c r="CC234" s="178"/>
      <c r="CD234" s="178"/>
      <c r="CE234" s="180"/>
      <c r="CF234" s="180"/>
      <c r="CG234" s="180"/>
      <c r="CH234" s="180"/>
      <c r="CI234" s="178"/>
      <c r="CJ234" s="178"/>
      <c r="CK234" s="180"/>
      <c r="CL234" s="180"/>
      <c r="CM234" s="180"/>
      <c r="CN234" s="116"/>
      <c r="CO234" s="218">
        <f t="shared" si="106"/>
        <v>0.02</v>
      </c>
      <c r="CP234" s="100">
        <f t="shared" si="107"/>
        <v>3.5000000000000003E-2</v>
      </c>
      <c r="CQ234" s="218">
        <f t="shared" si="108"/>
        <v>0.05</v>
      </c>
    </row>
    <row r="235" spans="1:97" s="101" customFormat="1" ht="26.25" hidden="1" thickBot="1" x14ac:dyDescent="0.3">
      <c r="A235" s="99"/>
      <c r="V235" s="103"/>
      <c r="AA235" s="104"/>
      <c r="AB235" s="104"/>
      <c r="AD235" s="104"/>
      <c r="AE235" s="105"/>
      <c r="AH235" s="106"/>
      <c r="AI235" s="106"/>
      <c r="AK235" s="104"/>
      <c r="AR235" s="104"/>
      <c r="AV235" s="104"/>
      <c r="AX235" s="104"/>
      <c r="BB235" s="104"/>
      <c r="BC235" s="104"/>
      <c r="BE235" s="104"/>
      <c r="BH235" s="120" t="s">
        <v>53</v>
      </c>
      <c r="BI235" s="203" t="s">
        <v>344</v>
      </c>
      <c r="BJ235" s="203" t="s">
        <v>615</v>
      </c>
      <c r="BK235" s="196">
        <f>(3.13757879682717*1000)</f>
        <v>3137.5787968271702</v>
      </c>
      <c r="BL235" s="190" t="s">
        <v>629</v>
      </c>
      <c r="BM235" s="189">
        <v>0.02</v>
      </c>
      <c r="BN235" s="189">
        <v>0.5</v>
      </c>
      <c r="BO235" s="188" t="s">
        <v>382</v>
      </c>
      <c r="BP235" s="178"/>
      <c r="BQ235" s="102"/>
      <c r="BR235" s="102"/>
      <c r="BS235" s="178"/>
      <c r="BT235" s="178"/>
      <c r="BU235" s="178"/>
      <c r="BV235" s="180"/>
      <c r="BW235" s="178"/>
      <c r="BX235" s="196"/>
      <c r="BY235" s="190"/>
      <c r="BZ235" s="180"/>
      <c r="CA235" s="180"/>
      <c r="CB235" s="180"/>
      <c r="CC235" s="178"/>
      <c r="CD235" s="178"/>
      <c r="CE235" s="180"/>
      <c r="CF235" s="180"/>
      <c r="CG235" s="180"/>
      <c r="CH235" s="180"/>
      <c r="CI235" s="178"/>
      <c r="CJ235" s="178"/>
      <c r="CK235" s="180"/>
      <c r="CL235" s="180"/>
      <c r="CM235" s="180"/>
      <c r="CN235" s="116"/>
      <c r="CO235" s="218">
        <f t="shared" si="106"/>
        <v>0.02</v>
      </c>
      <c r="CP235" s="100">
        <f t="shared" si="107"/>
        <v>0.26</v>
      </c>
      <c r="CQ235" s="218">
        <f t="shared" si="108"/>
        <v>0.5</v>
      </c>
      <c r="CR235" s="101">
        <v>0.02</v>
      </c>
      <c r="CS235" s="101">
        <v>0.5</v>
      </c>
    </row>
    <row r="236" spans="1:97" s="101" customFormat="1" ht="16.5" hidden="1" thickBot="1" x14ac:dyDescent="0.3">
      <c r="A236" s="99"/>
      <c r="V236" s="103"/>
      <c r="AA236" s="104"/>
      <c r="AB236" s="104"/>
      <c r="AD236" s="104"/>
      <c r="AE236" s="105"/>
      <c r="AH236" s="106"/>
      <c r="AI236" s="106"/>
      <c r="AK236" s="104"/>
      <c r="AR236" s="104"/>
      <c r="AV236" s="104"/>
      <c r="AX236" s="104"/>
      <c r="BB236" s="104"/>
      <c r="BC236" s="104"/>
      <c r="BE236" s="104"/>
      <c r="BH236" s="120" t="s">
        <v>53</v>
      </c>
      <c r="BI236" s="203" t="s">
        <v>495</v>
      </c>
      <c r="BJ236" s="203" t="s">
        <v>615</v>
      </c>
      <c r="BK236" s="196">
        <v>9</v>
      </c>
      <c r="BL236" s="190" t="s">
        <v>631</v>
      </c>
      <c r="BM236" s="189">
        <v>0.1</v>
      </c>
      <c r="BN236" s="189">
        <v>0.4</v>
      </c>
      <c r="BO236" s="188" t="s">
        <v>258</v>
      </c>
      <c r="BP236" s="178"/>
      <c r="BQ236" s="102"/>
      <c r="BR236" s="102"/>
      <c r="BS236" s="178"/>
      <c r="BT236" s="178"/>
      <c r="BU236" s="178"/>
      <c r="BV236" s="180"/>
      <c r="BW236" s="178"/>
      <c r="BX236" s="196">
        <v>1500</v>
      </c>
      <c r="BY236" s="190" t="s">
        <v>635</v>
      </c>
      <c r="BZ236" s="180"/>
      <c r="CA236" s="180"/>
      <c r="CB236" s="180"/>
      <c r="CC236" s="178"/>
      <c r="CD236" s="178"/>
      <c r="CE236" s="180"/>
      <c r="CF236" s="180"/>
      <c r="CG236" s="180"/>
      <c r="CH236" s="180"/>
      <c r="CI236" s="178"/>
      <c r="CJ236" s="178"/>
      <c r="CK236" s="180"/>
      <c r="CL236" s="180"/>
      <c r="CM236" s="180"/>
      <c r="CN236" s="116"/>
      <c r="CO236" s="218">
        <f t="shared" si="106"/>
        <v>0.1</v>
      </c>
      <c r="CP236" s="100">
        <f t="shared" si="107"/>
        <v>0.25</v>
      </c>
      <c r="CQ236" s="218">
        <f t="shared" si="108"/>
        <v>0.4</v>
      </c>
      <c r="CR236" s="101">
        <v>0.02</v>
      </c>
      <c r="CS236" s="101">
        <v>0.5</v>
      </c>
    </row>
    <row r="237" spans="1:97" s="101" customFormat="1" ht="16.5" hidden="1" thickBot="1" x14ac:dyDescent="0.3">
      <c r="A237" s="99"/>
      <c r="V237" s="103"/>
      <c r="AA237" s="104"/>
      <c r="AB237" s="104"/>
      <c r="AD237" s="104"/>
      <c r="AE237" s="105"/>
      <c r="AH237" s="106"/>
      <c r="AI237" s="106"/>
      <c r="AK237" s="104"/>
      <c r="AR237" s="104"/>
      <c r="AV237" s="104"/>
      <c r="AX237" s="104"/>
      <c r="BB237" s="104"/>
      <c r="BC237" s="104"/>
      <c r="BE237" s="104"/>
      <c r="BH237" s="120" t="s">
        <v>97</v>
      </c>
      <c r="BI237" s="203" t="s">
        <v>517</v>
      </c>
      <c r="BJ237" s="190" t="s">
        <v>428</v>
      </c>
      <c r="BK237" s="196">
        <f>0.25*0.1</f>
        <v>2.5000000000000001E-2</v>
      </c>
      <c r="BL237" s="190" t="s">
        <v>412</v>
      </c>
      <c r="BM237" s="189">
        <v>0.05</v>
      </c>
      <c r="BN237" s="189">
        <v>1.04</v>
      </c>
      <c r="BO237" s="188" t="s">
        <v>258</v>
      </c>
      <c r="BP237" s="178"/>
      <c r="BQ237" s="102"/>
      <c r="BR237" s="102"/>
      <c r="BS237" s="178"/>
      <c r="BT237" s="178"/>
      <c r="BU237" s="178"/>
      <c r="BV237" s="180"/>
      <c r="BW237" s="178"/>
      <c r="BX237" s="196">
        <f>0.25*0.9*25</f>
        <v>5.625</v>
      </c>
      <c r="BY237" s="190" t="s">
        <v>298</v>
      </c>
      <c r="BZ237" s="180"/>
      <c r="CA237" s="180"/>
      <c r="CB237" s="180"/>
      <c r="CC237" s="178"/>
      <c r="CD237" s="178"/>
      <c r="CE237" s="180"/>
      <c r="CF237" s="180"/>
      <c r="CG237" s="180"/>
      <c r="CH237" s="180"/>
      <c r="CI237" s="178"/>
      <c r="CJ237" s="178"/>
      <c r="CK237" s="180"/>
      <c r="CL237" s="180"/>
      <c r="CM237" s="180"/>
      <c r="CN237" s="116"/>
      <c r="CO237" s="218">
        <f t="shared" si="106"/>
        <v>0.05</v>
      </c>
      <c r="CP237" s="100">
        <f t="shared" si="107"/>
        <v>0.54500000000000004</v>
      </c>
      <c r="CQ237" s="218">
        <f t="shared" si="108"/>
        <v>1.04</v>
      </c>
      <c r="CR237" s="101">
        <v>0.05</v>
      </c>
      <c r="CS237" s="101">
        <v>0.3</v>
      </c>
    </row>
    <row r="238" spans="1:97" s="101" customFormat="1" ht="16.5" hidden="1" thickBot="1" x14ac:dyDescent="0.3">
      <c r="A238" s="99"/>
      <c r="V238" s="103"/>
      <c r="AA238" s="104"/>
      <c r="AB238" s="104"/>
      <c r="AD238" s="104"/>
      <c r="AE238" s="105"/>
      <c r="AH238" s="106"/>
      <c r="AI238" s="106"/>
      <c r="AK238" s="104"/>
      <c r="AR238" s="104"/>
      <c r="AV238" s="104"/>
      <c r="AX238" s="104"/>
      <c r="BB238" s="104"/>
      <c r="BC238" s="104"/>
      <c r="BF238" s="219">
        <f t="shared" ref="BF238:BF253" si="109">BK238*25</f>
        <v>0</v>
      </c>
      <c r="BH238" s="120"/>
      <c r="BI238" s="203" t="s">
        <v>516</v>
      </c>
      <c r="BJ238" s="190" t="s">
        <v>428</v>
      </c>
      <c r="BK238" s="196">
        <f>0*0.25</f>
        <v>0</v>
      </c>
      <c r="BL238" s="190" t="s">
        <v>412</v>
      </c>
      <c r="BM238" s="189">
        <v>0.05</v>
      </c>
      <c r="BN238" s="189">
        <v>1</v>
      </c>
      <c r="BO238" s="188" t="s">
        <v>258</v>
      </c>
      <c r="BP238" s="178"/>
      <c r="BQ238" s="102"/>
      <c r="BR238" s="102"/>
      <c r="BS238" s="178"/>
      <c r="BT238" s="178"/>
      <c r="BU238" s="178"/>
      <c r="BV238" s="180"/>
      <c r="BW238" s="178"/>
      <c r="BX238" s="196"/>
      <c r="BY238" s="190"/>
      <c r="BZ238" s="180"/>
      <c r="CA238" s="180"/>
      <c r="CB238" s="180"/>
      <c r="CC238" s="178"/>
      <c r="CD238" s="178"/>
      <c r="CE238" s="180"/>
      <c r="CF238" s="180"/>
      <c r="CG238" s="180"/>
      <c r="CH238" s="180"/>
      <c r="CI238" s="178"/>
      <c r="CJ238" s="178"/>
      <c r="CK238" s="180"/>
      <c r="CL238" s="180"/>
      <c r="CM238" s="180"/>
      <c r="CN238" s="116"/>
      <c r="CO238" s="218">
        <f t="shared" si="106"/>
        <v>0.05</v>
      </c>
      <c r="CP238" s="100">
        <f t="shared" si="107"/>
        <v>0.52500000000000002</v>
      </c>
      <c r="CQ238" s="218">
        <f t="shared" si="108"/>
        <v>1</v>
      </c>
    </row>
    <row r="239" spans="1:97" s="101" customFormat="1" ht="16.5" hidden="1" thickBot="1" x14ac:dyDescent="0.3">
      <c r="A239" s="99"/>
      <c r="V239" s="103"/>
      <c r="AA239" s="104"/>
      <c r="AB239" s="104"/>
      <c r="AD239" s="104"/>
      <c r="AE239" s="105"/>
      <c r="AH239" s="106"/>
      <c r="AI239" s="106"/>
      <c r="AK239" s="104"/>
      <c r="AR239" s="104"/>
      <c r="AV239" s="104"/>
      <c r="AX239" s="104"/>
      <c r="BB239" s="104"/>
      <c r="BC239" s="104"/>
      <c r="BF239" s="219">
        <f t="shared" si="109"/>
        <v>1.875</v>
      </c>
      <c r="BH239" s="120"/>
      <c r="BI239" s="203" t="s">
        <v>518</v>
      </c>
      <c r="BJ239" s="190" t="s">
        <v>428</v>
      </c>
      <c r="BK239" s="196">
        <f>0.25*0.3</f>
        <v>7.4999999999999997E-2</v>
      </c>
      <c r="BL239" s="190" t="s">
        <v>412</v>
      </c>
      <c r="BM239" s="189">
        <f>0.2/0.3</f>
        <v>0.66666666666666674</v>
      </c>
      <c r="BN239" s="189">
        <f>0.4/0.3</f>
        <v>1.3333333333333335</v>
      </c>
      <c r="BO239" s="188" t="s">
        <v>258</v>
      </c>
      <c r="BP239" s="178"/>
      <c r="BQ239" s="102"/>
      <c r="BR239" s="102"/>
      <c r="BS239" s="178"/>
      <c r="BT239" s="178"/>
      <c r="BU239" s="178"/>
      <c r="BV239" s="180"/>
      <c r="BW239" s="178"/>
      <c r="BX239" s="196"/>
      <c r="BY239" s="190"/>
      <c r="BZ239" s="180"/>
      <c r="CA239" s="180"/>
      <c r="CB239" s="180"/>
      <c r="CC239" s="178"/>
      <c r="CD239" s="178"/>
      <c r="CE239" s="180"/>
      <c r="CF239" s="180"/>
      <c r="CG239" s="180"/>
      <c r="CH239" s="180"/>
      <c r="CI239" s="178"/>
      <c r="CJ239" s="178"/>
      <c r="CK239" s="180"/>
      <c r="CL239" s="180"/>
      <c r="CM239" s="180"/>
      <c r="CN239" s="116"/>
      <c r="CO239" s="218">
        <f t="shared" si="106"/>
        <v>0.66666666666666674</v>
      </c>
      <c r="CP239" s="100">
        <f t="shared" si="107"/>
        <v>1</v>
      </c>
      <c r="CQ239" s="218">
        <f t="shared" si="108"/>
        <v>1.3333333333333335</v>
      </c>
    </row>
    <row r="240" spans="1:97" s="101" customFormat="1" ht="16.5" hidden="1" thickBot="1" x14ac:dyDescent="0.3">
      <c r="A240" s="99"/>
      <c r="V240" s="103"/>
      <c r="AA240" s="104"/>
      <c r="AB240" s="104"/>
      <c r="AD240" s="104"/>
      <c r="AE240" s="105"/>
      <c r="AH240" s="106"/>
      <c r="AI240" s="106"/>
      <c r="AK240" s="104"/>
      <c r="AR240" s="104"/>
      <c r="AV240" s="104"/>
      <c r="AX240" s="104"/>
      <c r="BB240" s="104"/>
      <c r="BC240" s="104"/>
      <c r="BF240" s="219">
        <f t="shared" si="109"/>
        <v>5</v>
      </c>
      <c r="BG240" s="100">
        <f>0.4*21</f>
        <v>8.4</v>
      </c>
      <c r="BH240" s="120"/>
      <c r="BI240" s="203" t="s">
        <v>519</v>
      </c>
      <c r="BJ240" s="190" t="s">
        <v>428</v>
      </c>
      <c r="BK240" s="196">
        <f>0.25*0.8</f>
        <v>0.2</v>
      </c>
      <c r="BL240" s="190" t="s">
        <v>412</v>
      </c>
      <c r="BM240" s="189">
        <f>0.8/0.8</f>
        <v>1</v>
      </c>
      <c r="BN240" s="189">
        <f>1/0.8</f>
        <v>1.25</v>
      </c>
      <c r="BO240" s="188" t="s">
        <v>258</v>
      </c>
      <c r="BP240" s="178"/>
      <c r="BQ240" s="102"/>
      <c r="BR240" s="102"/>
      <c r="BS240" s="178"/>
      <c r="BT240" s="178"/>
      <c r="BU240" s="178"/>
      <c r="BV240" s="180"/>
      <c r="BW240" s="178"/>
      <c r="BX240" s="196"/>
      <c r="BY240" s="190"/>
      <c r="BZ240" s="180"/>
      <c r="CA240" s="180"/>
      <c r="CB240" s="180"/>
      <c r="CC240" s="178"/>
      <c r="CD240" s="178"/>
      <c r="CE240" s="180"/>
      <c r="CF240" s="180"/>
      <c r="CG240" s="180"/>
      <c r="CH240" s="180"/>
      <c r="CI240" s="178"/>
      <c r="CJ240" s="178"/>
      <c r="CK240" s="180"/>
      <c r="CL240" s="180"/>
      <c r="CM240" s="180"/>
      <c r="CN240" s="116"/>
      <c r="CO240" s="218">
        <f t="shared" si="106"/>
        <v>1</v>
      </c>
      <c r="CP240" s="100">
        <f t="shared" si="107"/>
        <v>1.125</v>
      </c>
      <c r="CQ240" s="218">
        <f t="shared" si="108"/>
        <v>1.25</v>
      </c>
    </row>
    <row r="241" spans="1:97" s="101" customFormat="1" ht="16.5" hidden="1" thickBot="1" x14ac:dyDescent="0.3">
      <c r="A241" s="99"/>
      <c r="V241" s="103"/>
      <c r="AA241" s="104"/>
      <c r="AB241" s="104"/>
      <c r="AD241" s="104"/>
      <c r="AE241" s="105"/>
      <c r="AH241" s="106"/>
      <c r="AI241" s="106"/>
      <c r="AK241" s="104"/>
      <c r="AR241" s="104"/>
      <c r="AV241" s="104"/>
      <c r="AX241" s="104"/>
      <c r="BB241" s="104"/>
      <c r="BC241" s="104"/>
      <c r="BF241" s="219">
        <f t="shared" si="109"/>
        <v>5</v>
      </c>
      <c r="BH241" s="120"/>
      <c r="BI241" s="203" t="s">
        <v>520</v>
      </c>
      <c r="BJ241" s="190" t="s">
        <v>428</v>
      </c>
      <c r="BK241" s="196">
        <f>0.25*0.8</f>
        <v>0.2</v>
      </c>
      <c r="BL241" s="190" t="s">
        <v>412</v>
      </c>
      <c r="BM241" s="189">
        <f>0.8/0.8</f>
        <v>1</v>
      </c>
      <c r="BN241" s="189">
        <f>1/0.8</f>
        <v>1.25</v>
      </c>
      <c r="BO241" s="188" t="s">
        <v>258</v>
      </c>
      <c r="BP241" s="178"/>
      <c r="BQ241" s="102"/>
      <c r="BR241" s="102"/>
      <c r="BS241" s="178"/>
      <c r="BT241" s="178"/>
      <c r="BU241" s="178"/>
      <c r="BV241" s="180"/>
      <c r="BW241" s="178"/>
      <c r="BX241" s="196"/>
      <c r="BY241" s="190"/>
      <c r="BZ241" s="180"/>
      <c r="CA241" s="180"/>
      <c r="CB241" s="180"/>
      <c r="CC241" s="178"/>
      <c r="CD241" s="178"/>
      <c r="CE241" s="180"/>
      <c r="CF241" s="180"/>
      <c r="CG241" s="180"/>
      <c r="CH241" s="180"/>
      <c r="CI241" s="178"/>
      <c r="CJ241" s="178"/>
      <c r="CK241" s="180"/>
      <c r="CL241" s="180"/>
      <c r="CM241" s="180"/>
      <c r="CN241" s="116"/>
      <c r="CO241" s="218">
        <f t="shared" si="106"/>
        <v>1</v>
      </c>
      <c r="CP241" s="100">
        <f t="shared" si="107"/>
        <v>1.125</v>
      </c>
      <c r="CQ241" s="218">
        <f t="shared" si="108"/>
        <v>1.25</v>
      </c>
    </row>
    <row r="242" spans="1:97" s="101" customFormat="1" ht="16.5" hidden="1" thickBot="1" x14ac:dyDescent="0.3">
      <c r="A242" s="99"/>
      <c r="V242" s="103"/>
      <c r="AA242" s="104"/>
      <c r="AB242" s="104"/>
      <c r="AD242" s="104"/>
      <c r="AE242" s="105"/>
      <c r="AH242" s="106"/>
      <c r="AI242" s="106"/>
      <c r="AK242" s="104"/>
      <c r="AR242" s="104"/>
      <c r="AU242" s="233"/>
      <c r="AV242" s="104"/>
      <c r="AX242" s="104"/>
      <c r="BB242" s="104"/>
      <c r="BC242" s="104"/>
      <c r="BF242" s="219">
        <f t="shared" si="109"/>
        <v>1.25</v>
      </c>
      <c r="BH242" s="120"/>
      <c r="BI242" s="203" t="s">
        <v>521</v>
      </c>
      <c r="BJ242" s="190" t="s">
        <v>428</v>
      </c>
      <c r="BK242" s="196">
        <f>0.25*0.2</f>
        <v>0.05</v>
      </c>
      <c r="BL242" s="190" t="s">
        <v>412</v>
      </c>
      <c r="BM242" s="189">
        <f>0/0.2</f>
        <v>0</v>
      </c>
      <c r="BN242" s="189">
        <f>0.3/0.2</f>
        <v>1.4999999999999998</v>
      </c>
      <c r="BO242" s="188" t="s">
        <v>258</v>
      </c>
      <c r="BP242" s="178"/>
      <c r="BQ242" s="102"/>
      <c r="BR242" s="102"/>
      <c r="BS242" s="178"/>
      <c r="BT242" s="178"/>
      <c r="BU242" s="178"/>
      <c r="BV242" s="180"/>
      <c r="BW242" s="178"/>
      <c r="BX242" s="196"/>
      <c r="BY242" s="190"/>
      <c r="BZ242" s="180"/>
      <c r="CA242" s="180"/>
      <c r="CB242" s="180"/>
      <c r="CC242" s="178"/>
      <c r="CD242" s="178"/>
      <c r="CE242" s="180"/>
      <c r="CF242" s="180"/>
      <c r="CG242" s="180"/>
      <c r="CH242" s="180"/>
      <c r="CI242" s="178"/>
      <c r="CJ242" s="178"/>
      <c r="CK242" s="180"/>
      <c r="CL242" s="180"/>
      <c r="CM242" s="180"/>
      <c r="CN242" s="116"/>
      <c r="CO242" s="218">
        <f t="shared" si="106"/>
        <v>0</v>
      </c>
      <c r="CP242" s="100">
        <f t="shared" si="107"/>
        <v>0.74999999999999989</v>
      </c>
      <c r="CQ242" s="218">
        <f t="shared" si="108"/>
        <v>1.4999999999999998</v>
      </c>
    </row>
    <row r="243" spans="1:97" s="101" customFormat="1" ht="16.5" hidden="1" thickBot="1" x14ac:dyDescent="0.3">
      <c r="A243" s="99"/>
      <c r="V243" s="103"/>
      <c r="AA243" s="104"/>
      <c r="AB243" s="104"/>
      <c r="AD243" s="104"/>
      <c r="AE243" s="105"/>
      <c r="AH243" s="106"/>
      <c r="AI243" s="106"/>
      <c r="AK243" s="104"/>
      <c r="AR243" s="104"/>
      <c r="AV243" s="104"/>
      <c r="AX243" s="104"/>
      <c r="BB243" s="104"/>
      <c r="BC243" s="104"/>
      <c r="BF243" s="219">
        <f t="shared" si="109"/>
        <v>5</v>
      </c>
      <c r="BH243" s="120"/>
      <c r="BI243" s="203" t="s">
        <v>522</v>
      </c>
      <c r="BJ243" s="190" t="s">
        <v>428</v>
      </c>
      <c r="BK243" s="196">
        <f>0.25*0.8</f>
        <v>0.2</v>
      </c>
      <c r="BL243" s="190" t="s">
        <v>412</v>
      </c>
      <c r="BM243" s="189">
        <f>0.8/0.8</f>
        <v>1</v>
      </c>
      <c r="BN243" s="189">
        <f>1/0.8</f>
        <v>1.25</v>
      </c>
      <c r="BO243" s="188" t="s">
        <v>258</v>
      </c>
      <c r="BP243" s="178"/>
      <c r="BQ243" s="102"/>
      <c r="BR243" s="102"/>
      <c r="BS243" s="178"/>
      <c r="BT243" s="178"/>
      <c r="BU243" s="178"/>
      <c r="BV243" s="180"/>
      <c r="BW243" s="178"/>
      <c r="BX243" s="196"/>
      <c r="BY243" s="190"/>
      <c r="BZ243" s="180"/>
      <c r="CA243" s="180"/>
      <c r="CB243" s="180"/>
      <c r="CC243" s="178"/>
      <c r="CD243" s="178"/>
      <c r="CE243" s="180"/>
      <c r="CF243" s="180"/>
      <c r="CG243" s="180"/>
      <c r="CH243" s="180"/>
      <c r="CI243" s="178"/>
      <c r="CJ243" s="178"/>
      <c r="CK243" s="180"/>
      <c r="CL243" s="180"/>
      <c r="CM243" s="180"/>
      <c r="CN243" s="116"/>
      <c r="CO243" s="218">
        <f t="shared" si="106"/>
        <v>1</v>
      </c>
      <c r="CP243" s="100">
        <f t="shared" si="107"/>
        <v>1.125</v>
      </c>
      <c r="CQ243" s="218">
        <f t="shared" si="108"/>
        <v>1.25</v>
      </c>
    </row>
    <row r="244" spans="1:97" s="101" customFormat="1" ht="16.5" hidden="1" thickBot="1" x14ac:dyDescent="0.3">
      <c r="A244" s="99"/>
      <c r="V244" s="103"/>
      <c r="AA244" s="104"/>
      <c r="AB244" s="104"/>
      <c r="AD244" s="104"/>
      <c r="AE244" s="105"/>
      <c r="AH244" s="106"/>
      <c r="AI244" s="106"/>
      <c r="AK244" s="104"/>
      <c r="AR244" s="104"/>
      <c r="AV244" s="104"/>
      <c r="AX244" s="104"/>
      <c r="BB244" s="104"/>
      <c r="BC244" s="104"/>
      <c r="BF244" s="219">
        <f t="shared" si="109"/>
        <v>1.5</v>
      </c>
      <c r="BH244" s="120"/>
      <c r="BI244" s="203" t="s">
        <v>578</v>
      </c>
      <c r="BJ244" s="190" t="s">
        <v>569</v>
      </c>
      <c r="BK244" s="196">
        <v>0.06</v>
      </c>
      <c r="BL244" s="190" t="s">
        <v>568</v>
      </c>
      <c r="BM244" s="189">
        <v>0.57999999999999996</v>
      </c>
      <c r="BN244" s="189">
        <v>1.04</v>
      </c>
      <c r="BO244" s="188" t="s">
        <v>258</v>
      </c>
      <c r="BP244" s="178"/>
      <c r="BQ244" s="102"/>
      <c r="BR244" s="102"/>
      <c r="BS244" s="178"/>
      <c r="BT244" s="178"/>
      <c r="BU244" s="178"/>
      <c r="BV244" s="180"/>
      <c r="BW244" s="178"/>
      <c r="BX244" s="196"/>
      <c r="BY244" s="190"/>
      <c r="BZ244" s="180"/>
      <c r="CA244" s="180"/>
      <c r="CB244" s="180"/>
      <c r="CC244" s="178"/>
      <c r="CD244" s="178"/>
      <c r="CE244" s="180"/>
      <c r="CF244" s="180"/>
      <c r="CG244" s="180"/>
      <c r="CH244" s="180"/>
      <c r="CI244" s="178"/>
      <c r="CJ244" s="178"/>
      <c r="CK244" s="180"/>
      <c r="CL244" s="180"/>
      <c r="CM244" s="180"/>
      <c r="CN244" s="116"/>
      <c r="CO244" s="218">
        <f t="shared" si="106"/>
        <v>0.57999999999999996</v>
      </c>
      <c r="CP244" s="100">
        <f t="shared" si="107"/>
        <v>0.81</v>
      </c>
      <c r="CQ244" s="218">
        <f t="shared" si="108"/>
        <v>1.04</v>
      </c>
    </row>
    <row r="245" spans="1:97" s="101" customFormat="1" ht="16.5" hidden="1" thickBot="1" x14ac:dyDescent="0.3">
      <c r="A245" s="99"/>
      <c r="V245" s="103"/>
      <c r="AA245" s="104"/>
      <c r="AB245" s="104"/>
      <c r="AD245" s="104"/>
      <c r="AE245" s="105"/>
      <c r="AH245" s="106"/>
      <c r="AI245" s="106"/>
      <c r="AK245" s="104"/>
      <c r="AR245" s="104"/>
      <c r="AV245" s="104"/>
      <c r="AX245" s="104"/>
      <c r="BB245" s="104"/>
      <c r="BC245" s="104"/>
      <c r="BF245" s="219">
        <f t="shared" si="109"/>
        <v>7.5</v>
      </c>
      <c r="BH245" s="120"/>
      <c r="BI245" s="203" t="s">
        <v>579</v>
      </c>
      <c r="BJ245" s="190" t="s">
        <v>569</v>
      </c>
      <c r="BK245" s="196">
        <v>0.3</v>
      </c>
      <c r="BL245" s="190" t="s">
        <v>568</v>
      </c>
      <c r="BM245" s="189">
        <v>0.57999999999999996</v>
      </c>
      <c r="BN245" s="189">
        <f>0.4/0.3</f>
        <v>1.3333333333333335</v>
      </c>
      <c r="BO245" s="188" t="s">
        <v>258</v>
      </c>
      <c r="BP245" s="178"/>
      <c r="BQ245" s="102"/>
      <c r="BR245" s="102"/>
      <c r="BS245" s="178"/>
      <c r="BT245" s="178"/>
      <c r="BU245" s="178"/>
      <c r="BV245" s="180"/>
      <c r="BW245" s="178"/>
      <c r="BX245" s="196"/>
      <c r="BY245" s="190"/>
      <c r="BZ245" s="180"/>
      <c r="CA245" s="180"/>
      <c r="CB245" s="180"/>
      <c r="CC245" s="178"/>
      <c r="CD245" s="178"/>
      <c r="CE245" s="180"/>
      <c r="CF245" s="180"/>
      <c r="CG245" s="180"/>
      <c r="CH245" s="180"/>
      <c r="CI245" s="178"/>
      <c r="CJ245" s="178"/>
      <c r="CK245" s="180"/>
      <c r="CL245" s="180"/>
      <c r="CM245" s="180"/>
      <c r="CN245" s="116"/>
      <c r="CO245" s="218">
        <f t="shared" si="106"/>
        <v>0.57999999999999996</v>
      </c>
      <c r="CP245" s="100">
        <f t="shared" si="107"/>
        <v>0.95666666666666678</v>
      </c>
      <c r="CQ245" s="218">
        <f t="shared" si="108"/>
        <v>1.3333333333333335</v>
      </c>
    </row>
    <row r="246" spans="1:97" s="101" customFormat="1" ht="26.25" hidden="1" thickBot="1" x14ac:dyDescent="0.3">
      <c r="A246" s="99"/>
      <c r="V246" s="103"/>
      <c r="AA246" s="104"/>
      <c r="AB246" s="104"/>
      <c r="AD246" s="104"/>
      <c r="AE246" s="105"/>
      <c r="AH246" s="106"/>
      <c r="AI246" s="106"/>
      <c r="AK246" s="104"/>
      <c r="AR246" s="104"/>
      <c r="AV246" s="104"/>
      <c r="AX246" s="104"/>
      <c r="BB246" s="104"/>
      <c r="BC246" s="104"/>
      <c r="BF246" s="219">
        <f t="shared" si="109"/>
        <v>0</v>
      </c>
      <c r="BG246" s="100">
        <f>0.4*21</f>
        <v>8.4</v>
      </c>
      <c r="BH246" s="120"/>
      <c r="BI246" s="203" t="s">
        <v>580</v>
      </c>
      <c r="BJ246" s="190" t="s">
        <v>569</v>
      </c>
      <c r="BK246" s="196">
        <v>0</v>
      </c>
      <c r="BL246" s="190" t="s">
        <v>568</v>
      </c>
      <c r="BM246" s="189">
        <f>0.8/0.8</f>
        <v>1</v>
      </c>
      <c r="BN246" s="189">
        <f>1/0.8</f>
        <v>1.25</v>
      </c>
      <c r="BO246" s="188" t="s">
        <v>258</v>
      </c>
      <c r="BP246" s="178"/>
      <c r="BQ246" s="102"/>
      <c r="BR246" s="102"/>
      <c r="BS246" s="178"/>
      <c r="BT246" s="178"/>
      <c r="BU246" s="178"/>
      <c r="BV246" s="180"/>
      <c r="BW246" s="178"/>
      <c r="BX246" s="196"/>
      <c r="BY246" s="190"/>
      <c r="BZ246" s="180"/>
      <c r="CA246" s="180"/>
      <c r="CB246" s="180"/>
      <c r="CC246" s="178"/>
      <c r="CD246" s="178"/>
      <c r="CE246" s="180"/>
      <c r="CF246" s="180"/>
      <c r="CG246" s="180"/>
      <c r="CH246" s="180"/>
      <c r="CI246" s="178"/>
      <c r="CJ246" s="178"/>
      <c r="CK246" s="180"/>
      <c r="CL246" s="180"/>
      <c r="CM246" s="180"/>
      <c r="CN246" s="116"/>
      <c r="CO246" s="218">
        <f t="shared" si="106"/>
        <v>1</v>
      </c>
      <c r="CP246" s="100">
        <f t="shared" si="107"/>
        <v>1.125</v>
      </c>
      <c r="CQ246" s="218">
        <f t="shared" si="108"/>
        <v>1.25</v>
      </c>
    </row>
    <row r="247" spans="1:97" s="101" customFormat="1" ht="16.5" hidden="1" thickBot="1" x14ac:dyDescent="0.3">
      <c r="A247" s="99"/>
      <c r="V247" s="103"/>
      <c r="AA247" s="104"/>
      <c r="AB247" s="104"/>
      <c r="AD247" s="104"/>
      <c r="AE247" s="105"/>
      <c r="AH247" s="106"/>
      <c r="AI247" s="106"/>
      <c r="AK247" s="104"/>
      <c r="AR247" s="104"/>
      <c r="AV247" s="104"/>
      <c r="AX247" s="104"/>
      <c r="BB247" s="104"/>
      <c r="BC247" s="104"/>
      <c r="BF247" s="219">
        <f t="shared" si="109"/>
        <v>0</v>
      </c>
      <c r="BH247" s="120"/>
      <c r="BI247" s="203" t="s">
        <v>581</v>
      </c>
      <c r="BJ247" s="190" t="s">
        <v>569</v>
      </c>
      <c r="BK247" s="196">
        <v>0</v>
      </c>
      <c r="BL247" s="190" t="s">
        <v>568</v>
      </c>
      <c r="BM247" s="189">
        <f>0.8/0.8</f>
        <v>1</v>
      </c>
      <c r="BN247" s="189">
        <f>1/0.8</f>
        <v>1.25</v>
      </c>
      <c r="BO247" s="188" t="s">
        <v>258</v>
      </c>
      <c r="BP247" s="178"/>
      <c r="BQ247" s="102"/>
      <c r="BR247" s="102"/>
      <c r="BS247" s="178"/>
      <c r="BT247" s="178"/>
      <c r="BU247" s="178"/>
      <c r="BV247" s="180"/>
      <c r="BW247" s="178"/>
      <c r="BX247" s="196"/>
      <c r="BY247" s="190"/>
      <c r="BZ247" s="180"/>
      <c r="CA247" s="180"/>
      <c r="CB247" s="180"/>
      <c r="CC247" s="178"/>
      <c r="CD247" s="178"/>
      <c r="CE247" s="180"/>
      <c r="CF247" s="180"/>
      <c r="CG247" s="180"/>
      <c r="CH247" s="180"/>
      <c r="CI247" s="178"/>
      <c r="CJ247" s="178"/>
      <c r="CK247" s="180"/>
      <c r="CL247" s="180"/>
      <c r="CM247" s="180"/>
      <c r="CN247" s="116"/>
      <c r="CO247" s="218">
        <f t="shared" si="106"/>
        <v>1</v>
      </c>
      <c r="CP247" s="100">
        <f t="shared" si="107"/>
        <v>1.125</v>
      </c>
      <c r="CQ247" s="218">
        <f t="shared" si="108"/>
        <v>1.25</v>
      </c>
    </row>
    <row r="248" spans="1:97" s="101" customFormat="1" ht="16.5" hidden="1" thickBot="1" x14ac:dyDescent="0.3">
      <c r="A248" s="99"/>
      <c r="V248" s="103"/>
      <c r="AA248" s="104"/>
      <c r="AB248" s="104"/>
      <c r="AD248" s="104"/>
      <c r="AE248" s="105"/>
      <c r="AH248" s="106"/>
      <c r="AI248" s="106"/>
      <c r="AK248" s="104"/>
      <c r="AR248" s="104"/>
      <c r="AU248" s="233"/>
      <c r="AV248" s="104"/>
      <c r="AX248" s="104"/>
      <c r="BB248" s="104"/>
      <c r="BC248" s="104"/>
      <c r="BF248" s="219">
        <f t="shared" si="109"/>
        <v>4.5</v>
      </c>
      <c r="BH248" s="120"/>
      <c r="BI248" s="203" t="s">
        <v>582</v>
      </c>
      <c r="BJ248" s="190" t="s">
        <v>569</v>
      </c>
      <c r="BK248" s="196">
        <v>0.18</v>
      </c>
      <c r="BL248" s="190" t="s">
        <v>568</v>
      </c>
      <c r="BM248" s="189">
        <v>0.42</v>
      </c>
      <c r="BN248" s="189">
        <f>0.3/0.2</f>
        <v>1.4999999999999998</v>
      </c>
      <c r="BO248" s="188" t="s">
        <v>258</v>
      </c>
      <c r="BP248" s="178"/>
      <c r="BQ248" s="102"/>
      <c r="BR248" s="102"/>
      <c r="BS248" s="178"/>
      <c r="BT248" s="178"/>
      <c r="BU248" s="178"/>
      <c r="BV248" s="180"/>
      <c r="BW248" s="178"/>
      <c r="BX248" s="196"/>
      <c r="BY248" s="190"/>
      <c r="BZ248" s="180"/>
      <c r="CA248" s="180"/>
      <c r="CB248" s="180"/>
      <c r="CC248" s="178"/>
      <c r="CD248" s="178"/>
      <c r="CE248" s="180"/>
      <c r="CF248" s="180"/>
      <c r="CG248" s="180"/>
      <c r="CH248" s="180"/>
      <c r="CI248" s="178"/>
      <c r="CJ248" s="178"/>
      <c r="CK248" s="180"/>
      <c r="CL248" s="180"/>
      <c r="CM248" s="180"/>
      <c r="CN248" s="116"/>
      <c r="CO248" s="218">
        <f t="shared" si="106"/>
        <v>0.42</v>
      </c>
      <c r="CP248" s="100">
        <f t="shared" si="107"/>
        <v>0.95999999999999985</v>
      </c>
      <c r="CQ248" s="218">
        <f t="shared" si="108"/>
        <v>1.4999999999999998</v>
      </c>
    </row>
    <row r="249" spans="1:97" s="101" customFormat="1" ht="16.5" hidden="1" thickBot="1" x14ac:dyDescent="0.3">
      <c r="A249" s="99"/>
      <c r="V249" s="103"/>
      <c r="AA249" s="104"/>
      <c r="AB249" s="104"/>
      <c r="AD249" s="104"/>
      <c r="AE249" s="105"/>
      <c r="AH249" s="106"/>
      <c r="AI249" s="106"/>
      <c r="AK249" s="104"/>
      <c r="AR249" s="104"/>
      <c r="AV249" s="104"/>
      <c r="AX249" s="104"/>
      <c r="BB249" s="104"/>
      <c r="BC249" s="104"/>
      <c r="BF249" s="219">
        <f t="shared" si="109"/>
        <v>12</v>
      </c>
      <c r="BH249" s="120"/>
      <c r="BI249" s="203" t="s">
        <v>583</v>
      </c>
      <c r="BJ249" s="190" t="s">
        <v>569</v>
      </c>
      <c r="BK249" s="196">
        <v>0.48</v>
      </c>
      <c r="BL249" s="190" t="s">
        <v>568</v>
      </c>
      <c r="BM249" s="189">
        <v>0.32</v>
      </c>
      <c r="BN249" s="189">
        <f>0.4/0.3</f>
        <v>1.3333333333333335</v>
      </c>
      <c r="BO249" s="188" t="s">
        <v>258</v>
      </c>
      <c r="BP249" s="178"/>
      <c r="BQ249" s="102"/>
      <c r="BR249" s="102"/>
      <c r="BS249" s="178"/>
      <c r="BT249" s="178"/>
      <c r="BU249" s="178"/>
      <c r="BV249" s="180"/>
      <c r="BW249" s="178"/>
      <c r="BX249" s="196"/>
      <c r="BY249" s="190"/>
      <c r="BZ249" s="180"/>
      <c r="CA249" s="180"/>
      <c r="CB249" s="180"/>
      <c r="CC249" s="178"/>
      <c r="CD249" s="178"/>
      <c r="CE249" s="180"/>
      <c r="CF249" s="180"/>
      <c r="CG249" s="180"/>
      <c r="CH249" s="180"/>
      <c r="CI249" s="178"/>
      <c r="CJ249" s="178"/>
      <c r="CK249" s="180"/>
      <c r="CL249" s="180"/>
      <c r="CM249" s="180"/>
      <c r="CN249" s="116"/>
      <c r="CO249" s="218">
        <f t="shared" si="106"/>
        <v>0.32</v>
      </c>
      <c r="CP249" s="100">
        <f t="shared" si="107"/>
        <v>0.82666666666666677</v>
      </c>
      <c r="CQ249" s="218">
        <f t="shared" si="108"/>
        <v>1.3333333333333335</v>
      </c>
    </row>
    <row r="250" spans="1:97" s="101" customFormat="1" ht="16.5" hidden="1" thickBot="1" x14ac:dyDescent="0.3">
      <c r="A250" s="99"/>
      <c r="V250" s="103"/>
      <c r="AA250" s="104"/>
      <c r="AB250" s="104"/>
      <c r="AD250" s="104"/>
      <c r="AE250" s="105"/>
      <c r="AH250" s="106"/>
      <c r="AI250" s="106"/>
      <c r="AK250" s="104"/>
      <c r="AR250" s="104"/>
      <c r="AV250" s="104"/>
      <c r="AX250" s="104"/>
      <c r="BB250" s="104"/>
      <c r="BC250" s="104"/>
      <c r="BF250" s="219">
        <f t="shared" si="109"/>
        <v>12</v>
      </c>
      <c r="BG250" s="100">
        <f>0.4*21</f>
        <v>8.4</v>
      </c>
      <c r="BH250" s="120"/>
      <c r="BI250" s="203" t="s">
        <v>584</v>
      </c>
      <c r="BJ250" s="190" t="s">
        <v>569</v>
      </c>
      <c r="BK250" s="196">
        <v>0.48</v>
      </c>
      <c r="BL250" s="190" t="s">
        <v>568</v>
      </c>
      <c r="BM250" s="189">
        <v>0.32</v>
      </c>
      <c r="BN250" s="189">
        <f>1/0.8</f>
        <v>1.25</v>
      </c>
      <c r="BO250" s="188" t="s">
        <v>258</v>
      </c>
      <c r="BP250" s="178"/>
      <c r="BQ250" s="102"/>
      <c r="BR250" s="102"/>
      <c r="BS250" s="178"/>
      <c r="BT250" s="178"/>
      <c r="BU250" s="178"/>
      <c r="BV250" s="180"/>
      <c r="BW250" s="178"/>
      <c r="BX250" s="196"/>
      <c r="BY250" s="190"/>
      <c r="BZ250" s="180"/>
      <c r="CA250" s="180"/>
      <c r="CB250" s="180"/>
      <c r="CC250" s="178"/>
      <c r="CD250" s="178"/>
      <c r="CE250" s="180"/>
      <c r="CF250" s="180"/>
      <c r="CG250" s="180"/>
      <c r="CH250" s="180"/>
      <c r="CI250" s="178"/>
      <c r="CJ250" s="178"/>
      <c r="CK250" s="180"/>
      <c r="CL250" s="180"/>
      <c r="CM250" s="180"/>
      <c r="CN250" s="116"/>
      <c r="CO250" s="218">
        <f t="shared" si="106"/>
        <v>0.32</v>
      </c>
      <c r="CP250" s="100">
        <f t="shared" si="107"/>
        <v>0.78500000000000003</v>
      </c>
      <c r="CQ250" s="218">
        <f t="shared" si="108"/>
        <v>1.25</v>
      </c>
    </row>
    <row r="251" spans="1:97" s="101" customFormat="1" ht="16.5" hidden="1" thickBot="1" x14ac:dyDescent="0.3">
      <c r="A251" s="99"/>
      <c r="V251" s="103"/>
      <c r="AA251" s="104"/>
      <c r="AB251" s="104"/>
      <c r="AD251" s="104"/>
      <c r="AE251" s="105"/>
      <c r="AH251" s="106"/>
      <c r="AI251" s="106"/>
      <c r="AK251" s="104"/>
      <c r="AR251" s="104"/>
      <c r="AV251" s="104"/>
      <c r="AX251" s="104"/>
      <c r="BB251" s="104"/>
      <c r="BC251" s="104"/>
      <c r="BF251" s="219">
        <f t="shared" si="109"/>
        <v>3</v>
      </c>
      <c r="BH251" s="120"/>
      <c r="BI251" s="203" t="s">
        <v>585</v>
      </c>
      <c r="BJ251" s="190" t="s">
        <v>569</v>
      </c>
      <c r="BK251" s="196">
        <v>0.12</v>
      </c>
      <c r="BL251" s="190" t="s">
        <v>568</v>
      </c>
      <c r="BM251" s="189">
        <v>0.42</v>
      </c>
      <c r="BN251" s="189">
        <f>1/0.8</f>
        <v>1.25</v>
      </c>
      <c r="BO251" s="188" t="s">
        <v>258</v>
      </c>
      <c r="BP251" s="178"/>
      <c r="BQ251" s="102"/>
      <c r="BR251" s="102"/>
      <c r="BS251" s="178"/>
      <c r="BT251" s="178"/>
      <c r="BU251" s="178"/>
      <c r="BV251" s="180"/>
      <c r="BW251" s="178"/>
      <c r="BX251" s="196"/>
      <c r="BY251" s="190"/>
      <c r="BZ251" s="180"/>
      <c r="CA251" s="180"/>
      <c r="CB251" s="180"/>
      <c r="CC251" s="178"/>
      <c r="CD251" s="178"/>
      <c r="CE251" s="180"/>
      <c r="CF251" s="180"/>
      <c r="CG251" s="180"/>
      <c r="CH251" s="180"/>
      <c r="CI251" s="178"/>
      <c r="CJ251" s="178"/>
      <c r="CK251" s="180"/>
      <c r="CL251" s="180"/>
      <c r="CM251" s="180"/>
      <c r="CN251" s="116"/>
      <c r="CO251" s="218">
        <f t="shared" si="106"/>
        <v>0.42</v>
      </c>
      <c r="CP251" s="100">
        <f t="shared" si="107"/>
        <v>0.83499999999999996</v>
      </c>
      <c r="CQ251" s="218">
        <f t="shared" si="108"/>
        <v>1.25</v>
      </c>
    </row>
    <row r="252" spans="1:97" s="101" customFormat="1" ht="16.5" hidden="1" thickBot="1" x14ac:dyDescent="0.3">
      <c r="A252" s="99"/>
      <c r="V252" s="103"/>
      <c r="AA252" s="104"/>
      <c r="AB252" s="104"/>
      <c r="AD252" s="104"/>
      <c r="AE252" s="105"/>
      <c r="AH252" s="106"/>
      <c r="AI252" s="106"/>
      <c r="AK252" s="104"/>
      <c r="AR252" s="104"/>
      <c r="AU252" s="233"/>
      <c r="AV252" s="104"/>
      <c r="AX252" s="104"/>
      <c r="BB252" s="104"/>
      <c r="BC252" s="104"/>
      <c r="BF252" s="219">
        <f t="shared" si="109"/>
        <v>12</v>
      </c>
      <c r="BH252" s="120"/>
      <c r="BI252" s="203" t="s">
        <v>586</v>
      </c>
      <c r="BJ252" s="190" t="s">
        <v>569</v>
      </c>
      <c r="BK252" s="196">
        <v>0.48</v>
      </c>
      <c r="BL252" s="190" t="s">
        <v>568</v>
      </c>
      <c r="BM252" s="189">
        <v>0.42</v>
      </c>
      <c r="BN252" s="189">
        <f>0.3/0.2</f>
        <v>1.4999999999999998</v>
      </c>
      <c r="BO252" s="188" t="s">
        <v>258</v>
      </c>
      <c r="BP252" s="178"/>
      <c r="BQ252" s="102"/>
      <c r="BR252" s="102"/>
      <c r="BS252" s="178"/>
      <c r="BT252" s="178"/>
      <c r="BU252" s="178"/>
      <c r="BV252" s="180"/>
      <c r="BW252" s="178"/>
      <c r="BX252" s="196"/>
      <c r="BY252" s="190"/>
      <c r="BZ252" s="180"/>
      <c r="CA252" s="180"/>
      <c r="CB252" s="180"/>
      <c r="CC252" s="178"/>
      <c r="CD252" s="178"/>
      <c r="CE252" s="180"/>
      <c r="CF252" s="180"/>
      <c r="CG252" s="180"/>
      <c r="CH252" s="180"/>
      <c r="CI252" s="178"/>
      <c r="CJ252" s="178"/>
      <c r="CK252" s="180"/>
      <c r="CL252" s="180"/>
      <c r="CM252" s="180"/>
      <c r="CN252" s="116"/>
      <c r="CO252" s="218">
        <f t="shared" si="106"/>
        <v>0.42</v>
      </c>
      <c r="CP252" s="100">
        <f t="shared" si="107"/>
        <v>0.95999999999999985</v>
      </c>
      <c r="CQ252" s="218">
        <f t="shared" si="108"/>
        <v>1.4999999999999998</v>
      </c>
    </row>
    <row r="253" spans="1:97" s="101" customFormat="1" ht="16.5" hidden="1" thickBot="1" x14ac:dyDescent="0.3">
      <c r="A253" s="99"/>
      <c r="V253" s="103"/>
      <c r="AA253" s="104"/>
      <c r="AB253" s="104"/>
      <c r="AD253" s="104"/>
      <c r="AE253" s="105"/>
      <c r="AH253" s="106"/>
      <c r="AI253" s="106"/>
      <c r="AK253" s="104"/>
      <c r="AR253" s="104"/>
      <c r="AV253" s="104"/>
      <c r="AX253" s="104"/>
      <c r="BB253" s="104"/>
      <c r="BC253" s="104"/>
      <c r="BF253" s="219">
        <f t="shared" si="109"/>
        <v>7.5</v>
      </c>
      <c r="BH253" s="120"/>
      <c r="BI253" s="203" t="s">
        <v>587</v>
      </c>
      <c r="BJ253" s="190" t="s">
        <v>569</v>
      </c>
      <c r="BK253" s="196">
        <v>0.3</v>
      </c>
      <c r="BL253" s="190" t="s">
        <v>568</v>
      </c>
      <c r="BM253" s="189">
        <v>0.3</v>
      </c>
      <c r="BN253" s="189">
        <f>1/0.8</f>
        <v>1.25</v>
      </c>
      <c r="BO253" s="188" t="s">
        <v>258</v>
      </c>
      <c r="BP253" s="178"/>
      <c r="BQ253" s="102"/>
      <c r="BR253" s="102"/>
      <c r="BS253" s="178"/>
      <c r="BT253" s="178"/>
      <c r="BU253" s="178"/>
      <c r="BV253" s="180"/>
      <c r="BW253" s="178"/>
      <c r="BX253" s="196"/>
      <c r="BY253" s="190"/>
      <c r="BZ253" s="180"/>
      <c r="CA253" s="180"/>
      <c r="CB253" s="180"/>
      <c r="CC253" s="178"/>
      <c r="CD253" s="178"/>
      <c r="CE253" s="180"/>
      <c r="CF253" s="180"/>
      <c r="CG253" s="180"/>
      <c r="CH253" s="180"/>
      <c r="CI253" s="178"/>
      <c r="CJ253" s="178"/>
      <c r="CK253" s="180"/>
      <c r="CL253" s="180"/>
      <c r="CM253" s="180"/>
      <c r="CN253" s="116"/>
      <c r="CO253" s="218">
        <f t="shared" si="106"/>
        <v>0.3</v>
      </c>
      <c r="CP253" s="100">
        <f t="shared" si="107"/>
        <v>0.77500000000000002</v>
      </c>
      <c r="CQ253" s="218">
        <f t="shared" si="108"/>
        <v>1.25</v>
      </c>
    </row>
    <row r="254" spans="1:97" s="100" customFormat="1" ht="16.5" hidden="1" thickBot="1" x14ac:dyDescent="0.3">
      <c r="A254" s="147"/>
      <c r="V254" s="218"/>
      <c r="AA254" s="219"/>
      <c r="AB254" s="219"/>
      <c r="AD254" s="219"/>
      <c r="AE254" s="220"/>
      <c r="AH254" s="221"/>
      <c r="AI254" s="221"/>
      <c r="AK254" s="219"/>
      <c r="AR254" s="219"/>
      <c r="BD254" s="219"/>
      <c r="BF254" s="219"/>
      <c r="BH254" s="249" t="s">
        <v>315</v>
      </c>
      <c r="BI254" s="203" t="s">
        <v>570</v>
      </c>
      <c r="BJ254" s="190" t="s">
        <v>428</v>
      </c>
      <c r="BK254" s="196">
        <v>0.2</v>
      </c>
      <c r="BL254" s="190" t="s">
        <v>412</v>
      </c>
      <c r="BM254" s="189">
        <v>0.05</v>
      </c>
      <c r="BN254" s="189">
        <v>0.39</v>
      </c>
      <c r="BO254" s="188" t="s">
        <v>258</v>
      </c>
      <c r="BP254" s="224"/>
      <c r="BS254" s="224"/>
      <c r="BT254" s="224"/>
      <c r="BU254" s="224"/>
      <c r="BV254" s="225"/>
      <c r="BW254" s="224"/>
      <c r="BX254" s="223">
        <f>0.25*0.9*25</f>
        <v>5.625</v>
      </c>
      <c r="BY254" s="222" t="s">
        <v>298</v>
      </c>
      <c r="BZ254" s="225"/>
      <c r="CA254" s="225"/>
      <c r="CB254" s="225"/>
      <c r="CC254" s="224"/>
      <c r="CD254" s="224"/>
      <c r="CE254" s="225"/>
      <c r="CF254" s="225"/>
      <c r="CG254" s="225"/>
      <c r="CH254" s="225"/>
      <c r="CI254" s="224"/>
      <c r="CJ254" s="224"/>
      <c r="CK254" s="225"/>
      <c r="CL254" s="225"/>
      <c r="CM254" s="225"/>
      <c r="CN254" s="225"/>
      <c r="CO254" s="218">
        <f t="shared" si="106"/>
        <v>0.05</v>
      </c>
      <c r="CP254" s="100">
        <f t="shared" si="107"/>
        <v>0.22</v>
      </c>
      <c r="CQ254" s="218">
        <f t="shared" si="108"/>
        <v>0.39</v>
      </c>
      <c r="CR254" s="100">
        <v>0.05</v>
      </c>
      <c r="CS254" s="100">
        <v>0.3</v>
      </c>
    </row>
    <row r="255" spans="1:97" s="100" customFormat="1" ht="16.5" hidden="1" thickBot="1" x14ac:dyDescent="0.3">
      <c r="A255" s="147"/>
      <c r="V255" s="218"/>
      <c r="AA255" s="219"/>
      <c r="AB255" s="219"/>
      <c r="AD255" s="219"/>
      <c r="AE255" s="220"/>
      <c r="AH255" s="221"/>
      <c r="AI255" s="221"/>
      <c r="AK255" s="219"/>
      <c r="AR255" s="219"/>
      <c r="BD255" s="219"/>
      <c r="BF255" s="219"/>
      <c r="BH255" s="249" t="s">
        <v>315</v>
      </c>
      <c r="BI255" s="203" t="s">
        <v>588</v>
      </c>
      <c r="BJ255" s="190" t="s">
        <v>569</v>
      </c>
      <c r="BK255" s="196">
        <v>0.48</v>
      </c>
      <c r="BL255" s="190" t="s">
        <v>568</v>
      </c>
      <c r="BM255" s="189">
        <v>0.05</v>
      </c>
      <c r="BN255" s="189">
        <v>0.32</v>
      </c>
      <c r="BO255" s="188" t="s">
        <v>258</v>
      </c>
      <c r="BP255" s="224"/>
      <c r="BS255" s="224"/>
      <c r="BT255" s="224"/>
      <c r="BU255" s="224"/>
      <c r="BV255" s="225"/>
      <c r="BW255" s="224"/>
      <c r="BX255" s="223">
        <f>0.25*0.9*25</f>
        <v>5.625</v>
      </c>
      <c r="BY255" s="222" t="s">
        <v>298</v>
      </c>
      <c r="BZ255" s="225"/>
      <c r="CA255" s="225"/>
      <c r="CB255" s="225"/>
      <c r="CC255" s="224"/>
      <c r="CD255" s="224"/>
      <c r="CE255" s="225"/>
      <c r="CF255" s="225"/>
      <c r="CG255" s="225"/>
      <c r="CH255" s="225"/>
      <c r="CI255" s="224"/>
      <c r="CJ255" s="224"/>
      <c r="CK255" s="225"/>
      <c r="CL255" s="225"/>
      <c r="CM255" s="225"/>
      <c r="CN255" s="225"/>
      <c r="CO255" s="218">
        <f t="shared" si="106"/>
        <v>0.05</v>
      </c>
      <c r="CP255" s="100">
        <f t="shared" si="107"/>
        <v>0.185</v>
      </c>
      <c r="CQ255" s="218">
        <f t="shared" si="108"/>
        <v>0.32</v>
      </c>
      <c r="CR255" s="100">
        <v>0.05</v>
      </c>
      <c r="CS255" s="100">
        <v>0.3</v>
      </c>
    </row>
    <row r="256" spans="1:97" s="100" customFormat="1" ht="16.5" hidden="1" thickBot="1" x14ac:dyDescent="0.3">
      <c r="A256" s="147"/>
      <c r="V256" s="218"/>
      <c r="AA256" s="219"/>
      <c r="AB256" s="219"/>
      <c r="AD256" s="219"/>
      <c r="AE256" s="220"/>
      <c r="AH256" s="221"/>
      <c r="AI256" s="221"/>
      <c r="AK256" s="219"/>
      <c r="AR256" s="219"/>
      <c r="BF256" s="100" t="s">
        <v>497</v>
      </c>
      <c r="BG256" s="220">
        <f>AV271</f>
        <v>5.497666666666666E-2</v>
      </c>
      <c r="BH256" s="249" t="s">
        <v>97</v>
      </c>
      <c r="BI256" s="203" t="s">
        <v>589</v>
      </c>
      <c r="BJ256" s="190" t="s">
        <v>333</v>
      </c>
      <c r="BK256" s="250">
        <f>AV271</f>
        <v>5.497666666666666E-2</v>
      </c>
      <c r="BL256" s="190" t="s">
        <v>425</v>
      </c>
      <c r="BM256" s="189">
        <v>0.05</v>
      </c>
      <c r="BN256" s="189">
        <v>0.3</v>
      </c>
      <c r="BO256" s="188" t="s">
        <v>258</v>
      </c>
      <c r="BP256" s="224"/>
      <c r="BS256" s="224"/>
      <c r="BT256" s="224"/>
      <c r="BU256" s="224"/>
      <c r="BV256" s="225"/>
      <c r="BW256" s="224"/>
      <c r="BX256" s="223"/>
      <c r="BY256" s="222"/>
      <c r="BZ256" s="225"/>
      <c r="CA256" s="225"/>
      <c r="CB256" s="225"/>
      <c r="CC256" s="224"/>
      <c r="CD256" s="224"/>
      <c r="CE256" s="225"/>
      <c r="CF256" s="225"/>
      <c r="CG256" s="225"/>
      <c r="CH256" s="225"/>
      <c r="CI256" s="224"/>
      <c r="CJ256" s="224"/>
      <c r="CK256" s="225"/>
      <c r="CL256" s="225"/>
      <c r="CM256" s="225"/>
      <c r="CN256" s="225"/>
      <c r="CO256" s="218">
        <f t="shared" si="106"/>
        <v>0.05</v>
      </c>
      <c r="CP256" s="100">
        <f t="shared" si="107"/>
        <v>0.17499999999999999</v>
      </c>
      <c r="CQ256" s="218">
        <f t="shared" si="108"/>
        <v>0.3</v>
      </c>
      <c r="CR256" s="100">
        <v>0.28999999999999998</v>
      </c>
      <c r="CS256" s="100">
        <v>0.28999999999999998</v>
      </c>
    </row>
    <row r="257" spans="1:97" s="100" customFormat="1" ht="16.5" hidden="1" thickBot="1" x14ac:dyDescent="0.3">
      <c r="A257" s="147"/>
      <c r="V257" s="218"/>
      <c r="AA257" s="219"/>
      <c r="AB257" s="219"/>
      <c r="AD257" s="219"/>
      <c r="AE257" s="220"/>
      <c r="AH257" s="221"/>
      <c r="AI257" s="221"/>
      <c r="AK257" s="219"/>
      <c r="AR257" s="219"/>
      <c r="BG257" s="220"/>
      <c r="BH257" s="249"/>
      <c r="BI257" s="203" t="s">
        <v>564</v>
      </c>
      <c r="BJ257" s="190" t="s">
        <v>333</v>
      </c>
      <c r="BK257" s="250">
        <f>AW271</f>
        <v>2.748833333333333E-2</v>
      </c>
      <c r="BL257" s="190" t="s">
        <v>425</v>
      </c>
      <c r="BM257" s="189">
        <v>0.05</v>
      </c>
      <c r="BN257" s="189">
        <v>0.3</v>
      </c>
      <c r="BO257" s="188" t="s">
        <v>258</v>
      </c>
      <c r="BP257" s="224"/>
      <c r="BS257" s="224"/>
      <c r="BT257" s="224"/>
      <c r="BU257" s="224"/>
      <c r="BV257" s="225"/>
      <c r="BW257" s="224"/>
      <c r="BX257" s="223"/>
      <c r="BY257" s="222"/>
      <c r="BZ257" s="225"/>
      <c r="CA257" s="225"/>
      <c r="CB257" s="225"/>
      <c r="CC257" s="224"/>
      <c r="CD257" s="224"/>
      <c r="CE257" s="225"/>
      <c r="CF257" s="225"/>
      <c r="CG257" s="225"/>
      <c r="CH257" s="225"/>
      <c r="CI257" s="224"/>
      <c r="CJ257" s="224"/>
      <c r="CK257" s="225"/>
      <c r="CL257" s="225"/>
      <c r="CM257" s="225"/>
      <c r="CN257" s="225"/>
      <c r="CO257" s="218">
        <f t="shared" si="106"/>
        <v>0.05</v>
      </c>
      <c r="CP257" s="100">
        <f t="shared" si="107"/>
        <v>0.17499999999999999</v>
      </c>
      <c r="CQ257" s="218">
        <f t="shared" si="108"/>
        <v>0.3</v>
      </c>
    </row>
    <row r="258" spans="1:97" s="100" customFormat="1" ht="16.5" hidden="1" thickBot="1" x14ac:dyDescent="0.3">
      <c r="A258" s="147"/>
      <c r="V258" s="218"/>
      <c r="AA258" s="219"/>
      <c r="AB258" s="219"/>
      <c r="AD258" s="219"/>
      <c r="AE258" s="220"/>
      <c r="AH258" s="221"/>
      <c r="AI258" s="221"/>
      <c r="AK258" s="219"/>
      <c r="AR258" s="219"/>
      <c r="BG258" s="220"/>
      <c r="BH258" s="249"/>
      <c r="BI258" s="203" t="s">
        <v>565</v>
      </c>
      <c r="BJ258" s="190" t="s">
        <v>333</v>
      </c>
      <c r="BK258" s="250">
        <f>AX271</f>
        <v>3.9583199999999999E-2</v>
      </c>
      <c r="BL258" s="190" t="s">
        <v>425</v>
      </c>
      <c r="BM258" s="189">
        <v>0.05</v>
      </c>
      <c r="BN258" s="189">
        <v>0.3</v>
      </c>
      <c r="BO258" s="188" t="s">
        <v>258</v>
      </c>
      <c r="BP258" s="224"/>
      <c r="BS258" s="224"/>
      <c r="BT258" s="224"/>
      <c r="BU258" s="224"/>
      <c r="BV258" s="225"/>
      <c r="BW258" s="224"/>
      <c r="BX258" s="223"/>
      <c r="BY258" s="222"/>
      <c r="BZ258" s="225"/>
      <c r="CA258" s="225"/>
      <c r="CB258" s="225"/>
      <c r="CC258" s="224"/>
      <c r="CD258" s="224"/>
      <c r="CE258" s="225"/>
      <c r="CF258" s="225"/>
      <c r="CG258" s="225"/>
      <c r="CH258" s="225"/>
      <c r="CI258" s="224"/>
      <c r="CJ258" s="224"/>
      <c r="CK258" s="225"/>
      <c r="CL258" s="225"/>
      <c r="CM258" s="225"/>
      <c r="CN258" s="225"/>
      <c r="CO258" s="218">
        <f t="shared" si="106"/>
        <v>0.05</v>
      </c>
      <c r="CP258" s="100">
        <f t="shared" si="107"/>
        <v>0.17499999999999999</v>
      </c>
      <c r="CQ258" s="218">
        <f t="shared" si="108"/>
        <v>0.3</v>
      </c>
    </row>
    <row r="259" spans="1:97" s="100" customFormat="1" ht="16.5" hidden="1" thickBot="1" x14ac:dyDescent="0.3">
      <c r="A259" s="147"/>
      <c r="V259" s="218"/>
      <c r="AA259" s="219"/>
      <c r="AB259" s="219"/>
      <c r="AD259" s="219"/>
      <c r="AE259" s="220"/>
      <c r="AH259" s="221"/>
      <c r="AI259" s="221"/>
      <c r="AK259" s="219"/>
      <c r="AR259" s="219"/>
      <c r="BG259" s="220"/>
      <c r="BH259" s="249"/>
      <c r="BI259" s="203" t="s">
        <v>566</v>
      </c>
      <c r="BJ259" s="190" t="s">
        <v>333</v>
      </c>
      <c r="BK259" s="250">
        <f>AY271</f>
        <v>1.9791599999999999E-2</v>
      </c>
      <c r="BL259" s="190" t="s">
        <v>425</v>
      </c>
      <c r="BM259" s="189">
        <v>0.05</v>
      </c>
      <c r="BN259" s="189">
        <v>0.3</v>
      </c>
      <c r="BO259" s="188" t="s">
        <v>258</v>
      </c>
      <c r="BP259" s="224"/>
      <c r="BS259" s="224"/>
      <c r="BT259" s="224"/>
      <c r="BU259" s="224"/>
      <c r="BV259" s="225"/>
      <c r="BW259" s="224"/>
      <c r="BX259" s="223"/>
      <c r="BY259" s="222"/>
      <c r="BZ259" s="225"/>
      <c r="CA259" s="225"/>
      <c r="CB259" s="225"/>
      <c r="CC259" s="224"/>
      <c r="CD259" s="224"/>
      <c r="CE259" s="225"/>
      <c r="CF259" s="225"/>
      <c r="CG259" s="225"/>
      <c r="CH259" s="225"/>
      <c r="CI259" s="224"/>
      <c r="CJ259" s="224"/>
      <c r="CK259" s="225"/>
      <c r="CL259" s="225"/>
      <c r="CM259" s="225"/>
      <c r="CN259" s="225"/>
      <c r="CO259" s="218">
        <f t="shared" si="106"/>
        <v>0.05</v>
      </c>
      <c r="CP259" s="100">
        <f t="shared" si="107"/>
        <v>0.17499999999999999</v>
      </c>
      <c r="CQ259" s="218">
        <f t="shared" si="108"/>
        <v>0.3</v>
      </c>
    </row>
    <row r="260" spans="1:97" s="100" customFormat="1" ht="16.5" hidden="1" thickBot="1" x14ac:dyDescent="0.3">
      <c r="A260" s="147"/>
      <c r="V260" s="218"/>
      <c r="AA260" s="219"/>
      <c r="AB260" s="219"/>
      <c r="AD260" s="219"/>
      <c r="AE260" s="220"/>
      <c r="AH260" s="221"/>
      <c r="AI260" s="221"/>
      <c r="AK260" s="219"/>
      <c r="AR260" s="219"/>
      <c r="BG260" s="220"/>
      <c r="BH260" s="249"/>
      <c r="BI260" s="203" t="s">
        <v>589</v>
      </c>
      <c r="BJ260" s="190" t="s">
        <v>333</v>
      </c>
      <c r="BK260" s="250">
        <f>AZ271</f>
        <v>2.9687399999999996E-2</v>
      </c>
      <c r="BL260" s="190" t="s">
        <v>425</v>
      </c>
      <c r="BM260" s="189">
        <v>0.05</v>
      </c>
      <c r="BN260" s="189">
        <v>0.3</v>
      </c>
      <c r="BO260" s="188" t="s">
        <v>258</v>
      </c>
      <c r="BP260" s="224"/>
      <c r="BS260" s="224"/>
      <c r="BT260" s="224"/>
      <c r="BU260" s="224"/>
      <c r="BV260" s="225"/>
      <c r="BW260" s="224"/>
      <c r="BX260" s="223"/>
      <c r="BY260" s="222"/>
      <c r="BZ260" s="225"/>
      <c r="CA260" s="225"/>
      <c r="CB260" s="225"/>
      <c r="CC260" s="224"/>
      <c r="CD260" s="224"/>
      <c r="CE260" s="225"/>
      <c r="CF260" s="225"/>
      <c r="CG260" s="225"/>
      <c r="CH260" s="225"/>
      <c r="CI260" s="224"/>
      <c r="CJ260" s="224"/>
      <c r="CK260" s="225"/>
      <c r="CL260" s="225"/>
      <c r="CM260" s="225"/>
      <c r="CN260" s="225"/>
      <c r="CO260" s="218">
        <f t="shared" si="106"/>
        <v>0.05</v>
      </c>
      <c r="CP260" s="100">
        <f t="shared" si="107"/>
        <v>0.17499999999999999</v>
      </c>
      <c r="CQ260" s="218">
        <f t="shared" si="108"/>
        <v>0.3</v>
      </c>
    </row>
    <row r="261" spans="1:97" s="100" customFormat="1" ht="16.5" hidden="1" thickBot="1" x14ac:dyDescent="0.3">
      <c r="A261" s="147"/>
      <c r="V261" s="218"/>
      <c r="AA261" s="219"/>
      <c r="AB261" s="219"/>
      <c r="AD261" s="219"/>
      <c r="AE261" s="220"/>
      <c r="AH261" s="221"/>
      <c r="AI261" s="221"/>
      <c r="AK261" s="219"/>
      <c r="AR261" s="219"/>
      <c r="BG261" s="220"/>
      <c r="BH261" s="249"/>
      <c r="BI261" s="203" t="s">
        <v>590</v>
      </c>
      <c r="BJ261" s="190" t="s">
        <v>333</v>
      </c>
      <c r="BK261" s="250">
        <f>AV272</f>
        <v>1.6666666666666666E-2</v>
      </c>
      <c r="BL261" s="190" t="s">
        <v>425</v>
      </c>
      <c r="BM261" s="189">
        <v>0.05</v>
      </c>
      <c r="BN261" s="189">
        <v>0.3</v>
      </c>
      <c r="BO261" s="188" t="s">
        <v>258</v>
      </c>
      <c r="BP261" s="224"/>
      <c r="BS261" s="224"/>
      <c r="BT261" s="224"/>
      <c r="BU261" s="224"/>
      <c r="BV261" s="225"/>
      <c r="BW261" s="224"/>
      <c r="BX261" s="223"/>
      <c r="BY261" s="222"/>
      <c r="BZ261" s="225"/>
      <c r="CA261" s="225"/>
      <c r="CB261" s="225"/>
      <c r="CC261" s="224"/>
      <c r="CD261" s="224"/>
      <c r="CE261" s="225"/>
      <c r="CF261" s="225"/>
      <c r="CG261" s="225"/>
      <c r="CH261" s="225"/>
      <c r="CI261" s="224"/>
      <c r="CJ261" s="224"/>
      <c r="CK261" s="225"/>
      <c r="CL261" s="225"/>
      <c r="CM261" s="225"/>
      <c r="CN261" s="225"/>
      <c r="CO261" s="218">
        <f t="shared" ref="CO261:CO324" si="110">BM261</f>
        <v>0.05</v>
      </c>
      <c r="CP261" s="100">
        <f t="shared" ref="CP261:CP324" si="111">(CO261+CQ261)/2</f>
        <v>0.17499999999999999</v>
      </c>
      <c r="CQ261" s="218">
        <f t="shared" ref="CQ261:CQ324" si="112">BN261</f>
        <v>0.3</v>
      </c>
    </row>
    <row r="262" spans="1:97" s="100" customFormat="1" ht="16.5" hidden="1" thickBot="1" x14ac:dyDescent="0.3">
      <c r="A262" s="147"/>
      <c r="V262" s="218"/>
      <c r="AA262" s="219"/>
      <c r="AB262" s="219"/>
      <c r="AD262" s="219"/>
      <c r="AE262" s="220"/>
      <c r="AH262" s="221"/>
      <c r="AI262" s="221"/>
      <c r="AK262" s="219"/>
      <c r="AR262" s="219"/>
      <c r="BG262" s="220"/>
      <c r="BH262" s="249"/>
      <c r="BI262" s="203" t="s">
        <v>591</v>
      </c>
      <c r="BJ262" s="190" t="s">
        <v>333</v>
      </c>
      <c r="BK262" s="250">
        <f>AV273</f>
        <v>4.9999999999999996E-2</v>
      </c>
      <c r="BL262" s="190" t="s">
        <v>425</v>
      </c>
      <c r="BM262" s="189">
        <v>0.05</v>
      </c>
      <c r="BN262" s="189">
        <v>0.3</v>
      </c>
      <c r="BO262" s="188" t="s">
        <v>258</v>
      </c>
      <c r="BP262" s="224"/>
      <c r="BS262" s="224"/>
      <c r="BT262" s="224"/>
      <c r="BU262" s="224"/>
      <c r="BV262" s="225"/>
      <c r="BW262" s="224"/>
      <c r="BX262" s="223"/>
      <c r="BY262" s="222"/>
      <c r="BZ262" s="225"/>
      <c r="CA262" s="225"/>
      <c r="CB262" s="225"/>
      <c r="CC262" s="224"/>
      <c r="CD262" s="224"/>
      <c r="CE262" s="225"/>
      <c r="CF262" s="225"/>
      <c r="CG262" s="225"/>
      <c r="CH262" s="225"/>
      <c r="CI262" s="224"/>
      <c r="CJ262" s="224"/>
      <c r="CK262" s="225"/>
      <c r="CL262" s="225"/>
      <c r="CM262" s="225"/>
      <c r="CN262" s="225"/>
      <c r="CO262" s="218">
        <f t="shared" si="110"/>
        <v>0.05</v>
      </c>
      <c r="CP262" s="100">
        <f t="shared" si="111"/>
        <v>0.17499999999999999</v>
      </c>
      <c r="CQ262" s="218">
        <f t="shared" si="112"/>
        <v>0.3</v>
      </c>
    </row>
    <row r="263" spans="1:97" s="100" customFormat="1" ht="16.5" hidden="1" thickBot="1" x14ac:dyDescent="0.3">
      <c r="A263" s="147"/>
      <c r="V263" s="218"/>
      <c r="AA263" s="219"/>
      <c r="AB263" s="219"/>
      <c r="AD263" s="219"/>
      <c r="AE263" s="220"/>
      <c r="AH263" s="221"/>
      <c r="AI263" s="221"/>
      <c r="AK263" s="219"/>
      <c r="AR263" s="219"/>
      <c r="AV263" s="100">
        <f>(0.449*0.15)+(0.171*0.4)+(0.047*0.43)+(0.026*0.24)+(0.007*0.39)</f>
        <v>0.16492999999999999</v>
      </c>
      <c r="BG263" s="220"/>
      <c r="BH263" s="249"/>
      <c r="BI263" s="203" t="s">
        <v>592</v>
      </c>
      <c r="BJ263" s="190" t="s">
        <v>333</v>
      </c>
      <c r="BK263" s="250">
        <f>AV273</f>
        <v>4.9999999999999996E-2</v>
      </c>
      <c r="BL263" s="190" t="s">
        <v>425</v>
      </c>
      <c r="BM263" s="189">
        <v>0.05</v>
      </c>
      <c r="BN263" s="189">
        <v>0.3</v>
      </c>
      <c r="BO263" s="188" t="s">
        <v>258</v>
      </c>
      <c r="BP263" s="224"/>
      <c r="BS263" s="224"/>
      <c r="BT263" s="224"/>
      <c r="BU263" s="224"/>
      <c r="BV263" s="225"/>
      <c r="BW263" s="224"/>
      <c r="BX263" s="223"/>
      <c r="BY263" s="222"/>
      <c r="BZ263" s="225"/>
      <c r="CA263" s="225"/>
      <c r="CB263" s="225"/>
      <c r="CC263" s="224"/>
      <c r="CD263" s="224"/>
      <c r="CE263" s="225"/>
      <c r="CF263" s="225"/>
      <c r="CG263" s="225"/>
      <c r="CH263" s="225"/>
      <c r="CI263" s="224"/>
      <c r="CJ263" s="224"/>
      <c r="CK263" s="225"/>
      <c r="CL263" s="225"/>
      <c r="CM263" s="225"/>
      <c r="CN263" s="225"/>
      <c r="CO263" s="218">
        <f t="shared" si="110"/>
        <v>0.05</v>
      </c>
      <c r="CP263" s="100">
        <f t="shared" si="111"/>
        <v>0.17499999999999999</v>
      </c>
      <c r="CQ263" s="218">
        <f t="shared" si="112"/>
        <v>0.3</v>
      </c>
    </row>
    <row r="264" spans="1:97" s="100" customFormat="1" ht="16.5" hidden="1" thickBot="1" x14ac:dyDescent="0.3">
      <c r="A264" s="147"/>
      <c r="V264" s="218"/>
      <c r="AA264" s="219"/>
      <c r="AB264" s="219"/>
      <c r="AD264" s="219"/>
      <c r="AE264" s="220"/>
      <c r="AH264" s="221"/>
      <c r="AI264" s="221"/>
      <c r="AK264" s="219"/>
      <c r="AR264" s="219"/>
      <c r="BG264" s="220"/>
      <c r="BH264" s="249"/>
      <c r="BI264" s="203" t="s">
        <v>593</v>
      </c>
      <c r="BJ264" s="190" t="s">
        <v>333</v>
      </c>
      <c r="BK264" s="250">
        <f t="shared" ref="BK264:BK269" si="113">AV275</f>
        <v>7.9999999999999988E-2</v>
      </c>
      <c r="BL264" s="190" t="s">
        <v>425</v>
      </c>
      <c r="BM264" s="189">
        <v>0.05</v>
      </c>
      <c r="BN264" s="189">
        <v>0.3</v>
      </c>
      <c r="BO264" s="188" t="s">
        <v>258</v>
      </c>
      <c r="BP264" s="224"/>
      <c r="BS264" s="224"/>
      <c r="BT264" s="224"/>
      <c r="BU264" s="224"/>
      <c r="BV264" s="225"/>
      <c r="BW264" s="224"/>
      <c r="BX264" s="223"/>
      <c r="BY264" s="222"/>
      <c r="BZ264" s="225"/>
      <c r="CA264" s="225"/>
      <c r="CB264" s="225"/>
      <c r="CC264" s="224"/>
      <c r="CD264" s="224"/>
      <c r="CE264" s="225"/>
      <c r="CF264" s="225"/>
      <c r="CG264" s="225"/>
      <c r="CH264" s="225"/>
      <c r="CI264" s="224"/>
      <c r="CJ264" s="224"/>
      <c r="CK264" s="225"/>
      <c r="CL264" s="225"/>
      <c r="CM264" s="225"/>
      <c r="CN264" s="225"/>
      <c r="CO264" s="218">
        <f t="shared" si="110"/>
        <v>0.05</v>
      </c>
      <c r="CP264" s="100">
        <f t="shared" si="111"/>
        <v>0.17499999999999999</v>
      </c>
      <c r="CQ264" s="218">
        <f t="shared" si="112"/>
        <v>0.3</v>
      </c>
    </row>
    <row r="265" spans="1:97" s="100" customFormat="1" ht="16.5" hidden="1" thickBot="1" x14ac:dyDescent="0.3">
      <c r="A265" s="147"/>
      <c r="V265" s="218"/>
      <c r="AA265" s="219"/>
      <c r="AB265" s="219"/>
      <c r="AD265" s="219"/>
      <c r="AE265" s="220"/>
      <c r="AH265" s="221"/>
      <c r="AI265" s="221"/>
      <c r="AK265" s="219"/>
      <c r="AR265" s="219"/>
      <c r="BG265" s="220"/>
      <c r="BH265" s="249"/>
      <c r="BI265" s="203" t="s">
        <v>594</v>
      </c>
      <c r="BJ265" s="190" t="s">
        <v>333</v>
      </c>
      <c r="BK265" s="250">
        <f t="shared" si="113"/>
        <v>0.14333333333333331</v>
      </c>
      <c r="BL265" s="190" t="s">
        <v>425</v>
      </c>
      <c r="BM265" s="189">
        <v>0.05</v>
      </c>
      <c r="BN265" s="189">
        <v>0.3</v>
      </c>
      <c r="BO265" s="188" t="s">
        <v>258</v>
      </c>
      <c r="BP265" s="224"/>
      <c r="BS265" s="224"/>
      <c r="BT265" s="224"/>
      <c r="BU265" s="224"/>
      <c r="BV265" s="225"/>
      <c r="BW265" s="224"/>
      <c r="BX265" s="223"/>
      <c r="BY265" s="222"/>
      <c r="BZ265" s="225"/>
      <c r="CA265" s="225"/>
      <c r="CB265" s="225"/>
      <c r="CC265" s="224"/>
      <c r="CD265" s="224"/>
      <c r="CE265" s="225"/>
      <c r="CF265" s="225"/>
      <c r="CG265" s="225"/>
      <c r="CH265" s="225"/>
      <c r="CI265" s="224"/>
      <c r="CJ265" s="224"/>
      <c r="CK265" s="225"/>
      <c r="CL265" s="225"/>
      <c r="CM265" s="225"/>
      <c r="CN265" s="225"/>
      <c r="CO265" s="218">
        <f t="shared" si="110"/>
        <v>0.05</v>
      </c>
      <c r="CP265" s="100">
        <f t="shared" si="111"/>
        <v>0.17499999999999999</v>
      </c>
      <c r="CQ265" s="218">
        <f t="shared" si="112"/>
        <v>0.3</v>
      </c>
    </row>
    <row r="266" spans="1:97" s="100" customFormat="1" ht="16.5" hidden="1" thickBot="1" x14ac:dyDescent="0.3">
      <c r="A266" s="147"/>
      <c r="V266" s="218"/>
      <c r="AA266" s="219"/>
      <c r="AB266" s="219"/>
      <c r="AD266" s="219"/>
      <c r="AE266" s="220"/>
      <c r="AH266" s="221"/>
      <c r="AI266" s="221"/>
      <c r="AK266" s="219"/>
      <c r="AR266" s="219"/>
      <c r="BG266" s="220"/>
      <c r="BH266" s="249"/>
      <c r="BI266" s="203" t="s">
        <v>595</v>
      </c>
      <c r="BJ266" s="190" t="s">
        <v>333</v>
      </c>
      <c r="BK266" s="250">
        <f t="shared" si="113"/>
        <v>0.13333333333333333</v>
      </c>
      <c r="BL266" s="190" t="s">
        <v>425</v>
      </c>
      <c r="BM266" s="189">
        <v>0.05</v>
      </c>
      <c r="BN266" s="189">
        <v>0.3</v>
      </c>
      <c r="BO266" s="188" t="s">
        <v>258</v>
      </c>
      <c r="BP266" s="224"/>
      <c r="BS266" s="224"/>
      <c r="BT266" s="224"/>
      <c r="BU266" s="224"/>
      <c r="BV266" s="225"/>
      <c r="BW266" s="224"/>
      <c r="BX266" s="223"/>
      <c r="BY266" s="222"/>
      <c r="BZ266" s="225"/>
      <c r="CA266" s="225"/>
      <c r="CB266" s="225"/>
      <c r="CC266" s="224"/>
      <c r="CD266" s="224"/>
      <c r="CE266" s="225"/>
      <c r="CF266" s="225"/>
      <c r="CG266" s="225"/>
      <c r="CH266" s="225"/>
      <c r="CI266" s="224"/>
      <c r="CJ266" s="224"/>
      <c r="CK266" s="225"/>
      <c r="CL266" s="225"/>
      <c r="CM266" s="225"/>
      <c r="CN266" s="225"/>
      <c r="CO266" s="218">
        <f t="shared" si="110"/>
        <v>0.05</v>
      </c>
      <c r="CP266" s="100">
        <f t="shared" si="111"/>
        <v>0.17499999999999999</v>
      </c>
      <c r="CQ266" s="218">
        <f t="shared" si="112"/>
        <v>0.3</v>
      </c>
    </row>
    <row r="267" spans="1:97" s="100" customFormat="1" ht="16.5" hidden="1" thickBot="1" x14ac:dyDescent="0.3">
      <c r="A267" s="147"/>
      <c r="V267" s="218"/>
      <c r="AA267" s="219"/>
      <c r="AB267" s="219"/>
      <c r="AD267" s="219"/>
      <c r="AE267" s="220"/>
      <c r="AH267" s="221"/>
      <c r="AI267" s="221"/>
      <c r="AK267" s="219"/>
      <c r="AR267" s="219"/>
      <c r="BG267" s="220"/>
      <c r="BH267" s="249"/>
      <c r="BI267" s="203" t="s">
        <v>596</v>
      </c>
      <c r="BJ267" s="190" t="s">
        <v>333</v>
      </c>
      <c r="BK267" s="250">
        <f t="shared" si="113"/>
        <v>0.13</v>
      </c>
      <c r="BL267" s="190" t="s">
        <v>425</v>
      </c>
      <c r="BM267" s="189">
        <v>0.05</v>
      </c>
      <c r="BN267" s="189">
        <v>0.3</v>
      </c>
      <c r="BO267" s="188" t="s">
        <v>258</v>
      </c>
      <c r="BP267" s="224"/>
      <c r="BS267" s="224"/>
      <c r="BT267" s="224"/>
      <c r="BU267" s="224"/>
      <c r="BV267" s="225"/>
      <c r="BW267" s="224"/>
      <c r="BX267" s="223"/>
      <c r="BY267" s="222"/>
      <c r="BZ267" s="225"/>
      <c r="CA267" s="225"/>
      <c r="CB267" s="225"/>
      <c r="CC267" s="224"/>
      <c r="CD267" s="224"/>
      <c r="CE267" s="225"/>
      <c r="CF267" s="225"/>
      <c r="CG267" s="225"/>
      <c r="CH267" s="225"/>
      <c r="CI267" s="224"/>
      <c r="CJ267" s="224"/>
      <c r="CK267" s="225"/>
      <c r="CL267" s="225"/>
      <c r="CM267" s="225"/>
      <c r="CN267" s="225"/>
      <c r="CO267" s="218">
        <f t="shared" si="110"/>
        <v>0.05</v>
      </c>
      <c r="CP267" s="100">
        <f t="shared" si="111"/>
        <v>0.17499999999999999</v>
      </c>
      <c r="CQ267" s="218">
        <f t="shared" si="112"/>
        <v>0.3</v>
      </c>
    </row>
    <row r="268" spans="1:97" s="100" customFormat="1" ht="16.5" hidden="1" thickBot="1" x14ac:dyDescent="0.3">
      <c r="A268" s="147"/>
      <c r="V268" s="218"/>
      <c r="AA268" s="219"/>
      <c r="AB268" s="219"/>
      <c r="AD268" s="219"/>
      <c r="AE268" s="220"/>
      <c r="AH268" s="221"/>
      <c r="AI268" s="221"/>
      <c r="AK268" s="219"/>
      <c r="AR268" s="219"/>
      <c r="BG268" s="220"/>
      <c r="BH268" s="249"/>
      <c r="BI268" s="203" t="s">
        <v>597</v>
      </c>
      <c r="BJ268" s="190" t="s">
        <v>333</v>
      </c>
      <c r="BK268" s="250">
        <f t="shared" si="113"/>
        <v>1.3333333333333332E-2</v>
      </c>
      <c r="BL268" s="190" t="s">
        <v>425</v>
      </c>
      <c r="BM268" s="189">
        <v>0.05</v>
      </c>
      <c r="BN268" s="189">
        <v>0.3</v>
      </c>
      <c r="BO268" s="188" t="s">
        <v>258</v>
      </c>
      <c r="BP268" s="224"/>
      <c r="BS268" s="224"/>
      <c r="BT268" s="224"/>
      <c r="BU268" s="224"/>
      <c r="BV268" s="225"/>
      <c r="BW268" s="224"/>
      <c r="BX268" s="223"/>
      <c r="BY268" s="222"/>
      <c r="BZ268" s="225"/>
      <c r="CA268" s="225"/>
      <c r="CB268" s="225"/>
      <c r="CC268" s="224"/>
      <c r="CD268" s="224"/>
      <c r="CE268" s="225"/>
      <c r="CF268" s="225"/>
      <c r="CG268" s="225"/>
      <c r="CH268" s="225"/>
      <c r="CI268" s="224"/>
      <c r="CJ268" s="224"/>
      <c r="CK268" s="225"/>
      <c r="CL268" s="225"/>
      <c r="CM268" s="225"/>
      <c r="CN268" s="225"/>
      <c r="CO268" s="218">
        <f t="shared" si="110"/>
        <v>0.05</v>
      </c>
      <c r="CP268" s="100">
        <f t="shared" si="111"/>
        <v>0.17499999999999999</v>
      </c>
      <c r="CQ268" s="218">
        <f t="shared" si="112"/>
        <v>0.3</v>
      </c>
    </row>
    <row r="269" spans="1:97" s="100" customFormat="1" ht="16.5" hidden="1" thickBot="1" x14ac:dyDescent="0.3">
      <c r="A269" s="147"/>
      <c r="V269" s="218"/>
      <c r="AA269" s="219"/>
      <c r="AB269" s="219"/>
      <c r="AD269" s="219"/>
      <c r="AE269" s="220"/>
      <c r="AH269" s="221"/>
      <c r="AI269" s="221"/>
      <c r="AK269" s="219"/>
      <c r="AR269" s="219"/>
      <c r="AV269" s="236" t="s">
        <v>504</v>
      </c>
      <c r="BF269" s="100" t="s">
        <v>477</v>
      </c>
      <c r="BG269" s="220">
        <f>AW271</f>
        <v>2.748833333333333E-2</v>
      </c>
      <c r="BH269" s="249"/>
      <c r="BI269" s="203" t="s">
        <v>598</v>
      </c>
      <c r="BJ269" s="190" t="s">
        <v>333</v>
      </c>
      <c r="BK269" s="250">
        <f t="shared" si="113"/>
        <v>3.3333333333333331E-3</v>
      </c>
      <c r="BL269" s="190" t="s">
        <v>425</v>
      </c>
      <c r="BM269" s="189">
        <v>0.05</v>
      </c>
      <c r="BN269" s="189">
        <v>0.3</v>
      </c>
      <c r="BO269" s="188" t="s">
        <v>258</v>
      </c>
      <c r="BP269" s="224"/>
      <c r="BS269" s="224"/>
      <c r="BT269" s="224"/>
      <c r="BU269" s="224"/>
      <c r="BV269" s="225"/>
      <c r="BW269" s="224"/>
      <c r="BX269" s="223"/>
      <c r="BY269" s="222"/>
      <c r="BZ269" s="225"/>
      <c r="CA269" s="225"/>
      <c r="CB269" s="225"/>
      <c r="CC269" s="224"/>
      <c r="CD269" s="224"/>
      <c r="CE269" s="225"/>
      <c r="CF269" s="225"/>
      <c r="CG269" s="225"/>
      <c r="CH269" s="225"/>
      <c r="CI269" s="224"/>
      <c r="CJ269" s="224"/>
      <c r="CK269" s="225"/>
      <c r="CL269" s="225"/>
      <c r="CM269" s="225"/>
      <c r="CN269" s="225"/>
      <c r="CO269" s="218">
        <f t="shared" si="110"/>
        <v>0.05</v>
      </c>
      <c r="CP269" s="100">
        <f t="shared" si="111"/>
        <v>0.17499999999999999</v>
      </c>
      <c r="CQ269" s="218">
        <f t="shared" si="112"/>
        <v>0.3</v>
      </c>
    </row>
    <row r="270" spans="1:97" s="101" customFormat="1" ht="29.25" hidden="1" thickBot="1" x14ac:dyDescent="0.3">
      <c r="A270" s="99"/>
      <c r="V270" s="103"/>
      <c r="AA270" s="104"/>
      <c r="AB270" s="104"/>
      <c r="AD270" s="104"/>
      <c r="AE270" s="105"/>
      <c r="AH270" s="106"/>
      <c r="AI270" s="106"/>
      <c r="AK270" s="104"/>
      <c r="AR270" s="104"/>
      <c r="AT270" s="227"/>
      <c r="AU270" s="228" t="s">
        <v>484</v>
      </c>
      <c r="AV270" s="227" t="s">
        <v>496</v>
      </c>
      <c r="AW270" s="227" t="s">
        <v>479</v>
      </c>
      <c r="AX270" s="227" t="s">
        <v>561</v>
      </c>
      <c r="AY270" s="227" t="s">
        <v>480</v>
      </c>
      <c r="AZ270" s="227" t="s">
        <v>483</v>
      </c>
      <c r="BA270" s="229" t="s">
        <v>119</v>
      </c>
      <c r="BB270" s="230" t="s">
        <v>503</v>
      </c>
      <c r="BC270" s="230" t="s">
        <v>120</v>
      </c>
      <c r="BF270" s="100" t="s">
        <v>482</v>
      </c>
      <c r="BG270" s="220">
        <f>AX271</f>
        <v>3.9583199999999999E-2</v>
      </c>
      <c r="BH270" s="120" t="s">
        <v>97</v>
      </c>
      <c r="BI270" s="203" t="s">
        <v>573</v>
      </c>
      <c r="BJ270" s="190" t="s">
        <v>476</v>
      </c>
      <c r="BK270" s="196">
        <v>5.6000000000000004E-7</v>
      </c>
      <c r="BL270" s="190" t="s">
        <v>425</v>
      </c>
      <c r="BM270" s="189">
        <v>0.1</v>
      </c>
      <c r="BN270" s="189">
        <v>1</v>
      </c>
      <c r="BO270" s="188" t="s">
        <v>258</v>
      </c>
      <c r="BP270" s="190" t="s">
        <v>476</v>
      </c>
      <c r="BQ270" s="196">
        <v>9.7999999999999993E-6</v>
      </c>
      <c r="BR270" s="186" t="s">
        <v>426</v>
      </c>
      <c r="BS270" s="189">
        <v>0.1</v>
      </c>
      <c r="BT270" s="189">
        <v>1</v>
      </c>
      <c r="BU270" s="188" t="s">
        <v>258</v>
      </c>
      <c r="BV270" s="190" t="s">
        <v>476</v>
      </c>
      <c r="BW270" s="196">
        <v>0.14000000000000001</v>
      </c>
      <c r="BX270" s="186" t="s">
        <v>571</v>
      </c>
      <c r="BY270" s="189">
        <v>0.1</v>
      </c>
      <c r="BZ270" s="189">
        <v>1</v>
      </c>
      <c r="CA270" s="188" t="s">
        <v>258</v>
      </c>
      <c r="CB270" s="180"/>
      <c r="CC270" s="178"/>
      <c r="CD270" s="178"/>
      <c r="CE270" s="180"/>
      <c r="CF270" s="180"/>
      <c r="CG270" s="180"/>
      <c r="CH270" s="180"/>
      <c r="CI270" s="178"/>
      <c r="CJ270" s="178"/>
      <c r="CK270" s="180"/>
      <c r="CL270" s="180"/>
      <c r="CM270" s="180"/>
      <c r="CN270" s="116"/>
      <c r="CO270" s="218">
        <f t="shared" si="110"/>
        <v>0.1</v>
      </c>
      <c r="CP270" s="100">
        <f t="shared" si="111"/>
        <v>0.55000000000000004</v>
      </c>
      <c r="CQ270" s="218">
        <f t="shared" si="112"/>
        <v>1</v>
      </c>
      <c r="CR270" s="101">
        <v>0.4</v>
      </c>
      <c r="CS270" s="101">
        <v>1</v>
      </c>
    </row>
    <row r="271" spans="1:97" s="101" customFormat="1" ht="29.25" hidden="1" thickBot="1" x14ac:dyDescent="0.3">
      <c r="A271" s="99"/>
      <c r="V271" s="103"/>
      <c r="AA271" s="104"/>
      <c r="AB271" s="104"/>
      <c r="AD271" s="104"/>
      <c r="AE271" s="105"/>
      <c r="AH271" s="106"/>
      <c r="AI271" s="106"/>
      <c r="AK271" s="104"/>
      <c r="AR271" s="104"/>
      <c r="AT271" s="227" t="s">
        <v>486</v>
      </c>
      <c r="AU271" s="226" t="s">
        <v>498</v>
      </c>
      <c r="AV271" s="221">
        <f>((((0.449*0.15)+(0.171*0.4)+(0.047*0.43)+(0.026*0.24)+(0.007*0.39))*0.5*1)*0.5*(16/12))*(1-0)</f>
        <v>5.497666666666666E-2</v>
      </c>
      <c r="AW271" s="221">
        <f>((((0.449*0.15)+(0.171*0.4)+(0.047*0.43)+(0.026*0.24)+(0.007*0.39))*0.5*0.5)*0.5*(16/12))*(1-0)</f>
        <v>2.748833333333333E-2</v>
      </c>
      <c r="AX271" s="221">
        <f>((((0.449*0.15)+(0.171*0.4)+(0.047*0.43)+(0.026*0.24)+(0.007*0.39))*0.5*0.8)*0.5*(16/12))*(1-0.1)</f>
        <v>3.9583199999999999E-2</v>
      </c>
      <c r="AY271" s="221">
        <f>((((0.449*0.15)+(0.171*0.4)+(0.047*0.43)+(0.026*0.24)+(0.007*0.39))*0.5*0.4)*0.5*(16/12))*(1-0.1)</f>
        <v>1.9791599999999999E-2</v>
      </c>
      <c r="AZ271" s="221">
        <f>((((0.449*0.15)+(0.171*0.4)+(0.047*0.43)+(0.026*0.24)+(0.007*0.39))*0.5*0.6)*0.5*(16/12))*(1-0.1)</f>
        <v>2.9687399999999996E-2</v>
      </c>
      <c r="BA271" s="231">
        <f t="shared" ref="BA271:BA280" si="114">AVERAGE(AV271:AZ271)</f>
        <v>3.430544E-2</v>
      </c>
      <c r="BB271" s="231">
        <f t="shared" ref="BB271:BB280" si="115">STDEV(AV271:AZ271)</f>
        <v>1.3542573156662487E-2</v>
      </c>
      <c r="BC271" s="232">
        <f>1-((BA271-((BB271*2.78)/(SQRT(5))))/BA271)</f>
        <v>0.49079258210126564</v>
      </c>
      <c r="BF271" s="100" t="s">
        <v>481</v>
      </c>
      <c r="BG271" s="220">
        <f>AY271</f>
        <v>1.9791599999999999E-2</v>
      </c>
      <c r="BH271" s="120" t="s">
        <v>97</v>
      </c>
      <c r="BI271" s="203" t="s">
        <v>572</v>
      </c>
      <c r="BJ271" s="190" t="s">
        <v>476</v>
      </c>
      <c r="BK271" s="196">
        <v>2.3699999999999999E-4</v>
      </c>
      <c r="BL271" s="190" t="s">
        <v>425</v>
      </c>
      <c r="BM271" s="189">
        <v>0.1</v>
      </c>
      <c r="BN271" s="189">
        <v>1</v>
      </c>
      <c r="BO271" s="188" t="s">
        <v>258</v>
      </c>
      <c r="BP271" s="190" t="s">
        <v>476</v>
      </c>
      <c r="BQ271" s="196">
        <v>6.0000000000000002E-5</v>
      </c>
      <c r="BR271" s="186" t="s">
        <v>426</v>
      </c>
      <c r="BS271" s="189">
        <v>0.1</v>
      </c>
      <c r="BT271" s="189">
        <v>1</v>
      </c>
      <c r="BU271" s="188" t="s">
        <v>258</v>
      </c>
      <c r="BV271" s="190" t="s">
        <v>476</v>
      </c>
      <c r="BW271" s="196">
        <v>0.23</v>
      </c>
      <c r="BX271" s="186" t="s">
        <v>571</v>
      </c>
      <c r="BY271" s="189">
        <v>0.1</v>
      </c>
      <c r="BZ271" s="189">
        <v>1</v>
      </c>
      <c r="CA271" s="188" t="s">
        <v>258</v>
      </c>
      <c r="CB271" s="180"/>
      <c r="CC271" s="178"/>
      <c r="CD271" s="178"/>
      <c r="CE271" s="180"/>
      <c r="CF271" s="180"/>
      <c r="CG271" s="180"/>
      <c r="CH271" s="180"/>
      <c r="CI271" s="178"/>
      <c r="CJ271" s="178"/>
      <c r="CK271" s="180"/>
      <c r="CL271" s="180"/>
      <c r="CM271" s="180"/>
      <c r="CN271" s="116"/>
      <c r="CO271" s="218">
        <f t="shared" si="110"/>
        <v>0.1</v>
      </c>
      <c r="CP271" s="100">
        <f t="shared" si="111"/>
        <v>0.55000000000000004</v>
      </c>
      <c r="CQ271" s="218">
        <f t="shared" si="112"/>
        <v>1</v>
      </c>
      <c r="CR271" s="101">
        <v>0.4</v>
      </c>
      <c r="CS271" s="101">
        <v>1</v>
      </c>
    </row>
    <row r="272" spans="1:97" s="101" customFormat="1" ht="29.25" hidden="1" thickBot="1" x14ac:dyDescent="0.3">
      <c r="A272" s="99"/>
      <c r="V272" s="103"/>
      <c r="AA272" s="104"/>
      <c r="AB272" s="104"/>
      <c r="AD272" s="104"/>
      <c r="AE272" s="105"/>
      <c r="AH272" s="106"/>
      <c r="AI272" s="106"/>
      <c r="AK272" s="104"/>
      <c r="AR272" s="104"/>
      <c r="AT272" s="227" t="s">
        <v>562</v>
      </c>
      <c r="AU272" s="226">
        <v>0.05</v>
      </c>
      <c r="AV272" s="221">
        <f>((AU272*0.5*1)*0.5*(16/12))*(1-0)</f>
        <v>1.6666666666666666E-2</v>
      </c>
      <c r="AW272" s="221">
        <f>((AU272*0.5*0.5)*0.5*(16/12))*(1-0)</f>
        <v>8.3333333333333332E-3</v>
      </c>
      <c r="AX272" s="221">
        <f>((AU272*0.5*0.8)*0.5*(16/12))*(1-0.1)</f>
        <v>1.2000000000000002E-2</v>
      </c>
      <c r="AY272" s="221">
        <f t="shared" ref="AY272:AY280" si="116">((AU272*0.5*0.4)*0.5*(16/12))*(1-0.1)</f>
        <v>6.000000000000001E-3</v>
      </c>
      <c r="AZ272" s="221">
        <f t="shared" ref="AZ272:AZ280" si="117">((AU272*0.5*0.6)*0.5*(16/12))*(1-0.1)</f>
        <v>8.9999999999999993E-3</v>
      </c>
      <c r="BA272" s="231">
        <f t="shared" si="114"/>
        <v>1.0400000000000001E-2</v>
      </c>
      <c r="BB272" s="231">
        <f t="shared" si="115"/>
        <v>4.1055517967205765E-3</v>
      </c>
      <c r="BC272" s="232">
        <f>1-((BA272-((BB272*2.78)/(SQRT(5))))/BA272)</f>
        <v>0.49079258210126586</v>
      </c>
      <c r="BF272" s="100" t="s">
        <v>478</v>
      </c>
      <c r="BG272" s="220">
        <f>AZ271</f>
        <v>2.9687399999999996E-2</v>
      </c>
      <c r="BH272" s="120" t="s">
        <v>97</v>
      </c>
      <c r="BI272" s="203" t="s">
        <v>574</v>
      </c>
      <c r="BJ272" s="190" t="s">
        <v>476</v>
      </c>
      <c r="BK272" s="196">
        <v>6.4999999999999997E-3</v>
      </c>
      <c r="BL272" s="190" t="s">
        <v>425</v>
      </c>
      <c r="BM272" s="189">
        <v>0.1</v>
      </c>
      <c r="BN272" s="189">
        <v>1</v>
      </c>
      <c r="BO272" s="188" t="s">
        <v>258</v>
      </c>
      <c r="BP272" s="190" t="s">
        <v>476</v>
      </c>
      <c r="BQ272" s="196">
        <v>1.4999999999999999E-4</v>
      </c>
      <c r="BR272" s="186" t="s">
        <v>426</v>
      </c>
      <c r="BS272" s="189">
        <v>0.1</v>
      </c>
      <c r="BT272" s="189">
        <v>1</v>
      </c>
      <c r="BU272" s="188" t="s">
        <v>258</v>
      </c>
      <c r="BV272" s="190" t="s">
        <v>476</v>
      </c>
      <c r="BW272" s="196">
        <v>1.38</v>
      </c>
      <c r="BX272" s="186" t="s">
        <v>571</v>
      </c>
      <c r="BY272" s="189">
        <v>0.1</v>
      </c>
      <c r="BZ272" s="189">
        <v>1</v>
      </c>
      <c r="CA272" s="188" t="s">
        <v>258</v>
      </c>
      <c r="CB272" s="180"/>
      <c r="CC272" s="178"/>
      <c r="CD272" s="178"/>
      <c r="CE272" s="180"/>
      <c r="CF272" s="180"/>
      <c r="CG272" s="180"/>
      <c r="CH272" s="180"/>
      <c r="CI272" s="178"/>
      <c r="CJ272" s="178"/>
      <c r="CK272" s="180"/>
      <c r="CL272" s="180"/>
      <c r="CM272" s="180"/>
      <c r="CN272" s="116"/>
      <c r="CO272" s="218">
        <f t="shared" si="110"/>
        <v>0.1</v>
      </c>
      <c r="CP272" s="100">
        <f t="shared" si="111"/>
        <v>0.55000000000000004</v>
      </c>
      <c r="CQ272" s="218">
        <f t="shared" si="112"/>
        <v>1</v>
      </c>
      <c r="CR272" s="101">
        <v>0.4</v>
      </c>
      <c r="CS272" s="101">
        <v>1</v>
      </c>
    </row>
    <row r="273" spans="1:113" s="101" customFormat="1" ht="29.25" hidden="1" thickBot="1" x14ac:dyDescent="0.3">
      <c r="A273" s="99"/>
      <c r="V273" s="103"/>
      <c r="AA273" s="104"/>
      <c r="AB273" s="104"/>
      <c r="AD273" s="104"/>
      <c r="AE273" s="105"/>
      <c r="AH273" s="106"/>
      <c r="AI273" s="106"/>
      <c r="AK273" s="104"/>
      <c r="AR273" s="104"/>
      <c r="AT273" s="227" t="s">
        <v>485</v>
      </c>
      <c r="AU273" s="226">
        <v>0.15</v>
      </c>
      <c r="AV273" s="221">
        <f>((AU273*0.5*1)*0.5*(16/12))*(1-0)</f>
        <v>4.9999999999999996E-2</v>
      </c>
      <c r="AW273" s="221">
        <f>((AU273*0.5*0.5)*0.5*(16/12))*(1-0)</f>
        <v>2.4999999999999998E-2</v>
      </c>
      <c r="AX273" s="221">
        <f>((AU273*0.5*0.8)*0.5*(16/12))*(1-0.1)</f>
        <v>3.5999999999999997E-2</v>
      </c>
      <c r="AY273" s="221">
        <f t="shared" si="116"/>
        <v>1.7999999999999999E-2</v>
      </c>
      <c r="AZ273" s="221">
        <f t="shared" si="117"/>
        <v>2.7E-2</v>
      </c>
      <c r="BA273" s="231">
        <f t="shared" si="114"/>
        <v>3.1199999999999995E-2</v>
      </c>
      <c r="BB273" s="231">
        <f t="shared" si="115"/>
        <v>1.2316655390161741E-2</v>
      </c>
      <c r="BC273" s="232">
        <f t="shared" ref="BC273:BC280" si="118">1-((BA273-((BB273*2.78)/(SQRT(5))))/BA273)</f>
        <v>0.49079258210126642</v>
      </c>
      <c r="BF273" s="220"/>
      <c r="BG273" s="220"/>
      <c r="BH273" s="120" t="s">
        <v>97</v>
      </c>
      <c r="BI273" s="203" t="s">
        <v>575</v>
      </c>
      <c r="BJ273" s="190" t="s">
        <v>476</v>
      </c>
      <c r="BK273" s="196">
        <v>5.6000000000000004E-7</v>
      </c>
      <c r="BL273" s="190" t="s">
        <v>425</v>
      </c>
      <c r="BM273" s="189">
        <v>0.1</v>
      </c>
      <c r="BN273" s="189">
        <v>1</v>
      </c>
      <c r="BO273" s="188" t="s">
        <v>258</v>
      </c>
      <c r="BP273" s="190" t="s">
        <v>476</v>
      </c>
      <c r="BQ273" s="196">
        <v>1E-4</v>
      </c>
      <c r="BR273" s="186" t="s">
        <v>426</v>
      </c>
      <c r="BS273" s="189">
        <v>0.1</v>
      </c>
      <c r="BT273" s="189">
        <v>1</v>
      </c>
      <c r="BU273" s="188" t="s">
        <v>258</v>
      </c>
      <c r="BV273" s="190" t="s">
        <v>476</v>
      </c>
      <c r="BW273" s="196">
        <v>0.56999999999999995</v>
      </c>
      <c r="BX273" s="186" t="s">
        <v>571</v>
      </c>
      <c r="BY273" s="189">
        <v>0.1</v>
      </c>
      <c r="BZ273" s="189">
        <v>1</v>
      </c>
      <c r="CA273" s="188" t="s">
        <v>258</v>
      </c>
      <c r="CB273" s="180"/>
      <c r="CC273" s="178"/>
      <c r="CD273" s="178"/>
      <c r="CE273" s="180"/>
      <c r="CF273" s="180"/>
      <c r="CG273" s="180"/>
      <c r="CH273" s="180"/>
      <c r="CI273" s="178"/>
      <c r="CJ273" s="178"/>
      <c r="CK273" s="180"/>
      <c r="CL273" s="180"/>
      <c r="CM273" s="180"/>
      <c r="CN273" s="116"/>
      <c r="CO273" s="218">
        <f t="shared" si="110"/>
        <v>0.1</v>
      </c>
      <c r="CP273" s="100">
        <f t="shared" si="111"/>
        <v>0.55000000000000004</v>
      </c>
      <c r="CQ273" s="218">
        <f t="shared" si="112"/>
        <v>1</v>
      </c>
      <c r="CR273" s="101">
        <v>0.4</v>
      </c>
      <c r="CS273" s="101">
        <v>1</v>
      </c>
    </row>
    <row r="274" spans="1:113" s="101" customFormat="1" ht="29.25" hidden="1" thickBot="1" x14ac:dyDescent="0.3">
      <c r="A274" s="99"/>
      <c r="V274" s="103"/>
      <c r="AA274" s="104"/>
      <c r="AB274" s="104"/>
      <c r="AD274" s="104"/>
      <c r="AE274" s="105"/>
      <c r="AH274" s="106"/>
      <c r="AI274" s="106"/>
      <c r="AK274" s="104"/>
      <c r="AR274" s="104"/>
      <c r="AT274" s="227" t="s">
        <v>488</v>
      </c>
      <c r="AU274" s="226">
        <v>0.15</v>
      </c>
      <c r="AV274" s="221">
        <f t="shared" ref="AV274:AV280" si="119">((AU274*0.5*1)*0.5*(16/12))*(1-0)</f>
        <v>4.9999999999999996E-2</v>
      </c>
      <c r="AW274" s="221">
        <f t="shared" ref="AW274:AW280" si="120">((AU274*0.5*0.5)*0.5*(16/12))*(1-0)</f>
        <v>2.4999999999999998E-2</v>
      </c>
      <c r="AX274" s="221">
        <f t="shared" ref="AX274:AX280" si="121">((AU274*0.5*0.8)*0.5*(16/12))*(1-0.1)</f>
        <v>3.5999999999999997E-2</v>
      </c>
      <c r="AY274" s="221">
        <f t="shared" si="116"/>
        <v>1.7999999999999999E-2</v>
      </c>
      <c r="AZ274" s="221">
        <f t="shared" si="117"/>
        <v>2.7E-2</v>
      </c>
      <c r="BA274" s="231">
        <f t="shared" si="114"/>
        <v>3.1199999999999995E-2</v>
      </c>
      <c r="BB274" s="231">
        <f t="shared" si="115"/>
        <v>1.2316655390161741E-2</v>
      </c>
      <c r="BC274" s="232">
        <f t="shared" si="118"/>
        <v>0.49079258210126642</v>
      </c>
      <c r="BE274" s="220"/>
      <c r="BF274" s="220"/>
      <c r="BH274" s="120" t="s">
        <v>97</v>
      </c>
      <c r="BI274" s="203" t="s">
        <v>599</v>
      </c>
      <c r="BJ274" s="190" t="s">
        <v>476</v>
      </c>
      <c r="BK274" s="196">
        <v>5.6000000000000004E-7</v>
      </c>
      <c r="BL274" s="190" t="s">
        <v>425</v>
      </c>
      <c r="BM274" s="189">
        <v>0.1</v>
      </c>
      <c r="BN274" s="189">
        <v>1</v>
      </c>
      <c r="BO274" s="188" t="s">
        <v>258</v>
      </c>
      <c r="BP274" s="190" t="s">
        <v>476</v>
      </c>
      <c r="BQ274" s="196">
        <v>4.2000000000000002E-4</v>
      </c>
      <c r="BR274" s="186" t="s">
        <v>426</v>
      </c>
      <c r="BS274" s="189">
        <v>0.1</v>
      </c>
      <c r="BT274" s="189">
        <v>1</v>
      </c>
      <c r="BU274" s="188" t="s">
        <v>258</v>
      </c>
      <c r="BV274" s="190" t="s">
        <v>476</v>
      </c>
      <c r="BW274" s="196">
        <v>0.17</v>
      </c>
      <c r="BX274" s="186" t="s">
        <v>571</v>
      </c>
      <c r="BY274" s="189">
        <v>0.1</v>
      </c>
      <c r="BZ274" s="189">
        <v>1</v>
      </c>
      <c r="CA274" s="188" t="s">
        <v>258</v>
      </c>
      <c r="CB274" s="180"/>
      <c r="CC274" s="178"/>
      <c r="CD274" s="178"/>
      <c r="CE274" s="180"/>
      <c r="CF274" s="180"/>
      <c r="CG274" s="180"/>
      <c r="CH274" s="180"/>
      <c r="CI274" s="178"/>
      <c r="CJ274" s="178"/>
      <c r="CK274" s="180"/>
      <c r="CL274" s="180"/>
      <c r="CM274" s="180"/>
      <c r="CN274" s="116"/>
      <c r="CO274" s="218">
        <f t="shared" si="110"/>
        <v>0.1</v>
      </c>
      <c r="CP274" s="100">
        <f t="shared" si="111"/>
        <v>0.55000000000000004</v>
      </c>
      <c r="CQ274" s="218">
        <f t="shared" si="112"/>
        <v>1</v>
      </c>
      <c r="CR274" s="101">
        <v>0.4</v>
      </c>
      <c r="CS274" s="101">
        <v>1</v>
      </c>
    </row>
    <row r="275" spans="1:113" s="101" customFormat="1" ht="29.25" hidden="1" thickBot="1" x14ac:dyDescent="0.3">
      <c r="A275" s="99"/>
      <c r="V275" s="103"/>
      <c r="AA275" s="104"/>
      <c r="AB275" s="104"/>
      <c r="AD275" s="104"/>
      <c r="AE275" s="105"/>
      <c r="AH275" s="106"/>
      <c r="AI275" s="106"/>
      <c r="AK275" s="104"/>
      <c r="AR275" s="104"/>
      <c r="AT275" s="227" t="s">
        <v>487</v>
      </c>
      <c r="AU275" s="226">
        <v>0.24</v>
      </c>
      <c r="AV275" s="221">
        <f t="shared" si="119"/>
        <v>7.9999999999999988E-2</v>
      </c>
      <c r="AW275" s="221">
        <f t="shared" si="120"/>
        <v>3.9999999999999994E-2</v>
      </c>
      <c r="AX275" s="221">
        <f t="shared" si="121"/>
        <v>5.7600000000000005E-2</v>
      </c>
      <c r="AY275" s="221">
        <f t="shared" si="116"/>
        <v>2.8800000000000003E-2</v>
      </c>
      <c r="AZ275" s="221">
        <f t="shared" si="117"/>
        <v>4.3199999999999995E-2</v>
      </c>
      <c r="BA275" s="231">
        <f t="shared" si="114"/>
        <v>4.9919999999999992E-2</v>
      </c>
      <c r="BB275" s="231">
        <f t="shared" si="115"/>
        <v>1.9706648624258784E-2</v>
      </c>
      <c r="BC275" s="232">
        <f t="shared" si="118"/>
        <v>0.49079258210126631</v>
      </c>
      <c r="BE275" s="220"/>
      <c r="BF275" s="220"/>
      <c r="BH275" s="120" t="s">
        <v>97</v>
      </c>
      <c r="BI275" s="203" t="s">
        <v>600</v>
      </c>
      <c r="BJ275" s="190" t="s">
        <v>476</v>
      </c>
      <c r="BK275" s="196">
        <v>9.7000000000000003E-6</v>
      </c>
      <c r="BL275" s="190" t="s">
        <v>425</v>
      </c>
      <c r="BM275" s="189">
        <v>0.1</v>
      </c>
      <c r="BN275" s="189">
        <v>1</v>
      </c>
      <c r="BO275" s="188" t="s">
        <v>258</v>
      </c>
      <c r="BP275" s="190" t="s">
        <v>476</v>
      </c>
      <c r="BQ275" s="196">
        <v>8.9999999999999998E-4</v>
      </c>
      <c r="BR275" s="186" t="s">
        <v>426</v>
      </c>
      <c r="BS275" s="189">
        <v>0.1</v>
      </c>
      <c r="BT275" s="189">
        <v>1</v>
      </c>
      <c r="BU275" s="188" t="s">
        <v>258</v>
      </c>
      <c r="BV275" s="190" t="s">
        <v>476</v>
      </c>
      <c r="BW275" s="196">
        <v>0.57999999999999996</v>
      </c>
      <c r="BX275" s="186" t="s">
        <v>571</v>
      </c>
      <c r="BY275" s="189">
        <v>0.1</v>
      </c>
      <c r="BZ275" s="189">
        <v>1</v>
      </c>
      <c r="CA275" s="188" t="s">
        <v>258</v>
      </c>
      <c r="CB275" s="180"/>
      <c r="CC275" s="178"/>
      <c r="CD275" s="178"/>
      <c r="CE275" s="180"/>
      <c r="CF275" s="180"/>
      <c r="CG275" s="180"/>
      <c r="CH275" s="180"/>
      <c r="CI275" s="178"/>
      <c r="CJ275" s="178"/>
      <c r="CK275" s="180"/>
      <c r="CL275" s="180"/>
      <c r="CM275" s="180"/>
      <c r="CN275" s="116"/>
      <c r="CO275" s="218">
        <f t="shared" si="110"/>
        <v>0.1</v>
      </c>
      <c r="CP275" s="100">
        <f t="shared" si="111"/>
        <v>0.55000000000000004</v>
      </c>
      <c r="CQ275" s="218">
        <f t="shared" si="112"/>
        <v>1</v>
      </c>
      <c r="CR275" s="101">
        <v>0.4</v>
      </c>
      <c r="CS275" s="101">
        <v>1</v>
      </c>
    </row>
    <row r="276" spans="1:113" s="101" customFormat="1" ht="29.25" hidden="1" thickBot="1" x14ac:dyDescent="0.3">
      <c r="A276" s="99"/>
      <c r="V276" s="103"/>
      <c r="AA276" s="104"/>
      <c r="AB276" s="104"/>
      <c r="AD276" s="104"/>
      <c r="AE276" s="105"/>
      <c r="AH276" s="106"/>
      <c r="AI276" s="106"/>
      <c r="AK276" s="104"/>
      <c r="AR276" s="104"/>
      <c r="AT276" s="227" t="s">
        <v>489</v>
      </c>
      <c r="AU276" s="226">
        <v>0.43</v>
      </c>
      <c r="AV276" s="221">
        <f t="shared" si="119"/>
        <v>0.14333333333333331</v>
      </c>
      <c r="AW276" s="221">
        <f t="shared" si="120"/>
        <v>7.1666666666666656E-2</v>
      </c>
      <c r="AX276" s="221">
        <f t="shared" si="121"/>
        <v>0.1032</v>
      </c>
      <c r="AY276" s="221">
        <f t="shared" si="116"/>
        <v>5.16E-2</v>
      </c>
      <c r="AZ276" s="221">
        <f t="shared" si="117"/>
        <v>7.7399999999999997E-2</v>
      </c>
      <c r="BA276" s="231">
        <f t="shared" si="114"/>
        <v>8.9439999999999992E-2</v>
      </c>
      <c r="BB276" s="231">
        <f t="shared" si="115"/>
        <v>3.5307745451796956E-2</v>
      </c>
      <c r="BC276" s="232">
        <f t="shared" si="118"/>
        <v>0.49079258210126586</v>
      </c>
      <c r="BE276" s="220"/>
      <c r="BF276" s="220"/>
      <c r="BH276" s="120" t="s">
        <v>97</v>
      </c>
      <c r="BI276" s="203" t="s">
        <v>576</v>
      </c>
      <c r="BJ276" s="190" t="s">
        <v>476</v>
      </c>
      <c r="BK276" s="196">
        <v>9.7000000000000003E-6</v>
      </c>
      <c r="BL276" s="190" t="s">
        <v>425</v>
      </c>
      <c r="BM276" s="189">
        <v>0.1</v>
      </c>
      <c r="BN276" s="189">
        <v>1</v>
      </c>
      <c r="BO276" s="188" t="s">
        <v>258</v>
      </c>
      <c r="BP276" s="190" t="s">
        <v>476</v>
      </c>
      <c r="BQ276" s="196">
        <v>4.4999999999999999E-4</v>
      </c>
      <c r="BR276" s="186" t="s">
        <v>426</v>
      </c>
      <c r="BS276" s="189">
        <v>0.1</v>
      </c>
      <c r="BT276" s="189">
        <v>1</v>
      </c>
      <c r="BU276" s="188" t="s">
        <v>258</v>
      </c>
      <c r="BV276" s="190" t="s">
        <v>476</v>
      </c>
      <c r="BW276" s="196">
        <v>1.47</v>
      </c>
      <c r="BX276" s="186" t="s">
        <v>571</v>
      </c>
      <c r="BY276" s="189">
        <v>0.1</v>
      </c>
      <c r="BZ276" s="189">
        <v>1</v>
      </c>
      <c r="CA276" s="188" t="s">
        <v>258</v>
      </c>
      <c r="CB276" s="180"/>
      <c r="CC276" s="178"/>
      <c r="CD276" s="178"/>
      <c r="CE276" s="180"/>
      <c r="CF276" s="180"/>
      <c r="CG276" s="180"/>
      <c r="CH276" s="180"/>
      <c r="CI276" s="178"/>
      <c r="CJ276" s="178"/>
      <c r="CK276" s="180"/>
      <c r="CL276" s="180"/>
      <c r="CM276" s="180"/>
      <c r="CN276" s="116"/>
      <c r="CO276" s="218">
        <f t="shared" si="110"/>
        <v>0.1</v>
      </c>
      <c r="CP276" s="100">
        <f t="shared" si="111"/>
        <v>0.55000000000000004</v>
      </c>
      <c r="CQ276" s="218">
        <f t="shared" si="112"/>
        <v>1</v>
      </c>
      <c r="CR276" s="101">
        <v>0.4</v>
      </c>
      <c r="CS276" s="101">
        <v>1</v>
      </c>
    </row>
    <row r="277" spans="1:113" s="101" customFormat="1" hidden="1" x14ac:dyDescent="0.25">
      <c r="A277" s="99"/>
      <c r="V277" s="103"/>
      <c r="AA277" s="104"/>
      <c r="AB277" s="104"/>
      <c r="AD277" s="104"/>
      <c r="AE277" s="105"/>
      <c r="AH277" s="106"/>
      <c r="AI277" s="106"/>
      <c r="AK277" s="104"/>
      <c r="AR277" s="104"/>
      <c r="AT277" s="227" t="s">
        <v>490</v>
      </c>
      <c r="AU277" s="226">
        <v>0.4</v>
      </c>
      <c r="AV277" s="221">
        <f t="shared" si="119"/>
        <v>0.13333333333333333</v>
      </c>
      <c r="AW277" s="221">
        <f t="shared" si="120"/>
        <v>6.6666666666666666E-2</v>
      </c>
      <c r="AX277" s="221">
        <f t="shared" si="121"/>
        <v>9.6000000000000016E-2</v>
      </c>
      <c r="AY277" s="221">
        <f t="shared" si="116"/>
        <v>4.8000000000000008E-2</v>
      </c>
      <c r="AZ277" s="221">
        <f t="shared" si="117"/>
        <v>7.1999999999999995E-2</v>
      </c>
      <c r="BA277" s="231">
        <f t="shared" si="114"/>
        <v>8.320000000000001E-2</v>
      </c>
      <c r="BB277" s="231">
        <f t="shared" si="115"/>
        <v>3.2844414373764612E-2</v>
      </c>
      <c r="BC277" s="232">
        <f t="shared" si="118"/>
        <v>0.49079258210126586</v>
      </c>
      <c r="BE277" s="220"/>
      <c r="BF277" s="220"/>
      <c r="BH277" s="99"/>
      <c r="BI277" s="102"/>
      <c r="BJ277" s="178"/>
      <c r="BK277" s="178"/>
      <c r="BL277" s="178"/>
      <c r="BM277" s="169"/>
      <c r="BN277" s="169"/>
      <c r="BO277" s="169"/>
      <c r="BP277" s="178"/>
      <c r="BQ277" s="178"/>
      <c r="BR277" s="178"/>
      <c r="BS277" s="178"/>
      <c r="BT277" s="178"/>
      <c r="BU277" s="178"/>
      <c r="BV277" s="180"/>
      <c r="BW277" s="178"/>
      <c r="BX277" s="178"/>
      <c r="BY277" s="180"/>
      <c r="BZ277" s="180"/>
      <c r="CA277" s="180"/>
      <c r="CB277" s="180"/>
      <c r="CC277" s="178"/>
      <c r="CD277" s="178"/>
      <c r="CE277" s="180"/>
      <c r="CF277" s="180"/>
      <c r="CG277" s="180"/>
      <c r="CH277" s="180"/>
      <c r="CI277" s="178"/>
      <c r="CJ277" s="178"/>
      <c r="CK277" s="180"/>
      <c r="CL277" s="180"/>
      <c r="CM277" s="180"/>
      <c r="CN277" s="116"/>
      <c r="CO277" s="218">
        <f t="shared" si="110"/>
        <v>0</v>
      </c>
      <c r="CP277" s="100">
        <f t="shared" si="111"/>
        <v>0</v>
      </c>
      <c r="CQ277" s="218">
        <f t="shared" si="112"/>
        <v>0</v>
      </c>
    </row>
    <row r="278" spans="1:113" s="101" customFormat="1" ht="18" hidden="1" x14ac:dyDescent="0.25">
      <c r="A278" s="99"/>
      <c r="V278" s="103"/>
      <c r="AA278" s="104"/>
      <c r="AB278" s="104"/>
      <c r="AD278" s="104"/>
      <c r="AE278" s="105"/>
      <c r="AH278" s="106"/>
      <c r="AI278" s="106"/>
      <c r="AK278" s="104"/>
      <c r="AR278" s="104"/>
      <c r="AT278" s="227" t="s">
        <v>491</v>
      </c>
      <c r="AU278" s="226">
        <v>0.39</v>
      </c>
      <c r="AV278" s="221">
        <f t="shared" si="119"/>
        <v>0.13</v>
      </c>
      <c r="AW278" s="221">
        <f t="shared" si="120"/>
        <v>6.5000000000000002E-2</v>
      </c>
      <c r="AX278" s="221">
        <f t="shared" si="121"/>
        <v>9.3600000000000017E-2</v>
      </c>
      <c r="AY278" s="221">
        <f t="shared" si="116"/>
        <v>4.6800000000000008E-2</v>
      </c>
      <c r="AZ278" s="221">
        <f t="shared" si="117"/>
        <v>7.0199999999999985E-2</v>
      </c>
      <c r="BA278" s="231">
        <f t="shared" si="114"/>
        <v>8.1119999999999998E-2</v>
      </c>
      <c r="BB278" s="231">
        <f t="shared" si="115"/>
        <v>3.2023304014420516E-2</v>
      </c>
      <c r="BC278" s="232">
        <f t="shared" si="118"/>
        <v>0.49079258210126619</v>
      </c>
      <c r="BE278" s="219"/>
      <c r="BH278" s="99"/>
      <c r="BI278" s="102"/>
      <c r="BJ278" s="178"/>
      <c r="BK278" s="178"/>
      <c r="BL278" s="178"/>
      <c r="BM278" s="169"/>
      <c r="BN278" s="169"/>
      <c r="BO278" s="169"/>
      <c r="BP278" s="178"/>
      <c r="BQ278" s="178"/>
      <c r="BR278" s="178"/>
      <c r="BS278" s="178"/>
      <c r="BT278" s="178"/>
      <c r="BU278" s="178"/>
      <c r="BV278" s="180"/>
      <c r="BW278" s="178"/>
      <c r="BX278" s="178"/>
      <c r="BY278" s="180"/>
      <c r="BZ278" s="180"/>
      <c r="CA278" s="180"/>
      <c r="CB278" s="102"/>
      <c r="CC278" s="102"/>
      <c r="CD278" s="102"/>
      <c r="CE278" s="102"/>
      <c r="CF278" s="102"/>
      <c r="CG278" s="102"/>
      <c r="CH278" s="102"/>
      <c r="CI278" s="102"/>
      <c r="CJ278" s="102"/>
      <c r="CK278" s="102"/>
      <c r="CL278" s="102"/>
      <c r="CM278" s="102"/>
      <c r="CO278" s="218">
        <f t="shared" si="110"/>
        <v>0</v>
      </c>
      <c r="CP278" s="100">
        <f t="shared" si="111"/>
        <v>0</v>
      </c>
      <c r="CQ278" s="218">
        <f t="shared" si="112"/>
        <v>0</v>
      </c>
      <c r="DC278" s="116" t="s">
        <v>377</v>
      </c>
      <c r="DD278" s="116" t="s">
        <v>378</v>
      </c>
      <c r="DF278" s="116" t="s">
        <v>388</v>
      </c>
      <c r="DG278" s="116"/>
      <c r="DH278" s="116"/>
      <c r="DI278" s="116"/>
    </row>
    <row r="279" spans="1:113" s="101" customFormat="1" ht="33" hidden="1" customHeight="1" x14ac:dyDescent="0.25">
      <c r="A279" s="99"/>
      <c r="V279" s="103"/>
      <c r="AA279" s="104"/>
      <c r="AB279" s="104"/>
      <c r="AD279" s="104"/>
      <c r="AE279" s="105"/>
      <c r="AH279" s="106"/>
      <c r="AI279" s="106"/>
      <c r="AK279" s="104"/>
      <c r="AR279" s="104"/>
      <c r="AT279" s="227" t="s">
        <v>499</v>
      </c>
      <c r="AU279" s="226">
        <v>0.04</v>
      </c>
      <c r="AV279" s="221">
        <f t="shared" si="119"/>
        <v>1.3333333333333332E-2</v>
      </c>
      <c r="AW279" s="221">
        <f t="shared" si="120"/>
        <v>6.6666666666666662E-3</v>
      </c>
      <c r="AX279" s="221">
        <f t="shared" si="121"/>
        <v>9.5999999999999992E-3</v>
      </c>
      <c r="AY279" s="221">
        <f t="shared" si="116"/>
        <v>4.7999999999999996E-3</v>
      </c>
      <c r="AZ279" s="221">
        <f t="shared" si="117"/>
        <v>7.2000000000000007E-3</v>
      </c>
      <c r="BA279" s="231">
        <f t="shared" si="114"/>
        <v>8.3199999999999975E-3</v>
      </c>
      <c r="BB279" s="231">
        <f t="shared" si="115"/>
        <v>3.2844414373764635E-3</v>
      </c>
      <c r="BC279" s="232">
        <f t="shared" si="118"/>
        <v>0.49079258210126642</v>
      </c>
      <c r="BE279" s="104"/>
      <c r="BH279" s="99"/>
      <c r="BI279" s="1606" t="s">
        <v>334</v>
      </c>
      <c r="BJ279" s="1606" t="s">
        <v>253</v>
      </c>
      <c r="BK279" s="1606" t="s">
        <v>279</v>
      </c>
      <c r="BL279" s="251"/>
      <c r="BM279" s="1606" t="s">
        <v>233</v>
      </c>
      <c r="BN279" s="1606" t="s">
        <v>233</v>
      </c>
      <c r="BO279" s="1606" t="s">
        <v>240</v>
      </c>
      <c r="BP279" s="178"/>
      <c r="BQ279" s="178"/>
      <c r="BR279" s="178"/>
      <c r="BS279" s="178"/>
      <c r="BT279" s="178"/>
      <c r="BU279" s="178"/>
      <c r="BV279" s="180"/>
      <c r="BW279" s="178"/>
      <c r="BX279" s="178"/>
      <c r="BY279" s="180"/>
      <c r="BZ279" s="180"/>
      <c r="CA279" s="180"/>
      <c r="CB279" s="102"/>
      <c r="CC279" s="102"/>
      <c r="CD279" s="102"/>
      <c r="CE279" s="102"/>
      <c r="CF279" s="102"/>
      <c r="CG279" s="102"/>
      <c r="CH279" s="102"/>
      <c r="CI279" s="102"/>
      <c r="CJ279" s="102"/>
      <c r="CK279" s="102"/>
      <c r="CL279" s="102"/>
      <c r="CM279" s="102"/>
      <c r="CO279" s="218" t="str">
        <f t="shared" si="110"/>
        <v>Incertidumbre (+/- %)</v>
      </c>
      <c r="CP279" s="100" t="e">
        <f t="shared" si="111"/>
        <v>#VALUE!</v>
      </c>
      <c r="CQ279" s="218" t="str">
        <f t="shared" si="112"/>
        <v>Incertidumbre (+/- %)</v>
      </c>
      <c r="DA279" s="101">
        <v>0</v>
      </c>
      <c r="DC279" s="116" t="s">
        <v>99</v>
      </c>
      <c r="DD279" s="116" t="s">
        <v>98</v>
      </c>
      <c r="DF279" s="116" t="s">
        <v>98</v>
      </c>
      <c r="DG279" s="116"/>
      <c r="DH279" s="116"/>
      <c r="DI279" s="116"/>
    </row>
    <row r="280" spans="1:113" s="101" customFormat="1" ht="15.75" hidden="1" thickBot="1" x14ac:dyDescent="0.3">
      <c r="A280" s="99"/>
      <c r="V280" s="103"/>
      <c r="AA280" s="104"/>
      <c r="AB280" s="104"/>
      <c r="AD280" s="104"/>
      <c r="AE280" s="105"/>
      <c r="AH280" s="106"/>
      <c r="AI280" s="106"/>
      <c r="AK280" s="104"/>
      <c r="AR280" s="104"/>
      <c r="AT280" s="227" t="s">
        <v>492</v>
      </c>
      <c r="AU280" s="226">
        <v>0.01</v>
      </c>
      <c r="AV280" s="221">
        <f t="shared" si="119"/>
        <v>3.3333333333333331E-3</v>
      </c>
      <c r="AW280" s="221">
        <f t="shared" si="120"/>
        <v>1.6666666666666666E-3</v>
      </c>
      <c r="AX280" s="221">
        <f t="shared" si="121"/>
        <v>2.3999999999999998E-3</v>
      </c>
      <c r="AY280" s="221">
        <f t="shared" si="116"/>
        <v>1.1999999999999999E-3</v>
      </c>
      <c r="AZ280" s="221">
        <f t="shared" si="117"/>
        <v>1.8000000000000002E-3</v>
      </c>
      <c r="BA280" s="231">
        <f t="shared" si="114"/>
        <v>2.0799999999999994E-3</v>
      </c>
      <c r="BB280" s="231">
        <f t="shared" si="115"/>
        <v>8.2111035934411534E-4</v>
      </c>
      <c r="BC280" s="232">
        <f t="shared" si="118"/>
        <v>0.49079258210126597</v>
      </c>
      <c r="BE280" s="104"/>
      <c r="BH280" s="99"/>
      <c r="BI280" s="1607"/>
      <c r="BJ280" s="1607"/>
      <c r="BK280" s="1607"/>
      <c r="BL280" s="252" t="s">
        <v>251</v>
      </c>
      <c r="BM280" s="1607"/>
      <c r="BN280" s="1607"/>
      <c r="BO280" s="1607"/>
      <c r="BP280" s="178"/>
      <c r="BQ280" s="178"/>
      <c r="BR280" s="178"/>
      <c r="BS280" s="178"/>
      <c r="BT280" s="178"/>
      <c r="BU280" s="178"/>
      <c r="BV280" s="180"/>
      <c r="BW280" s="178"/>
      <c r="BX280" s="178"/>
      <c r="BY280" s="180"/>
      <c r="BZ280" s="180"/>
      <c r="CA280" s="180"/>
      <c r="CB280" s="102"/>
      <c r="CC280" s="102"/>
      <c r="CD280" s="102"/>
      <c r="CE280" s="102"/>
      <c r="CF280" s="102"/>
      <c r="CG280" s="102"/>
      <c r="CH280" s="102"/>
      <c r="CI280" s="102"/>
      <c r="CJ280" s="102"/>
      <c r="CK280" s="102"/>
      <c r="CL280" s="102"/>
      <c r="CM280" s="102"/>
      <c r="CO280" s="218">
        <f t="shared" si="110"/>
        <v>0</v>
      </c>
      <c r="CP280" s="100">
        <f t="shared" si="111"/>
        <v>0</v>
      </c>
      <c r="CQ280" s="218">
        <f t="shared" si="112"/>
        <v>0</v>
      </c>
      <c r="DA280" s="101">
        <v>0</v>
      </c>
      <c r="DC280" s="116">
        <v>0</v>
      </c>
      <c r="DD280" s="116">
        <v>0</v>
      </c>
      <c r="DF280" s="116">
        <v>0</v>
      </c>
      <c r="DG280" s="116"/>
      <c r="DH280" s="116"/>
      <c r="DI280" s="116"/>
    </row>
    <row r="281" spans="1:113" s="101" customFormat="1" ht="39" hidden="1" customHeight="1" x14ac:dyDescent="0.25">
      <c r="A281" s="99"/>
      <c r="V281" s="103"/>
      <c r="AA281" s="104"/>
      <c r="AB281" s="104"/>
      <c r="AD281" s="104"/>
      <c r="AE281" s="105"/>
      <c r="AH281" s="106"/>
      <c r="AI281" s="106"/>
      <c r="AK281" s="104"/>
      <c r="AR281" s="104"/>
      <c r="AT281" s="100"/>
      <c r="AU281" s="233" t="s">
        <v>119</v>
      </c>
      <c r="AV281" s="234">
        <f>AVERAGE(AV271:AV280)</f>
        <v>6.749766666666665E-2</v>
      </c>
      <c r="AW281" s="234">
        <f>AVERAGE(AW271:AW280)</f>
        <v>3.3748833333333325E-2</v>
      </c>
      <c r="AX281" s="234">
        <f>AVERAGE(AX271:AX280)</f>
        <v>4.8598320000000007E-2</v>
      </c>
      <c r="AY281" s="234">
        <f>AVERAGE(AY271:AY280)</f>
        <v>2.4299160000000004E-2</v>
      </c>
      <c r="AZ281" s="234">
        <f>AVERAGE(AZ271:AZ280)</f>
        <v>3.6448739999999993E-2</v>
      </c>
      <c r="BB281" s="104"/>
      <c r="BC281" s="104"/>
      <c r="BE281" s="104"/>
      <c r="BH281" s="120" t="s">
        <v>54</v>
      </c>
      <c r="BI281" s="203" t="s">
        <v>500</v>
      </c>
      <c r="BJ281" s="190" t="s">
        <v>100</v>
      </c>
      <c r="BK281" s="196">
        <v>84.62</v>
      </c>
      <c r="BL281" s="190" t="s">
        <v>413</v>
      </c>
      <c r="BM281" s="189">
        <v>0.2</v>
      </c>
      <c r="BN281" s="189">
        <v>0.5</v>
      </c>
      <c r="BO281" s="188" t="s">
        <v>462</v>
      </c>
      <c r="BP281" s="178"/>
      <c r="BQ281" s="196">
        <v>1425</v>
      </c>
      <c r="BR281" s="190" t="s">
        <v>414</v>
      </c>
      <c r="BS281" s="178"/>
      <c r="BT281" s="178"/>
      <c r="BU281" s="178"/>
      <c r="BV281" s="180"/>
      <c r="BW281" s="178"/>
      <c r="BX281" s="178"/>
      <c r="BY281" s="180"/>
      <c r="BZ281" s="180"/>
      <c r="CA281" s="180"/>
      <c r="CB281" s="102"/>
      <c r="CC281" s="102"/>
      <c r="CD281" s="102"/>
      <c r="CE281" s="102"/>
      <c r="CF281" s="102"/>
      <c r="CG281" s="102"/>
      <c r="CH281" s="102"/>
      <c r="CI281" s="102"/>
      <c r="CJ281" s="102"/>
      <c r="CK281" s="102"/>
      <c r="CL281" s="102"/>
      <c r="CM281" s="102"/>
      <c r="CO281" s="218">
        <f t="shared" si="110"/>
        <v>0.2</v>
      </c>
      <c r="CP281" s="100">
        <f t="shared" si="111"/>
        <v>0.35</v>
      </c>
      <c r="CQ281" s="218">
        <f t="shared" si="112"/>
        <v>0.5</v>
      </c>
      <c r="CR281" s="101">
        <v>0.2</v>
      </c>
      <c r="CS281" s="101">
        <v>0.5</v>
      </c>
      <c r="CZ281" s="101" t="s">
        <v>54</v>
      </c>
      <c r="DA281" s="101" t="s">
        <v>57</v>
      </c>
      <c r="DB281" s="101" t="s">
        <v>100</v>
      </c>
      <c r="DC281" s="116">
        <v>57</v>
      </c>
      <c r="DD281" s="141">
        <f>+DC281*21</f>
        <v>1197</v>
      </c>
      <c r="DE281" s="116" t="s">
        <v>375</v>
      </c>
      <c r="DF281" s="116">
        <f t="shared" ref="DF281:DF297" si="122">+DC281*25</f>
        <v>1425</v>
      </c>
      <c r="DG281" s="116"/>
      <c r="DH281" s="116"/>
      <c r="DI281" s="116"/>
    </row>
    <row r="282" spans="1:113" s="101" customFormat="1" ht="39" hidden="1" customHeight="1" x14ac:dyDescent="0.25">
      <c r="A282" s="99"/>
      <c r="V282" s="103"/>
      <c r="AA282" s="104"/>
      <c r="AB282" s="104"/>
      <c r="AD282" s="104"/>
      <c r="AE282" s="105"/>
      <c r="AH282" s="106"/>
      <c r="AI282" s="106"/>
      <c r="AK282" s="104"/>
      <c r="AR282" s="104"/>
      <c r="AT282" s="100"/>
      <c r="AU282" s="233" t="s">
        <v>503</v>
      </c>
      <c r="AV282" s="233">
        <f>STDEV(AV271:AV280)</f>
        <v>5.2230230403710561E-2</v>
      </c>
      <c r="AW282" s="233">
        <f>STDEV(AW271:AW280)</f>
        <v>2.611511520185528E-2</v>
      </c>
      <c r="AX282" s="233">
        <f>STDEV(AX271:AX280)</f>
        <v>3.7605765890671605E-2</v>
      </c>
      <c r="AY282" s="233">
        <f>STDEV(AY271:AY280)</f>
        <v>1.8802882945335803E-2</v>
      </c>
      <c r="AZ282" s="233">
        <f>STDEV(AZ271:AZ280)</f>
        <v>2.8204324418003707E-2</v>
      </c>
      <c r="BB282" s="104"/>
      <c r="BC282" s="104"/>
      <c r="BE282" s="104"/>
      <c r="BH282" s="120"/>
      <c r="BI282" s="203" t="s">
        <v>501</v>
      </c>
      <c r="BJ282" s="190" t="s">
        <v>100</v>
      </c>
      <c r="BK282" s="196">
        <v>60.44</v>
      </c>
      <c r="BL282" s="190" t="s">
        <v>413</v>
      </c>
      <c r="BM282" s="189">
        <v>0.2</v>
      </c>
      <c r="BN282" s="189">
        <v>0.5</v>
      </c>
      <c r="BO282" s="188" t="s">
        <v>462</v>
      </c>
      <c r="BP282" s="178"/>
      <c r="BQ282" s="196"/>
      <c r="BR282" s="190"/>
      <c r="BS282" s="178"/>
      <c r="BT282" s="178"/>
      <c r="BU282" s="178"/>
      <c r="BV282" s="180"/>
      <c r="BW282" s="178"/>
      <c r="BX282" s="178"/>
      <c r="BY282" s="180"/>
      <c r="BZ282" s="180"/>
      <c r="CA282" s="180"/>
      <c r="CB282" s="102"/>
      <c r="CC282" s="102"/>
      <c r="CD282" s="102"/>
      <c r="CE282" s="102"/>
      <c r="CF282" s="102"/>
      <c r="CG282" s="102"/>
      <c r="CH282" s="102"/>
      <c r="CI282" s="102"/>
      <c r="CJ282" s="102"/>
      <c r="CK282" s="102"/>
      <c r="CL282" s="102"/>
      <c r="CM282" s="102"/>
      <c r="CO282" s="218">
        <f t="shared" si="110"/>
        <v>0.2</v>
      </c>
      <c r="CP282" s="100">
        <f t="shared" si="111"/>
        <v>0.35</v>
      </c>
      <c r="CQ282" s="218">
        <f t="shared" si="112"/>
        <v>0.5</v>
      </c>
      <c r="DC282" s="116"/>
      <c r="DD282" s="141"/>
      <c r="DE282" s="116"/>
      <c r="DF282" s="116"/>
      <c r="DG282" s="116"/>
      <c r="DH282" s="116"/>
      <c r="DI282" s="116"/>
    </row>
    <row r="283" spans="1:113" s="101" customFormat="1" ht="39" hidden="1" customHeight="1" x14ac:dyDescent="0.25">
      <c r="A283" s="99"/>
      <c r="V283" s="103"/>
      <c r="AA283" s="104"/>
      <c r="AB283" s="104"/>
      <c r="AD283" s="104"/>
      <c r="AE283" s="105"/>
      <c r="AH283" s="106"/>
      <c r="AI283" s="106"/>
      <c r="AK283" s="104"/>
      <c r="AR283" s="104"/>
      <c r="AU283" s="233" t="s">
        <v>117</v>
      </c>
      <c r="AV283" s="233">
        <f>BJ438</f>
        <v>2.31</v>
      </c>
      <c r="AW283" s="235">
        <f>AV283</f>
        <v>2.31</v>
      </c>
      <c r="AX283" s="235">
        <f>AW283</f>
        <v>2.31</v>
      </c>
      <c r="AY283" s="235">
        <f>AX283</f>
        <v>2.31</v>
      </c>
      <c r="AZ283" s="235">
        <f>AY283</f>
        <v>2.31</v>
      </c>
      <c r="BB283" s="104"/>
      <c r="BC283" s="104"/>
      <c r="BE283" s="104"/>
      <c r="BH283" s="120"/>
      <c r="BI283" s="203" t="s">
        <v>502</v>
      </c>
      <c r="BJ283" s="190" t="s">
        <v>100</v>
      </c>
      <c r="BK283" s="196">
        <v>53.05</v>
      </c>
      <c r="BL283" s="190" t="s">
        <v>413</v>
      </c>
      <c r="BM283" s="189">
        <v>0.2</v>
      </c>
      <c r="BN283" s="189">
        <v>0.5</v>
      </c>
      <c r="BO283" s="188" t="s">
        <v>462</v>
      </c>
      <c r="BP283" s="178"/>
      <c r="BQ283" s="196"/>
      <c r="BR283" s="190"/>
      <c r="BS283" s="178"/>
      <c r="BT283" s="178"/>
      <c r="BU283" s="178"/>
      <c r="BV283" s="180"/>
      <c r="BW283" s="178"/>
      <c r="BX283" s="178"/>
      <c r="BY283" s="180"/>
      <c r="BZ283" s="180"/>
      <c r="CA283" s="180"/>
      <c r="CB283" s="102"/>
      <c r="CC283" s="102"/>
      <c r="CD283" s="102"/>
      <c r="CE283" s="102"/>
      <c r="CF283" s="102"/>
      <c r="CG283" s="102"/>
      <c r="CH283" s="102"/>
      <c r="CI283" s="102"/>
      <c r="CJ283" s="102"/>
      <c r="CK283" s="102"/>
      <c r="CL283" s="102"/>
      <c r="CM283" s="102"/>
      <c r="CO283" s="218">
        <f t="shared" si="110"/>
        <v>0.2</v>
      </c>
      <c r="CP283" s="100">
        <f t="shared" si="111"/>
        <v>0.35</v>
      </c>
      <c r="CQ283" s="218">
        <f t="shared" si="112"/>
        <v>0.5</v>
      </c>
      <c r="DC283" s="116"/>
      <c r="DD283" s="141"/>
      <c r="DE283" s="116"/>
      <c r="DF283" s="116"/>
      <c r="DG283" s="116"/>
      <c r="DH283" s="116"/>
      <c r="DI283" s="116"/>
    </row>
    <row r="284" spans="1:113" s="101" customFormat="1" ht="15" hidden="1" customHeight="1" x14ac:dyDescent="0.25">
      <c r="A284" s="99"/>
      <c r="V284" s="103"/>
      <c r="AA284" s="104"/>
      <c r="AB284" s="104"/>
      <c r="AD284" s="104"/>
      <c r="AE284" s="105"/>
      <c r="AH284" s="106"/>
      <c r="AI284" s="106"/>
      <c r="AK284" s="104"/>
      <c r="AR284" s="104"/>
      <c r="AU284" s="233" t="s">
        <v>120</v>
      </c>
      <c r="AV284" s="232">
        <f>1-((AV281-((AV282*AV283)/(SQRT(9))))/AV281)</f>
        <v>0.59583211386354795</v>
      </c>
      <c r="AW284" s="232">
        <f>1-((AW281-((AW282*AW283)/(SQRT(9))))/AW281)</f>
        <v>0.59583211386354795</v>
      </c>
      <c r="AX284" s="232">
        <f>1-((AX281-((AX282*AX283)/(SQRT(9))))/AX281)</f>
        <v>0.59583211386354773</v>
      </c>
      <c r="AY284" s="232">
        <f>1-((AY281-((AY282*AY283)/(SQRT(9))))/AY281)</f>
        <v>0.59583211386354773</v>
      </c>
      <c r="AZ284" s="232">
        <f>1-((AZ281-((AZ282*AZ283)/(SQRT(9))))/AZ281)</f>
        <v>0.59583211386354806</v>
      </c>
      <c r="BB284" s="104"/>
      <c r="BC284" s="104"/>
      <c r="BE284" s="104"/>
      <c r="BH284" s="120"/>
      <c r="BI284" s="203" t="s">
        <v>463</v>
      </c>
      <c r="BJ284" s="190" t="s">
        <v>100</v>
      </c>
      <c r="BK284" s="196">
        <v>57.53</v>
      </c>
      <c r="BL284" s="190" t="s">
        <v>413</v>
      </c>
      <c r="BM284" s="189">
        <v>0.2</v>
      </c>
      <c r="BN284" s="189">
        <v>0.5</v>
      </c>
      <c r="BO284" s="188" t="s">
        <v>462</v>
      </c>
      <c r="BP284" s="178"/>
      <c r="BQ284" s="196"/>
      <c r="BR284" s="190"/>
      <c r="BS284" s="178"/>
      <c r="BT284" s="178"/>
      <c r="BU284" s="178"/>
      <c r="BV284" s="180"/>
      <c r="BW284" s="178"/>
      <c r="BX284" s="178"/>
      <c r="BY284" s="180"/>
      <c r="BZ284" s="180"/>
      <c r="CA284" s="180"/>
      <c r="CB284" s="102"/>
      <c r="CC284" s="102"/>
      <c r="CD284" s="102"/>
      <c r="CE284" s="102"/>
      <c r="CF284" s="102"/>
      <c r="CG284" s="102"/>
      <c r="CH284" s="102"/>
      <c r="CI284" s="102"/>
      <c r="CJ284" s="102"/>
      <c r="CK284" s="102"/>
      <c r="CL284" s="102"/>
      <c r="CM284" s="102"/>
      <c r="CO284" s="218">
        <f t="shared" si="110"/>
        <v>0.2</v>
      </c>
      <c r="CP284" s="100">
        <f t="shared" si="111"/>
        <v>0.35</v>
      </c>
      <c r="CQ284" s="218">
        <f t="shared" si="112"/>
        <v>0.5</v>
      </c>
      <c r="DC284" s="116"/>
      <c r="DD284" s="141"/>
      <c r="DE284" s="116"/>
      <c r="DF284" s="116"/>
      <c r="DG284" s="116"/>
      <c r="DH284" s="116"/>
      <c r="DI284" s="116"/>
    </row>
    <row r="285" spans="1:113" s="101" customFormat="1" ht="15" hidden="1" customHeight="1" x14ac:dyDescent="0.25">
      <c r="A285" s="99"/>
      <c r="V285" s="103"/>
      <c r="AA285" s="104"/>
      <c r="AB285" s="104"/>
      <c r="AD285" s="104"/>
      <c r="AE285" s="105"/>
      <c r="AH285" s="106"/>
      <c r="AI285" s="106"/>
      <c r="AK285" s="104"/>
      <c r="AR285" s="104"/>
      <c r="AV285" s="104"/>
      <c r="AX285" s="104"/>
      <c r="BB285" s="104"/>
      <c r="BC285" s="104"/>
      <c r="BE285" s="104"/>
      <c r="BH285" s="120"/>
      <c r="BI285" s="203" t="s">
        <v>464</v>
      </c>
      <c r="BJ285" s="190" t="s">
        <v>100</v>
      </c>
      <c r="BK285" s="196">
        <v>20.14</v>
      </c>
      <c r="BL285" s="190" t="s">
        <v>413</v>
      </c>
      <c r="BM285" s="189">
        <v>0.2</v>
      </c>
      <c r="BN285" s="189">
        <v>0.5</v>
      </c>
      <c r="BO285" s="188" t="s">
        <v>462</v>
      </c>
      <c r="BP285" s="178"/>
      <c r="BQ285" s="196"/>
      <c r="BR285" s="190"/>
      <c r="BS285" s="178"/>
      <c r="BT285" s="178"/>
      <c r="BU285" s="178"/>
      <c r="BV285" s="180"/>
      <c r="BW285" s="178"/>
      <c r="BX285" s="178"/>
      <c r="BY285" s="180"/>
      <c r="BZ285" s="180"/>
      <c r="CA285" s="180"/>
      <c r="CB285" s="102"/>
      <c r="CC285" s="102"/>
      <c r="CD285" s="102"/>
      <c r="CE285" s="102"/>
      <c r="CF285" s="102"/>
      <c r="CG285" s="102"/>
      <c r="CH285" s="102"/>
      <c r="CI285" s="102"/>
      <c r="CJ285" s="102"/>
      <c r="CK285" s="102"/>
      <c r="CL285" s="102"/>
      <c r="CM285" s="102"/>
      <c r="CO285" s="218">
        <f t="shared" si="110"/>
        <v>0.2</v>
      </c>
      <c r="CP285" s="100">
        <f t="shared" si="111"/>
        <v>0.35</v>
      </c>
      <c r="CQ285" s="218">
        <f t="shared" si="112"/>
        <v>0.5</v>
      </c>
      <c r="DC285" s="116"/>
      <c r="DD285" s="141"/>
      <c r="DE285" s="116"/>
      <c r="DF285" s="116"/>
      <c r="DG285" s="116"/>
      <c r="DH285" s="116"/>
      <c r="DI285" s="116"/>
    </row>
    <row r="286" spans="1:113" s="101" customFormat="1" ht="15" hidden="1" customHeight="1" x14ac:dyDescent="0.25">
      <c r="A286" s="99"/>
      <c r="V286" s="103"/>
      <c r="AA286" s="104"/>
      <c r="AB286" s="104"/>
      <c r="AD286" s="104"/>
      <c r="AE286" s="105"/>
      <c r="AH286" s="106"/>
      <c r="AI286" s="106"/>
      <c r="AK286" s="104"/>
      <c r="AR286" s="104"/>
      <c r="AV286" s="104"/>
      <c r="AX286" s="104"/>
      <c r="BB286" s="104"/>
      <c r="BC286" s="104"/>
      <c r="BE286" s="104"/>
      <c r="BH286" s="120"/>
      <c r="BI286" s="203" t="s">
        <v>465</v>
      </c>
      <c r="BJ286" s="190" t="s">
        <v>100</v>
      </c>
      <c r="BK286" s="196">
        <v>30.91</v>
      </c>
      <c r="BL286" s="190" t="s">
        <v>413</v>
      </c>
      <c r="BM286" s="189">
        <v>0.2</v>
      </c>
      <c r="BN286" s="189">
        <v>0.5</v>
      </c>
      <c r="BO286" s="188" t="s">
        <v>462</v>
      </c>
      <c r="BP286" s="178"/>
      <c r="BQ286" s="196"/>
      <c r="BR286" s="190"/>
      <c r="BS286" s="178"/>
      <c r="BT286" s="178"/>
      <c r="BU286" s="178"/>
      <c r="BV286" s="180"/>
      <c r="BW286" s="178"/>
      <c r="BX286" s="178"/>
      <c r="BY286" s="180"/>
      <c r="BZ286" s="180"/>
      <c r="CA286" s="180"/>
      <c r="CB286" s="102"/>
      <c r="CC286" s="102"/>
      <c r="CD286" s="102"/>
      <c r="CE286" s="102"/>
      <c r="CF286" s="102"/>
      <c r="CG286" s="102"/>
      <c r="CH286" s="102"/>
      <c r="CI286" s="102"/>
      <c r="CJ286" s="102"/>
      <c r="CK286" s="102"/>
      <c r="CL286" s="102"/>
      <c r="CM286" s="102"/>
      <c r="CO286" s="218">
        <f t="shared" si="110"/>
        <v>0.2</v>
      </c>
      <c r="CP286" s="100">
        <f t="shared" si="111"/>
        <v>0.35</v>
      </c>
      <c r="CQ286" s="218">
        <f t="shared" si="112"/>
        <v>0.5</v>
      </c>
      <c r="DC286" s="116"/>
      <c r="DD286" s="141"/>
      <c r="DE286" s="116"/>
      <c r="DF286" s="116"/>
      <c r="DG286" s="116"/>
      <c r="DH286" s="116"/>
      <c r="DI286" s="116"/>
    </row>
    <row r="287" spans="1:113" s="101" customFormat="1" ht="15" hidden="1" customHeight="1" x14ac:dyDescent="0.25">
      <c r="A287" s="99"/>
      <c r="V287" s="103"/>
      <c r="AA287" s="104"/>
      <c r="AB287" s="104"/>
      <c r="AD287" s="104"/>
      <c r="AE287" s="105"/>
      <c r="AH287" s="106"/>
      <c r="AI287" s="106"/>
      <c r="AK287" s="104"/>
      <c r="AR287" s="104"/>
      <c r="AV287" s="104"/>
      <c r="AX287" s="104"/>
      <c r="BB287" s="104"/>
      <c r="BC287" s="104"/>
      <c r="BE287" s="104"/>
      <c r="BH287" s="120"/>
      <c r="BI287" s="203" t="s">
        <v>466</v>
      </c>
      <c r="BJ287" s="190" t="s">
        <v>100</v>
      </c>
      <c r="BK287" s="196">
        <v>36.97</v>
      </c>
      <c r="BL287" s="190" t="s">
        <v>413</v>
      </c>
      <c r="BM287" s="189">
        <v>0.2</v>
      </c>
      <c r="BN287" s="189">
        <v>0.5</v>
      </c>
      <c r="BO287" s="188" t="s">
        <v>462</v>
      </c>
      <c r="BP287" s="178"/>
      <c r="BQ287" s="196"/>
      <c r="BR287" s="190"/>
      <c r="BS287" s="178"/>
      <c r="BT287" s="178"/>
      <c r="BU287" s="178"/>
      <c r="BV287" s="180"/>
      <c r="BW287" s="178"/>
      <c r="BX287" s="178"/>
      <c r="BY287" s="180"/>
      <c r="BZ287" s="180"/>
      <c r="CA287" s="180"/>
      <c r="CB287" s="102"/>
      <c r="CC287" s="102"/>
      <c r="CD287" s="102"/>
      <c r="CE287" s="102"/>
      <c r="CF287" s="102"/>
      <c r="CG287" s="102"/>
      <c r="CH287" s="102"/>
      <c r="CI287" s="102"/>
      <c r="CJ287" s="102"/>
      <c r="CK287" s="102"/>
      <c r="CL287" s="102"/>
      <c r="CM287" s="102"/>
      <c r="CO287" s="218">
        <f t="shared" si="110"/>
        <v>0.2</v>
      </c>
      <c r="CP287" s="100">
        <f t="shared" si="111"/>
        <v>0.35</v>
      </c>
      <c r="CQ287" s="218">
        <f t="shared" si="112"/>
        <v>0.5</v>
      </c>
      <c r="DC287" s="116"/>
      <c r="DD287" s="141"/>
      <c r="DE287" s="116"/>
      <c r="DF287" s="116"/>
      <c r="DG287" s="116"/>
      <c r="DH287" s="116"/>
      <c r="DI287" s="116"/>
    </row>
    <row r="288" spans="1:113" s="101" customFormat="1" ht="15" hidden="1" customHeight="1" x14ac:dyDescent="0.25">
      <c r="A288" s="99"/>
      <c r="V288" s="103"/>
      <c r="AA288" s="104"/>
      <c r="AB288" s="104"/>
      <c r="AD288" s="104"/>
      <c r="AE288" s="105"/>
      <c r="AH288" s="106"/>
      <c r="AI288" s="106"/>
      <c r="AK288" s="104"/>
      <c r="AR288" s="104"/>
      <c r="AV288" s="104"/>
      <c r="AX288" s="104"/>
      <c r="BB288" s="104"/>
      <c r="BC288" s="104"/>
      <c r="BE288" s="104"/>
      <c r="BH288" s="120"/>
      <c r="BI288" s="203" t="s">
        <v>57</v>
      </c>
      <c r="BJ288" s="190" t="s">
        <v>100</v>
      </c>
      <c r="BK288" s="196">
        <v>63</v>
      </c>
      <c r="BL288" s="190" t="s">
        <v>413</v>
      </c>
      <c r="BM288" s="189">
        <v>0.3</v>
      </c>
      <c r="BN288" s="189">
        <v>0.5</v>
      </c>
      <c r="BO288" s="188" t="s">
        <v>258</v>
      </c>
      <c r="BP288" s="178"/>
      <c r="BQ288" s="196"/>
      <c r="BR288" s="190"/>
      <c r="BS288" s="178"/>
      <c r="BT288" s="178"/>
      <c r="BU288" s="178"/>
      <c r="BV288" s="180"/>
      <c r="BW288" s="178"/>
      <c r="BX288" s="178"/>
      <c r="BY288" s="180"/>
      <c r="BZ288" s="180"/>
      <c r="CA288" s="180"/>
      <c r="CB288" s="102"/>
      <c r="CC288" s="102"/>
      <c r="CD288" s="102"/>
      <c r="CE288" s="102"/>
      <c r="CF288" s="102"/>
      <c r="CG288" s="102"/>
      <c r="CH288" s="102"/>
      <c r="CI288" s="102"/>
      <c r="CJ288" s="102"/>
      <c r="CK288" s="102"/>
      <c r="CL288" s="102"/>
      <c r="CM288" s="102"/>
      <c r="CO288" s="218">
        <f t="shared" si="110"/>
        <v>0.3</v>
      </c>
      <c r="CP288" s="100">
        <f t="shared" si="111"/>
        <v>0.4</v>
      </c>
      <c r="CQ288" s="218">
        <f t="shared" si="112"/>
        <v>0.5</v>
      </c>
      <c r="DC288" s="116"/>
      <c r="DD288" s="141"/>
      <c r="DE288" s="116"/>
      <c r="DF288" s="116"/>
      <c r="DG288" s="116"/>
      <c r="DH288" s="116"/>
      <c r="DI288" s="116"/>
    </row>
    <row r="289" spans="1:119" s="101" customFormat="1" ht="15" hidden="1" customHeight="1" x14ac:dyDescent="0.25">
      <c r="A289" s="99"/>
      <c r="V289" s="103"/>
      <c r="AA289" s="104"/>
      <c r="AB289" s="104"/>
      <c r="AD289" s="104"/>
      <c r="AE289" s="105"/>
      <c r="AH289" s="106"/>
      <c r="AI289" s="106"/>
      <c r="AK289" s="104"/>
      <c r="AR289" s="104"/>
      <c r="AV289" s="104"/>
      <c r="AX289" s="104"/>
      <c r="BB289" s="104"/>
      <c r="BC289" s="104"/>
      <c r="BE289" s="104"/>
      <c r="BH289" s="120"/>
      <c r="BI289" s="203" t="s">
        <v>59</v>
      </c>
      <c r="BJ289" s="190" t="s">
        <v>100</v>
      </c>
      <c r="BK289" s="196">
        <v>56</v>
      </c>
      <c r="BL289" s="190" t="s">
        <v>413</v>
      </c>
      <c r="BM289" s="189">
        <v>0.3</v>
      </c>
      <c r="BN289" s="189">
        <v>0.5</v>
      </c>
      <c r="BO289" s="188" t="s">
        <v>258</v>
      </c>
      <c r="BP289" s="178"/>
      <c r="BQ289" s="196">
        <v>1225</v>
      </c>
      <c r="BR289" s="190" t="s">
        <v>414</v>
      </c>
      <c r="BS289" s="178"/>
      <c r="BT289" s="178"/>
      <c r="BU289" s="178"/>
      <c r="BV289" s="180"/>
      <c r="BW289" s="178"/>
      <c r="BX289" s="178"/>
      <c r="BY289" s="180"/>
      <c r="BZ289" s="180"/>
      <c r="CA289" s="180"/>
      <c r="CB289" s="102"/>
      <c r="CC289" s="102"/>
      <c r="CD289" s="102"/>
      <c r="CE289" s="102"/>
      <c r="CF289" s="102"/>
      <c r="CG289" s="102"/>
      <c r="CH289" s="102"/>
      <c r="CI289" s="102"/>
      <c r="CJ289" s="102"/>
      <c r="CK289" s="102"/>
      <c r="CL289" s="102"/>
      <c r="CM289" s="102"/>
      <c r="CO289" s="218">
        <f t="shared" si="110"/>
        <v>0.3</v>
      </c>
      <c r="CP289" s="100">
        <f t="shared" si="111"/>
        <v>0.4</v>
      </c>
      <c r="CQ289" s="218">
        <f t="shared" si="112"/>
        <v>0.5</v>
      </c>
      <c r="CR289" s="101">
        <v>0.2</v>
      </c>
      <c r="CS289" s="101">
        <v>0.5</v>
      </c>
      <c r="DA289" s="101" t="s">
        <v>59</v>
      </c>
      <c r="DB289" s="101" t="s">
        <v>100</v>
      </c>
      <c r="DC289" s="116">
        <v>49</v>
      </c>
      <c r="DD289" s="141">
        <f t="shared" ref="DD289:DD297" si="123">+DC289*21</f>
        <v>1029</v>
      </c>
      <c r="DE289" s="116" t="s">
        <v>375</v>
      </c>
      <c r="DF289" s="116">
        <f t="shared" si="122"/>
        <v>1225</v>
      </c>
      <c r="DG289" s="116"/>
      <c r="DH289" s="116"/>
      <c r="DI289" s="116"/>
    </row>
    <row r="290" spans="1:119" s="101" customFormat="1" ht="15" hidden="1" customHeight="1" x14ac:dyDescent="0.25">
      <c r="A290" s="99"/>
      <c r="V290" s="103"/>
      <c r="AA290" s="104"/>
      <c r="AB290" s="104"/>
      <c r="AD290" s="104"/>
      <c r="AE290" s="105"/>
      <c r="AH290" s="106"/>
      <c r="AI290" s="106"/>
      <c r="AK290" s="104"/>
      <c r="AR290" s="104"/>
      <c r="AV290" s="104"/>
      <c r="AX290" s="104"/>
      <c r="BB290" s="104"/>
      <c r="BC290" s="104"/>
      <c r="BE290" s="104"/>
      <c r="BH290" s="120"/>
      <c r="BI290" s="203" t="s">
        <v>56</v>
      </c>
      <c r="BJ290" s="190" t="s">
        <v>100</v>
      </c>
      <c r="BK290" s="196">
        <v>55</v>
      </c>
      <c r="BL290" s="190" t="s">
        <v>413</v>
      </c>
      <c r="BM290" s="189">
        <v>0.3</v>
      </c>
      <c r="BN290" s="189">
        <v>0.5</v>
      </c>
      <c r="BO290" s="188" t="s">
        <v>258</v>
      </c>
      <c r="BP290" s="178"/>
      <c r="BQ290" s="196">
        <v>1375</v>
      </c>
      <c r="BR290" s="190" t="s">
        <v>414</v>
      </c>
      <c r="BS290" s="178"/>
      <c r="BT290" s="178"/>
      <c r="BU290" s="178"/>
      <c r="BV290" s="180"/>
      <c r="BW290" s="178"/>
      <c r="BX290" s="178"/>
      <c r="BY290" s="180"/>
      <c r="BZ290" s="180"/>
      <c r="CA290" s="180"/>
      <c r="CB290" s="102"/>
      <c r="CC290" s="102"/>
      <c r="CD290" s="102"/>
      <c r="CE290" s="102"/>
      <c r="CF290" s="102"/>
      <c r="CG290" s="102"/>
      <c r="CH290" s="102"/>
      <c r="CI290" s="102"/>
      <c r="CJ290" s="102"/>
      <c r="CK290" s="102"/>
      <c r="CL290" s="102"/>
      <c r="CM290" s="102"/>
      <c r="CO290" s="218">
        <f t="shared" si="110"/>
        <v>0.3</v>
      </c>
      <c r="CP290" s="100">
        <f t="shared" si="111"/>
        <v>0.4</v>
      </c>
      <c r="CQ290" s="218">
        <f t="shared" si="112"/>
        <v>0.5</v>
      </c>
      <c r="CR290" s="101">
        <v>0.2</v>
      </c>
      <c r="CS290" s="101">
        <v>0.5</v>
      </c>
      <c r="DA290" s="101" t="s">
        <v>56</v>
      </c>
      <c r="DB290" s="101" t="s">
        <v>100</v>
      </c>
      <c r="DC290" s="116">
        <v>55</v>
      </c>
      <c r="DD290" s="141">
        <f t="shared" si="123"/>
        <v>1155</v>
      </c>
      <c r="DE290" s="116" t="s">
        <v>375</v>
      </c>
      <c r="DF290" s="116">
        <f t="shared" si="122"/>
        <v>1375</v>
      </c>
      <c r="DG290" s="116"/>
      <c r="DH290" s="116"/>
      <c r="DI290" s="116"/>
    </row>
    <row r="291" spans="1:119" s="101" customFormat="1" ht="15" hidden="1" customHeight="1" x14ac:dyDescent="0.25">
      <c r="A291" s="99"/>
      <c r="V291" s="103"/>
      <c r="AA291" s="104"/>
      <c r="AB291" s="104"/>
      <c r="AD291" s="104"/>
      <c r="AE291" s="105"/>
      <c r="AH291" s="106"/>
      <c r="AI291" s="106"/>
      <c r="AK291" s="104"/>
      <c r="AR291" s="104"/>
      <c r="AV291" s="104"/>
      <c r="AX291" s="104"/>
      <c r="BB291" s="104"/>
      <c r="BC291" s="104"/>
      <c r="BE291" s="104"/>
      <c r="BH291" s="120"/>
      <c r="BI291" s="203" t="s">
        <v>101</v>
      </c>
      <c r="BJ291" s="190" t="s">
        <v>100</v>
      </c>
      <c r="BK291" s="196">
        <v>5</v>
      </c>
      <c r="BL291" s="190" t="s">
        <v>413</v>
      </c>
      <c r="BM291" s="189">
        <v>0.3</v>
      </c>
      <c r="BN291" s="189">
        <v>0.5</v>
      </c>
      <c r="BO291" s="188" t="s">
        <v>258</v>
      </c>
      <c r="BP291" s="178"/>
      <c r="BQ291" s="196">
        <v>125</v>
      </c>
      <c r="BR291" s="190" t="s">
        <v>414</v>
      </c>
      <c r="BS291" s="178"/>
      <c r="BT291" s="178"/>
      <c r="BU291" s="178"/>
      <c r="BV291" s="180"/>
      <c r="BW291" s="178"/>
      <c r="BX291" s="178"/>
      <c r="BY291" s="180"/>
      <c r="BZ291" s="180"/>
      <c r="CA291" s="180"/>
      <c r="CB291" s="102"/>
      <c r="CC291" s="102"/>
      <c r="CD291" s="102"/>
      <c r="CE291" s="102"/>
      <c r="CF291" s="102"/>
      <c r="CG291" s="102"/>
      <c r="CH291" s="102"/>
      <c r="CI291" s="102"/>
      <c r="CJ291" s="102"/>
      <c r="CK291" s="102"/>
      <c r="CL291" s="102"/>
      <c r="CM291" s="102"/>
      <c r="CO291" s="218">
        <f t="shared" si="110"/>
        <v>0.3</v>
      </c>
      <c r="CP291" s="100">
        <f t="shared" si="111"/>
        <v>0.4</v>
      </c>
      <c r="CQ291" s="218">
        <f t="shared" si="112"/>
        <v>0.5</v>
      </c>
      <c r="CR291" s="101">
        <v>0.2</v>
      </c>
      <c r="CS291" s="101">
        <v>0.5</v>
      </c>
      <c r="DA291" s="101" t="s">
        <v>101</v>
      </c>
      <c r="DB291" s="101" t="s">
        <v>100</v>
      </c>
      <c r="DC291" s="116">
        <v>5</v>
      </c>
      <c r="DD291" s="141">
        <f t="shared" si="123"/>
        <v>105</v>
      </c>
      <c r="DE291" s="116" t="s">
        <v>375</v>
      </c>
      <c r="DF291" s="116">
        <f t="shared" si="122"/>
        <v>125</v>
      </c>
      <c r="DG291" s="116"/>
      <c r="DH291" s="116"/>
      <c r="DI291" s="116"/>
    </row>
    <row r="292" spans="1:119" s="101" customFormat="1" ht="15" hidden="1" customHeight="1" x14ac:dyDescent="0.25">
      <c r="A292" s="99"/>
      <c r="V292" s="103"/>
      <c r="AA292" s="104"/>
      <c r="AB292" s="104"/>
      <c r="AD292" s="104"/>
      <c r="AE292" s="105"/>
      <c r="AH292" s="106"/>
      <c r="AI292" s="106"/>
      <c r="AK292" s="104"/>
      <c r="AR292" s="104"/>
      <c r="AV292" s="104"/>
      <c r="AX292" s="104"/>
      <c r="BB292" s="104"/>
      <c r="BC292" s="104"/>
      <c r="BE292" s="104"/>
      <c r="BH292" s="120"/>
      <c r="BI292" s="203" t="s">
        <v>55</v>
      </c>
      <c r="BJ292" s="190" t="s">
        <v>100</v>
      </c>
      <c r="BK292" s="196">
        <v>5</v>
      </c>
      <c r="BL292" s="190" t="s">
        <v>413</v>
      </c>
      <c r="BM292" s="189">
        <v>0.3</v>
      </c>
      <c r="BN292" s="189">
        <v>0.5</v>
      </c>
      <c r="BO292" s="188" t="s">
        <v>258</v>
      </c>
      <c r="BP292" s="178"/>
      <c r="BQ292" s="196">
        <v>125</v>
      </c>
      <c r="BR292" s="190" t="s">
        <v>414</v>
      </c>
      <c r="BS292" s="178"/>
      <c r="BT292" s="178"/>
      <c r="BU292" s="178"/>
      <c r="BV292" s="180"/>
      <c r="BW292" s="178"/>
      <c r="BX292" s="178"/>
      <c r="BY292" s="180"/>
      <c r="BZ292" s="180"/>
      <c r="CA292" s="180"/>
      <c r="CB292" s="102"/>
      <c r="CC292" s="102"/>
      <c r="CD292" s="102"/>
      <c r="CE292" s="102"/>
      <c r="CF292" s="102"/>
      <c r="CG292" s="102"/>
      <c r="CH292" s="102"/>
      <c r="CI292" s="102"/>
      <c r="CJ292" s="102"/>
      <c r="CK292" s="102"/>
      <c r="CL292" s="102"/>
      <c r="CM292" s="102"/>
      <c r="CO292" s="218">
        <f t="shared" si="110"/>
        <v>0.3</v>
      </c>
      <c r="CP292" s="100">
        <f t="shared" si="111"/>
        <v>0.4</v>
      </c>
      <c r="CQ292" s="218">
        <f t="shared" si="112"/>
        <v>0.5</v>
      </c>
      <c r="CR292" s="101">
        <v>0.2</v>
      </c>
      <c r="CS292" s="101">
        <v>0.5</v>
      </c>
      <c r="DA292" s="101" t="s">
        <v>55</v>
      </c>
      <c r="DB292" s="101" t="s">
        <v>100</v>
      </c>
      <c r="DC292" s="116">
        <v>5</v>
      </c>
      <c r="DD292" s="141">
        <f t="shared" si="123"/>
        <v>105</v>
      </c>
      <c r="DE292" s="116" t="s">
        <v>375</v>
      </c>
      <c r="DF292" s="116">
        <f t="shared" si="122"/>
        <v>125</v>
      </c>
      <c r="DG292" s="116"/>
      <c r="DH292" s="116"/>
      <c r="DI292" s="116"/>
    </row>
    <row r="293" spans="1:119" s="101" customFormat="1" ht="15" hidden="1" customHeight="1" x14ac:dyDescent="0.25">
      <c r="A293" s="99"/>
      <c r="V293" s="103"/>
      <c r="AA293" s="104"/>
      <c r="AB293" s="104"/>
      <c r="AD293" s="104"/>
      <c r="AE293" s="105"/>
      <c r="AH293" s="106"/>
      <c r="AI293" s="106"/>
      <c r="AK293" s="104"/>
      <c r="AR293" s="104"/>
      <c r="AV293" s="104"/>
      <c r="AX293" s="104"/>
      <c r="BB293" s="104"/>
      <c r="BC293" s="104"/>
      <c r="BE293" s="104"/>
      <c r="BH293" s="120"/>
      <c r="BI293" s="203" t="s">
        <v>60</v>
      </c>
      <c r="BJ293" s="190" t="s">
        <v>100</v>
      </c>
      <c r="BK293" s="196">
        <v>18</v>
      </c>
      <c r="BL293" s="190" t="s">
        <v>413</v>
      </c>
      <c r="BM293" s="189">
        <v>0.3</v>
      </c>
      <c r="BN293" s="189">
        <v>0.5</v>
      </c>
      <c r="BO293" s="188" t="s">
        <v>258</v>
      </c>
      <c r="BP293" s="178"/>
      <c r="BQ293" s="196">
        <v>450</v>
      </c>
      <c r="BR293" s="190" t="s">
        <v>414</v>
      </c>
      <c r="BS293" s="178"/>
      <c r="BT293" s="178"/>
      <c r="BU293" s="178"/>
      <c r="BV293" s="180"/>
      <c r="BW293" s="178"/>
      <c r="BX293" s="178"/>
      <c r="BY293" s="180"/>
      <c r="BZ293" s="180"/>
      <c r="CA293" s="180"/>
      <c r="CB293" s="102"/>
      <c r="CC293" s="102"/>
      <c r="CD293" s="102"/>
      <c r="CE293" s="102"/>
      <c r="CF293" s="102"/>
      <c r="CG293" s="102"/>
      <c r="CH293" s="102"/>
      <c r="CI293" s="102"/>
      <c r="CJ293" s="102"/>
      <c r="CK293" s="102"/>
      <c r="CL293" s="102"/>
      <c r="CM293" s="102"/>
      <c r="CO293" s="218">
        <f t="shared" si="110"/>
        <v>0.3</v>
      </c>
      <c r="CP293" s="100">
        <f t="shared" si="111"/>
        <v>0.4</v>
      </c>
      <c r="CQ293" s="218">
        <f t="shared" si="112"/>
        <v>0.5</v>
      </c>
      <c r="CR293" s="101">
        <v>0.2</v>
      </c>
      <c r="CS293" s="101">
        <v>0.5</v>
      </c>
      <c r="DA293" s="101" t="s">
        <v>60</v>
      </c>
      <c r="DB293" s="101" t="s">
        <v>100</v>
      </c>
      <c r="DC293" s="116">
        <v>18</v>
      </c>
      <c r="DD293" s="141">
        <f t="shared" si="123"/>
        <v>378</v>
      </c>
      <c r="DE293" s="116" t="s">
        <v>375</v>
      </c>
      <c r="DF293" s="116">
        <f t="shared" si="122"/>
        <v>450</v>
      </c>
      <c r="DG293" s="116"/>
      <c r="DH293" s="116"/>
      <c r="DI293" s="116"/>
    </row>
    <row r="294" spans="1:119" s="101" customFormat="1" ht="15" hidden="1" customHeight="1" x14ac:dyDescent="0.25">
      <c r="A294" s="99"/>
      <c r="V294" s="103"/>
      <c r="AA294" s="104"/>
      <c r="AB294" s="104"/>
      <c r="AD294" s="104"/>
      <c r="AE294" s="105"/>
      <c r="AH294" s="106"/>
      <c r="AI294" s="106"/>
      <c r="AK294" s="104"/>
      <c r="AR294" s="104"/>
      <c r="AV294" s="104"/>
      <c r="AX294" s="104"/>
      <c r="BB294" s="104"/>
      <c r="BC294" s="104"/>
      <c r="BE294" s="104"/>
      <c r="BH294" s="120"/>
      <c r="BI294" s="203" t="s">
        <v>61</v>
      </c>
      <c r="BJ294" s="190" t="s">
        <v>100</v>
      </c>
      <c r="BK294" s="196">
        <f>BQ294/25</f>
        <v>10</v>
      </c>
      <c r="BL294" s="190" t="s">
        <v>413</v>
      </c>
      <c r="BM294" s="189">
        <v>0.3</v>
      </c>
      <c r="BN294" s="189">
        <v>0.5</v>
      </c>
      <c r="BO294" s="188" t="s">
        <v>258</v>
      </c>
      <c r="BP294" s="178"/>
      <c r="BQ294" s="196">
        <v>250</v>
      </c>
      <c r="BR294" s="190" t="s">
        <v>414</v>
      </c>
      <c r="BS294" s="178"/>
      <c r="BT294" s="178"/>
      <c r="BU294" s="178"/>
      <c r="BV294" s="180"/>
      <c r="BW294" s="178"/>
      <c r="BX294" s="178"/>
      <c r="BY294" s="180"/>
      <c r="BZ294" s="180"/>
      <c r="CA294" s="180"/>
      <c r="CB294" s="102"/>
      <c r="CC294" s="102"/>
      <c r="CD294" s="102"/>
      <c r="CE294" s="102"/>
      <c r="CF294" s="102"/>
      <c r="CG294" s="102"/>
      <c r="CH294" s="102"/>
      <c r="CI294" s="102"/>
      <c r="CJ294" s="102"/>
      <c r="CK294" s="102"/>
      <c r="CL294" s="102"/>
      <c r="CM294" s="102"/>
      <c r="CO294" s="218">
        <f t="shared" si="110"/>
        <v>0.3</v>
      </c>
      <c r="CP294" s="100">
        <f t="shared" si="111"/>
        <v>0.4</v>
      </c>
      <c r="CQ294" s="218">
        <f t="shared" si="112"/>
        <v>0.5</v>
      </c>
      <c r="CR294" s="101">
        <v>0.2</v>
      </c>
      <c r="CS294" s="101">
        <v>0.5</v>
      </c>
      <c r="DA294" s="101" t="s">
        <v>61</v>
      </c>
      <c r="DB294" s="101" t="s">
        <v>100</v>
      </c>
      <c r="DC294" s="116">
        <v>10</v>
      </c>
      <c r="DD294" s="141">
        <f t="shared" si="123"/>
        <v>210</v>
      </c>
      <c r="DE294" s="116" t="s">
        <v>375</v>
      </c>
      <c r="DF294" s="116">
        <f t="shared" si="122"/>
        <v>250</v>
      </c>
      <c r="DG294" s="116"/>
      <c r="DH294" s="116"/>
      <c r="DI294" s="116"/>
    </row>
    <row r="295" spans="1:119" s="101" customFormat="1" ht="15" hidden="1" customHeight="1" x14ac:dyDescent="0.25">
      <c r="A295" s="99"/>
      <c r="V295" s="103"/>
      <c r="AA295" s="104"/>
      <c r="AB295" s="104"/>
      <c r="AD295" s="104"/>
      <c r="AE295" s="105"/>
      <c r="AH295" s="106"/>
      <c r="AI295" s="106"/>
      <c r="AK295" s="104"/>
      <c r="AR295" s="104"/>
      <c r="AV295" s="104"/>
      <c r="AX295" s="104"/>
      <c r="BB295" s="104"/>
      <c r="BC295" s="104"/>
      <c r="BE295" s="104"/>
      <c r="BH295" s="120"/>
      <c r="BI295" s="203" t="s">
        <v>102</v>
      </c>
      <c r="BJ295" s="190" t="s">
        <v>100</v>
      </c>
      <c r="BK295" s="196">
        <f>BQ295/25</f>
        <v>1</v>
      </c>
      <c r="BL295" s="190" t="s">
        <v>413</v>
      </c>
      <c r="BM295" s="189">
        <v>0.3</v>
      </c>
      <c r="BN295" s="189">
        <v>0.5</v>
      </c>
      <c r="BO295" s="188" t="s">
        <v>258</v>
      </c>
      <c r="BP295" s="178"/>
      <c r="BQ295" s="196">
        <v>25</v>
      </c>
      <c r="BR295" s="190" t="s">
        <v>414</v>
      </c>
      <c r="BS295" s="178"/>
      <c r="BT295" s="178"/>
      <c r="BU295" s="178"/>
      <c r="BV295" s="180"/>
      <c r="BW295" s="178"/>
      <c r="BX295" s="178"/>
      <c r="BY295" s="180"/>
      <c r="BZ295" s="180"/>
      <c r="CA295" s="180"/>
      <c r="CB295" s="102"/>
      <c r="CC295" s="102"/>
      <c r="CD295" s="102"/>
      <c r="CE295" s="102"/>
      <c r="CF295" s="102"/>
      <c r="CG295" s="102"/>
      <c r="CH295" s="102"/>
      <c r="CI295" s="102"/>
      <c r="CJ295" s="102"/>
      <c r="CK295" s="102"/>
      <c r="CL295" s="102"/>
      <c r="CM295" s="102"/>
      <c r="CO295" s="218">
        <f t="shared" si="110"/>
        <v>0.3</v>
      </c>
      <c r="CP295" s="100">
        <f t="shared" si="111"/>
        <v>0.4</v>
      </c>
      <c r="CQ295" s="218">
        <f t="shared" si="112"/>
        <v>0.5</v>
      </c>
      <c r="DC295" s="116"/>
      <c r="DD295" s="141"/>
      <c r="DE295" s="116"/>
      <c r="DF295" s="116"/>
      <c r="DG295" s="116"/>
      <c r="DH295" s="116"/>
      <c r="DI295" s="116"/>
    </row>
    <row r="296" spans="1:119" s="101" customFormat="1" ht="15" hidden="1" customHeight="1" x14ac:dyDescent="0.25">
      <c r="A296" s="99"/>
      <c r="V296" s="103"/>
      <c r="AA296" s="104"/>
      <c r="AB296" s="104"/>
      <c r="AD296" s="104"/>
      <c r="AE296" s="105"/>
      <c r="AH296" s="106"/>
      <c r="AI296" s="106"/>
      <c r="AK296" s="104"/>
      <c r="AR296" s="104"/>
      <c r="AV296" s="104"/>
      <c r="AX296" s="104"/>
      <c r="BB296" s="104"/>
      <c r="BC296" s="104"/>
      <c r="BE296" s="104"/>
      <c r="BH296" s="120"/>
      <c r="BI296" s="203" t="s">
        <v>467</v>
      </c>
      <c r="BJ296" s="190" t="s">
        <v>100</v>
      </c>
      <c r="BK296" s="196">
        <v>5.4199999999999998E-2</v>
      </c>
      <c r="BL296" s="190" t="s">
        <v>413</v>
      </c>
      <c r="BM296" s="189">
        <v>0.3</v>
      </c>
      <c r="BN296" s="189">
        <v>0.5</v>
      </c>
      <c r="BO296" s="188" t="s">
        <v>258</v>
      </c>
      <c r="BP296" s="178"/>
      <c r="BQ296" s="196">
        <f>BK296*25</f>
        <v>1.355</v>
      </c>
      <c r="BR296" s="190" t="s">
        <v>414</v>
      </c>
      <c r="BS296" s="178"/>
      <c r="BT296" s="178"/>
      <c r="BU296" s="178"/>
      <c r="BV296" s="180"/>
      <c r="BW296" s="178"/>
      <c r="BX296" s="178"/>
      <c r="BY296" s="180"/>
      <c r="BZ296" s="180"/>
      <c r="CA296" s="180"/>
      <c r="CB296" s="102"/>
      <c r="CC296" s="102"/>
      <c r="CD296" s="102"/>
      <c r="CE296" s="102"/>
      <c r="CF296" s="102"/>
      <c r="CG296" s="102"/>
      <c r="CH296" s="102"/>
      <c r="CI296" s="102"/>
      <c r="CJ296" s="102"/>
      <c r="CK296" s="102"/>
      <c r="CL296" s="102"/>
      <c r="CM296" s="102"/>
      <c r="CO296" s="218">
        <f t="shared" si="110"/>
        <v>0.3</v>
      </c>
      <c r="CP296" s="100">
        <f t="shared" si="111"/>
        <v>0.4</v>
      </c>
      <c r="CQ296" s="218">
        <f t="shared" si="112"/>
        <v>0.5</v>
      </c>
      <c r="DC296" s="116"/>
      <c r="DD296" s="141"/>
      <c r="DE296" s="116"/>
      <c r="DF296" s="116"/>
      <c r="DG296" s="116"/>
      <c r="DH296" s="116"/>
      <c r="DI296" s="116"/>
    </row>
    <row r="297" spans="1:119" s="101" customFormat="1" ht="15" hidden="1" customHeight="1" x14ac:dyDescent="0.25">
      <c r="A297" s="99"/>
      <c r="V297" s="103"/>
      <c r="AA297" s="104"/>
      <c r="AB297" s="104"/>
      <c r="AD297" s="104"/>
      <c r="AE297" s="105"/>
      <c r="AH297" s="106"/>
      <c r="AI297" s="106"/>
      <c r="AK297" s="104"/>
      <c r="AR297" s="104"/>
      <c r="AV297" s="104"/>
      <c r="AX297" s="104"/>
      <c r="BB297" s="104"/>
      <c r="BC297" s="104"/>
      <c r="BE297" s="104"/>
      <c r="BH297" s="120"/>
      <c r="BI297" s="203" t="s">
        <v>468</v>
      </c>
      <c r="BJ297" s="190" t="s">
        <v>100</v>
      </c>
      <c r="BK297" s="196">
        <v>9.522E-5</v>
      </c>
      <c r="BL297" s="190" t="s">
        <v>413</v>
      </c>
      <c r="BM297" s="189">
        <v>0.3</v>
      </c>
      <c r="BN297" s="189">
        <v>0.5</v>
      </c>
      <c r="BO297" s="188" t="s">
        <v>469</v>
      </c>
      <c r="BP297" s="178"/>
      <c r="BQ297" s="196">
        <f>BK297*25</f>
        <v>2.3804999999999998E-3</v>
      </c>
      <c r="BR297" s="190" t="s">
        <v>414</v>
      </c>
      <c r="BS297" s="178"/>
      <c r="BT297" s="178"/>
      <c r="BU297" s="178"/>
      <c r="BV297" s="178"/>
      <c r="BW297" s="178"/>
      <c r="BX297" s="178"/>
      <c r="BY297" s="178"/>
      <c r="BZ297" s="178"/>
      <c r="CA297" s="178"/>
      <c r="CB297" s="180"/>
      <c r="CC297" s="178"/>
      <c r="CD297" s="178"/>
      <c r="CE297" s="180"/>
      <c r="CF297" s="180"/>
      <c r="CG297" s="180"/>
      <c r="CH297" s="180"/>
      <c r="CI297" s="178"/>
      <c r="CJ297" s="178"/>
      <c r="CK297" s="180"/>
      <c r="CL297" s="180"/>
      <c r="CM297" s="180"/>
      <c r="CN297" s="116"/>
      <c r="CO297" s="218">
        <f t="shared" si="110"/>
        <v>0.3</v>
      </c>
      <c r="CP297" s="100">
        <f t="shared" si="111"/>
        <v>0.4</v>
      </c>
      <c r="CQ297" s="218">
        <f t="shared" si="112"/>
        <v>0.5</v>
      </c>
      <c r="CR297" s="101">
        <v>0.2</v>
      </c>
      <c r="CS297" s="101">
        <v>0.5</v>
      </c>
      <c r="DA297" s="101" t="s">
        <v>102</v>
      </c>
      <c r="DB297" s="101" t="s">
        <v>100</v>
      </c>
      <c r="DC297" s="116">
        <v>1</v>
      </c>
      <c r="DD297" s="141">
        <f t="shared" si="123"/>
        <v>21</v>
      </c>
      <c r="DE297" s="116" t="s">
        <v>375</v>
      </c>
      <c r="DF297" s="116">
        <f t="shared" si="122"/>
        <v>25</v>
      </c>
      <c r="DG297" s="116"/>
      <c r="DH297" s="116"/>
      <c r="DI297" s="116"/>
    </row>
    <row r="298" spans="1:119" s="101" customFormat="1" hidden="1" x14ac:dyDescent="0.25">
      <c r="A298" s="99"/>
      <c r="V298" s="103"/>
      <c r="AA298" s="104"/>
      <c r="AB298" s="104"/>
      <c r="AD298" s="104"/>
      <c r="AE298" s="105"/>
      <c r="AH298" s="106"/>
      <c r="AI298" s="106"/>
      <c r="AK298" s="104"/>
      <c r="AR298" s="104"/>
      <c r="AV298" s="104"/>
      <c r="AX298" s="104"/>
      <c r="BB298" s="104"/>
      <c r="BC298" s="104"/>
      <c r="BE298" s="104"/>
      <c r="BH298" s="99"/>
      <c r="BI298" s="102"/>
      <c r="BJ298" s="178"/>
      <c r="BK298" s="178"/>
      <c r="BL298" s="178"/>
      <c r="BM298" s="169"/>
      <c r="BN298" s="169"/>
      <c r="BO298" s="169"/>
      <c r="BP298" s="178"/>
      <c r="BQ298" s="178"/>
      <c r="BR298" s="178"/>
      <c r="BS298" s="178"/>
      <c r="BT298" s="178"/>
      <c r="BU298" s="178"/>
      <c r="BV298" s="178"/>
      <c r="BW298" s="178"/>
      <c r="BX298" s="178"/>
      <c r="BY298" s="178"/>
      <c r="BZ298" s="178"/>
      <c r="CA298" s="178"/>
      <c r="CB298" s="180"/>
      <c r="CC298" s="178"/>
      <c r="CD298" s="178"/>
      <c r="CE298" s="180"/>
      <c r="CF298" s="180"/>
      <c r="CG298" s="180"/>
      <c r="CH298" s="180"/>
      <c r="CI298" s="178"/>
      <c r="CJ298" s="178"/>
      <c r="CK298" s="180"/>
      <c r="CL298" s="180"/>
      <c r="CM298" s="180"/>
      <c r="CN298" s="116"/>
      <c r="CO298" s="218">
        <f t="shared" si="110"/>
        <v>0</v>
      </c>
      <c r="CP298" s="100">
        <f t="shared" si="111"/>
        <v>0</v>
      </c>
      <c r="CQ298" s="218">
        <f t="shared" si="112"/>
        <v>0</v>
      </c>
      <c r="DA298" s="101">
        <v>0</v>
      </c>
      <c r="DB298" s="101">
        <v>0</v>
      </c>
      <c r="DC298" s="116">
        <v>0</v>
      </c>
      <c r="DD298" s="101">
        <v>0</v>
      </c>
      <c r="DF298" s="116">
        <f>+DC323*25</f>
        <v>1050</v>
      </c>
      <c r="DG298" s="116"/>
      <c r="DH298" s="116"/>
      <c r="DI298" s="116"/>
    </row>
    <row r="299" spans="1:119" s="101" customFormat="1" ht="15.75" hidden="1" customHeight="1" x14ac:dyDescent="0.25">
      <c r="A299" s="99"/>
      <c r="V299" s="103"/>
      <c r="AA299" s="104"/>
      <c r="AB299" s="104"/>
      <c r="AD299" s="104"/>
      <c r="AE299" s="105"/>
      <c r="AH299" s="106"/>
      <c r="AI299" s="106"/>
      <c r="AK299" s="104"/>
      <c r="AR299" s="104"/>
      <c r="AV299" s="104"/>
      <c r="AX299" s="104"/>
      <c r="BB299" s="104"/>
      <c r="BC299" s="104"/>
      <c r="BE299" s="104"/>
      <c r="BH299" s="99"/>
      <c r="BI299" s="102"/>
      <c r="BJ299" s="178"/>
      <c r="BK299" s="178"/>
      <c r="BL299" s="178"/>
      <c r="BM299" s="169"/>
      <c r="BN299" s="169"/>
      <c r="BO299" s="169"/>
      <c r="BP299" s="178"/>
      <c r="BQ299" s="178"/>
      <c r="BR299" s="178"/>
      <c r="BS299" s="178"/>
      <c r="BT299" s="178"/>
      <c r="BU299" s="178"/>
      <c r="BV299" s="178"/>
      <c r="BW299" s="178"/>
      <c r="BX299" s="178"/>
      <c r="BY299" s="178"/>
      <c r="BZ299" s="178"/>
      <c r="CA299" s="178"/>
      <c r="CB299" s="180"/>
      <c r="CC299" s="178"/>
      <c r="CD299" s="178"/>
      <c r="CE299" s="180"/>
      <c r="CF299" s="180"/>
      <c r="CG299" s="180"/>
      <c r="CH299" s="180"/>
      <c r="CI299" s="178"/>
      <c r="CJ299" s="178"/>
      <c r="CK299" s="180"/>
      <c r="CL299" s="180"/>
      <c r="CM299" s="180"/>
      <c r="CN299" s="116"/>
      <c r="CO299" s="218">
        <f t="shared" si="110"/>
        <v>0</v>
      </c>
      <c r="CP299" s="100">
        <f t="shared" si="111"/>
        <v>0</v>
      </c>
      <c r="CQ299" s="218">
        <f t="shared" si="112"/>
        <v>0</v>
      </c>
      <c r="DC299" s="116"/>
      <c r="DF299" s="116"/>
      <c r="DG299" s="116"/>
      <c r="DH299" s="116"/>
      <c r="DI299" s="116"/>
    </row>
    <row r="300" spans="1:119" s="101" customFormat="1" ht="15.75" hidden="1" thickBot="1" x14ac:dyDescent="0.3">
      <c r="A300" s="99"/>
      <c r="S300" s="244" t="s">
        <v>558</v>
      </c>
      <c r="V300" s="103"/>
      <c r="AA300" s="104"/>
      <c r="AB300" s="104"/>
      <c r="AD300" s="104"/>
      <c r="AF300" s="104"/>
      <c r="AI300" s="238" t="s">
        <v>555</v>
      </c>
      <c r="AJ300" s="238"/>
      <c r="AK300" s="238"/>
      <c r="AL300" s="238"/>
      <c r="AM300" s="238"/>
      <c r="AO300" s="238"/>
      <c r="AP300" s="238"/>
      <c r="AQ300" s="238"/>
      <c r="AR300" s="238"/>
      <c r="AS300" s="238"/>
      <c r="AT300" s="238"/>
      <c r="AU300" s="238"/>
      <c r="AV300" s="238"/>
      <c r="AW300" s="238"/>
      <c r="AX300" s="238"/>
      <c r="AY300" s="238"/>
      <c r="AZ300" s="238"/>
      <c r="BA300" s="238"/>
      <c r="BB300" s="238"/>
      <c r="BC300" s="238"/>
      <c r="BD300" s="238"/>
      <c r="BH300" s="99"/>
      <c r="BI300" s="102"/>
      <c r="BJ300" s="178"/>
      <c r="BK300" s="1608" t="s">
        <v>106</v>
      </c>
      <c r="BL300" s="1609"/>
      <c r="BM300" s="1609"/>
      <c r="BN300" s="1609"/>
      <c r="BO300" s="1610"/>
      <c r="BP300" s="1608" t="s">
        <v>110</v>
      </c>
      <c r="BQ300" s="1609"/>
      <c r="BR300" s="1609"/>
      <c r="BS300" s="1609"/>
      <c r="BT300" s="1610"/>
      <c r="BU300" s="178"/>
      <c r="BV300" s="178"/>
      <c r="BW300" s="178"/>
      <c r="BX300" s="178"/>
      <c r="BY300" s="178"/>
      <c r="BZ300" s="178"/>
      <c r="CA300" s="178"/>
      <c r="CB300" s="180"/>
      <c r="CC300" s="178"/>
      <c r="CD300" s="178"/>
      <c r="CE300" s="180"/>
      <c r="CF300" s="180"/>
      <c r="CG300" s="180"/>
      <c r="CH300" s="180"/>
      <c r="CI300" s="178"/>
      <c r="CJ300" s="178"/>
      <c r="CK300" s="180"/>
      <c r="CL300" s="180"/>
      <c r="CM300" s="180"/>
      <c r="CN300" s="116"/>
      <c r="CO300" s="218">
        <f t="shared" si="110"/>
        <v>0</v>
      </c>
      <c r="CP300" s="100">
        <f t="shared" si="111"/>
        <v>0</v>
      </c>
      <c r="CQ300" s="218">
        <f t="shared" si="112"/>
        <v>0</v>
      </c>
      <c r="DA300" s="254" t="s">
        <v>155</v>
      </c>
      <c r="DB300" s="1618" t="s">
        <v>379</v>
      </c>
      <c r="DC300" s="1618" t="s">
        <v>380</v>
      </c>
      <c r="DD300" s="1618"/>
      <c r="DE300" s="1619" t="s">
        <v>159</v>
      </c>
      <c r="DF300" s="1618" t="s">
        <v>160</v>
      </c>
      <c r="DG300" s="1618" t="s">
        <v>162</v>
      </c>
      <c r="DH300" s="1618" t="s">
        <v>389</v>
      </c>
      <c r="DI300" s="1618" t="s">
        <v>390</v>
      </c>
      <c r="DJ300" s="1618" t="s">
        <v>380</v>
      </c>
      <c r="DK300" s="1618"/>
      <c r="DL300" s="1618" t="s">
        <v>391</v>
      </c>
      <c r="DM300" s="1618"/>
    </row>
    <row r="301" spans="1:119" s="101" customFormat="1" ht="21.75" hidden="1" customHeight="1" x14ac:dyDescent="0.25">
      <c r="A301" s="99"/>
      <c r="S301" s="243">
        <v>0</v>
      </c>
      <c r="T301" s="243">
        <v>0</v>
      </c>
      <c r="U301" s="243">
        <v>5.0000000000000001E-3</v>
      </c>
      <c r="V301" s="243">
        <v>0.02</v>
      </c>
      <c r="W301" s="243">
        <v>5.0000000000000001E-3</v>
      </c>
      <c r="X301" s="243">
        <v>0</v>
      </c>
      <c r="Y301" s="243">
        <v>0.01</v>
      </c>
      <c r="Z301" s="243">
        <v>7.0000000000000007E-2</v>
      </c>
      <c r="AA301" s="245">
        <v>0</v>
      </c>
      <c r="AB301" s="245">
        <v>0</v>
      </c>
      <c r="AC301" s="243">
        <v>6.0000000000000001E-3</v>
      </c>
      <c r="AD301" s="245"/>
      <c r="AE301" s="243">
        <v>0.1</v>
      </c>
      <c r="AF301" s="245">
        <v>0.01</v>
      </c>
      <c r="AG301" s="243">
        <v>0.01</v>
      </c>
      <c r="AH301" s="100"/>
      <c r="AI301" s="1611" t="s">
        <v>556</v>
      </c>
      <c r="AJ301" s="1611"/>
      <c r="AK301" s="1611"/>
      <c r="AL301" s="1611"/>
      <c r="AM301" s="1611"/>
      <c r="AN301" s="238" t="s">
        <v>554</v>
      </c>
      <c r="AO301" s="238"/>
      <c r="AP301" s="238"/>
      <c r="AQ301" s="238"/>
      <c r="AR301" s="238"/>
      <c r="AS301" s="238"/>
      <c r="AT301" s="238"/>
      <c r="AU301" s="238"/>
      <c r="AV301" s="238"/>
      <c r="AW301" s="238"/>
      <c r="AX301" s="238"/>
      <c r="AY301" s="238"/>
      <c r="AZ301" s="238"/>
      <c r="BA301" s="238"/>
      <c r="BB301" s="238"/>
      <c r="BC301" s="238"/>
      <c r="BD301" s="238"/>
      <c r="BH301" s="99"/>
      <c r="BI301" s="1606" t="s">
        <v>58</v>
      </c>
      <c r="BJ301" s="251"/>
      <c r="BK301" s="1606" t="s">
        <v>280</v>
      </c>
      <c r="BL301" s="251"/>
      <c r="BM301" s="1606" t="s">
        <v>233</v>
      </c>
      <c r="BN301" s="1606" t="s">
        <v>233</v>
      </c>
      <c r="BO301" s="1606" t="s">
        <v>240</v>
      </c>
      <c r="BP301" s="1606" t="s">
        <v>281</v>
      </c>
      <c r="BQ301" s="251"/>
      <c r="BR301" s="1606" t="s">
        <v>233</v>
      </c>
      <c r="BS301" s="1606" t="s">
        <v>233</v>
      </c>
      <c r="BT301" s="1606" t="s">
        <v>240</v>
      </c>
      <c r="BU301" s="178"/>
      <c r="BV301" s="178"/>
      <c r="BW301" s="178"/>
      <c r="BX301" s="178"/>
      <c r="BY301" s="178"/>
      <c r="BZ301" s="178"/>
      <c r="CA301" s="178"/>
      <c r="CB301" s="180"/>
      <c r="CC301" s="178"/>
      <c r="CD301" s="178"/>
      <c r="CE301" s="180"/>
      <c r="CF301" s="180"/>
      <c r="CG301" s="180"/>
      <c r="CH301" s="180"/>
      <c r="CI301" s="178"/>
      <c r="CJ301" s="178"/>
      <c r="CK301" s="180"/>
      <c r="CL301" s="180"/>
      <c r="CM301" s="180"/>
      <c r="CN301" s="116"/>
      <c r="CO301" s="218" t="str">
        <f t="shared" si="110"/>
        <v>Incertidumbre (+/- %)</v>
      </c>
      <c r="CP301" s="100" t="e">
        <f t="shared" si="111"/>
        <v>#VALUE!</v>
      </c>
      <c r="CQ301" s="218" t="str">
        <f t="shared" si="112"/>
        <v>Incertidumbre (+/- %)</v>
      </c>
      <c r="DA301" s="254"/>
      <c r="DB301" s="1618"/>
      <c r="DC301" s="253">
        <v>1995</v>
      </c>
      <c r="DD301" s="254">
        <v>2007</v>
      </c>
      <c r="DE301" s="1619"/>
      <c r="DF301" s="1618"/>
      <c r="DG301" s="1618"/>
      <c r="DH301" s="1618"/>
      <c r="DI301" s="1618"/>
      <c r="DJ301" s="254">
        <v>1995</v>
      </c>
      <c r="DK301" s="254">
        <v>2007</v>
      </c>
      <c r="DL301" s="254">
        <v>1995</v>
      </c>
      <c r="DM301" s="254">
        <v>2007</v>
      </c>
    </row>
    <row r="302" spans="1:119" s="101" customFormat="1" ht="34.5" hidden="1" customHeight="1" x14ac:dyDescent="0.25">
      <c r="Q302" s="242" t="s">
        <v>557</v>
      </c>
      <c r="R302" s="242" t="s">
        <v>559</v>
      </c>
      <c r="S302" s="242" t="s">
        <v>532</v>
      </c>
      <c r="T302" s="242" t="s">
        <v>533</v>
      </c>
      <c r="U302" s="242" t="s">
        <v>530</v>
      </c>
      <c r="V302" s="242" t="s">
        <v>531</v>
      </c>
      <c r="W302" s="242" t="s">
        <v>529</v>
      </c>
      <c r="X302" s="242" t="s">
        <v>528</v>
      </c>
      <c r="Y302" s="242" t="s">
        <v>537</v>
      </c>
      <c r="Z302" s="242" t="s">
        <v>538</v>
      </c>
      <c r="AA302" s="242" t="s">
        <v>544</v>
      </c>
      <c r="AB302" s="242" t="s">
        <v>534</v>
      </c>
      <c r="AC302" s="242" t="s">
        <v>539</v>
      </c>
      <c r="AD302" s="243"/>
      <c r="AE302" s="242" t="s">
        <v>540</v>
      </c>
      <c r="AF302" s="242" t="s">
        <v>535</v>
      </c>
      <c r="AG302" s="242" t="s">
        <v>536</v>
      </c>
      <c r="AH302" s="242" t="s">
        <v>560</v>
      </c>
      <c r="AI302" s="239" t="s">
        <v>513</v>
      </c>
      <c r="AJ302" s="239" t="s">
        <v>527</v>
      </c>
      <c r="AK302" s="102"/>
      <c r="AL302" s="239" t="s">
        <v>514</v>
      </c>
      <c r="AM302" s="239" t="s">
        <v>526</v>
      </c>
      <c r="AN302" s="241" t="s">
        <v>543</v>
      </c>
      <c r="AO302" s="241" t="s">
        <v>542</v>
      </c>
      <c r="AP302" s="240" t="s">
        <v>532</v>
      </c>
      <c r="AQ302" s="240" t="s">
        <v>533</v>
      </c>
      <c r="AS302" s="240" t="s">
        <v>530</v>
      </c>
      <c r="AT302" s="240" t="s">
        <v>531</v>
      </c>
      <c r="AU302" s="240" t="s">
        <v>529</v>
      </c>
      <c r="AV302" s="240" t="s">
        <v>528</v>
      </c>
      <c r="AW302" s="240" t="s">
        <v>537</v>
      </c>
      <c r="AY302" s="240" t="s">
        <v>538</v>
      </c>
      <c r="AZ302" s="240" t="s">
        <v>544</v>
      </c>
      <c r="BA302" s="240" t="s">
        <v>534</v>
      </c>
      <c r="BB302" s="240" t="s">
        <v>539</v>
      </c>
      <c r="BC302" s="240" t="s">
        <v>540</v>
      </c>
      <c r="BD302" s="240" t="s">
        <v>535</v>
      </c>
      <c r="BE302" s="240" t="s">
        <v>536</v>
      </c>
      <c r="BH302" s="99"/>
      <c r="BI302" s="1607"/>
      <c r="BJ302" s="252" t="s">
        <v>253</v>
      </c>
      <c r="BK302" s="1607"/>
      <c r="BL302" s="252" t="s">
        <v>251</v>
      </c>
      <c r="BM302" s="1607"/>
      <c r="BN302" s="1607"/>
      <c r="BO302" s="1607"/>
      <c r="BP302" s="1607"/>
      <c r="BQ302" s="252" t="s">
        <v>251</v>
      </c>
      <c r="BR302" s="1607"/>
      <c r="BS302" s="1607"/>
      <c r="BT302" s="1607"/>
      <c r="BU302" s="178"/>
      <c r="BV302" s="178"/>
      <c r="BW302" s="178"/>
      <c r="BX302" s="178"/>
      <c r="BY302" s="178"/>
      <c r="BZ302" s="178"/>
      <c r="CA302" s="178"/>
      <c r="CB302" s="180"/>
      <c r="CC302" s="178"/>
      <c r="CD302" s="178"/>
      <c r="CE302" s="180"/>
      <c r="CF302" s="180"/>
      <c r="CG302" s="180"/>
      <c r="CH302" s="180"/>
      <c r="CI302" s="178"/>
      <c r="CJ302" s="178"/>
      <c r="CK302" s="180"/>
      <c r="CL302" s="180"/>
      <c r="CM302" s="180"/>
      <c r="CN302" s="116"/>
      <c r="CO302" s="218">
        <f t="shared" si="110"/>
        <v>0</v>
      </c>
      <c r="CP302" s="100">
        <f t="shared" si="111"/>
        <v>0</v>
      </c>
      <c r="CQ302" s="218">
        <f t="shared" si="112"/>
        <v>0</v>
      </c>
      <c r="CZ302" s="101" t="s">
        <v>58</v>
      </c>
      <c r="DA302" s="254">
        <v>0</v>
      </c>
      <c r="DB302" s="253">
        <v>0</v>
      </c>
      <c r="DC302" s="253">
        <v>0</v>
      </c>
      <c r="DD302" s="254">
        <v>0</v>
      </c>
      <c r="DE302" s="254">
        <v>0</v>
      </c>
      <c r="DF302" s="253">
        <v>0</v>
      </c>
      <c r="DG302" s="253">
        <v>0</v>
      </c>
      <c r="DH302" s="253">
        <v>0</v>
      </c>
      <c r="DI302" s="253">
        <v>0</v>
      </c>
      <c r="DJ302" s="254">
        <v>0</v>
      </c>
      <c r="DK302" s="254">
        <v>0</v>
      </c>
      <c r="DL302" s="254">
        <v>0</v>
      </c>
      <c r="DM302" s="254">
        <v>0</v>
      </c>
      <c r="DN302" s="101">
        <v>0</v>
      </c>
    </row>
    <row r="303" spans="1:119" s="101" customFormat="1" ht="33.75" hidden="1" thickBot="1" x14ac:dyDescent="0.4">
      <c r="O303" s="227" t="s">
        <v>128</v>
      </c>
      <c r="Q303" s="243">
        <v>0.48</v>
      </c>
      <c r="R303" s="243">
        <v>400</v>
      </c>
      <c r="S303" s="246">
        <f t="shared" ref="S303:AG321" si="124">((($Q303*($R303/1000)*365)*1)*S$301)*(44/28)</f>
        <v>0</v>
      </c>
      <c r="T303" s="246">
        <f t="shared" si="124"/>
        <v>0</v>
      </c>
      <c r="U303" s="246">
        <f t="shared" si="124"/>
        <v>0.55062857142857136</v>
      </c>
      <c r="V303" s="246">
        <f t="shared" si="124"/>
        <v>2.2025142857142854</v>
      </c>
      <c r="W303" s="246">
        <f t="shared" si="124"/>
        <v>0.55062857142857136</v>
      </c>
      <c r="X303" s="246">
        <f t="shared" si="124"/>
        <v>0</v>
      </c>
      <c r="Y303" s="246">
        <f t="shared" si="124"/>
        <v>1.1012571428571427</v>
      </c>
      <c r="Z303" s="246">
        <f t="shared" si="124"/>
        <v>7.708800000000001</v>
      </c>
      <c r="AA303" s="246">
        <f t="shared" si="124"/>
        <v>0</v>
      </c>
      <c r="AB303" s="246">
        <f t="shared" si="124"/>
        <v>0</v>
      </c>
      <c r="AC303" s="246">
        <f t="shared" si="124"/>
        <v>0.66075428571428574</v>
      </c>
      <c r="AD303" s="246">
        <f t="shared" si="124"/>
        <v>0</v>
      </c>
      <c r="AE303" s="246">
        <f t="shared" si="124"/>
        <v>11.012571428571428</v>
      </c>
      <c r="AF303" s="246">
        <v>0</v>
      </c>
      <c r="AG303" s="246">
        <f t="shared" si="124"/>
        <v>1.1012571428571427</v>
      </c>
      <c r="AH303" s="243"/>
      <c r="AI303" s="102">
        <v>1</v>
      </c>
      <c r="AJ303" s="102">
        <v>58</v>
      </c>
      <c r="AL303" s="102">
        <v>29</v>
      </c>
      <c r="AM303" s="237">
        <v>0.3</v>
      </c>
      <c r="AN303" s="241">
        <v>2.9</v>
      </c>
      <c r="AO303" s="241">
        <v>0.13</v>
      </c>
      <c r="AP303" s="247">
        <f>(AN303*365)*(AO303*0.67*0.01*1)</f>
        <v>0.92195350000000009</v>
      </c>
      <c r="AQ303" s="247">
        <f>(AN303*365)*(AO303*0.67*0.001*1)</f>
        <v>9.2195350000000023E-2</v>
      </c>
      <c r="AR303" s="248"/>
      <c r="AS303" s="247">
        <f>(AN303*365)*(AO303*0.67*0.02*1)</f>
        <v>1.8439070000000002</v>
      </c>
      <c r="AT303" s="247">
        <f>(AN303*365)*(AO303*0.67*0.01*1)</f>
        <v>0.92195350000000009</v>
      </c>
      <c r="AU303" s="247">
        <f>(AN303*365)*(AO303*0.67*0.25*1)</f>
        <v>23.048837500000001</v>
      </c>
      <c r="AV303" s="247">
        <f>(AN303*365)*(AO303*0.67*0.73*1)</f>
        <v>67.302605499999999</v>
      </c>
      <c r="AW303" s="247">
        <f>(AN303*365)*(AO303*0.67*0.03*1)</f>
        <v>2.7658605000000005</v>
      </c>
      <c r="AX303" s="248"/>
      <c r="AY303" s="247">
        <f>(AN303*365)*(AO303*0.67*0.25*1)</f>
        <v>23.048837500000001</v>
      </c>
      <c r="AZ303" s="247">
        <f t="shared" ref="AZ303:AZ338" si="125">(AN303*365)*(AO303*0.67*1*1)</f>
        <v>92.195350000000005</v>
      </c>
      <c r="BA303" s="247">
        <f t="shared" ref="BA303:BA338" si="126">(AN303*365)*(AO303*0.67*0.1*1)</f>
        <v>9.2195350000000005</v>
      </c>
      <c r="BB303" s="247">
        <f t="shared" ref="BB303:BB338" si="127">(AN303*365)*(AO303*0.67*0.005*1)</f>
        <v>0.46097675000000005</v>
      </c>
      <c r="BC303" s="247">
        <f>(AN303*365)*(AO303*0.67*0.005*1)</f>
        <v>0.46097675000000005</v>
      </c>
      <c r="BD303" s="247">
        <v>0</v>
      </c>
      <c r="BE303" s="247">
        <v>0</v>
      </c>
      <c r="BH303" s="120" t="s">
        <v>58</v>
      </c>
      <c r="BI303" s="203" t="s">
        <v>601</v>
      </c>
      <c r="BJ303" s="190" t="s">
        <v>168</v>
      </c>
      <c r="BK303" s="196">
        <f>BV303/25</f>
        <v>1</v>
      </c>
      <c r="BL303" s="190" t="s">
        <v>413</v>
      </c>
      <c r="BM303" s="189">
        <v>0.2</v>
      </c>
      <c r="BN303" s="189">
        <v>0.5</v>
      </c>
      <c r="BO303" s="188" t="s">
        <v>258</v>
      </c>
      <c r="BP303" s="196">
        <f>BY303/298</f>
        <v>1.2445714285714284</v>
      </c>
      <c r="BQ303" s="190" t="s">
        <v>415</v>
      </c>
      <c r="BR303" s="189">
        <v>0.2</v>
      </c>
      <c r="BS303" s="189">
        <v>0.5</v>
      </c>
      <c r="BT303" s="188" t="s">
        <v>258</v>
      </c>
      <c r="BU303" s="178"/>
      <c r="BV303" s="196">
        <v>25</v>
      </c>
      <c r="BW303" s="190" t="s">
        <v>414</v>
      </c>
      <c r="BX303" s="178"/>
      <c r="BY303" s="196">
        <v>370.88228571428567</v>
      </c>
      <c r="BZ303" s="190" t="s">
        <v>414</v>
      </c>
      <c r="CA303" s="178"/>
      <c r="CB303" s="180"/>
      <c r="CC303" s="178"/>
      <c r="CD303" s="178"/>
      <c r="CE303" s="180"/>
      <c r="CF303" s="180"/>
      <c r="CG303" s="180"/>
      <c r="CH303" s="180"/>
      <c r="CI303" s="178"/>
      <c r="CJ303" s="178"/>
      <c r="CK303" s="180"/>
      <c r="CL303" s="180"/>
      <c r="CM303" s="180"/>
      <c r="CN303" s="116"/>
      <c r="CO303" s="218">
        <f t="shared" si="110"/>
        <v>0.2</v>
      </c>
      <c r="CP303" s="100">
        <f t="shared" si="111"/>
        <v>0.35</v>
      </c>
      <c r="CQ303" s="218">
        <f t="shared" si="112"/>
        <v>0.5</v>
      </c>
      <c r="CR303" s="101">
        <v>0.2</v>
      </c>
      <c r="CS303" s="101">
        <v>0.5</v>
      </c>
      <c r="CZ303" s="101" t="s">
        <v>58</v>
      </c>
      <c r="DA303" s="23" t="s">
        <v>125</v>
      </c>
      <c r="DB303" s="23">
        <v>1</v>
      </c>
      <c r="DC303" s="142">
        <f>+DB303*21</f>
        <v>21</v>
      </c>
      <c r="DD303" s="142">
        <f>+DB303*25</f>
        <v>25</v>
      </c>
      <c r="DE303" s="23">
        <v>40</v>
      </c>
      <c r="DF303" s="23">
        <v>0.99</v>
      </c>
      <c r="DG303" s="142">
        <f>+DE303*DF303</f>
        <v>39.6</v>
      </c>
      <c r="DH303" s="23">
        <v>0.02</v>
      </c>
      <c r="DI303" s="149">
        <f>+DG303*DH303*44/28</f>
        <v>1.2445714285714284</v>
      </c>
      <c r="DJ303" s="149">
        <f>+DI303*310</f>
        <v>385.81714285714281</v>
      </c>
      <c r="DK303" s="149">
        <f>+DI303*298</f>
        <v>370.88228571428567</v>
      </c>
      <c r="DL303" s="150">
        <f>+DC303+DJ303</f>
        <v>406.81714285714281</v>
      </c>
      <c r="DM303" s="150">
        <f>+DD303+DK303</f>
        <v>395.88228571428567</v>
      </c>
      <c r="DN303" s="116" t="s">
        <v>168</v>
      </c>
      <c r="DO303" s="101" t="s">
        <v>392</v>
      </c>
    </row>
    <row r="304" spans="1:119" s="101" customFormat="1" ht="33.75" hidden="1" thickBot="1" x14ac:dyDescent="0.4">
      <c r="O304" s="227" t="s">
        <v>129</v>
      </c>
      <c r="Q304" s="243">
        <v>0.48</v>
      </c>
      <c r="R304" s="243">
        <v>400</v>
      </c>
      <c r="S304" s="246">
        <f t="shared" si="124"/>
        <v>0</v>
      </c>
      <c r="T304" s="246">
        <f t="shared" si="124"/>
        <v>0</v>
      </c>
      <c r="U304" s="246">
        <f t="shared" si="124"/>
        <v>0.55062857142857136</v>
      </c>
      <c r="V304" s="246">
        <f t="shared" si="124"/>
        <v>2.2025142857142854</v>
      </c>
      <c r="W304" s="246">
        <f t="shared" si="124"/>
        <v>0.55062857142857136</v>
      </c>
      <c r="X304" s="246">
        <f t="shared" si="124"/>
        <v>0</v>
      </c>
      <c r="Y304" s="246">
        <f t="shared" si="124"/>
        <v>1.1012571428571427</v>
      </c>
      <c r="Z304" s="246">
        <f t="shared" si="124"/>
        <v>7.708800000000001</v>
      </c>
      <c r="AA304" s="246">
        <f t="shared" si="124"/>
        <v>0</v>
      </c>
      <c r="AB304" s="246">
        <f t="shared" si="124"/>
        <v>0</v>
      </c>
      <c r="AC304" s="246">
        <f t="shared" si="124"/>
        <v>0.66075428571428574</v>
      </c>
      <c r="AD304" s="246">
        <f t="shared" si="124"/>
        <v>0</v>
      </c>
      <c r="AE304" s="246">
        <f t="shared" si="124"/>
        <v>11.012571428571428</v>
      </c>
      <c r="AF304" s="246">
        <v>0</v>
      </c>
      <c r="AG304" s="246">
        <f t="shared" si="124"/>
        <v>1.1012571428571427</v>
      </c>
      <c r="AH304" s="243"/>
      <c r="AI304" s="102">
        <v>1</v>
      </c>
      <c r="AJ304" s="102">
        <v>98</v>
      </c>
      <c r="AL304" s="102">
        <v>75</v>
      </c>
      <c r="AM304" s="237">
        <v>0.3</v>
      </c>
      <c r="AN304" s="241">
        <v>2.9</v>
      </c>
      <c r="AO304" s="241">
        <v>0.13</v>
      </c>
      <c r="AP304" s="247">
        <f>(AN304*365)*(AO304*0.67*0.015*1)</f>
        <v>1.3829302500000002</v>
      </c>
      <c r="AQ304" s="247">
        <f>(AN304*365)*(AO304*0.67*0.005*1)</f>
        <v>0.46097675000000005</v>
      </c>
      <c r="AR304" s="248"/>
      <c r="AS304" s="247">
        <f>(AN304*365)*(AO304*0.67*0.04*1)</f>
        <v>3.6878140000000004</v>
      </c>
      <c r="AT304" s="247">
        <f>(AN304*365)*(AO304*0.67*0.015*1)</f>
        <v>1.3829302500000002</v>
      </c>
      <c r="AU304" s="247">
        <f>(AN304*365)*(AO304*0.67*0.65*1)</f>
        <v>59.926977500000007</v>
      </c>
      <c r="AV304" s="247">
        <f>(AN304*365)*(AO304*0.67*0.79*1)</f>
        <v>72.834326500000003</v>
      </c>
      <c r="AW304" s="247">
        <f>(AN304*365)*(AO304*0.67*0.03*1)</f>
        <v>2.7658605000000005</v>
      </c>
      <c r="AX304" s="248"/>
      <c r="AY304" s="247">
        <f>(AN304*365)*(AO304*0.67*0.65*1)</f>
        <v>59.926977500000007</v>
      </c>
      <c r="AZ304" s="247">
        <f t="shared" si="125"/>
        <v>92.195350000000005</v>
      </c>
      <c r="BA304" s="247">
        <f t="shared" si="126"/>
        <v>9.2195350000000005</v>
      </c>
      <c r="BB304" s="247">
        <f t="shared" si="127"/>
        <v>0.46097675000000005</v>
      </c>
      <c r="BC304" s="247">
        <f>(AN304*365)*(AO304*0.67*0.01*1)</f>
        <v>0.92195350000000009</v>
      </c>
      <c r="BD304" s="247">
        <v>0</v>
      </c>
      <c r="BE304" s="247">
        <v>0</v>
      </c>
      <c r="BH304" s="120"/>
      <c r="BI304" s="203" t="s">
        <v>126</v>
      </c>
      <c r="BJ304" s="190" t="s">
        <v>168</v>
      </c>
      <c r="BK304" s="196">
        <f t="shared" ref="BK304:BK332" si="128">BV304/25</f>
        <v>1</v>
      </c>
      <c r="BL304" s="190" t="s">
        <v>413</v>
      </c>
      <c r="BM304" s="189">
        <v>0.2</v>
      </c>
      <c r="BN304" s="189">
        <v>0.5</v>
      </c>
      <c r="BO304" s="188" t="s">
        <v>258</v>
      </c>
      <c r="BP304" s="196">
        <f t="shared" ref="BP304:BP332" si="129">BY304/298</f>
        <v>1.2445714285714284</v>
      </c>
      <c r="BQ304" s="190" t="s">
        <v>415</v>
      </c>
      <c r="BR304" s="189">
        <v>0.2</v>
      </c>
      <c r="BS304" s="189">
        <v>0.5</v>
      </c>
      <c r="BT304" s="188" t="s">
        <v>258</v>
      </c>
      <c r="BU304" s="178"/>
      <c r="BV304" s="196">
        <v>25</v>
      </c>
      <c r="BW304" s="190" t="s">
        <v>414</v>
      </c>
      <c r="BX304" s="178"/>
      <c r="BY304" s="196">
        <v>370.88228571428567</v>
      </c>
      <c r="BZ304" s="190" t="s">
        <v>414</v>
      </c>
      <c r="CA304" s="178"/>
      <c r="CB304" s="180"/>
      <c r="CC304" s="178"/>
      <c r="CD304" s="178"/>
      <c r="CE304" s="180"/>
      <c r="CF304" s="180"/>
      <c r="CG304" s="180"/>
      <c r="CH304" s="180"/>
      <c r="CI304" s="178"/>
      <c r="CJ304" s="178"/>
      <c r="CK304" s="180"/>
      <c r="CL304" s="180"/>
      <c r="CM304" s="180"/>
      <c r="CN304" s="116"/>
      <c r="CO304" s="218">
        <f t="shared" si="110"/>
        <v>0.2</v>
      </c>
      <c r="CP304" s="100">
        <f t="shared" si="111"/>
        <v>0.35</v>
      </c>
      <c r="CQ304" s="218">
        <f t="shared" si="112"/>
        <v>0.5</v>
      </c>
      <c r="CR304" s="101">
        <v>0.2</v>
      </c>
      <c r="CS304" s="101">
        <v>0.5</v>
      </c>
      <c r="DA304" s="23" t="s">
        <v>126</v>
      </c>
      <c r="DB304" s="23">
        <v>1</v>
      </c>
      <c r="DC304" s="142">
        <f t="shared" ref="DC304:DC332" si="130">+DB304*21</f>
        <v>21</v>
      </c>
      <c r="DD304" s="142">
        <f t="shared" ref="DD304:DD332" si="131">+DB304*25</f>
        <v>25</v>
      </c>
      <c r="DE304" s="23">
        <v>40</v>
      </c>
      <c r="DF304" s="23">
        <v>0.99</v>
      </c>
      <c r="DG304" s="142">
        <f t="shared" ref="DG304:DG332" si="132">+DE304*DF304</f>
        <v>39.6</v>
      </c>
      <c r="DH304" s="23">
        <v>0.02</v>
      </c>
      <c r="DI304" s="149">
        <f t="shared" ref="DI304:DI332" si="133">+DG304*DH304*44/28</f>
        <v>1.2445714285714284</v>
      </c>
      <c r="DJ304" s="149">
        <f t="shared" ref="DJ304:DJ332" si="134">+DI304*310</f>
        <v>385.81714285714281</v>
      </c>
      <c r="DK304" s="149">
        <f t="shared" ref="DK304:DK332" si="135">+DI304*298</f>
        <v>370.88228571428567</v>
      </c>
      <c r="DL304" s="150">
        <f t="shared" ref="DL304:DM332" si="136">+DC304+DJ304</f>
        <v>406.81714285714281</v>
      </c>
      <c r="DM304" s="150">
        <f t="shared" si="136"/>
        <v>395.88228571428567</v>
      </c>
      <c r="DN304" s="116" t="s">
        <v>168</v>
      </c>
      <c r="DO304" s="101" t="s">
        <v>392</v>
      </c>
    </row>
    <row r="305" spans="15:119" s="101" customFormat="1" ht="33.75" hidden="1" thickBot="1" x14ac:dyDescent="0.4">
      <c r="O305" s="227" t="s">
        <v>130</v>
      </c>
      <c r="Q305" s="243">
        <v>0.48</v>
      </c>
      <c r="R305" s="243">
        <v>400</v>
      </c>
      <c r="S305" s="246">
        <f t="shared" si="124"/>
        <v>0</v>
      </c>
      <c r="T305" s="246">
        <f t="shared" si="124"/>
        <v>0</v>
      </c>
      <c r="U305" s="246">
        <f t="shared" si="124"/>
        <v>0.55062857142857136</v>
      </c>
      <c r="V305" s="246">
        <f t="shared" si="124"/>
        <v>2.2025142857142854</v>
      </c>
      <c r="W305" s="246">
        <f t="shared" si="124"/>
        <v>0.55062857142857136</v>
      </c>
      <c r="X305" s="246">
        <f t="shared" si="124"/>
        <v>0</v>
      </c>
      <c r="Y305" s="246">
        <f t="shared" si="124"/>
        <v>1.1012571428571427</v>
      </c>
      <c r="Z305" s="246">
        <f t="shared" si="124"/>
        <v>7.708800000000001</v>
      </c>
      <c r="AA305" s="246">
        <f t="shared" si="124"/>
        <v>0</v>
      </c>
      <c r="AB305" s="246">
        <f t="shared" si="124"/>
        <v>0</v>
      </c>
      <c r="AC305" s="246">
        <f t="shared" si="124"/>
        <v>0.66075428571428574</v>
      </c>
      <c r="AD305" s="246">
        <f t="shared" si="124"/>
        <v>0</v>
      </c>
      <c r="AE305" s="246">
        <f t="shared" si="124"/>
        <v>11.012571428571428</v>
      </c>
      <c r="AF305" s="246">
        <v>0</v>
      </c>
      <c r="AG305" s="246">
        <f t="shared" si="124"/>
        <v>1.1012571428571427</v>
      </c>
      <c r="AH305" s="243"/>
      <c r="AI305" s="102">
        <v>1</v>
      </c>
      <c r="AJ305" s="102">
        <v>112</v>
      </c>
      <c r="AL305" s="102">
        <v>92</v>
      </c>
      <c r="AM305" s="237">
        <v>0.3</v>
      </c>
      <c r="AN305" s="241">
        <v>2.9</v>
      </c>
      <c r="AO305" s="241">
        <v>0.13</v>
      </c>
      <c r="AP305" s="247">
        <f>(AN305*365)*(AO305*0.67*0.02*1)</f>
        <v>1.8439070000000002</v>
      </c>
      <c r="AQ305" s="247">
        <f>(AN305*365)*(AO305*0.67*0.01*1)</f>
        <v>0.92195350000000009</v>
      </c>
      <c r="AR305" s="248"/>
      <c r="AS305" s="247">
        <f>(AN305*365)*(AO305*0.67*0.05*1)</f>
        <v>4.6097675000000002</v>
      </c>
      <c r="AT305" s="247">
        <f>(AN305*365)*(AO305*0.67*0.02*1)</f>
        <v>1.8439070000000002</v>
      </c>
      <c r="AU305" s="247">
        <f>(AN305*365)*(AO305*0.67*0.8*1)</f>
        <v>73.756280000000004</v>
      </c>
      <c r="AV305" s="247">
        <f>(AN305*365)*(AO305*0.67*0.8*1)</f>
        <v>73.756280000000004</v>
      </c>
      <c r="AW305" s="247">
        <f>(AN305*365)*(AO305*0.67*0.3*1)</f>
        <v>27.658605000000005</v>
      </c>
      <c r="AX305" s="248"/>
      <c r="AY305" s="247">
        <f>(AN305*365)*(AO305*0.67*0.8*1)</f>
        <v>73.756280000000004</v>
      </c>
      <c r="AZ305" s="247">
        <f t="shared" si="125"/>
        <v>92.195350000000005</v>
      </c>
      <c r="BA305" s="247">
        <f t="shared" si="126"/>
        <v>9.2195350000000005</v>
      </c>
      <c r="BB305" s="247">
        <f t="shared" si="127"/>
        <v>0.46097675000000005</v>
      </c>
      <c r="BC305" s="247">
        <f>(AN305*365)*(AO305*0.67*0.015*1)</f>
        <v>1.3829302500000002</v>
      </c>
      <c r="BD305" s="247">
        <v>0</v>
      </c>
      <c r="BE305" s="247">
        <v>0</v>
      </c>
      <c r="BH305" s="120"/>
      <c r="BI305" s="203" t="s">
        <v>127</v>
      </c>
      <c r="BJ305" s="190" t="s">
        <v>168</v>
      </c>
      <c r="BK305" s="196">
        <f t="shared" si="128"/>
        <v>1</v>
      </c>
      <c r="BL305" s="190" t="s">
        <v>413</v>
      </c>
      <c r="BM305" s="189">
        <v>0.2</v>
      </c>
      <c r="BN305" s="189">
        <v>0.5</v>
      </c>
      <c r="BO305" s="188" t="s">
        <v>258</v>
      </c>
      <c r="BP305" s="196">
        <f t="shared" si="129"/>
        <v>1.2445714285714284</v>
      </c>
      <c r="BQ305" s="190" t="s">
        <v>415</v>
      </c>
      <c r="BR305" s="189">
        <v>0.2</v>
      </c>
      <c r="BS305" s="189">
        <v>0.5</v>
      </c>
      <c r="BT305" s="188" t="s">
        <v>258</v>
      </c>
      <c r="BU305" s="178"/>
      <c r="BV305" s="196">
        <v>25</v>
      </c>
      <c r="BW305" s="190" t="s">
        <v>414</v>
      </c>
      <c r="BX305" s="178"/>
      <c r="BY305" s="196">
        <v>370.88228571428567</v>
      </c>
      <c r="BZ305" s="190" t="s">
        <v>414</v>
      </c>
      <c r="CA305" s="178"/>
      <c r="CB305" s="180"/>
      <c r="CC305" s="178"/>
      <c r="CD305" s="178"/>
      <c r="CE305" s="180"/>
      <c r="CF305" s="180"/>
      <c r="CG305" s="180"/>
      <c r="CH305" s="180"/>
      <c r="CI305" s="178"/>
      <c r="CJ305" s="178"/>
      <c r="CK305" s="180"/>
      <c r="CL305" s="180"/>
      <c r="CM305" s="180"/>
      <c r="CN305" s="116"/>
      <c r="CO305" s="218">
        <f t="shared" si="110"/>
        <v>0.2</v>
      </c>
      <c r="CP305" s="100">
        <f t="shared" si="111"/>
        <v>0.35</v>
      </c>
      <c r="CQ305" s="218">
        <f t="shared" si="112"/>
        <v>0.5</v>
      </c>
      <c r="CR305" s="101">
        <v>0.2</v>
      </c>
      <c r="CS305" s="101">
        <v>0.5</v>
      </c>
      <c r="DA305" s="23" t="s">
        <v>127</v>
      </c>
      <c r="DB305" s="23">
        <v>1</v>
      </c>
      <c r="DC305" s="142">
        <f t="shared" si="130"/>
        <v>21</v>
      </c>
      <c r="DD305" s="142">
        <f t="shared" si="131"/>
        <v>25</v>
      </c>
      <c r="DE305" s="23">
        <v>40</v>
      </c>
      <c r="DF305" s="23">
        <v>0.99</v>
      </c>
      <c r="DG305" s="142">
        <f t="shared" si="132"/>
        <v>39.6</v>
      </c>
      <c r="DH305" s="23">
        <v>0.02</v>
      </c>
      <c r="DI305" s="149">
        <f t="shared" si="133"/>
        <v>1.2445714285714284</v>
      </c>
      <c r="DJ305" s="149">
        <f t="shared" si="134"/>
        <v>385.81714285714281</v>
      </c>
      <c r="DK305" s="149">
        <f t="shared" si="135"/>
        <v>370.88228571428567</v>
      </c>
      <c r="DL305" s="150">
        <f t="shared" si="136"/>
        <v>406.81714285714281</v>
      </c>
      <c r="DM305" s="150">
        <f t="shared" si="136"/>
        <v>395.88228571428567</v>
      </c>
      <c r="DN305" s="116" t="s">
        <v>168</v>
      </c>
      <c r="DO305" s="101" t="s">
        <v>392</v>
      </c>
    </row>
    <row r="306" spans="15:119" s="101" customFormat="1" ht="33.75" hidden="1" thickBot="1" x14ac:dyDescent="0.4">
      <c r="O306" s="227" t="s">
        <v>125</v>
      </c>
      <c r="Q306" s="243">
        <v>0.36</v>
      </c>
      <c r="R306" s="243">
        <v>305</v>
      </c>
      <c r="S306" s="246">
        <f t="shared" si="124"/>
        <v>0</v>
      </c>
      <c r="T306" s="246">
        <f t="shared" si="124"/>
        <v>0</v>
      </c>
      <c r="U306" s="246">
        <f t="shared" si="124"/>
        <v>0.3148907142857143</v>
      </c>
      <c r="V306" s="246">
        <f t="shared" si="124"/>
        <v>1.2595628571428572</v>
      </c>
      <c r="W306" s="246">
        <f t="shared" si="124"/>
        <v>0.3148907142857143</v>
      </c>
      <c r="X306" s="246">
        <f t="shared" si="124"/>
        <v>0</v>
      </c>
      <c r="Y306" s="246">
        <f t="shared" si="124"/>
        <v>0.6297814285714286</v>
      </c>
      <c r="Z306" s="246">
        <f t="shared" si="124"/>
        <v>4.4084700000000003</v>
      </c>
      <c r="AA306" s="246">
        <f t="shared" si="124"/>
        <v>0</v>
      </c>
      <c r="AB306" s="246">
        <f t="shared" si="124"/>
        <v>0</v>
      </c>
      <c r="AC306" s="246">
        <f t="shared" si="124"/>
        <v>0.37786885714285712</v>
      </c>
      <c r="AD306" s="246">
        <f t="shared" si="124"/>
        <v>0</v>
      </c>
      <c r="AE306" s="246">
        <f t="shared" si="124"/>
        <v>6.2978142857142849</v>
      </c>
      <c r="AF306" s="246">
        <v>0</v>
      </c>
      <c r="AG306" s="246">
        <f t="shared" si="124"/>
        <v>0.6297814285714286</v>
      </c>
      <c r="AH306" s="243"/>
      <c r="AI306" s="102">
        <v>1</v>
      </c>
      <c r="AJ306" s="100">
        <v>0</v>
      </c>
      <c r="AL306" s="102">
        <v>8</v>
      </c>
      <c r="AM306" s="237">
        <v>0.3</v>
      </c>
      <c r="AN306" s="241">
        <v>2.5</v>
      </c>
      <c r="AO306" s="241">
        <v>0.1</v>
      </c>
      <c r="AP306" s="247">
        <f>(AN306*365)*(AO306*0.67*0.01*1)</f>
        <v>0.611375</v>
      </c>
      <c r="AQ306" s="247">
        <f>(AN306*365)*(AO306*0.67*0.001*1)</f>
        <v>6.1137500000000004E-2</v>
      </c>
      <c r="AR306" s="248"/>
      <c r="AS306" s="247">
        <f>(AN306*365)*(AO306*0.67*0.02*1)</f>
        <v>1.22275</v>
      </c>
      <c r="AT306" s="247">
        <f>(AN306*365)*(AO306*0.67*0.01*1)</f>
        <v>0.611375</v>
      </c>
      <c r="AU306" s="247">
        <f>(AN306*365)*(AO306*0.67*0.25*1)</f>
        <v>15.284375000000001</v>
      </c>
      <c r="AV306" s="247">
        <f>(AN306*365)*(AO306*0.67*0.73*1)</f>
        <v>44.630375000000001</v>
      </c>
      <c r="AW306" s="247">
        <f>(AN306*365)*(AO306*0.67*0.03*1)</f>
        <v>1.834125</v>
      </c>
      <c r="AX306" s="248"/>
      <c r="AY306" s="247">
        <f>(AN306*365)*(AO306*0.67*0.25*1)</f>
        <v>15.284375000000001</v>
      </c>
      <c r="AZ306" s="247">
        <f t="shared" si="125"/>
        <v>61.137500000000003</v>
      </c>
      <c r="BA306" s="247">
        <f t="shared" si="126"/>
        <v>6.1137500000000014</v>
      </c>
      <c r="BB306" s="247">
        <f t="shared" si="127"/>
        <v>0.3056875</v>
      </c>
      <c r="BC306" s="247">
        <f>(AN306*365)*(AO306*0.67*0.005*1)</f>
        <v>0.3056875</v>
      </c>
      <c r="BD306" s="247">
        <v>0</v>
      </c>
      <c r="BE306" s="247">
        <v>0</v>
      </c>
      <c r="BH306" s="120"/>
      <c r="BI306" s="203" t="s">
        <v>128</v>
      </c>
      <c r="BJ306" s="190" t="s">
        <v>168</v>
      </c>
      <c r="BK306" s="196">
        <f t="shared" si="128"/>
        <v>0</v>
      </c>
      <c r="BL306" s="190" t="s">
        <v>413</v>
      </c>
      <c r="BM306" s="189">
        <v>0.2</v>
      </c>
      <c r="BN306" s="189">
        <v>0.5</v>
      </c>
      <c r="BO306" s="188" t="s">
        <v>258</v>
      </c>
      <c r="BP306" s="196">
        <f t="shared" si="129"/>
        <v>0.79200000000000004</v>
      </c>
      <c r="BQ306" s="190" t="s">
        <v>415</v>
      </c>
      <c r="BR306" s="189">
        <v>0.2</v>
      </c>
      <c r="BS306" s="189">
        <v>0.5</v>
      </c>
      <c r="BT306" s="188" t="s">
        <v>258</v>
      </c>
      <c r="BU306" s="178"/>
      <c r="BV306" s="196">
        <v>0</v>
      </c>
      <c r="BW306" s="190" t="s">
        <v>414</v>
      </c>
      <c r="BX306" s="178"/>
      <c r="BY306" s="196">
        <v>236.01600000000002</v>
      </c>
      <c r="BZ306" s="190" t="s">
        <v>414</v>
      </c>
      <c r="CA306" s="178"/>
      <c r="CB306" s="180"/>
      <c r="CC306" s="178"/>
      <c r="CD306" s="178"/>
      <c r="CE306" s="180"/>
      <c r="CF306" s="180"/>
      <c r="CG306" s="180"/>
      <c r="CH306" s="180"/>
      <c r="CI306" s="178"/>
      <c r="CJ306" s="178"/>
      <c r="CK306" s="180"/>
      <c r="CL306" s="180"/>
      <c r="CM306" s="180"/>
      <c r="CN306" s="116"/>
      <c r="CO306" s="218">
        <f t="shared" si="110"/>
        <v>0.2</v>
      </c>
      <c r="CP306" s="100">
        <f t="shared" si="111"/>
        <v>0.35</v>
      </c>
      <c r="CQ306" s="218">
        <f t="shared" si="112"/>
        <v>0.5</v>
      </c>
      <c r="CR306" s="101">
        <v>0.2</v>
      </c>
      <c r="CS306" s="101">
        <v>0.5</v>
      </c>
      <c r="DA306" s="23" t="s">
        <v>128</v>
      </c>
      <c r="DB306" s="23">
        <v>0</v>
      </c>
      <c r="DC306" s="142">
        <f t="shared" si="130"/>
        <v>0</v>
      </c>
      <c r="DD306" s="142">
        <f t="shared" si="131"/>
        <v>0</v>
      </c>
      <c r="DE306" s="23">
        <v>70</v>
      </c>
      <c r="DF306" s="23">
        <v>0.36</v>
      </c>
      <c r="DG306" s="142">
        <f t="shared" si="132"/>
        <v>25.2</v>
      </c>
      <c r="DH306" s="23">
        <v>0.02</v>
      </c>
      <c r="DI306" s="149">
        <f t="shared" si="133"/>
        <v>0.79200000000000004</v>
      </c>
      <c r="DJ306" s="149">
        <f t="shared" si="134"/>
        <v>245.52</v>
      </c>
      <c r="DK306" s="149">
        <f t="shared" si="135"/>
        <v>236.01600000000002</v>
      </c>
      <c r="DL306" s="150">
        <f t="shared" si="136"/>
        <v>245.52</v>
      </c>
      <c r="DM306" s="150">
        <f t="shared" si="136"/>
        <v>236.01600000000002</v>
      </c>
      <c r="DN306" s="116" t="s">
        <v>168</v>
      </c>
      <c r="DO306" s="101" t="s">
        <v>392</v>
      </c>
    </row>
    <row r="307" spans="15:119" s="101" customFormat="1" ht="33.75" hidden="1" thickBot="1" x14ac:dyDescent="0.4">
      <c r="O307" s="227" t="s">
        <v>126</v>
      </c>
      <c r="Q307" s="243">
        <v>0.36</v>
      </c>
      <c r="R307" s="243">
        <v>305</v>
      </c>
      <c r="S307" s="246">
        <f t="shared" si="124"/>
        <v>0</v>
      </c>
      <c r="T307" s="246">
        <f t="shared" si="124"/>
        <v>0</v>
      </c>
      <c r="U307" s="246">
        <f t="shared" si="124"/>
        <v>0.3148907142857143</v>
      </c>
      <c r="V307" s="246">
        <f t="shared" si="124"/>
        <v>1.2595628571428572</v>
      </c>
      <c r="W307" s="246">
        <f t="shared" si="124"/>
        <v>0.3148907142857143</v>
      </c>
      <c r="X307" s="246">
        <f t="shared" si="124"/>
        <v>0</v>
      </c>
      <c r="Y307" s="246">
        <f t="shared" si="124"/>
        <v>0.6297814285714286</v>
      </c>
      <c r="Z307" s="246">
        <f t="shared" si="124"/>
        <v>4.4084700000000003</v>
      </c>
      <c r="AA307" s="246">
        <f t="shared" si="124"/>
        <v>0</v>
      </c>
      <c r="AB307" s="246">
        <f t="shared" si="124"/>
        <v>0</v>
      </c>
      <c r="AC307" s="246">
        <f t="shared" si="124"/>
        <v>0.37786885714285712</v>
      </c>
      <c r="AD307" s="246">
        <f t="shared" si="124"/>
        <v>0</v>
      </c>
      <c r="AE307" s="246">
        <f t="shared" si="124"/>
        <v>6.2978142857142849</v>
      </c>
      <c r="AF307" s="246">
        <v>0</v>
      </c>
      <c r="AG307" s="246">
        <f t="shared" si="124"/>
        <v>0.6297814285714286</v>
      </c>
      <c r="AH307" s="243"/>
      <c r="AI307" s="102">
        <v>1</v>
      </c>
      <c r="AJ307" s="100">
        <v>0</v>
      </c>
      <c r="AL307" s="102">
        <v>21</v>
      </c>
      <c r="AM307" s="237">
        <v>0.3</v>
      </c>
      <c r="AN307" s="241">
        <v>2.5</v>
      </c>
      <c r="AO307" s="241">
        <v>0.1</v>
      </c>
      <c r="AP307" s="247">
        <f>(AN307*365)*(AO307*0.67*0.015*1)</f>
        <v>0.9170625</v>
      </c>
      <c r="AQ307" s="247">
        <f>(AN307*365)*(AO307*0.67*0.005*1)</f>
        <v>0.3056875</v>
      </c>
      <c r="AR307" s="248"/>
      <c r="AS307" s="247">
        <f>(AN307*365)*(AO307*0.67*0.04*1)</f>
        <v>2.4455</v>
      </c>
      <c r="AT307" s="247">
        <f>(AN307*365)*(AO307*0.67*0.015*1)</f>
        <v>0.9170625</v>
      </c>
      <c r="AU307" s="247">
        <f>(AN307*365)*(AO307*0.67*0.65*1)</f>
        <v>39.739375000000003</v>
      </c>
      <c r="AV307" s="247">
        <f>(AN307*365)*(AO307*0.67*0.79*1)</f>
        <v>48.298625000000001</v>
      </c>
      <c r="AW307" s="247">
        <f>(AN307*365)*(AO307*0.67*0.03*1)</f>
        <v>1.834125</v>
      </c>
      <c r="AX307" s="248"/>
      <c r="AY307" s="247">
        <f>(AN307*365)*(AO307*0.67*0.65*1)</f>
        <v>39.739375000000003</v>
      </c>
      <c r="AZ307" s="247">
        <f t="shared" si="125"/>
        <v>61.137500000000003</v>
      </c>
      <c r="BA307" s="247">
        <f t="shared" si="126"/>
        <v>6.1137500000000014</v>
      </c>
      <c r="BB307" s="247">
        <f t="shared" si="127"/>
        <v>0.3056875</v>
      </c>
      <c r="BC307" s="247">
        <f>(AN307*365)*(AO307*0.67*0.01*1)</f>
        <v>0.611375</v>
      </c>
      <c r="BD307" s="247">
        <v>0</v>
      </c>
      <c r="BE307" s="247">
        <v>0</v>
      </c>
      <c r="BH307" s="120"/>
      <c r="BI307" s="203" t="s">
        <v>129</v>
      </c>
      <c r="BJ307" s="190" t="s">
        <v>168</v>
      </c>
      <c r="BK307" s="196">
        <f t="shared" si="128"/>
        <v>1</v>
      </c>
      <c r="BL307" s="190" t="s">
        <v>413</v>
      </c>
      <c r="BM307" s="189">
        <v>0.2</v>
      </c>
      <c r="BN307" s="189">
        <v>0.5</v>
      </c>
      <c r="BO307" s="188" t="s">
        <v>258</v>
      </c>
      <c r="BP307" s="196">
        <f t="shared" si="129"/>
        <v>0.79200000000000004</v>
      </c>
      <c r="BQ307" s="190" t="s">
        <v>415</v>
      </c>
      <c r="BR307" s="189">
        <v>0.2</v>
      </c>
      <c r="BS307" s="189">
        <v>0.5</v>
      </c>
      <c r="BT307" s="188" t="s">
        <v>258</v>
      </c>
      <c r="BU307" s="178"/>
      <c r="BV307" s="196">
        <v>25</v>
      </c>
      <c r="BW307" s="190" t="s">
        <v>414</v>
      </c>
      <c r="BX307" s="178"/>
      <c r="BY307" s="196">
        <v>236.01600000000002</v>
      </c>
      <c r="BZ307" s="190" t="s">
        <v>414</v>
      </c>
      <c r="CA307" s="178"/>
      <c r="CB307" s="180"/>
      <c r="CC307" s="178"/>
      <c r="CD307" s="178"/>
      <c r="CE307" s="180"/>
      <c r="CF307" s="180"/>
      <c r="CG307" s="180"/>
      <c r="CH307" s="180"/>
      <c r="CI307" s="178"/>
      <c r="CJ307" s="178"/>
      <c r="CK307" s="180"/>
      <c r="CL307" s="180"/>
      <c r="CM307" s="180"/>
      <c r="CN307" s="116"/>
      <c r="CO307" s="218">
        <f t="shared" si="110"/>
        <v>0.2</v>
      </c>
      <c r="CP307" s="100">
        <f t="shared" si="111"/>
        <v>0.35</v>
      </c>
      <c r="CQ307" s="218">
        <f t="shared" si="112"/>
        <v>0.5</v>
      </c>
      <c r="CR307" s="101">
        <v>0.2</v>
      </c>
      <c r="CS307" s="101">
        <v>0.5</v>
      </c>
      <c r="DA307" s="23" t="s">
        <v>129</v>
      </c>
      <c r="DB307" s="23">
        <v>1</v>
      </c>
      <c r="DC307" s="142">
        <f t="shared" si="130"/>
        <v>21</v>
      </c>
      <c r="DD307" s="142">
        <f t="shared" si="131"/>
        <v>25</v>
      </c>
      <c r="DE307" s="23">
        <v>70</v>
      </c>
      <c r="DF307" s="23">
        <v>0.36</v>
      </c>
      <c r="DG307" s="142">
        <f t="shared" si="132"/>
        <v>25.2</v>
      </c>
      <c r="DH307" s="23">
        <v>0.02</v>
      </c>
      <c r="DI307" s="149">
        <f t="shared" si="133"/>
        <v>0.79200000000000004</v>
      </c>
      <c r="DJ307" s="149">
        <f t="shared" si="134"/>
        <v>245.52</v>
      </c>
      <c r="DK307" s="149">
        <f t="shared" si="135"/>
        <v>236.01600000000002</v>
      </c>
      <c r="DL307" s="150">
        <f t="shared" si="136"/>
        <v>266.52</v>
      </c>
      <c r="DM307" s="150">
        <f t="shared" si="136"/>
        <v>261.01600000000002</v>
      </c>
      <c r="DN307" s="116" t="s">
        <v>168</v>
      </c>
      <c r="DO307" s="101" t="s">
        <v>392</v>
      </c>
    </row>
    <row r="308" spans="15:119" s="101" customFormat="1" ht="33.75" hidden="1" thickBot="1" x14ac:dyDescent="0.4">
      <c r="O308" s="227" t="s">
        <v>127</v>
      </c>
      <c r="Q308" s="243">
        <v>0.36</v>
      </c>
      <c r="R308" s="243">
        <v>305</v>
      </c>
      <c r="S308" s="246">
        <f t="shared" si="124"/>
        <v>0</v>
      </c>
      <c r="T308" s="246">
        <f t="shared" si="124"/>
        <v>0</v>
      </c>
      <c r="U308" s="246">
        <f t="shared" si="124"/>
        <v>0.3148907142857143</v>
      </c>
      <c r="V308" s="246">
        <f t="shared" si="124"/>
        <v>1.2595628571428572</v>
      </c>
      <c r="W308" s="246">
        <f t="shared" si="124"/>
        <v>0.3148907142857143</v>
      </c>
      <c r="X308" s="246">
        <f t="shared" si="124"/>
        <v>0</v>
      </c>
      <c r="Y308" s="246">
        <f t="shared" si="124"/>
        <v>0.6297814285714286</v>
      </c>
      <c r="Z308" s="246">
        <f t="shared" si="124"/>
        <v>4.4084700000000003</v>
      </c>
      <c r="AA308" s="246">
        <f t="shared" si="124"/>
        <v>0</v>
      </c>
      <c r="AB308" s="246">
        <f t="shared" si="124"/>
        <v>0</v>
      </c>
      <c r="AC308" s="246">
        <f t="shared" si="124"/>
        <v>0.37786885714285712</v>
      </c>
      <c r="AD308" s="246">
        <f t="shared" si="124"/>
        <v>0</v>
      </c>
      <c r="AE308" s="246">
        <f t="shared" si="124"/>
        <v>6.2978142857142849</v>
      </c>
      <c r="AF308" s="246">
        <v>0</v>
      </c>
      <c r="AG308" s="246">
        <f t="shared" si="124"/>
        <v>0.6297814285714286</v>
      </c>
      <c r="AH308" s="243"/>
      <c r="AI308" s="102">
        <v>2</v>
      </c>
      <c r="AJ308" s="100">
        <v>0</v>
      </c>
      <c r="AL308" s="102">
        <v>26</v>
      </c>
      <c r="AM308" s="237">
        <v>0.3</v>
      </c>
      <c r="AN308" s="241">
        <v>2.5</v>
      </c>
      <c r="AO308" s="241">
        <v>0.1</v>
      </c>
      <c r="AP308" s="247">
        <f>(AN308*365)*(AO308*0.67*0.02*1)</f>
        <v>1.22275</v>
      </c>
      <c r="AQ308" s="247">
        <f>(AN308*365)*(AO308*0.67*0.01*1)</f>
        <v>0.611375</v>
      </c>
      <c r="AR308" s="248"/>
      <c r="AS308" s="247">
        <f>(AN308*365)*(AO308*0.67*0.05*1)</f>
        <v>3.0568750000000007</v>
      </c>
      <c r="AT308" s="247">
        <f>(AN308*365)*(AO308*0.67*0.02*1)</f>
        <v>1.22275</v>
      </c>
      <c r="AU308" s="247">
        <f>(AN308*365)*(AO308*0.67*0.8*1)</f>
        <v>48.910000000000011</v>
      </c>
      <c r="AV308" s="247">
        <f>(AN308*365)*(AO308*0.67*0.8*1)</f>
        <v>48.910000000000011</v>
      </c>
      <c r="AW308" s="247">
        <f>(AN308*365)*(AO308*0.67*0.3*1)</f>
        <v>18.341249999999999</v>
      </c>
      <c r="AX308" s="248"/>
      <c r="AY308" s="247">
        <f>(AN308*365)*(AO308*0.67*0.8*1)</f>
        <v>48.910000000000011</v>
      </c>
      <c r="AZ308" s="247">
        <f t="shared" si="125"/>
        <v>61.137500000000003</v>
      </c>
      <c r="BA308" s="247">
        <f t="shared" si="126"/>
        <v>6.1137500000000014</v>
      </c>
      <c r="BB308" s="247">
        <f t="shared" si="127"/>
        <v>0.3056875</v>
      </c>
      <c r="BC308" s="247">
        <f>(AN308*365)*(AO308*0.67*0.015*1)</f>
        <v>0.9170625</v>
      </c>
      <c r="BD308" s="247">
        <v>0</v>
      </c>
      <c r="BE308" s="247">
        <v>0</v>
      </c>
      <c r="BH308" s="120"/>
      <c r="BI308" s="203" t="s">
        <v>130</v>
      </c>
      <c r="BJ308" s="190" t="s">
        <v>168</v>
      </c>
      <c r="BK308" s="196">
        <f t="shared" si="128"/>
        <v>2</v>
      </c>
      <c r="BL308" s="190" t="s">
        <v>413</v>
      </c>
      <c r="BM308" s="189">
        <v>0.2</v>
      </c>
      <c r="BN308" s="189">
        <v>0.5</v>
      </c>
      <c r="BO308" s="188" t="s">
        <v>258</v>
      </c>
      <c r="BP308" s="196">
        <f t="shared" si="129"/>
        <v>0.79200000000000004</v>
      </c>
      <c r="BQ308" s="190" t="s">
        <v>415</v>
      </c>
      <c r="BR308" s="189">
        <v>0.2</v>
      </c>
      <c r="BS308" s="189">
        <v>0.5</v>
      </c>
      <c r="BT308" s="188" t="s">
        <v>258</v>
      </c>
      <c r="BU308" s="178"/>
      <c r="BV308" s="196">
        <v>50</v>
      </c>
      <c r="BW308" s="190" t="s">
        <v>414</v>
      </c>
      <c r="BX308" s="178"/>
      <c r="BY308" s="196">
        <v>236.01600000000002</v>
      </c>
      <c r="BZ308" s="190" t="s">
        <v>414</v>
      </c>
      <c r="CA308" s="178"/>
      <c r="CB308" s="180"/>
      <c r="CC308" s="178"/>
      <c r="CD308" s="178"/>
      <c r="CE308" s="180"/>
      <c r="CF308" s="180"/>
      <c r="CG308" s="180"/>
      <c r="CH308" s="180"/>
      <c r="CI308" s="178"/>
      <c r="CJ308" s="178"/>
      <c r="CK308" s="180"/>
      <c r="CL308" s="180"/>
      <c r="CM308" s="180"/>
      <c r="CN308" s="116"/>
      <c r="CO308" s="218">
        <f t="shared" si="110"/>
        <v>0.2</v>
      </c>
      <c r="CP308" s="100">
        <f t="shared" si="111"/>
        <v>0.35</v>
      </c>
      <c r="CQ308" s="218">
        <f t="shared" si="112"/>
        <v>0.5</v>
      </c>
      <c r="CR308" s="101">
        <v>0.2</v>
      </c>
      <c r="CS308" s="101">
        <v>0.5</v>
      </c>
      <c r="DA308" s="23" t="s">
        <v>130</v>
      </c>
      <c r="DB308" s="23">
        <v>2</v>
      </c>
      <c r="DC308" s="142">
        <f t="shared" si="130"/>
        <v>42</v>
      </c>
      <c r="DD308" s="142">
        <f t="shared" si="131"/>
        <v>50</v>
      </c>
      <c r="DE308" s="23">
        <v>70</v>
      </c>
      <c r="DF308" s="23">
        <v>0.36</v>
      </c>
      <c r="DG308" s="142">
        <f t="shared" si="132"/>
        <v>25.2</v>
      </c>
      <c r="DH308" s="23">
        <v>0.02</v>
      </c>
      <c r="DI308" s="149">
        <f t="shared" si="133"/>
        <v>0.79200000000000004</v>
      </c>
      <c r="DJ308" s="149">
        <f t="shared" si="134"/>
        <v>245.52</v>
      </c>
      <c r="DK308" s="149">
        <f t="shared" si="135"/>
        <v>236.01600000000002</v>
      </c>
      <c r="DL308" s="150">
        <f t="shared" si="136"/>
        <v>287.52</v>
      </c>
      <c r="DM308" s="150">
        <f t="shared" si="136"/>
        <v>286.01600000000002</v>
      </c>
      <c r="DN308" s="116" t="s">
        <v>168</v>
      </c>
      <c r="DO308" s="101" t="s">
        <v>392</v>
      </c>
    </row>
    <row r="309" spans="15:119" s="101" customFormat="1" ht="33.75" hidden="1" thickBot="1" x14ac:dyDescent="0.4">
      <c r="O309" s="227" t="s">
        <v>131</v>
      </c>
      <c r="Q309" s="243">
        <v>0.82</v>
      </c>
      <c r="R309" s="243">
        <v>1.8</v>
      </c>
      <c r="S309" s="246">
        <f t="shared" si="124"/>
        <v>0</v>
      </c>
      <c r="T309" s="246">
        <f t="shared" si="124"/>
        <v>0</v>
      </c>
      <c r="U309" s="246">
        <f t="shared" si="124"/>
        <v>4.2329571428571426E-3</v>
      </c>
      <c r="V309" s="246">
        <f t="shared" si="124"/>
        <v>1.6931828571428571E-2</v>
      </c>
      <c r="W309" s="246">
        <f t="shared" si="124"/>
        <v>4.2329571428571426E-3</v>
      </c>
      <c r="X309" s="246">
        <f t="shared" si="124"/>
        <v>0</v>
      </c>
      <c r="Y309" s="246">
        <v>0</v>
      </c>
      <c r="Z309" s="246">
        <v>0</v>
      </c>
      <c r="AA309" s="246">
        <f t="shared" si="124"/>
        <v>0</v>
      </c>
      <c r="AB309" s="246">
        <f t="shared" si="124"/>
        <v>0</v>
      </c>
      <c r="AC309" s="246">
        <f t="shared" si="124"/>
        <v>5.0795485714285717E-3</v>
      </c>
      <c r="AD309" s="246">
        <f t="shared" si="124"/>
        <v>0</v>
      </c>
      <c r="AE309" s="246">
        <f t="shared" si="124"/>
        <v>8.4659142857142863E-2</v>
      </c>
      <c r="AF309" s="246">
        <f t="shared" si="124"/>
        <v>8.4659142857142853E-3</v>
      </c>
      <c r="AG309" s="246">
        <f t="shared" si="124"/>
        <v>8.4659142857142853E-3</v>
      </c>
      <c r="AH309" s="243"/>
      <c r="AI309" s="102">
        <v>0.01</v>
      </c>
      <c r="AJ309" s="102">
        <v>1.2</v>
      </c>
      <c r="AL309" s="100">
        <v>0</v>
      </c>
      <c r="AM309" s="237">
        <v>0.3</v>
      </c>
      <c r="AN309" s="241">
        <v>0.1</v>
      </c>
      <c r="AO309" s="241">
        <v>0.24</v>
      </c>
      <c r="AP309" s="247">
        <f>(AN309*365)*(AO309*0.67*0.01*1)</f>
        <v>5.8692000000000001E-2</v>
      </c>
      <c r="AQ309" s="247">
        <f>(AN309*365)*(AO309*0.67*0.001*1)</f>
        <v>5.8691999999999998E-3</v>
      </c>
      <c r="AR309" s="248"/>
      <c r="AS309" s="247">
        <f>(AN309*365)*(AO309*0.67*0.02*1)</f>
        <v>0.117384</v>
      </c>
      <c r="AT309" s="247">
        <f>(AN309*365)*(AO309*0.67*0.01*1)</f>
        <v>5.8692000000000001E-2</v>
      </c>
      <c r="AU309" s="247">
        <f>(AN309*365)*(AO309*0.67*0.25*1)</f>
        <v>1.4673</v>
      </c>
      <c r="AV309" s="247">
        <f>(AN309*365)*(AO309*0.67*0.73*1)</f>
        <v>4.284516</v>
      </c>
      <c r="AW309" s="247">
        <v>0</v>
      </c>
      <c r="AX309" s="247" t="s">
        <v>541</v>
      </c>
      <c r="AY309" s="247">
        <v>0</v>
      </c>
      <c r="AZ309" s="247">
        <f t="shared" si="125"/>
        <v>5.8692000000000002</v>
      </c>
      <c r="BA309" s="247">
        <f t="shared" si="126"/>
        <v>0.58692</v>
      </c>
      <c r="BB309" s="247">
        <f t="shared" si="127"/>
        <v>2.9346000000000001E-2</v>
      </c>
      <c r="BC309" s="247">
        <f>(AN309*365)*(AO309*0.67*0.005*1)</f>
        <v>2.9346000000000001E-2</v>
      </c>
      <c r="BD309" s="247">
        <f>(AN309*365)*(AO309*0.67*0.0015*1)</f>
        <v>8.8038000000000005E-3</v>
      </c>
      <c r="BE309" s="247">
        <v>0</v>
      </c>
      <c r="BH309" s="120"/>
      <c r="BI309" s="203" t="s">
        <v>131</v>
      </c>
      <c r="BJ309" s="190" t="s">
        <v>169</v>
      </c>
      <c r="BK309" s="196">
        <f t="shared" si="128"/>
        <v>1.2E-2</v>
      </c>
      <c r="BL309" s="190" t="s">
        <v>413</v>
      </c>
      <c r="BM309" s="189">
        <v>0.2</v>
      </c>
      <c r="BN309" s="189">
        <v>0.5</v>
      </c>
      <c r="BO309" s="188" t="s">
        <v>258</v>
      </c>
      <c r="BP309" s="196">
        <f t="shared" si="129"/>
        <v>7.92E-3</v>
      </c>
      <c r="BQ309" s="190" t="s">
        <v>415</v>
      </c>
      <c r="BR309" s="189">
        <v>0.2</v>
      </c>
      <c r="BS309" s="189">
        <v>0.5</v>
      </c>
      <c r="BT309" s="188" t="s">
        <v>258</v>
      </c>
      <c r="BU309" s="178"/>
      <c r="BV309" s="196">
        <v>0.3</v>
      </c>
      <c r="BW309" s="190" t="s">
        <v>414</v>
      </c>
      <c r="BX309" s="178"/>
      <c r="BY309" s="196">
        <v>2.36016</v>
      </c>
      <c r="BZ309" s="190" t="s">
        <v>414</v>
      </c>
      <c r="CA309" s="178"/>
      <c r="CB309" s="180"/>
      <c r="CC309" s="178"/>
      <c r="CD309" s="178"/>
      <c r="CE309" s="180"/>
      <c r="CF309" s="180"/>
      <c r="CG309" s="180"/>
      <c r="CH309" s="180"/>
      <c r="CI309" s="178"/>
      <c r="CJ309" s="178"/>
      <c r="CK309" s="180"/>
      <c r="CL309" s="180"/>
      <c r="CM309" s="180"/>
      <c r="CN309" s="116"/>
      <c r="CO309" s="218">
        <f t="shared" si="110"/>
        <v>0.2</v>
      </c>
      <c r="CP309" s="100">
        <f t="shared" si="111"/>
        <v>0.35</v>
      </c>
      <c r="CQ309" s="218">
        <f t="shared" si="112"/>
        <v>0.5</v>
      </c>
      <c r="CR309" s="101">
        <v>0.2</v>
      </c>
      <c r="CS309" s="101">
        <v>0.5</v>
      </c>
      <c r="DA309" s="23" t="s">
        <v>131</v>
      </c>
      <c r="DB309" s="23">
        <v>1.2E-2</v>
      </c>
      <c r="DC309" s="142">
        <f t="shared" si="130"/>
        <v>0.252</v>
      </c>
      <c r="DD309" s="142">
        <f t="shared" si="131"/>
        <v>0.3</v>
      </c>
      <c r="DE309" s="23">
        <v>0.6</v>
      </c>
      <c r="DF309" s="23">
        <v>0.42</v>
      </c>
      <c r="DG309" s="142">
        <f t="shared" si="132"/>
        <v>0.252</v>
      </c>
      <c r="DH309" s="23">
        <v>0.02</v>
      </c>
      <c r="DI309" s="149">
        <f t="shared" si="133"/>
        <v>7.92E-3</v>
      </c>
      <c r="DJ309" s="149">
        <f t="shared" si="134"/>
        <v>2.4552</v>
      </c>
      <c r="DK309" s="149">
        <f t="shared" si="135"/>
        <v>2.36016</v>
      </c>
      <c r="DL309" s="150">
        <f t="shared" si="136"/>
        <v>2.7072000000000003</v>
      </c>
      <c r="DM309" s="150">
        <f t="shared" si="136"/>
        <v>2.6601599999999999</v>
      </c>
      <c r="DN309" s="116" t="s">
        <v>169</v>
      </c>
      <c r="DO309" s="101" t="s">
        <v>393</v>
      </c>
    </row>
    <row r="310" spans="15:119" s="101" customFormat="1" ht="33.75" hidden="1" thickBot="1" x14ac:dyDescent="0.4">
      <c r="O310" s="227" t="s">
        <v>132</v>
      </c>
      <c r="Q310" s="243">
        <v>0.82</v>
      </c>
      <c r="R310" s="243">
        <v>1.8</v>
      </c>
      <c r="S310" s="246">
        <f t="shared" si="124"/>
        <v>0</v>
      </c>
      <c r="T310" s="246">
        <f t="shared" si="124"/>
        <v>0</v>
      </c>
      <c r="U310" s="246">
        <f t="shared" si="124"/>
        <v>4.2329571428571426E-3</v>
      </c>
      <c r="V310" s="246">
        <f t="shared" si="124"/>
        <v>1.6931828571428571E-2</v>
      </c>
      <c r="W310" s="246">
        <f t="shared" si="124"/>
        <v>4.2329571428571426E-3</v>
      </c>
      <c r="X310" s="246">
        <f t="shared" si="124"/>
        <v>0</v>
      </c>
      <c r="Y310" s="246">
        <v>0</v>
      </c>
      <c r="Z310" s="246">
        <v>0</v>
      </c>
      <c r="AA310" s="246">
        <f t="shared" si="124"/>
        <v>0</v>
      </c>
      <c r="AB310" s="246">
        <f t="shared" si="124"/>
        <v>0</v>
      </c>
      <c r="AC310" s="246">
        <f t="shared" si="124"/>
        <v>5.0795485714285717E-3</v>
      </c>
      <c r="AD310" s="246">
        <f t="shared" si="124"/>
        <v>0</v>
      </c>
      <c r="AE310" s="246">
        <f t="shared" si="124"/>
        <v>8.4659142857142863E-2</v>
      </c>
      <c r="AF310" s="246">
        <f t="shared" si="124"/>
        <v>8.4659142857142853E-3</v>
      </c>
      <c r="AG310" s="246">
        <f t="shared" si="124"/>
        <v>8.4659142857142853E-3</v>
      </c>
      <c r="AH310" s="243"/>
      <c r="AI310" s="102">
        <v>0.02</v>
      </c>
      <c r="AJ310" s="102">
        <v>1.4</v>
      </c>
      <c r="AL310" s="100">
        <v>0</v>
      </c>
      <c r="AM310" s="237">
        <v>0.3</v>
      </c>
      <c r="AN310" s="241">
        <v>0.1</v>
      </c>
      <c r="AO310" s="241">
        <v>0.24</v>
      </c>
      <c r="AP310" s="247">
        <f>(AN310*365)*(AO310*0.67*0.015*1)</f>
        <v>8.8038000000000005E-2</v>
      </c>
      <c r="AQ310" s="247">
        <f>(AN310*365)*(AO310*0.67*0.005*1)</f>
        <v>2.9346000000000001E-2</v>
      </c>
      <c r="AR310" s="248"/>
      <c r="AS310" s="247">
        <f>(AN310*365)*(AO310*0.67*0.04*1)</f>
        <v>0.234768</v>
      </c>
      <c r="AT310" s="247">
        <f>(AN310*365)*(AO310*0.67*0.015*1)</f>
        <v>8.8038000000000005E-2</v>
      </c>
      <c r="AU310" s="247">
        <f>(AN310*365)*(AO310*0.67*0.65*1)</f>
        <v>3.8149800000000003</v>
      </c>
      <c r="AV310" s="247">
        <f>(AN310*365)*(AO310*0.67*0.79*1)</f>
        <v>4.6366680000000002</v>
      </c>
      <c r="AW310" s="247">
        <v>0</v>
      </c>
      <c r="AX310" s="247" t="s">
        <v>541</v>
      </c>
      <c r="AY310" s="247">
        <v>0</v>
      </c>
      <c r="AZ310" s="247">
        <f t="shared" si="125"/>
        <v>5.8692000000000002</v>
      </c>
      <c r="BA310" s="247">
        <f t="shared" si="126"/>
        <v>0.58692</v>
      </c>
      <c r="BB310" s="247">
        <f t="shared" si="127"/>
        <v>2.9346000000000001E-2</v>
      </c>
      <c r="BC310" s="247">
        <f>(AN310*365)*(AO310*0.67*0.01*1)</f>
        <v>5.8692000000000001E-2</v>
      </c>
      <c r="BD310" s="247">
        <f>(AN310*365)*(AO310*0.67*0.0015*1)</f>
        <v>8.8038000000000005E-3</v>
      </c>
      <c r="BE310" s="247">
        <v>0</v>
      </c>
      <c r="BH310" s="120"/>
      <c r="BI310" s="203" t="s">
        <v>132</v>
      </c>
      <c r="BJ310" s="190" t="s">
        <v>169</v>
      </c>
      <c r="BK310" s="196">
        <f t="shared" si="128"/>
        <v>1.7999999999999999E-2</v>
      </c>
      <c r="BL310" s="190" t="s">
        <v>413</v>
      </c>
      <c r="BM310" s="189">
        <v>0.2</v>
      </c>
      <c r="BN310" s="189">
        <v>0.5</v>
      </c>
      <c r="BO310" s="188" t="s">
        <v>258</v>
      </c>
      <c r="BP310" s="196">
        <f t="shared" si="129"/>
        <v>7.92E-3</v>
      </c>
      <c r="BQ310" s="190" t="s">
        <v>415</v>
      </c>
      <c r="BR310" s="189">
        <v>0.2</v>
      </c>
      <c r="BS310" s="189">
        <v>0.5</v>
      </c>
      <c r="BT310" s="188" t="s">
        <v>258</v>
      </c>
      <c r="BU310" s="178"/>
      <c r="BV310" s="196">
        <v>0.44999999999999996</v>
      </c>
      <c r="BW310" s="190" t="s">
        <v>414</v>
      </c>
      <c r="BX310" s="178"/>
      <c r="BY310" s="196">
        <v>2.36016</v>
      </c>
      <c r="BZ310" s="190" t="s">
        <v>414</v>
      </c>
      <c r="CA310" s="178"/>
      <c r="CB310" s="180"/>
      <c r="CC310" s="178"/>
      <c r="CD310" s="178"/>
      <c r="CE310" s="180"/>
      <c r="CF310" s="180"/>
      <c r="CG310" s="180"/>
      <c r="CH310" s="180"/>
      <c r="CI310" s="178"/>
      <c r="CJ310" s="178"/>
      <c r="CK310" s="180"/>
      <c r="CL310" s="180"/>
      <c r="CM310" s="180"/>
      <c r="CN310" s="116"/>
      <c r="CO310" s="218">
        <f t="shared" si="110"/>
        <v>0.2</v>
      </c>
      <c r="CP310" s="100">
        <f t="shared" si="111"/>
        <v>0.35</v>
      </c>
      <c r="CQ310" s="218">
        <f t="shared" si="112"/>
        <v>0.5</v>
      </c>
      <c r="CR310" s="101">
        <v>0.2</v>
      </c>
      <c r="CS310" s="101">
        <v>0.5</v>
      </c>
      <c r="DA310" s="23" t="s">
        <v>132</v>
      </c>
      <c r="DB310" s="23">
        <v>1.7999999999999999E-2</v>
      </c>
      <c r="DC310" s="142">
        <f t="shared" si="130"/>
        <v>0.37799999999999995</v>
      </c>
      <c r="DD310" s="142">
        <f t="shared" si="131"/>
        <v>0.44999999999999996</v>
      </c>
      <c r="DE310" s="23">
        <v>0.6</v>
      </c>
      <c r="DF310" s="23">
        <v>0.42</v>
      </c>
      <c r="DG310" s="142">
        <f t="shared" si="132"/>
        <v>0.252</v>
      </c>
      <c r="DH310" s="23">
        <v>0.02</v>
      </c>
      <c r="DI310" s="149">
        <f t="shared" si="133"/>
        <v>7.92E-3</v>
      </c>
      <c r="DJ310" s="149">
        <f t="shared" si="134"/>
        <v>2.4552</v>
      </c>
      <c r="DK310" s="149">
        <f t="shared" si="135"/>
        <v>2.36016</v>
      </c>
      <c r="DL310" s="150">
        <f t="shared" si="136"/>
        <v>2.8332000000000002</v>
      </c>
      <c r="DM310" s="150">
        <f t="shared" si="136"/>
        <v>2.8101599999999998</v>
      </c>
      <c r="DN310" s="116" t="s">
        <v>169</v>
      </c>
      <c r="DO310" s="101" t="s">
        <v>393</v>
      </c>
    </row>
    <row r="311" spans="15:119" s="101" customFormat="1" ht="33.75" hidden="1" thickBot="1" x14ac:dyDescent="0.4">
      <c r="O311" s="227" t="s">
        <v>133</v>
      </c>
      <c r="Q311" s="243">
        <v>0.82</v>
      </c>
      <c r="R311" s="243">
        <v>1.8</v>
      </c>
      <c r="S311" s="246">
        <f t="shared" si="124"/>
        <v>0</v>
      </c>
      <c r="T311" s="246">
        <f t="shared" si="124"/>
        <v>0</v>
      </c>
      <c r="U311" s="246">
        <f t="shared" si="124"/>
        <v>4.2329571428571426E-3</v>
      </c>
      <c r="V311" s="246">
        <f t="shared" si="124"/>
        <v>1.6931828571428571E-2</v>
      </c>
      <c r="W311" s="246">
        <f t="shared" si="124"/>
        <v>4.2329571428571426E-3</v>
      </c>
      <c r="X311" s="246">
        <f t="shared" si="124"/>
        <v>0</v>
      </c>
      <c r="Y311" s="246">
        <v>0</v>
      </c>
      <c r="Z311" s="246">
        <v>0</v>
      </c>
      <c r="AA311" s="246">
        <f t="shared" si="124"/>
        <v>0</v>
      </c>
      <c r="AB311" s="246">
        <f t="shared" si="124"/>
        <v>0</v>
      </c>
      <c r="AC311" s="246">
        <f t="shared" si="124"/>
        <v>5.0795485714285717E-3</v>
      </c>
      <c r="AD311" s="246">
        <f t="shared" si="124"/>
        <v>0</v>
      </c>
      <c r="AE311" s="246">
        <f t="shared" si="124"/>
        <v>8.4659142857142863E-2</v>
      </c>
      <c r="AF311" s="246">
        <f t="shared" si="124"/>
        <v>8.4659142857142853E-3</v>
      </c>
      <c r="AG311" s="246">
        <f t="shared" si="124"/>
        <v>8.4659142857142853E-3</v>
      </c>
      <c r="AH311" s="243"/>
      <c r="AI311" s="102">
        <v>0.02</v>
      </c>
      <c r="AJ311" s="102">
        <v>1.4</v>
      </c>
      <c r="AL311" s="100">
        <v>0</v>
      </c>
      <c r="AM311" s="237">
        <v>0.3</v>
      </c>
      <c r="AN311" s="241">
        <v>0.1</v>
      </c>
      <c r="AO311" s="241">
        <v>0.24</v>
      </c>
      <c r="AP311" s="247">
        <f>(AN311*365)*(AO311*0.67*0.02*1)</f>
        <v>0.117384</v>
      </c>
      <c r="AQ311" s="247">
        <f>(AN311*365)*(AO311*0.67*0.01*1)</f>
        <v>5.8692000000000001E-2</v>
      </c>
      <c r="AR311" s="248"/>
      <c r="AS311" s="247">
        <f>(AN311*365)*(AO311*0.67*0.05*1)</f>
        <v>0.29346</v>
      </c>
      <c r="AT311" s="247">
        <f>(AN311*365)*(AO311*0.67*0.02*1)</f>
        <v>0.117384</v>
      </c>
      <c r="AU311" s="247">
        <f>(AN311*365)*(AO311*0.67*0.8*1)</f>
        <v>4.69536</v>
      </c>
      <c r="AV311" s="247">
        <f>(AN311*365)*(AO311*0.67*0.8*1)</f>
        <v>4.69536</v>
      </c>
      <c r="AW311" s="247">
        <v>0</v>
      </c>
      <c r="AX311" s="247" t="s">
        <v>541</v>
      </c>
      <c r="AY311" s="247">
        <v>0</v>
      </c>
      <c r="AZ311" s="247">
        <f t="shared" si="125"/>
        <v>5.8692000000000002</v>
      </c>
      <c r="BA311" s="247">
        <f t="shared" si="126"/>
        <v>0.58692</v>
      </c>
      <c r="BB311" s="247">
        <f t="shared" si="127"/>
        <v>2.9346000000000001E-2</v>
      </c>
      <c r="BC311" s="247">
        <f>(AN311*365)*(AO311*0.67*0.015*1)</f>
        <v>8.8038000000000005E-2</v>
      </c>
      <c r="BD311" s="247">
        <f>(AN311*365)*(AO311*0.67*0.0015*1)</f>
        <v>8.8038000000000005E-3</v>
      </c>
      <c r="BE311" s="247">
        <v>0</v>
      </c>
      <c r="BH311" s="120"/>
      <c r="BI311" s="203" t="s">
        <v>133</v>
      </c>
      <c r="BJ311" s="190" t="s">
        <v>169</v>
      </c>
      <c r="BK311" s="196">
        <f t="shared" si="128"/>
        <v>2.3E-2</v>
      </c>
      <c r="BL311" s="190" t="s">
        <v>413</v>
      </c>
      <c r="BM311" s="189">
        <v>0.2</v>
      </c>
      <c r="BN311" s="189">
        <v>0.5</v>
      </c>
      <c r="BO311" s="188" t="s">
        <v>258</v>
      </c>
      <c r="BP311" s="196">
        <f t="shared" si="129"/>
        <v>7.92E-3</v>
      </c>
      <c r="BQ311" s="190" t="s">
        <v>415</v>
      </c>
      <c r="BR311" s="189">
        <v>0.2</v>
      </c>
      <c r="BS311" s="189">
        <v>0.5</v>
      </c>
      <c r="BT311" s="188" t="s">
        <v>258</v>
      </c>
      <c r="BU311" s="178"/>
      <c r="BV311" s="196">
        <v>0.57499999999999996</v>
      </c>
      <c r="BW311" s="190" t="s">
        <v>414</v>
      </c>
      <c r="BX311" s="178"/>
      <c r="BY311" s="196">
        <v>2.36016</v>
      </c>
      <c r="BZ311" s="190" t="s">
        <v>414</v>
      </c>
      <c r="CA311" s="178"/>
      <c r="CB311" s="180"/>
      <c r="CC311" s="178"/>
      <c r="CD311" s="178"/>
      <c r="CE311" s="180"/>
      <c r="CF311" s="180"/>
      <c r="CG311" s="180"/>
      <c r="CH311" s="180"/>
      <c r="CI311" s="178"/>
      <c r="CJ311" s="178"/>
      <c r="CK311" s="180"/>
      <c r="CL311" s="180"/>
      <c r="CM311" s="180"/>
      <c r="CN311" s="116"/>
      <c r="CO311" s="218">
        <f t="shared" si="110"/>
        <v>0.2</v>
      </c>
      <c r="CP311" s="100">
        <f t="shared" si="111"/>
        <v>0.35</v>
      </c>
      <c r="CQ311" s="218">
        <f t="shared" si="112"/>
        <v>0.5</v>
      </c>
      <c r="CR311" s="101">
        <v>0.2</v>
      </c>
      <c r="CS311" s="101">
        <v>0.5</v>
      </c>
      <c r="DA311" s="23" t="s">
        <v>133</v>
      </c>
      <c r="DB311" s="23">
        <v>2.3E-2</v>
      </c>
      <c r="DC311" s="142">
        <f t="shared" si="130"/>
        <v>0.48299999999999998</v>
      </c>
      <c r="DD311" s="142">
        <f t="shared" si="131"/>
        <v>0.57499999999999996</v>
      </c>
      <c r="DE311" s="23">
        <v>0.6</v>
      </c>
      <c r="DF311" s="23">
        <v>0.42</v>
      </c>
      <c r="DG311" s="142">
        <f t="shared" si="132"/>
        <v>0.252</v>
      </c>
      <c r="DH311" s="23">
        <v>0.02</v>
      </c>
      <c r="DI311" s="149">
        <f t="shared" si="133"/>
        <v>7.92E-3</v>
      </c>
      <c r="DJ311" s="149">
        <f t="shared" si="134"/>
        <v>2.4552</v>
      </c>
      <c r="DK311" s="149">
        <f t="shared" si="135"/>
        <v>2.36016</v>
      </c>
      <c r="DL311" s="150">
        <f t="shared" si="136"/>
        <v>2.9382000000000001</v>
      </c>
      <c r="DM311" s="150">
        <f t="shared" si="136"/>
        <v>2.9351599999999998</v>
      </c>
      <c r="DN311" s="116" t="s">
        <v>169</v>
      </c>
      <c r="DO311" s="101" t="s">
        <v>393</v>
      </c>
    </row>
    <row r="312" spans="15:119" s="101" customFormat="1" ht="33.75" hidden="1" thickBot="1" x14ac:dyDescent="0.4">
      <c r="O312" s="227" t="s">
        <v>134</v>
      </c>
      <c r="Q312" s="243">
        <v>1.17</v>
      </c>
      <c r="R312" s="243">
        <v>28</v>
      </c>
      <c r="S312" s="246">
        <f t="shared" si="124"/>
        <v>0</v>
      </c>
      <c r="T312" s="246">
        <f t="shared" si="124"/>
        <v>0</v>
      </c>
      <c r="U312" s="246">
        <f t="shared" si="124"/>
        <v>9.3950999999999993E-2</v>
      </c>
      <c r="V312" s="246">
        <f t="shared" si="124"/>
        <v>0.37580399999999997</v>
      </c>
      <c r="W312" s="246">
        <f t="shared" si="124"/>
        <v>9.3950999999999993E-2</v>
      </c>
      <c r="X312" s="246">
        <f t="shared" si="124"/>
        <v>0</v>
      </c>
      <c r="Y312" s="246">
        <f t="shared" si="124"/>
        <v>0.18790199999999999</v>
      </c>
      <c r="Z312" s="246">
        <f t="shared" si="124"/>
        <v>1.3153140000000001</v>
      </c>
      <c r="AA312" s="246">
        <f t="shared" si="124"/>
        <v>0</v>
      </c>
      <c r="AB312" s="246">
        <f t="shared" si="124"/>
        <v>0</v>
      </c>
      <c r="AC312" s="246">
        <f t="shared" si="124"/>
        <v>0.1127412</v>
      </c>
      <c r="AD312" s="246">
        <f t="shared" si="124"/>
        <v>0</v>
      </c>
      <c r="AE312" s="246">
        <f t="shared" si="124"/>
        <v>1.8790199999999999</v>
      </c>
      <c r="AF312" s="246">
        <v>0</v>
      </c>
      <c r="AG312" s="246">
        <f t="shared" si="124"/>
        <v>0.18790199999999999</v>
      </c>
      <c r="AH312" s="243"/>
      <c r="AI312" s="102">
        <v>0.1</v>
      </c>
      <c r="AJ312" s="100">
        <v>0</v>
      </c>
      <c r="AL312" s="100">
        <v>0</v>
      </c>
      <c r="AM312" s="237">
        <v>0.3</v>
      </c>
      <c r="AN312" s="241">
        <v>0.32</v>
      </c>
      <c r="AO312" s="241">
        <v>0.13</v>
      </c>
      <c r="AP312" s="247">
        <f>(AN312*365)*(AO312*0.67*0.01*1)</f>
        <v>0.10173280000000001</v>
      </c>
      <c r="AQ312" s="247">
        <f>(AN312*365)*(AO312*0.67*0.001*1)</f>
        <v>1.0173280000000002E-2</v>
      </c>
      <c r="AR312" s="248"/>
      <c r="AS312" s="247">
        <f>(AN312*365)*(AO312*0.67*0.02*1)</f>
        <v>0.20346560000000002</v>
      </c>
      <c r="AT312" s="247">
        <f>(AN312*365)*(AO312*0.67*0.01*1)</f>
        <v>0.10173280000000001</v>
      </c>
      <c r="AU312" s="247">
        <f>(AN312*365)*(AO312*0.67*0.25*1)</f>
        <v>2.5433200000000005</v>
      </c>
      <c r="AV312" s="247">
        <f>(AN312*365)*(AO312*0.67*0.73*1)</f>
        <v>7.4264944000000002</v>
      </c>
      <c r="AW312" s="247">
        <f>(AN312*365)*(AO312*0.67*0.03*1)</f>
        <v>0.30519840000000004</v>
      </c>
      <c r="AX312" s="248"/>
      <c r="AY312" s="247">
        <f>(AN312*365)*(AO312*0.67*0.25*1)</f>
        <v>2.5433200000000005</v>
      </c>
      <c r="AZ312" s="247">
        <f t="shared" si="125"/>
        <v>10.173280000000002</v>
      </c>
      <c r="BA312" s="247">
        <f t="shared" si="126"/>
        <v>1.017328</v>
      </c>
      <c r="BB312" s="247">
        <f t="shared" si="127"/>
        <v>5.0866400000000006E-2</v>
      </c>
      <c r="BC312" s="247">
        <f>(AN312*365)*(AO312*0.67*0.005*1)</f>
        <v>5.0866400000000006E-2</v>
      </c>
      <c r="BD312" s="247">
        <v>0</v>
      </c>
      <c r="BE312" s="247">
        <v>0</v>
      </c>
      <c r="BH312" s="120"/>
      <c r="BI312" s="203" t="s">
        <v>134</v>
      </c>
      <c r="BJ312" s="190" t="s">
        <v>168</v>
      </c>
      <c r="BK312" s="196">
        <f t="shared" si="128"/>
        <v>0.1</v>
      </c>
      <c r="BL312" s="190" t="s">
        <v>413</v>
      </c>
      <c r="BM312" s="189">
        <v>0.2</v>
      </c>
      <c r="BN312" s="189">
        <v>0.5</v>
      </c>
      <c r="BO312" s="188" t="s">
        <v>258</v>
      </c>
      <c r="BP312" s="196">
        <f t="shared" si="129"/>
        <v>0.37714285714285711</v>
      </c>
      <c r="BQ312" s="190" t="s">
        <v>415</v>
      </c>
      <c r="BR312" s="189">
        <v>0.2</v>
      </c>
      <c r="BS312" s="189">
        <v>0.5</v>
      </c>
      <c r="BT312" s="188" t="s">
        <v>258</v>
      </c>
      <c r="BU312" s="178"/>
      <c r="BV312" s="196">
        <v>2.5</v>
      </c>
      <c r="BW312" s="190" t="s">
        <v>414</v>
      </c>
      <c r="BX312" s="178"/>
      <c r="BY312" s="196">
        <v>112.38857142857142</v>
      </c>
      <c r="BZ312" s="190" t="s">
        <v>414</v>
      </c>
      <c r="CA312" s="178"/>
      <c r="CB312" s="180"/>
      <c r="CC312" s="178"/>
      <c r="CD312" s="178"/>
      <c r="CE312" s="180"/>
      <c r="CF312" s="180"/>
      <c r="CG312" s="180"/>
      <c r="CH312" s="180"/>
      <c r="CI312" s="178"/>
      <c r="CJ312" s="178"/>
      <c r="CK312" s="180"/>
      <c r="CL312" s="180"/>
      <c r="CM312" s="180"/>
      <c r="CN312" s="116"/>
      <c r="CO312" s="218">
        <f t="shared" si="110"/>
        <v>0.2</v>
      </c>
      <c r="CP312" s="100">
        <f t="shared" si="111"/>
        <v>0.35</v>
      </c>
      <c r="CQ312" s="218">
        <f t="shared" si="112"/>
        <v>0.5</v>
      </c>
      <c r="CR312" s="101">
        <v>0.2</v>
      </c>
      <c r="CS312" s="101">
        <v>0.5</v>
      </c>
      <c r="DA312" s="23" t="s">
        <v>134</v>
      </c>
      <c r="DB312" s="23">
        <v>0.1</v>
      </c>
      <c r="DC312" s="142">
        <f t="shared" si="130"/>
        <v>2.1</v>
      </c>
      <c r="DD312" s="142">
        <f t="shared" si="131"/>
        <v>2.5</v>
      </c>
      <c r="DE312" s="23">
        <v>12</v>
      </c>
      <c r="DF312" s="23">
        <v>1</v>
      </c>
      <c r="DG312" s="142">
        <f t="shared" si="132"/>
        <v>12</v>
      </c>
      <c r="DH312" s="23">
        <v>0.02</v>
      </c>
      <c r="DI312" s="149">
        <f t="shared" si="133"/>
        <v>0.37714285714285711</v>
      </c>
      <c r="DJ312" s="149">
        <f t="shared" si="134"/>
        <v>116.91428571428571</v>
      </c>
      <c r="DK312" s="149">
        <f t="shared" si="135"/>
        <v>112.38857142857142</v>
      </c>
      <c r="DL312" s="150">
        <f t="shared" si="136"/>
        <v>119.01428571428571</v>
      </c>
      <c r="DM312" s="150">
        <f t="shared" si="136"/>
        <v>114.88857142857142</v>
      </c>
      <c r="DN312" s="116" t="s">
        <v>168</v>
      </c>
      <c r="DO312" s="101" t="s">
        <v>392</v>
      </c>
    </row>
    <row r="313" spans="15:119" s="101" customFormat="1" ht="33.75" hidden="1" thickBot="1" x14ac:dyDescent="0.4">
      <c r="O313" s="227" t="s">
        <v>335</v>
      </c>
      <c r="Q313" s="243">
        <v>1.17</v>
      </c>
      <c r="R313" s="243">
        <v>28</v>
      </c>
      <c r="S313" s="246">
        <f t="shared" si="124"/>
        <v>0</v>
      </c>
      <c r="T313" s="246">
        <f t="shared" si="124"/>
        <v>0</v>
      </c>
      <c r="U313" s="246">
        <f t="shared" si="124"/>
        <v>9.3950999999999993E-2</v>
      </c>
      <c r="V313" s="246">
        <f t="shared" si="124"/>
        <v>0.37580399999999997</v>
      </c>
      <c r="W313" s="246">
        <f t="shared" si="124"/>
        <v>9.3950999999999993E-2</v>
      </c>
      <c r="X313" s="246">
        <f t="shared" si="124"/>
        <v>0</v>
      </c>
      <c r="Y313" s="246">
        <f t="shared" si="124"/>
        <v>0.18790199999999999</v>
      </c>
      <c r="Z313" s="246">
        <f t="shared" si="124"/>
        <v>1.3153140000000001</v>
      </c>
      <c r="AA313" s="246">
        <f t="shared" si="124"/>
        <v>0</v>
      </c>
      <c r="AB313" s="246">
        <f t="shared" si="124"/>
        <v>0</v>
      </c>
      <c r="AC313" s="246">
        <f t="shared" si="124"/>
        <v>0.1127412</v>
      </c>
      <c r="AD313" s="246">
        <f t="shared" si="124"/>
        <v>0</v>
      </c>
      <c r="AE313" s="246">
        <f t="shared" si="124"/>
        <v>1.8790199999999999</v>
      </c>
      <c r="AF313" s="246">
        <v>0</v>
      </c>
      <c r="AG313" s="246">
        <f t="shared" si="124"/>
        <v>0.18790199999999999</v>
      </c>
      <c r="AH313" s="243"/>
      <c r="AI313" s="102">
        <v>0.15</v>
      </c>
      <c r="AJ313" s="100">
        <v>0</v>
      </c>
      <c r="AL313" s="100">
        <v>0</v>
      </c>
      <c r="AM313" s="237">
        <v>0.3</v>
      </c>
      <c r="AN313" s="241">
        <v>0.32</v>
      </c>
      <c r="AO313" s="241">
        <v>0.13</v>
      </c>
      <c r="AP313" s="247">
        <f>(AN313*365)*(AO313*0.67*0.015*1)</f>
        <v>0.15259920000000002</v>
      </c>
      <c r="AQ313" s="247">
        <f>(AN313*365)*(AO313*0.67*0.005*1)</f>
        <v>5.0866400000000006E-2</v>
      </c>
      <c r="AR313" s="248"/>
      <c r="AS313" s="247">
        <f>(AN313*365)*(AO313*0.67*0.04*1)</f>
        <v>0.40693120000000005</v>
      </c>
      <c r="AT313" s="247">
        <f>(AN313*365)*(AO313*0.67*0.015*1)</f>
        <v>0.15259920000000002</v>
      </c>
      <c r="AU313" s="247">
        <f>(AN313*365)*(AO313*0.67*0.65*1)</f>
        <v>6.6126320000000005</v>
      </c>
      <c r="AV313" s="247">
        <f>(AN313*365)*(AO313*0.67*0.79*1)</f>
        <v>8.0368912000000012</v>
      </c>
      <c r="AW313" s="247">
        <f>(AN313*365)*(AO313*0.67*0.03*1)</f>
        <v>0.30519840000000004</v>
      </c>
      <c r="AX313" s="248"/>
      <c r="AY313" s="247">
        <f>(AN313*365)*(AO313*0.67*0.65*1)</f>
        <v>6.6126320000000005</v>
      </c>
      <c r="AZ313" s="247">
        <f t="shared" si="125"/>
        <v>10.173280000000002</v>
      </c>
      <c r="BA313" s="247">
        <f t="shared" si="126"/>
        <v>1.017328</v>
      </c>
      <c r="BB313" s="247">
        <f t="shared" si="127"/>
        <v>5.0866400000000006E-2</v>
      </c>
      <c r="BC313" s="247">
        <f>(AN313*365)*(AO313*0.67*0.01*1)</f>
        <v>0.10173280000000001</v>
      </c>
      <c r="BD313" s="247">
        <v>0</v>
      </c>
      <c r="BE313" s="247">
        <v>0</v>
      </c>
      <c r="BH313" s="120"/>
      <c r="BI313" s="203" t="s">
        <v>335</v>
      </c>
      <c r="BJ313" s="190" t="s">
        <v>168</v>
      </c>
      <c r="BK313" s="196">
        <f t="shared" si="128"/>
        <v>0.16</v>
      </c>
      <c r="BL313" s="190" t="s">
        <v>413</v>
      </c>
      <c r="BM313" s="189">
        <v>0.2</v>
      </c>
      <c r="BN313" s="189">
        <v>0.5</v>
      </c>
      <c r="BO313" s="188" t="s">
        <v>258</v>
      </c>
      <c r="BP313" s="196">
        <f t="shared" si="129"/>
        <v>0.37714285714285711</v>
      </c>
      <c r="BQ313" s="190" t="s">
        <v>415</v>
      </c>
      <c r="BR313" s="189">
        <v>0.2</v>
      </c>
      <c r="BS313" s="189">
        <v>0.5</v>
      </c>
      <c r="BT313" s="188" t="s">
        <v>258</v>
      </c>
      <c r="BU313" s="180"/>
      <c r="BV313" s="196">
        <v>4</v>
      </c>
      <c r="BW313" s="190" t="s">
        <v>414</v>
      </c>
      <c r="BX313" s="180"/>
      <c r="BY313" s="196">
        <v>112.38857142857142</v>
      </c>
      <c r="BZ313" s="190" t="s">
        <v>414</v>
      </c>
      <c r="CA313" s="178"/>
      <c r="CB313" s="180"/>
      <c r="CC313" s="178"/>
      <c r="CD313" s="178"/>
      <c r="CE313" s="180"/>
      <c r="CF313" s="180"/>
      <c r="CG313" s="180"/>
      <c r="CH313" s="180"/>
      <c r="CI313" s="178"/>
      <c r="CJ313" s="178"/>
      <c r="CK313" s="180"/>
      <c r="CL313" s="180"/>
      <c r="CM313" s="180"/>
      <c r="CN313" s="116"/>
      <c r="CO313" s="218">
        <f t="shared" si="110"/>
        <v>0.2</v>
      </c>
      <c r="CP313" s="100">
        <f t="shared" si="111"/>
        <v>0.35</v>
      </c>
      <c r="CQ313" s="218">
        <f t="shared" si="112"/>
        <v>0.5</v>
      </c>
      <c r="CR313" s="101">
        <v>0.2</v>
      </c>
      <c r="CS313" s="101">
        <v>0.5</v>
      </c>
      <c r="DA313" s="23" t="s">
        <v>335</v>
      </c>
      <c r="DB313" s="23">
        <v>0.16</v>
      </c>
      <c r="DC313" s="142">
        <f t="shared" si="130"/>
        <v>3.36</v>
      </c>
      <c r="DD313" s="142">
        <f t="shared" si="131"/>
        <v>4</v>
      </c>
      <c r="DE313" s="23">
        <v>12</v>
      </c>
      <c r="DF313" s="23">
        <v>1</v>
      </c>
      <c r="DG313" s="142">
        <f t="shared" si="132"/>
        <v>12</v>
      </c>
      <c r="DH313" s="23">
        <v>0.02</v>
      </c>
      <c r="DI313" s="149">
        <f t="shared" si="133"/>
        <v>0.37714285714285711</v>
      </c>
      <c r="DJ313" s="149">
        <f t="shared" si="134"/>
        <v>116.91428571428571</v>
      </c>
      <c r="DK313" s="149">
        <f t="shared" si="135"/>
        <v>112.38857142857142</v>
      </c>
      <c r="DL313" s="150">
        <f t="shared" si="136"/>
        <v>120.27428571428571</v>
      </c>
      <c r="DM313" s="150">
        <f t="shared" si="136"/>
        <v>116.38857142857142</v>
      </c>
      <c r="DN313" s="116" t="s">
        <v>168</v>
      </c>
      <c r="DO313" s="101" t="s">
        <v>392</v>
      </c>
    </row>
    <row r="314" spans="15:119" s="101" customFormat="1" ht="33.75" hidden="1" thickBot="1" x14ac:dyDescent="0.4">
      <c r="O314" s="227" t="s">
        <v>136</v>
      </c>
      <c r="Q314" s="243">
        <v>1.17</v>
      </c>
      <c r="R314" s="243">
        <v>28</v>
      </c>
      <c r="S314" s="246">
        <f t="shared" si="124"/>
        <v>0</v>
      </c>
      <c r="T314" s="246">
        <f t="shared" si="124"/>
        <v>0</v>
      </c>
      <c r="U314" s="246">
        <f t="shared" si="124"/>
        <v>9.3950999999999993E-2</v>
      </c>
      <c r="V314" s="246">
        <f t="shared" si="124"/>
        <v>0.37580399999999997</v>
      </c>
      <c r="W314" s="246">
        <f t="shared" si="124"/>
        <v>9.3950999999999993E-2</v>
      </c>
      <c r="X314" s="246">
        <f t="shared" si="124"/>
        <v>0</v>
      </c>
      <c r="Y314" s="246">
        <f t="shared" si="124"/>
        <v>0.18790199999999999</v>
      </c>
      <c r="Z314" s="246">
        <f t="shared" si="124"/>
        <v>1.3153140000000001</v>
      </c>
      <c r="AA314" s="246">
        <f t="shared" si="124"/>
        <v>0</v>
      </c>
      <c r="AB314" s="246">
        <f t="shared" si="124"/>
        <v>0</v>
      </c>
      <c r="AC314" s="246">
        <f t="shared" si="124"/>
        <v>0.1127412</v>
      </c>
      <c r="AD314" s="246">
        <f t="shared" si="124"/>
        <v>0</v>
      </c>
      <c r="AE314" s="246">
        <f t="shared" si="124"/>
        <v>1.8790199999999999</v>
      </c>
      <c r="AF314" s="246">
        <v>0</v>
      </c>
      <c r="AG314" s="246">
        <f t="shared" si="124"/>
        <v>0.18790199999999999</v>
      </c>
      <c r="AH314" s="243"/>
      <c r="AI314" s="102">
        <v>0.2</v>
      </c>
      <c r="AJ314" s="100">
        <v>0</v>
      </c>
      <c r="AL314" s="100">
        <v>0</v>
      </c>
      <c r="AM314" s="237">
        <v>0.3</v>
      </c>
      <c r="AN314" s="241">
        <v>0.32</v>
      </c>
      <c r="AO314" s="241">
        <v>0.13</v>
      </c>
      <c r="AP314" s="247">
        <f>(AN314*365)*(AO314*0.67*0.02*1)</f>
        <v>0.20346560000000002</v>
      </c>
      <c r="AQ314" s="247">
        <f>(AN314*365)*(AO314*0.67*0.01*1)</f>
        <v>0.10173280000000001</v>
      </c>
      <c r="AR314" s="248"/>
      <c r="AS314" s="247">
        <f>(AN314*365)*(AO314*0.67*0.05*1)</f>
        <v>0.50866400000000001</v>
      </c>
      <c r="AT314" s="247">
        <f>(AN314*365)*(AO314*0.67*0.02*1)</f>
        <v>0.20346560000000002</v>
      </c>
      <c r="AU314" s="247">
        <f>(AN314*365)*(AO314*0.67*0.8*1)</f>
        <v>8.1386240000000001</v>
      </c>
      <c r="AV314" s="247">
        <f>(AN314*365)*(AO314*0.67*0.8*1)</f>
        <v>8.1386240000000001</v>
      </c>
      <c r="AW314" s="247">
        <f>(AN314*365)*(AO314*0.67*0.3*1)</f>
        <v>3.0519840000000005</v>
      </c>
      <c r="AX314" s="248"/>
      <c r="AY314" s="247">
        <f>(AN314*365)*(AO314*0.67*0.8*1)</f>
        <v>8.1386240000000001</v>
      </c>
      <c r="AZ314" s="247">
        <f t="shared" si="125"/>
        <v>10.173280000000002</v>
      </c>
      <c r="BA314" s="247">
        <f t="shared" si="126"/>
        <v>1.017328</v>
      </c>
      <c r="BB314" s="247">
        <f t="shared" si="127"/>
        <v>5.0866400000000006E-2</v>
      </c>
      <c r="BC314" s="247">
        <f>(AN314*365)*(AO314*0.67*0.015*1)</f>
        <v>0.15259920000000002</v>
      </c>
      <c r="BD314" s="247">
        <v>0</v>
      </c>
      <c r="BE314" s="247">
        <v>0</v>
      </c>
      <c r="BH314" s="120"/>
      <c r="BI314" s="203" t="s">
        <v>136</v>
      </c>
      <c r="BJ314" s="190" t="s">
        <v>168</v>
      </c>
      <c r="BK314" s="196">
        <f t="shared" si="128"/>
        <v>0.21</v>
      </c>
      <c r="BL314" s="190" t="s">
        <v>413</v>
      </c>
      <c r="BM314" s="189">
        <v>0.2</v>
      </c>
      <c r="BN314" s="189">
        <v>0.5</v>
      </c>
      <c r="BO314" s="188" t="s">
        <v>258</v>
      </c>
      <c r="BP314" s="196">
        <f t="shared" si="129"/>
        <v>0.37714285714285711</v>
      </c>
      <c r="BQ314" s="190" t="s">
        <v>415</v>
      </c>
      <c r="BR314" s="189">
        <v>0.2</v>
      </c>
      <c r="BS314" s="189">
        <v>0.5</v>
      </c>
      <c r="BT314" s="188" t="s">
        <v>258</v>
      </c>
      <c r="BU314" s="180"/>
      <c r="BV314" s="196">
        <v>5.25</v>
      </c>
      <c r="BW314" s="190" t="s">
        <v>414</v>
      </c>
      <c r="BX314" s="180"/>
      <c r="BY314" s="196">
        <v>112.38857142857142</v>
      </c>
      <c r="BZ314" s="190" t="s">
        <v>414</v>
      </c>
      <c r="CA314" s="178"/>
      <c r="CB314" s="180"/>
      <c r="CC314" s="178"/>
      <c r="CD314" s="178"/>
      <c r="CE314" s="180"/>
      <c r="CF314" s="180"/>
      <c r="CG314" s="180"/>
      <c r="CH314" s="180"/>
      <c r="CI314" s="178"/>
      <c r="CJ314" s="178"/>
      <c r="CK314" s="180"/>
      <c r="CL314" s="180"/>
      <c r="CM314" s="180"/>
      <c r="CN314" s="116"/>
      <c r="CO314" s="218">
        <f t="shared" si="110"/>
        <v>0.2</v>
      </c>
      <c r="CP314" s="100">
        <f t="shared" si="111"/>
        <v>0.35</v>
      </c>
      <c r="CQ314" s="218">
        <f t="shared" si="112"/>
        <v>0.5</v>
      </c>
      <c r="CR314" s="101">
        <v>0.2</v>
      </c>
      <c r="CS314" s="101">
        <v>0.5</v>
      </c>
      <c r="DA314" s="23" t="s">
        <v>136</v>
      </c>
      <c r="DB314" s="23">
        <v>0.21</v>
      </c>
      <c r="DC314" s="142">
        <f t="shared" si="130"/>
        <v>4.41</v>
      </c>
      <c r="DD314" s="142">
        <f t="shared" si="131"/>
        <v>5.25</v>
      </c>
      <c r="DE314" s="23">
        <v>12</v>
      </c>
      <c r="DF314" s="23">
        <v>1</v>
      </c>
      <c r="DG314" s="142">
        <f t="shared" si="132"/>
        <v>12</v>
      </c>
      <c r="DH314" s="23">
        <v>0.02</v>
      </c>
      <c r="DI314" s="149">
        <f t="shared" si="133"/>
        <v>0.37714285714285711</v>
      </c>
      <c r="DJ314" s="149">
        <f t="shared" si="134"/>
        <v>116.91428571428571</v>
      </c>
      <c r="DK314" s="149">
        <f t="shared" si="135"/>
        <v>112.38857142857142</v>
      </c>
      <c r="DL314" s="150">
        <f t="shared" si="136"/>
        <v>121.32428571428571</v>
      </c>
      <c r="DM314" s="150">
        <f t="shared" si="136"/>
        <v>117.63857142857142</v>
      </c>
      <c r="DN314" s="116" t="s">
        <v>168</v>
      </c>
      <c r="DO314" s="101" t="s">
        <v>392</v>
      </c>
    </row>
    <row r="315" spans="15:119" s="101" customFormat="1" ht="33.75" hidden="1" thickBot="1" x14ac:dyDescent="0.4">
      <c r="O315" s="227" t="s">
        <v>523</v>
      </c>
      <c r="Q315" s="243">
        <v>1.57</v>
      </c>
      <c r="R315" s="243">
        <v>28</v>
      </c>
      <c r="S315" s="246">
        <f t="shared" si="124"/>
        <v>0</v>
      </c>
      <c r="T315" s="246">
        <f t="shared" si="124"/>
        <v>0</v>
      </c>
      <c r="U315" s="246">
        <f t="shared" si="124"/>
        <v>0.12607100000000002</v>
      </c>
      <c r="V315" s="246">
        <f t="shared" si="124"/>
        <v>0.50428400000000007</v>
      </c>
      <c r="W315" s="246">
        <f t="shared" si="124"/>
        <v>0.12607100000000002</v>
      </c>
      <c r="X315" s="246">
        <f t="shared" si="124"/>
        <v>0</v>
      </c>
      <c r="Y315" s="246">
        <f t="shared" si="124"/>
        <v>0.25214200000000003</v>
      </c>
      <c r="Z315" s="246">
        <f t="shared" si="124"/>
        <v>1.7649940000000004</v>
      </c>
      <c r="AA315" s="246">
        <f t="shared" si="124"/>
        <v>0</v>
      </c>
      <c r="AB315" s="246">
        <f t="shared" si="124"/>
        <v>0</v>
      </c>
      <c r="AC315" s="246">
        <f t="shared" si="124"/>
        <v>0.15128520000000001</v>
      </c>
      <c r="AD315" s="246">
        <f t="shared" si="124"/>
        <v>0</v>
      </c>
      <c r="AE315" s="246">
        <f t="shared" si="124"/>
        <v>2.52142</v>
      </c>
      <c r="AF315" s="246">
        <v>0</v>
      </c>
      <c r="AG315" s="246">
        <f t="shared" si="124"/>
        <v>0.25214200000000003</v>
      </c>
      <c r="AH315" s="243"/>
      <c r="AI315" s="102">
        <v>1</v>
      </c>
      <c r="AJ315" s="102">
        <v>12</v>
      </c>
      <c r="AL315" s="102">
        <v>8</v>
      </c>
      <c r="AM315" s="237">
        <v>0.3</v>
      </c>
      <c r="AN315" s="241">
        <v>0.3</v>
      </c>
      <c r="AO315" s="241">
        <v>0.28999999999999998</v>
      </c>
      <c r="AP315" s="247">
        <f>(AN315*365)*(AO315*0.67*0.01*1)</f>
        <v>0.21275850000000002</v>
      </c>
      <c r="AQ315" s="247">
        <f>(AN315*365)*(AO315*0.67*0.001*1)</f>
        <v>2.1275850000000002E-2</v>
      </c>
      <c r="AR315" s="248"/>
      <c r="AS315" s="247">
        <f>(AN315*365)*(AO315*0.67*0.02*1)</f>
        <v>0.42551700000000003</v>
      </c>
      <c r="AT315" s="247">
        <f>(AN315*365)*(AO315*0.67*0.01*1)</f>
        <v>0.21275850000000002</v>
      </c>
      <c r="AU315" s="247">
        <f>(AN315*365)*(AO315*0.67*0.25*1)</f>
        <v>5.3189624999999996</v>
      </c>
      <c r="AV315" s="247">
        <f>(AN315*365)*(AO315*0.67*0.73*1)</f>
        <v>15.5313705</v>
      </c>
      <c r="AW315" s="247">
        <f>(AN315*365)*(AO315*0.67*0.03*1)</f>
        <v>0.6382755</v>
      </c>
      <c r="AX315" s="248"/>
      <c r="AY315" s="247">
        <f>(AN315*365)*(AO315*0.67*0.25*1)</f>
        <v>5.3189624999999996</v>
      </c>
      <c r="AZ315" s="247">
        <f t="shared" si="125"/>
        <v>21.275849999999998</v>
      </c>
      <c r="BA315" s="247">
        <f t="shared" si="126"/>
        <v>2.1275850000000003</v>
      </c>
      <c r="BB315" s="247">
        <f t="shared" si="127"/>
        <v>0.10637925000000001</v>
      </c>
      <c r="BC315" s="247">
        <f>(AN315*365)*(AO315*0.67*0.005*1)</f>
        <v>0.10637925000000001</v>
      </c>
      <c r="BD315" s="247">
        <v>0</v>
      </c>
      <c r="BE315" s="247">
        <v>0</v>
      </c>
      <c r="BH315" s="120"/>
      <c r="BI315" s="203" t="s">
        <v>137</v>
      </c>
      <c r="BJ315" s="190" t="s">
        <v>168</v>
      </c>
      <c r="BK315" s="196">
        <f t="shared" si="128"/>
        <v>0</v>
      </c>
      <c r="BL315" s="190" t="s">
        <v>413</v>
      </c>
      <c r="BM315" s="189">
        <v>0.2</v>
      </c>
      <c r="BN315" s="189">
        <v>0.5</v>
      </c>
      <c r="BO315" s="188" t="s">
        <v>258</v>
      </c>
      <c r="BP315" s="196">
        <f t="shared" si="129"/>
        <v>0.25645714285714288</v>
      </c>
      <c r="BQ315" s="190" t="s">
        <v>415</v>
      </c>
      <c r="BR315" s="189">
        <v>0.2</v>
      </c>
      <c r="BS315" s="189">
        <v>0.5</v>
      </c>
      <c r="BT315" s="188" t="s">
        <v>258</v>
      </c>
      <c r="BU315" s="180"/>
      <c r="BV315" s="196">
        <v>0</v>
      </c>
      <c r="BW315" s="190" t="s">
        <v>414</v>
      </c>
      <c r="BX315" s="180"/>
      <c r="BY315" s="196">
        <v>76.424228571428586</v>
      </c>
      <c r="BZ315" s="190" t="s">
        <v>414</v>
      </c>
      <c r="CA315" s="178"/>
      <c r="CB315" s="180"/>
      <c r="CC315" s="178"/>
      <c r="CD315" s="178"/>
      <c r="CE315" s="180"/>
      <c r="CF315" s="180"/>
      <c r="CG315" s="180"/>
      <c r="CH315" s="180"/>
      <c r="CI315" s="178"/>
      <c r="CJ315" s="178"/>
      <c r="CK315" s="180"/>
      <c r="CL315" s="180"/>
      <c r="CM315" s="180"/>
      <c r="CN315" s="116"/>
      <c r="CO315" s="218">
        <f t="shared" si="110"/>
        <v>0.2</v>
      </c>
      <c r="CP315" s="100">
        <f t="shared" si="111"/>
        <v>0.35</v>
      </c>
      <c r="CQ315" s="218">
        <f t="shared" si="112"/>
        <v>0.5</v>
      </c>
      <c r="CR315" s="101">
        <v>0.2</v>
      </c>
      <c r="CS315" s="101">
        <v>0.5</v>
      </c>
      <c r="DA315" s="23" t="s">
        <v>137</v>
      </c>
      <c r="DB315" s="23">
        <v>0</v>
      </c>
      <c r="DC315" s="142">
        <f t="shared" si="130"/>
        <v>0</v>
      </c>
      <c r="DD315" s="142">
        <f t="shared" si="131"/>
        <v>0</v>
      </c>
      <c r="DE315" s="23">
        <v>16</v>
      </c>
      <c r="DF315" s="23">
        <v>0.51</v>
      </c>
      <c r="DG315" s="142">
        <f t="shared" si="132"/>
        <v>8.16</v>
      </c>
      <c r="DH315" s="23">
        <v>0.02</v>
      </c>
      <c r="DI315" s="149">
        <f t="shared" si="133"/>
        <v>0.25645714285714288</v>
      </c>
      <c r="DJ315" s="149">
        <f t="shared" si="134"/>
        <v>79.5017142857143</v>
      </c>
      <c r="DK315" s="149">
        <f t="shared" si="135"/>
        <v>76.424228571428586</v>
      </c>
      <c r="DL315" s="150">
        <f t="shared" si="136"/>
        <v>79.5017142857143</v>
      </c>
      <c r="DM315" s="150">
        <f t="shared" si="136"/>
        <v>76.424228571428586</v>
      </c>
      <c r="DN315" s="116" t="s">
        <v>168</v>
      </c>
      <c r="DO315" s="101" t="s">
        <v>392</v>
      </c>
    </row>
    <row r="316" spans="15:119" s="101" customFormat="1" ht="33.75" hidden="1" thickBot="1" x14ac:dyDescent="0.4">
      <c r="O316" s="227" t="s">
        <v>524</v>
      </c>
      <c r="Q316" s="243">
        <v>1.57</v>
      </c>
      <c r="R316" s="243">
        <v>28</v>
      </c>
      <c r="S316" s="246">
        <f t="shared" si="124"/>
        <v>0</v>
      </c>
      <c r="T316" s="246">
        <f t="shared" si="124"/>
        <v>0</v>
      </c>
      <c r="U316" s="246">
        <f t="shared" si="124"/>
        <v>0.12607100000000002</v>
      </c>
      <c r="V316" s="246">
        <f t="shared" si="124"/>
        <v>0.50428400000000007</v>
      </c>
      <c r="W316" s="246">
        <f t="shared" si="124"/>
        <v>0.12607100000000002</v>
      </c>
      <c r="X316" s="246">
        <f t="shared" si="124"/>
        <v>0</v>
      </c>
      <c r="Y316" s="246">
        <f t="shared" si="124"/>
        <v>0.25214200000000003</v>
      </c>
      <c r="Z316" s="246">
        <f t="shared" si="124"/>
        <v>1.7649940000000004</v>
      </c>
      <c r="AA316" s="246">
        <f t="shared" si="124"/>
        <v>0</v>
      </c>
      <c r="AB316" s="246">
        <f t="shared" si="124"/>
        <v>0</v>
      </c>
      <c r="AC316" s="246">
        <f t="shared" si="124"/>
        <v>0.15128520000000001</v>
      </c>
      <c r="AD316" s="246">
        <f t="shared" si="124"/>
        <v>0</v>
      </c>
      <c r="AE316" s="246">
        <f t="shared" si="124"/>
        <v>2.52142</v>
      </c>
      <c r="AF316" s="246">
        <v>0</v>
      </c>
      <c r="AG316" s="246">
        <f t="shared" si="124"/>
        <v>0.25214200000000003</v>
      </c>
      <c r="AH316" s="243"/>
      <c r="AI316" s="102">
        <v>1</v>
      </c>
      <c r="AJ316" s="102">
        <v>20</v>
      </c>
      <c r="AL316" s="102">
        <v>18</v>
      </c>
      <c r="AM316" s="237">
        <v>0.3</v>
      </c>
      <c r="AN316" s="241">
        <v>0.3</v>
      </c>
      <c r="AO316" s="241">
        <v>0.28999999999999998</v>
      </c>
      <c r="AP316" s="247">
        <f>(AN316*365)*(AO316*0.67*0.015*1)</f>
        <v>0.31913775</v>
      </c>
      <c r="AQ316" s="247">
        <f>(AN316*365)*(AO316*0.67*0.005*1)</f>
        <v>0.10637925000000001</v>
      </c>
      <c r="AR316" s="248"/>
      <c r="AS316" s="247">
        <f>(AN316*365)*(AO316*0.67*0.04*1)</f>
        <v>0.85103400000000007</v>
      </c>
      <c r="AT316" s="247">
        <f>(AN316*365)*(AO316*0.67*0.015*1)</f>
        <v>0.31913775</v>
      </c>
      <c r="AU316" s="247">
        <f>(AN316*365)*(AO316*0.67*0.65*1)</f>
        <v>13.829302500000002</v>
      </c>
      <c r="AV316" s="247">
        <f>(AN316*365)*(AO316*0.67*0.79*1)</f>
        <v>16.807921499999999</v>
      </c>
      <c r="AW316" s="247">
        <f>(AN316*365)*(AO316*0.67*0.03*1)</f>
        <v>0.6382755</v>
      </c>
      <c r="AX316" s="248"/>
      <c r="AY316" s="247">
        <f>(AN316*365)*(AO316*0.67*0.65*1)</f>
        <v>13.829302500000002</v>
      </c>
      <c r="AZ316" s="247">
        <f t="shared" si="125"/>
        <v>21.275849999999998</v>
      </c>
      <c r="BA316" s="247">
        <f t="shared" si="126"/>
        <v>2.1275850000000003</v>
      </c>
      <c r="BB316" s="247">
        <f t="shared" si="127"/>
        <v>0.10637925000000001</v>
      </c>
      <c r="BC316" s="247">
        <f>(AN316*365)*(AO316*0.67*0.01*1)</f>
        <v>0.21275850000000002</v>
      </c>
      <c r="BD316" s="247">
        <v>0</v>
      </c>
      <c r="BE316" s="247">
        <v>0</v>
      </c>
      <c r="BH316" s="120"/>
      <c r="BI316" s="203" t="s">
        <v>336</v>
      </c>
      <c r="BJ316" s="190" t="s">
        <v>168</v>
      </c>
      <c r="BK316" s="196">
        <f t="shared" si="128"/>
        <v>1</v>
      </c>
      <c r="BL316" s="190" t="s">
        <v>413</v>
      </c>
      <c r="BM316" s="189">
        <v>0.2</v>
      </c>
      <c r="BN316" s="189">
        <v>0.5</v>
      </c>
      <c r="BO316" s="188" t="s">
        <v>258</v>
      </c>
      <c r="BP316" s="196">
        <f t="shared" si="129"/>
        <v>0.25645714285714288</v>
      </c>
      <c r="BQ316" s="190" t="s">
        <v>415</v>
      </c>
      <c r="BR316" s="189">
        <v>0.2</v>
      </c>
      <c r="BS316" s="189">
        <v>0.5</v>
      </c>
      <c r="BT316" s="188" t="s">
        <v>258</v>
      </c>
      <c r="BU316" s="180"/>
      <c r="BV316" s="196">
        <v>25</v>
      </c>
      <c r="BW316" s="190" t="s">
        <v>414</v>
      </c>
      <c r="BX316" s="180"/>
      <c r="BY316" s="196">
        <v>76.424228571428586</v>
      </c>
      <c r="BZ316" s="190" t="s">
        <v>414</v>
      </c>
      <c r="CA316" s="180"/>
      <c r="CB316" s="180"/>
      <c r="CC316" s="178"/>
      <c r="CD316" s="178"/>
      <c r="CE316" s="180"/>
      <c r="CF316" s="180"/>
      <c r="CG316" s="180"/>
      <c r="CH316" s="180"/>
      <c r="CI316" s="178"/>
      <c r="CJ316" s="178"/>
      <c r="CK316" s="180"/>
      <c r="CL316" s="180"/>
      <c r="CM316" s="180"/>
      <c r="CN316" s="116"/>
      <c r="CO316" s="218">
        <f t="shared" si="110"/>
        <v>0.2</v>
      </c>
      <c r="CP316" s="100">
        <f t="shared" si="111"/>
        <v>0.35</v>
      </c>
      <c r="CQ316" s="218">
        <f t="shared" si="112"/>
        <v>0.5</v>
      </c>
      <c r="CR316" s="101">
        <v>0.2</v>
      </c>
      <c r="CS316" s="101">
        <v>0.5</v>
      </c>
      <c r="DA316" s="23" t="s">
        <v>336</v>
      </c>
      <c r="DB316" s="23">
        <v>1</v>
      </c>
      <c r="DC316" s="142">
        <f t="shared" si="130"/>
        <v>21</v>
      </c>
      <c r="DD316" s="142">
        <f t="shared" si="131"/>
        <v>25</v>
      </c>
      <c r="DE316" s="23">
        <v>16</v>
      </c>
      <c r="DF316" s="23">
        <v>0.51</v>
      </c>
      <c r="DG316" s="142">
        <f t="shared" si="132"/>
        <v>8.16</v>
      </c>
      <c r="DH316" s="23">
        <v>0.02</v>
      </c>
      <c r="DI316" s="149">
        <f t="shared" si="133"/>
        <v>0.25645714285714288</v>
      </c>
      <c r="DJ316" s="149">
        <f t="shared" si="134"/>
        <v>79.5017142857143</v>
      </c>
      <c r="DK316" s="149">
        <f t="shared" si="135"/>
        <v>76.424228571428586</v>
      </c>
      <c r="DL316" s="150">
        <f t="shared" si="136"/>
        <v>100.5017142857143</v>
      </c>
      <c r="DM316" s="150">
        <f t="shared" si="136"/>
        <v>101.42422857142859</v>
      </c>
      <c r="DN316" s="116" t="s">
        <v>168</v>
      </c>
      <c r="DO316" s="101" t="s">
        <v>392</v>
      </c>
    </row>
    <row r="317" spans="15:119" s="101" customFormat="1" ht="33.75" hidden="1" thickBot="1" x14ac:dyDescent="0.4">
      <c r="O317" s="227" t="s">
        <v>525</v>
      </c>
      <c r="Q317" s="243">
        <v>1.57</v>
      </c>
      <c r="R317" s="243">
        <v>28</v>
      </c>
      <c r="S317" s="246">
        <f t="shared" si="124"/>
        <v>0</v>
      </c>
      <c r="T317" s="246">
        <f t="shared" si="124"/>
        <v>0</v>
      </c>
      <c r="U317" s="246">
        <f t="shared" si="124"/>
        <v>0.12607100000000002</v>
      </c>
      <c r="V317" s="246">
        <f t="shared" si="124"/>
        <v>0.50428400000000007</v>
      </c>
      <c r="W317" s="246">
        <f t="shared" si="124"/>
        <v>0.12607100000000002</v>
      </c>
      <c r="X317" s="246">
        <f t="shared" si="124"/>
        <v>0</v>
      </c>
      <c r="Y317" s="246">
        <f t="shared" si="124"/>
        <v>0.25214200000000003</v>
      </c>
      <c r="Z317" s="246">
        <f t="shared" si="124"/>
        <v>1.7649940000000004</v>
      </c>
      <c r="AA317" s="246">
        <f t="shared" si="124"/>
        <v>0</v>
      </c>
      <c r="AB317" s="246">
        <f t="shared" si="124"/>
        <v>0</v>
      </c>
      <c r="AC317" s="246">
        <f t="shared" si="124"/>
        <v>0.15128520000000001</v>
      </c>
      <c r="AD317" s="246">
        <f t="shared" si="124"/>
        <v>0</v>
      </c>
      <c r="AE317" s="246">
        <f t="shared" si="124"/>
        <v>2.52142</v>
      </c>
      <c r="AF317" s="246">
        <v>0</v>
      </c>
      <c r="AG317" s="246">
        <f t="shared" si="124"/>
        <v>0.25214200000000003</v>
      </c>
      <c r="AH317" s="243"/>
      <c r="AI317" s="102">
        <v>2</v>
      </c>
      <c r="AJ317" s="102">
        <v>23</v>
      </c>
      <c r="AL317" s="102">
        <v>21</v>
      </c>
      <c r="AM317" s="237">
        <v>0.3</v>
      </c>
      <c r="AN317" s="241">
        <v>0.3</v>
      </c>
      <c r="AO317" s="241">
        <v>0.28999999999999998</v>
      </c>
      <c r="AP317" s="247">
        <f>(AN317*365)*(AO317*0.67*0.02*1)</f>
        <v>0.42551700000000003</v>
      </c>
      <c r="AQ317" s="247">
        <f>(AN317*365)*(AO317*0.67*0.01*1)</f>
        <v>0.21275850000000002</v>
      </c>
      <c r="AR317" s="248"/>
      <c r="AS317" s="247">
        <f>(AN317*365)*(AO317*0.67*0.05*1)</f>
        <v>1.0637925000000001</v>
      </c>
      <c r="AT317" s="247">
        <f>(AN317*365)*(AO317*0.67*0.02*1)</f>
        <v>0.42551700000000003</v>
      </c>
      <c r="AU317" s="247">
        <f>(AN317*365)*(AO317*0.67*0.8*1)</f>
        <v>17.020680000000002</v>
      </c>
      <c r="AV317" s="247">
        <f>(AN317*365)*(AO317*0.67*0.8*1)</f>
        <v>17.020680000000002</v>
      </c>
      <c r="AW317" s="247">
        <f>(AN317*365)*(AO317*0.67*0.3*1)</f>
        <v>6.3827549999999995</v>
      </c>
      <c r="AX317" s="248"/>
      <c r="AY317" s="247">
        <f>(AN317*365)*(AO317*0.67*0.8*1)</f>
        <v>17.020680000000002</v>
      </c>
      <c r="AZ317" s="247">
        <f t="shared" si="125"/>
        <v>21.275849999999998</v>
      </c>
      <c r="BA317" s="247">
        <f t="shared" si="126"/>
        <v>2.1275850000000003</v>
      </c>
      <c r="BB317" s="247">
        <f t="shared" si="127"/>
        <v>0.10637925000000001</v>
      </c>
      <c r="BC317" s="247">
        <f>(AN317*365)*(AO317*0.67*0.015*1)</f>
        <v>0.31913775</v>
      </c>
      <c r="BD317" s="247">
        <v>0</v>
      </c>
      <c r="BE317" s="247">
        <v>0</v>
      </c>
      <c r="BH317" s="120"/>
      <c r="BI317" s="203" t="s">
        <v>139</v>
      </c>
      <c r="BJ317" s="190" t="s">
        <v>168</v>
      </c>
      <c r="BK317" s="196">
        <f t="shared" si="128"/>
        <v>2</v>
      </c>
      <c r="BL317" s="190" t="s">
        <v>413</v>
      </c>
      <c r="BM317" s="189">
        <v>0.2</v>
      </c>
      <c r="BN317" s="189">
        <v>0.5</v>
      </c>
      <c r="BO317" s="188" t="s">
        <v>258</v>
      </c>
      <c r="BP317" s="196">
        <f t="shared" si="129"/>
        <v>0.25645714285714288</v>
      </c>
      <c r="BQ317" s="190" t="s">
        <v>415</v>
      </c>
      <c r="BR317" s="189">
        <v>0.2</v>
      </c>
      <c r="BS317" s="189">
        <v>0.5</v>
      </c>
      <c r="BT317" s="188" t="s">
        <v>258</v>
      </c>
      <c r="BU317" s="180"/>
      <c r="BV317" s="196">
        <v>50</v>
      </c>
      <c r="BW317" s="190" t="s">
        <v>414</v>
      </c>
      <c r="BX317" s="180"/>
      <c r="BY317" s="196">
        <v>76.424228571428586</v>
      </c>
      <c r="BZ317" s="190" t="s">
        <v>414</v>
      </c>
      <c r="CA317" s="180"/>
      <c r="CB317" s="180"/>
      <c r="CC317" s="178"/>
      <c r="CD317" s="178"/>
      <c r="CE317" s="180"/>
      <c r="CF317" s="180"/>
      <c r="CG317" s="180"/>
      <c r="CH317" s="180"/>
      <c r="CI317" s="178"/>
      <c r="CJ317" s="178"/>
      <c r="CK317" s="180"/>
      <c r="CL317" s="180"/>
      <c r="CM317" s="180"/>
      <c r="CN317" s="116"/>
      <c r="CO317" s="218">
        <f t="shared" si="110"/>
        <v>0.2</v>
      </c>
      <c r="CP317" s="100">
        <f t="shared" si="111"/>
        <v>0.35</v>
      </c>
      <c r="CQ317" s="218">
        <f t="shared" si="112"/>
        <v>0.5</v>
      </c>
      <c r="CR317" s="101">
        <v>0.2</v>
      </c>
      <c r="CS317" s="101">
        <v>0.5</v>
      </c>
      <c r="DA317" s="23" t="s">
        <v>139</v>
      </c>
      <c r="DB317" s="23">
        <v>2</v>
      </c>
      <c r="DC317" s="142">
        <f t="shared" si="130"/>
        <v>42</v>
      </c>
      <c r="DD317" s="142">
        <f t="shared" si="131"/>
        <v>50</v>
      </c>
      <c r="DE317" s="23">
        <v>16</v>
      </c>
      <c r="DF317" s="23">
        <v>0.51</v>
      </c>
      <c r="DG317" s="142">
        <f t="shared" si="132"/>
        <v>8.16</v>
      </c>
      <c r="DH317" s="23">
        <v>0.02</v>
      </c>
      <c r="DI317" s="149">
        <f t="shared" si="133"/>
        <v>0.25645714285714288</v>
      </c>
      <c r="DJ317" s="149">
        <f t="shared" si="134"/>
        <v>79.5017142857143</v>
      </c>
      <c r="DK317" s="149">
        <f t="shared" si="135"/>
        <v>76.424228571428586</v>
      </c>
      <c r="DL317" s="150">
        <f t="shared" si="136"/>
        <v>121.5017142857143</v>
      </c>
      <c r="DM317" s="150">
        <f t="shared" si="136"/>
        <v>126.42422857142859</v>
      </c>
      <c r="DN317" s="116" t="s">
        <v>168</v>
      </c>
      <c r="DO317" s="101" t="s">
        <v>392</v>
      </c>
    </row>
    <row r="318" spans="15:119" s="101" customFormat="1" ht="18.75" hidden="1" customHeight="1" x14ac:dyDescent="0.35">
      <c r="O318" s="227" t="s">
        <v>545</v>
      </c>
      <c r="Q318" s="243">
        <v>0.55000000000000004</v>
      </c>
      <c r="R318" s="243">
        <v>28</v>
      </c>
      <c r="S318" s="246">
        <f t="shared" si="124"/>
        <v>0</v>
      </c>
      <c r="T318" s="246">
        <f t="shared" si="124"/>
        <v>0</v>
      </c>
      <c r="U318" s="246">
        <f t="shared" si="124"/>
        <v>4.4165000000000003E-2</v>
      </c>
      <c r="V318" s="246">
        <f t="shared" si="124"/>
        <v>0.17666000000000001</v>
      </c>
      <c r="W318" s="246">
        <f t="shared" si="124"/>
        <v>4.4165000000000003E-2</v>
      </c>
      <c r="X318" s="246">
        <f t="shared" si="124"/>
        <v>0</v>
      </c>
      <c r="Y318" s="246">
        <f t="shared" si="124"/>
        <v>8.8330000000000006E-2</v>
      </c>
      <c r="Z318" s="246">
        <f t="shared" si="124"/>
        <v>0.61831000000000003</v>
      </c>
      <c r="AA318" s="246">
        <f t="shared" si="124"/>
        <v>0</v>
      </c>
      <c r="AB318" s="246">
        <f t="shared" si="124"/>
        <v>0</v>
      </c>
      <c r="AC318" s="246">
        <f t="shared" si="124"/>
        <v>5.299800000000001E-2</v>
      </c>
      <c r="AD318" s="246">
        <f t="shared" si="124"/>
        <v>0</v>
      </c>
      <c r="AE318" s="246">
        <f t="shared" si="124"/>
        <v>0.88330000000000009</v>
      </c>
      <c r="AF318" s="246">
        <v>0</v>
      </c>
      <c r="AG318" s="246">
        <f t="shared" si="124"/>
        <v>8.8330000000000006E-2</v>
      </c>
      <c r="AH318" s="243"/>
      <c r="AI318" s="102">
        <v>1</v>
      </c>
      <c r="AJ318" s="102">
        <v>23</v>
      </c>
      <c r="AL318" s="102">
        <v>12</v>
      </c>
      <c r="AM318" s="237">
        <v>0.3</v>
      </c>
      <c r="AN318" s="241">
        <v>0.3</v>
      </c>
      <c r="AO318" s="241">
        <v>0.28999999999999998</v>
      </c>
      <c r="AP318" s="247">
        <f>(AN318*365)*(AO318*0.67*0.01*1)</f>
        <v>0.21275850000000002</v>
      </c>
      <c r="AQ318" s="247">
        <f>(AN318*365)*(AO318*0.67*0.001*1)</f>
        <v>2.1275850000000002E-2</v>
      </c>
      <c r="AR318" s="248"/>
      <c r="AS318" s="247">
        <f>(AN318*365)*(AO318*0.67*0.02*1)</f>
        <v>0.42551700000000003</v>
      </c>
      <c r="AT318" s="247">
        <f>(AN318*365)*(AO318*0.67*0.01*1)</f>
        <v>0.21275850000000002</v>
      </c>
      <c r="AU318" s="247">
        <f>(AN318*365)*(AO318*0.67*0.25*1)</f>
        <v>5.3189624999999996</v>
      </c>
      <c r="AV318" s="247">
        <f>(AN318*365)*(AO318*0.67*0.73*1)</f>
        <v>15.5313705</v>
      </c>
      <c r="AW318" s="247">
        <f>(AN318*365)*(AO318*0.67*0.03*1)</f>
        <v>0.6382755</v>
      </c>
      <c r="AX318" s="248"/>
      <c r="AY318" s="247">
        <f>(AN318*365)*(AO318*0.67*0.25*1)</f>
        <v>5.3189624999999996</v>
      </c>
      <c r="AZ318" s="247">
        <f t="shared" si="125"/>
        <v>21.275849999999998</v>
      </c>
      <c r="BA318" s="247">
        <f t="shared" si="126"/>
        <v>2.1275850000000003</v>
      </c>
      <c r="BB318" s="247">
        <f t="shared" si="127"/>
        <v>0.10637925000000001</v>
      </c>
      <c r="BC318" s="247">
        <f>(AN318*365)*(AO318*0.67*0.005*1)</f>
        <v>0.10637925000000001</v>
      </c>
      <c r="BD318" s="247">
        <v>0</v>
      </c>
      <c r="BE318" s="247">
        <v>0</v>
      </c>
      <c r="BH318" s="120"/>
      <c r="BI318" s="203" t="s">
        <v>337</v>
      </c>
      <c r="BJ318" s="190" t="s">
        <v>168</v>
      </c>
      <c r="BK318" s="196">
        <f t="shared" si="128"/>
        <v>0</v>
      </c>
      <c r="BL318" s="190" t="s">
        <v>413</v>
      </c>
      <c r="BM318" s="189">
        <v>0.2</v>
      </c>
      <c r="BN318" s="189">
        <v>0.5</v>
      </c>
      <c r="BO318" s="188" t="s">
        <v>258</v>
      </c>
      <c r="BP318" s="196">
        <f t="shared" si="129"/>
        <v>5.0285714285714281E-2</v>
      </c>
      <c r="BQ318" s="190" t="s">
        <v>415</v>
      </c>
      <c r="BR318" s="189">
        <v>0.2</v>
      </c>
      <c r="BS318" s="189">
        <v>0.5</v>
      </c>
      <c r="BT318" s="188" t="s">
        <v>258</v>
      </c>
      <c r="BU318" s="180"/>
      <c r="BV318" s="196">
        <v>0</v>
      </c>
      <c r="BW318" s="190" t="s">
        <v>414</v>
      </c>
      <c r="BX318" s="180"/>
      <c r="BY318" s="196">
        <v>14.985142857142856</v>
      </c>
      <c r="BZ318" s="190" t="s">
        <v>414</v>
      </c>
      <c r="CA318" s="180"/>
      <c r="CB318" s="180"/>
      <c r="CC318" s="178"/>
      <c r="CD318" s="178"/>
      <c r="CE318" s="180"/>
      <c r="CF318" s="180"/>
      <c r="CG318" s="180"/>
      <c r="CH318" s="180"/>
      <c r="CI318" s="178"/>
      <c r="CJ318" s="178"/>
      <c r="CK318" s="180"/>
      <c r="CL318" s="180"/>
      <c r="CM318" s="180"/>
      <c r="CN318" s="116"/>
      <c r="CO318" s="218">
        <f t="shared" si="110"/>
        <v>0.2</v>
      </c>
      <c r="CP318" s="100">
        <f t="shared" si="111"/>
        <v>0.35</v>
      </c>
      <c r="CQ318" s="218">
        <f t="shared" si="112"/>
        <v>0.5</v>
      </c>
      <c r="CR318" s="101">
        <v>0.2</v>
      </c>
      <c r="CS318" s="101">
        <v>0.5</v>
      </c>
      <c r="DA318" s="23" t="s">
        <v>337</v>
      </c>
      <c r="DB318" s="23">
        <v>0</v>
      </c>
      <c r="DC318" s="142">
        <f t="shared" si="130"/>
        <v>0</v>
      </c>
      <c r="DD318" s="142">
        <f t="shared" si="131"/>
        <v>0</v>
      </c>
      <c r="DE318" s="23">
        <v>16</v>
      </c>
      <c r="DF318" s="23">
        <v>0.4</v>
      </c>
      <c r="DG318" s="142">
        <f t="shared" si="132"/>
        <v>6.4</v>
      </c>
      <c r="DH318" s="23">
        <v>5.0000000000000001E-3</v>
      </c>
      <c r="DI318" s="149">
        <f t="shared" si="133"/>
        <v>5.0285714285714281E-2</v>
      </c>
      <c r="DJ318" s="149">
        <f t="shared" si="134"/>
        <v>15.588571428571427</v>
      </c>
      <c r="DK318" s="149">
        <f t="shared" si="135"/>
        <v>14.985142857142856</v>
      </c>
      <c r="DL318" s="150">
        <f t="shared" si="136"/>
        <v>15.588571428571427</v>
      </c>
      <c r="DM318" s="150">
        <f t="shared" si="136"/>
        <v>14.985142857142856</v>
      </c>
      <c r="DN318" s="116" t="s">
        <v>168</v>
      </c>
      <c r="DO318" s="101" t="s">
        <v>392</v>
      </c>
    </row>
    <row r="319" spans="15:119" s="101" customFormat="1" ht="33.75" hidden="1" thickBot="1" x14ac:dyDescent="0.4">
      <c r="O319" s="227" t="s">
        <v>546</v>
      </c>
      <c r="Q319" s="243">
        <v>0.55000000000000004</v>
      </c>
      <c r="R319" s="243">
        <v>28</v>
      </c>
      <c r="S319" s="246">
        <f t="shared" si="124"/>
        <v>0</v>
      </c>
      <c r="T319" s="246">
        <f t="shared" si="124"/>
        <v>0</v>
      </c>
      <c r="U319" s="246">
        <f t="shared" si="124"/>
        <v>4.4165000000000003E-2</v>
      </c>
      <c r="V319" s="246">
        <f t="shared" si="124"/>
        <v>0.17666000000000001</v>
      </c>
      <c r="W319" s="246">
        <f t="shared" si="124"/>
        <v>4.4165000000000003E-2</v>
      </c>
      <c r="X319" s="246">
        <f t="shared" si="124"/>
        <v>0</v>
      </c>
      <c r="Y319" s="246">
        <f t="shared" si="124"/>
        <v>8.8330000000000006E-2</v>
      </c>
      <c r="Z319" s="246">
        <f t="shared" si="124"/>
        <v>0.61831000000000003</v>
      </c>
      <c r="AA319" s="246">
        <f t="shared" si="124"/>
        <v>0</v>
      </c>
      <c r="AB319" s="246">
        <f t="shared" si="124"/>
        <v>0</v>
      </c>
      <c r="AC319" s="246">
        <f t="shared" si="124"/>
        <v>5.299800000000001E-2</v>
      </c>
      <c r="AD319" s="246">
        <f t="shared" si="124"/>
        <v>0</v>
      </c>
      <c r="AE319" s="246">
        <f t="shared" si="124"/>
        <v>0.88330000000000009</v>
      </c>
      <c r="AF319" s="246">
        <v>0</v>
      </c>
      <c r="AG319" s="246">
        <f t="shared" si="124"/>
        <v>8.8330000000000006E-2</v>
      </c>
      <c r="AH319" s="243"/>
      <c r="AI319" s="102">
        <v>1</v>
      </c>
      <c r="AJ319" s="102">
        <v>39</v>
      </c>
      <c r="AL319" s="102">
        <v>27</v>
      </c>
      <c r="AM319" s="237">
        <v>0.3</v>
      </c>
      <c r="AN319" s="241">
        <v>0.3</v>
      </c>
      <c r="AO319" s="241">
        <v>0.28999999999999998</v>
      </c>
      <c r="AP319" s="247">
        <f>(AN319*365)*(AO319*0.67*0.015*1)</f>
        <v>0.31913775</v>
      </c>
      <c r="AQ319" s="247">
        <f>(AN319*365)*(AO319*0.67*0.005*1)</f>
        <v>0.10637925000000001</v>
      </c>
      <c r="AR319" s="248"/>
      <c r="AS319" s="247">
        <f>(AN319*365)*(AO319*0.67*0.04*1)</f>
        <v>0.85103400000000007</v>
      </c>
      <c r="AT319" s="247">
        <f>(AN319*365)*(AO319*0.67*0.015*1)</f>
        <v>0.31913775</v>
      </c>
      <c r="AU319" s="247">
        <f>(AN319*365)*(AO319*0.67*0.65*1)</f>
        <v>13.829302500000002</v>
      </c>
      <c r="AV319" s="247">
        <f>(AN319*365)*(AO319*0.67*0.79*1)</f>
        <v>16.807921499999999</v>
      </c>
      <c r="AW319" s="247">
        <f>(AN319*365)*(AO319*0.67*0.03*1)</f>
        <v>0.6382755</v>
      </c>
      <c r="AX319" s="248"/>
      <c r="AY319" s="247">
        <f>(AN319*365)*(AO319*0.67*0.65*1)</f>
        <v>13.829302500000002</v>
      </c>
      <c r="AZ319" s="247">
        <f t="shared" si="125"/>
        <v>21.275849999999998</v>
      </c>
      <c r="BA319" s="247">
        <f t="shared" si="126"/>
        <v>2.1275850000000003</v>
      </c>
      <c r="BB319" s="247">
        <f t="shared" si="127"/>
        <v>0.10637925000000001</v>
      </c>
      <c r="BC319" s="247">
        <f>(AN319*365)*(AO319*0.67*0.01*1)</f>
        <v>0.21275850000000002</v>
      </c>
      <c r="BD319" s="247">
        <v>0</v>
      </c>
      <c r="BE319" s="247">
        <v>0</v>
      </c>
      <c r="BH319" s="120"/>
      <c r="BI319" s="203" t="s">
        <v>338</v>
      </c>
      <c r="BJ319" s="190" t="s">
        <v>168</v>
      </c>
      <c r="BK319" s="196">
        <f t="shared" si="128"/>
        <v>1</v>
      </c>
      <c r="BL319" s="190" t="s">
        <v>413</v>
      </c>
      <c r="BM319" s="189">
        <v>0.2</v>
      </c>
      <c r="BN319" s="189">
        <v>0.5</v>
      </c>
      <c r="BO319" s="188" t="s">
        <v>258</v>
      </c>
      <c r="BP319" s="196">
        <f t="shared" si="129"/>
        <v>5.0285714285714281E-2</v>
      </c>
      <c r="BQ319" s="190" t="s">
        <v>415</v>
      </c>
      <c r="BR319" s="189">
        <v>0.2</v>
      </c>
      <c r="BS319" s="189">
        <v>0.5</v>
      </c>
      <c r="BT319" s="188" t="s">
        <v>258</v>
      </c>
      <c r="BU319" s="180"/>
      <c r="BV319" s="196">
        <v>25</v>
      </c>
      <c r="BW319" s="190" t="s">
        <v>414</v>
      </c>
      <c r="BX319" s="180"/>
      <c r="BY319" s="196">
        <v>14.985142857142856</v>
      </c>
      <c r="BZ319" s="190" t="s">
        <v>414</v>
      </c>
      <c r="CA319" s="180"/>
      <c r="CB319" s="180"/>
      <c r="CC319" s="178"/>
      <c r="CD319" s="178"/>
      <c r="CE319" s="180"/>
      <c r="CF319" s="180"/>
      <c r="CG319" s="180"/>
      <c r="CH319" s="180"/>
      <c r="CI319" s="178"/>
      <c r="CJ319" s="178"/>
      <c r="CK319" s="180"/>
      <c r="CL319" s="180"/>
      <c r="CM319" s="180"/>
      <c r="CN319" s="116"/>
      <c r="CO319" s="218">
        <f t="shared" si="110"/>
        <v>0.2</v>
      </c>
      <c r="CP319" s="100">
        <f t="shared" si="111"/>
        <v>0.35</v>
      </c>
      <c r="CQ319" s="218">
        <f t="shared" si="112"/>
        <v>0.5</v>
      </c>
      <c r="CR319" s="101">
        <v>0.2</v>
      </c>
      <c r="CS319" s="101">
        <v>0.5</v>
      </c>
      <c r="DA319" s="23" t="s">
        <v>338</v>
      </c>
      <c r="DB319" s="23">
        <v>1</v>
      </c>
      <c r="DC319" s="142">
        <f t="shared" si="130"/>
        <v>21</v>
      </c>
      <c r="DD319" s="142">
        <f t="shared" si="131"/>
        <v>25</v>
      </c>
      <c r="DE319" s="23">
        <v>16</v>
      </c>
      <c r="DF319" s="23">
        <v>0.4</v>
      </c>
      <c r="DG319" s="142">
        <f t="shared" si="132"/>
        <v>6.4</v>
      </c>
      <c r="DH319" s="23">
        <v>5.0000000000000001E-3</v>
      </c>
      <c r="DI319" s="149">
        <f t="shared" si="133"/>
        <v>5.0285714285714281E-2</v>
      </c>
      <c r="DJ319" s="149">
        <f t="shared" si="134"/>
        <v>15.588571428571427</v>
      </c>
      <c r="DK319" s="149">
        <f t="shared" si="135"/>
        <v>14.985142857142856</v>
      </c>
      <c r="DL319" s="150">
        <f t="shared" si="136"/>
        <v>36.588571428571427</v>
      </c>
      <c r="DM319" s="150">
        <f t="shared" si="136"/>
        <v>39.985142857142854</v>
      </c>
      <c r="DN319" s="116" t="s">
        <v>168</v>
      </c>
      <c r="DO319" s="101" t="s">
        <v>392</v>
      </c>
    </row>
    <row r="320" spans="15:119" s="101" customFormat="1" ht="33.75" hidden="1" thickBot="1" x14ac:dyDescent="0.4">
      <c r="O320" s="227" t="s">
        <v>547</v>
      </c>
      <c r="Q320" s="243">
        <v>0.55000000000000004</v>
      </c>
      <c r="R320" s="243">
        <v>28</v>
      </c>
      <c r="S320" s="246">
        <f t="shared" si="124"/>
        <v>0</v>
      </c>
      <c r="T320" s="246">
        <f t="shared" si="124"/>
        <v>0</v>
      </c>
      <c r="U320" s="246">
        <f t="shared" si="124"/>
        <v>4.4165000000000003E-2</v>
      </c>
      <c r="V320" s="246">
        <f t="shared" si="124"/>
        <v>0.17666000000000001</v>
      </c>
      <c r="W320" s="246">
        <f t="shared" si="124"/>
        <v>4.4165000000000003E-2</v>
      </c>
      <c r="X320" s="246">
        <f t="shared" si="124"/>
        <v>0</v>
      </c>
      <c r="Y320" s="246">
        <f t="shared" si="124"/>
        <v>8.8330000000000006E-2</v>
      </c>
      <c r="Z320" s="246">
        <f t="shared" si="124"/>
        <v>0.61831000000000003</v>
      </c>
      <c r="AA320" s="246">
        <f t="shared" si="124"/>
        <v>0</v>
      </c>
      <c r="AB320" s="246">
        <f t="shared" si="124"/>
        <v>0</v>
      </c>
      <c r="AC320" s="246">
        <f t="shared" si="124"/>
        <v>5.299800000000001E-2</v>
      </c>
      <c r="AD320" s="246">
        <f t="shared" si="124"/>
        <v>0</v>
      </c>
      <c r="AE320" s="246">
        <f t="shared" si="124"/>
        <v>0.88330000000000009</v>
      </c>
      <c r="AF320" s="246">
        <v>0</v>
      </c>
      <c r="AG320" s="246">
        <f t="shared" si="124"/>
        <v>8.8330000000000006E-2</v>
      </c>
      <c r="AH320" s="243"/>
      <c r="AI320" s="102">
        <v>2</v>
      </c>
      <c r="AJ320" s="102">
        <v>45</v>
      </c>
      <c r="AL320" s="102">
        <v>33</v>
      </c>
      <c r="AM320" s="237">
        <v>0.3</v>
      </c>
      <c r="AN320" s="241">
        <v>0.3</v>
      </c>
      <c r="AO320" s="241">
        <v>0.28999999999999998</v>
      </c>
      <c r="AP320" s="247">
        <f>(AN320*365)*(AO320*0.67*0.02*1)</f>
        <v>0.42551700000000003</v>
      </c>
      <c r="AQ320" s="247">
        <f>(AN320*365)*(AO320*0.67*0.01*1)</f>
        <v>0.21275850000000002</v>
      </c>
      <c r="AR320" s="248"/>
      <c r="AS320" s="247">
        <f>(AN320*365)*(AO320*0.67*0.05*1)</f>
        <v>1.0637925000000001</v>
      </c>
      <c r="AT320" s="247">
        <f>(AN320*365)*(AO320*0.67*0.02*1)</f>
        <v>0.42551700000000003</v>
      </c>
      <c r="AU320" s="247">
        <f>(AN320*365)*(AO320*0.67*0.8*1)</f>
        <v>17.020680000000002</v>
      </c>
      <c r="AV320" s="247">
        <f>(AN320*365)*(AO320*0.67*0.8*1)</f>
        <v>17.020680000000002</v>
      </c>
      <c r="AW320" s="247">
        <f>(AN320*365)*(AO320*0.67*0.3*1)</f>
        <v>6.3827549999999995</v>
      </c>
      <c r="AX320" s="248"/>
      <c r="AY320" s="247">
        <f>(AN320*365)*(AO320*0.67*0.8*1)</f>
        <v>17.020680000000002</v>
      </c>
      <c r="AZ320" s="247">
        <f t="shared" si="125"/>
        <v>21.275849999999998</v>
      </c>
      <c r="BA320" s="247">
        <f t="shared" si="126"/>
        <v>2.1275850000000003</v>
      </c>
      <c r="BB320" s="247">
        <f t="shared" si="127"/>
        <v>0.10637925000000001</v>
      </c>
      <c r="BC320" s="247">
        <f>(AN320*365)*(AO320*0.67*0.015*1)</f>
        <v>0.31913775</v>
      </c>
      <c r="BD320" s="247">
        <v>0</v>
      </c>
      <c r="BE320" s="247">
        <v>0</v>
      </c>
      <c r="BH320" s="120"/>
      <c r="BI320" s="203" t="s">
        <v>339</v>
      </c>
      <c r="BJ320" s="190" t="s">
        <v>168</v>
      </c>
      <c r="BK320" s="196">
        <f t="shared" si="128"/>
        <v>2</v>
      </c>
      <c r="BL320" s="190" t="s">
        <v>413</v>
      </c>
      <c r="BM320" s="189">
        <v>0.2</v>
      </c>
      <c r="BN320" s="189">
        <v>0.5</v>
      </c>
      <c r="BO320" s="188" t="s">
        <v>258</v>
      </c>
      <c r="BP320" s="196">
        <f t="shared" si="129"/>
        <v>5.0285714285714281E-2</v>
      </c>
      <c r="BQ320" s="190" t="s">
        <v>415</v>
      </c>
      <c r="BR320" s="189">
        <v>0.2</v>
      </c>
      <c r="BS320" s="189">
        <v>0.5</v>
      </c>
      <c r="BT320" s="188" t="s">
        <v>258</v>
      </c>
      <c r="BU320" s="180"/>
      <c r="BV320" s="196">
        <v>50</v>
      </c>
      <c r="BW320" s="190" t="s">
        <v>414</v>
      </c>
      <c r="BX320" s="180"/>
      <c r="BY320" s="196">
        <v>14.985142857142856</v>
      </c>
      <c r="BZ320" s="190" t="s">
        <v>414</v>
      </c>
      <c r="CA320" s="180"/>
      <c r="CB320" s="180"/>
      <c r="CC320" s="178"/>
      <c r="CD320" s="178"/>
      <c r="CE320" s="180"/>
      <c r="CF320" s="180"/>
      <c r="CG320" s="180"/>
      <c r="CH320" s="180"/>
      <c r="CI320" s="178"/>
      <c r="CJ320" s="178"/>
      <c r="CK320" s="180"/>
      <c r="CL320" s="180"/>
      <c r="CM320" s="180"/>
      <c r="CN320" s="116"/>
      <c r="CO320" s="218">
        <f t="shared" si="110"/>
        <v>0.2</v>
      </c>
      <c r="CP320" s="100">
        <f t="shared" si="111"/>
        <v>0.35</v>
      </c>
      <c r="CQ320" s="218">
        <f t="shared" si="112"/>
        <v>0.5</v>
      </c>
      <c r="CR320" s="101">
        <v>0.2</v>
      </c>
      <c r="CS320" s="101">
        <v>0.5</v>
      </c>
      <c r="DA320" s="23" t="s">
        <v>339</v>
      </c>
      <c r="DB320" s="23">
        <v>2</v>
      </c>
      <c r="DC320" s="142">
        <f t="shared" si="130"/>
        <v>42</v>
      </c>
      <c r="DD320" s="142">
        <f t="shared" si="131"/>
        <v>50</v>
      </c>
      <c r="DE320" s="23">
        <v>16</v>
      </c>
      <c r="DF320" s="23">
        <v>0.4</v>
      </c>
      <c r="DG320" s="142">
        <f t="shared" si="132"/>
        <v>6.4</v>
      </c>
      <c r="DH320" s="23">
        <v>5.0000000000000001E-3</v>
      </c>
      <c r="DI320" s="149">
        <f t="shared" si="133"/>
        <v>5.0285714285714281E-2</v>
      </c>
      <c r="DJ320" s="149">
        <f t="shared" si="134"/>
        <v>15.588571428571427</v>
      </c>
      <c r="DK320" s="149">
        <f t="shared" si="135"/>
        <v>14.985142857142856</v>
      </c>
      <c r="DL320" s="150">
        <f t="shared" si="136"/>
        <v>57.588571428571427</v>
      </c>
      <c r="DM320" s="150">
        <f t="shared" si="136"/>
        <v>64.985142857142861</v>
      </c>
      <c r="DN320" s="116" t="s">
        <v>168</v>
      </c>
      <c r="DO320" s="101" t="s">
        <v>392</v>
      </c>
    </row>
    <row r="321" spans="15:119" s="101" customFormat="1" ht="33.75" hidden="1" thickBot="1" x14ac:dyDescent="0.4">
      <c r="O321" s="227" t="s">
        <v>143</v>
      </c>
      <c r="Q321" s="243">
        <v>0.32</v>
      </c>
      <c r="R321" s="243">
        <v>380</v>
      </c>
      <c r="S321" s="246">
        <f t="shared" si="124"/>
        <v>0</v>
      </c>
      <c r="T321" s="246">
        <f t="shared" si="124"/>
        <v>0</v>
      </c>
      <c r="U321" s="246">
        <f t="shared" si="124"/>
        <v>0.34873142857142858</v>
      </c>
      <c r="V321" s="246">
        <f t="shared" si="124"/>
        <v>1.3949257142857143</v>
      </c>
      <c r="W321" s="246">
        <f t="shared" si="124"/>
        <v>0.34873142857142858</v>
      </c>
      <c r="X321" s="246">
        <f t="shared" si="124"/>
        <v>0</v>
      </c>
      <c r="Y321" s="246">
        <f t="shared" ref="Y321:AE321" si="137">((($Q321*($R321/1000)*365)*1)*Y$301)*(44/28)</f>
        <v>0.69746285714285716</v>
      </c>
      <c r="Z321" s="246">
        <f t="shared" si="137"/>
        <v>4.8822400000000004</v>
      </c>
      <c r="AA321" s="246">
        <f t="shared" si="137"/>
        <v>0</v>
      </c>
      <c r="AB321" s="246">
        <f t="shared" si="137"/>
        <v>0</v>
      </c>
      <c r="AC321" s="246">
        <f t="shared" si="137"/>
        <v>0.41847771428571423</v>
      </c>
      <c r="AD321" s="246">
        <f t="shared" si="137"/>
        <v>0</v>
      </c>
      <c r="AE321" s="246">
        <f t="shared" si="137"/>
        <v>6.9746285714285721</v>
      </c>
      <c r="AF321" s="246">
        <v>0</v>
      </c>
      <c r="AG321" s="246">
        <f t="shared" ref="AG321:AG326" si="138">((($Q321*($R321/1000)*365)*1)*AG$301)*(44/28)</f>
        <v>0.69746285714285716</v>
      </c>
      <c r="AH321" s="243"/>
      <c r="AI321" s="102">
        <v>1</v>
      </c>
      <c r="AJ321" s="100">
        <v>0</v>
      </c>
      <c r="AL321" s="102">
        <v>5</v>
      </c>
      <c r="AM321" s="237">
        <v>0.3</v>
      </c>
      <c r="AN321" s="241">
        <v>3.9</v>
      </c>
      <c r="AO321" s="241">
        <v>0.1</v>
      </c>
      <c r="AP321" s="247">
        <f>(AN321*365)*(AO321*0.67*0.01*1)</f>
        <v>0.95374500000000006</v>
      </c>
      <c r="AQ321" s="247">
        <f>(AN321*365)*(AO321*0.67*0.001*1)</f>
        <v>9.5374500000000001E-2</v>
      </c>
      <c r="AR321" s="248"/>
      <c r="AS321" s="247">
        <f>(AN321*365)*(AO321*0.67*0.02*1)</f>
        <v>1.9074900000000001</v>
      </c>
      <c r="AT321" s="247">
        <f>(AN321*365)*(AO321*0.67*0.01*1)</f>
        <v>0.95374500000000006</v>
      </c>
      <c r="AU321" s="247">
        <f>(AN321*365)*(AO321*0.67*0.25*1)</f>
        <v>23.843625000000003</v>
      </c>
      <c r="AV321" s="247">
        <f>(AN321*365)*(AO321*0.67*0.73*1)</f>
        <v>69.623384999999999</v>
      </c>
      <c r="AW321" s="247">
        <f>(AN321*365)*(AO321*0.67*0.03*1)</f>
        <v>2.8612350000000002</v>
      </c>
      <c r="AX321" s="248"/>
      <c r="AY321" s="247">
        <f>(AN321*365)*(AO321*0.67*0.25*1)</f>
        <v>23.843625000000003</v>
      </c>
      <c r="AZ321" s="247">
        <f t="shared" si="125"/>
        <v>95.374500000000012</v>
      </c>
      <c r="BA321" s="247">
        <f t="shared" si="126"/>
        <v>9.5374500000000015</v>
      </c>
      <c r="BB321" s="247">
        <f t="shared" si="127"/>
        <v>0.47687250000000003</v>
      </c>
      <c r="BC321" s="247">
        <f>(AN321*365)*(AO321*0.67*0.005*1)</f>
        <v>0.47687250000000003</v>
      </c>
      <c r="BD321" s="247">
        <v>0</v>
      </c>
      <c r="BE321" s="247">
        <v>0</v>
      </c>
      <c r="BH321" s="120"/>
      <c r="BI321" s="203" t="s">
        <v>143</v>
      </c>
      <c r="BJ321" s="190" t="s">
        <v>168</v>
      </c>
      <c r="BK321" s="196">
        <f t="shared" si="128"/>
        <v>1</v>
      </c>
      <c r="BL321" s="190" t="s">
        <v>413</v>
      </c>
      <c r="BM321" s="189">
        <v>0.2</v>
      </c>
      <c r="BN321" s="189">
        <v>0.5</v>
      </c>
      <c r="BO321" s="188" t="s">
        <v>258</v>
      </c>
      <c r="BP321" s="196">
        <f t="shared" si="129"/>
        <v>1.2445714285714284</v>
      </c>
      <c r="BQ321" s="190" t="s">
        <v>415</v>
      </c>
      <c r="BR321" s="189">
        <v>0.2</v>
      </c>
      <c r="BS321" s="189">
        <v>0.5</v>
      </c>
      <c r="BT321" s="188" t="s">
        <v>258</v>
      </c>
      <c r="BU321" s="180"/>
      <c r="BV321" s="196">
        <v>25</v>
      </c>
      <c r="BW321" s="190" t="s">
        <v>414</v>
      </c>
      <c r="BX321" s="180"/>
      <c r="BY321" s="196">
        <v>370.88228571428567</v>
      </c>
      <c r="BZ321" s="190" t="s">
        <v>414</v>
      </c>
      <c r="CA321" s="180"/>
      <c r="CB321" s="180"/>
      <c r="CC321" s="178"/>
      <c r="CD321" s="178"/>
      <c r="CE321" s="180"/>
      <c r="CF321" s="180"/>
      <c r="CG321" s="180"/>
      <c r="CH321" s="180"/>
      <c r="CI321" s="178"/>
      <c r="CJ321" s="178"/>
      <c r="CK321" s="180"/>
      <c r="CL321" s="180"/>
      <c r="CM321" s="180"/>
      <c r="CN321" s="116"/>
      <c r="CO321" s="218">
        <f t="shared" si="110"/>
        <v>0.2</v>
      </c>
      <c r="CP321" s="100">
        <f t="shared" si="111"/>
        <v>0.35</v>
      </c>
      <c r="CQ321" s="218">
        <f t="shared" si="112"/>
        <v>0.5</v>
      </c>
      <c r="CR321" s="101">
        <v>0.2</v>
      </c>
      <c r="CS321" s="101">
        <v>0.5</v>
      </c>
      <c r="DA321" s="23" t="s">
        <v>143</v>
      </c>
      <c r="DB321" s="23">
        <v>1</v>
      </c>
      <c r="DC321" s="142">
        <f t="shared" si="130"/>
        <v>21</v>
      </c>
      <c r="DD321" s="142">
        <f t="shared" si="131"/>
        <v>25</v>
      </c>
      <c r="DE321" s="23">
        <v>40</v>
      </c>
      <c r="DF321" s="23">
        <v>0.99</v>
      </c>
      <c r="DG321" s="142">
        <f t="shared" si="132"/>
        <v>39.6</v>
      </c>
      <c r="DH321" s="23">
        <v>0.02</v>
      </c>
      <c r="DI321" s="149">
        <f t="shared" si="133"/>
        <v>1.2445714285714284</v>
      </c>
      <c r="DJ321" s="149">
        <f t="shared" si="134"/>
        <v>385.81714285714281</v>
      </c>
      <c r="DK321" s="149">
        <f t="shared" si="135"/>
        <v>370.88228571428567</v>
      </c>
      <c r="DL321" s="150">
        <f t="shared" si="136"/>
        <v>406.81714285714281</v>
      </c>
      <c r="DM321" s="150">
        <f t="shared" si="136"/>
        <v>395.88228571428567</v>
      </c>
      <c r="DN321" s="116" t="s">
        <v>168</v>
      </c>
      <c r="DO321" s="101" t="s">
        <v>392</v>
      </c>
    </row>
    <row r="322" spans="15:119" s="101" customFormat="1" ht="33.75" hidden="1" thickBot="1" x14ac:dyDescent="0.4">
      <c r="O322" s="227" t="s">
        <v>144</v>
      </c>
      <c r="Q322" s="243">
        <v>0.32</v>
      </c>
      <c r="R322" s="243">
        <v>380</v>
      </c>
      <c r="S322" s="246">
        <f t="shared" ref="S322:AG335" si="139">((($Q322*($R322/1000)*365)*1)*S$301)*(44/28)</f>
        <v>0</v>
      </c>
      <c r="T322" s="246">
        <f t="shared" si="139"/>
        <v>0</v>
      </c>
      <c r="U322" s="246">
        <f t="shared" si="139"/>
        <v>0.34873142857142858</v>
      </c>
      <c r="V322" s="246">
        <f t="shared" si="139"/>
        <v>1.3949257142857143</v>
      </c>
      <c r="W322" s="246">
        <f t="shared" si="139"/>
        <v>0.34873142857142858</v>
      </c>
      <c r="X322" s="246">
        <f t="shared" si="139"/>
        <v>0</v>
      </c>
      <c r="Y322" s="246">
        <f t="shared" si="139"/>
        <v>0.69746285714285716</v>
      </c>
      <c r="Z322" s="246">
        <f t="shared" si="139"/>
        <v>4.8822400000000004</v>
      </c>
      <c r="AA322" s="246">
        <f t="shared" si="139"/>
        <v>0</v>
      </c>
      <c r="AB322" s="246">
        <f t="shared" si="139"/>
        <v>0</v>
      </c>
      <c r="AC322" s="246">
        <f t="shared" si="139"/>
        <v>0.41847771428571423</v>
      </c>
      <c r="AD322" s="246">
        <f t="shared" si="139"/>
        <v>0</v>
      </c>
      <c r="AE322" s="246">
        <f t="shared" si="139"/>
        <v>6.9746285714285721</v>
      </c>
      <c r="AF322" s="246">
        <v>0</v>
      </c>
      <c r="AG322" s="246">
        <f t="shared" si="138"/>
        <v>0.69746285714285716</v>
      </c>
      <c r="AH322" s="243"/>
      <c r="AI322" s="102">
        <v>1</v>
      </c>
      <c r="AJ322" s="100">
        <v>0</v>
      </c>
      <c r="AL322" s="102">
        <v>14</v>
      </c>
      <c r="AM322" s="237">
        <v>0.3</v>
      </c>
      <c r="AN322" s="241">
        <v>3.9</v>
      </c>
      <c r="AO322" s="241">
        <v>0.1</v>
      </c>
      <c r="AP322" s="247">
        <f>(AN322*365)*(AO322*0.67*0.015*1)</f>
        <v>1.4306175000000001</v>
      </c>
      <c r="AQ322" s="247">
        <f>(AN322*365)*(AO322*0.67*0.005*1)</f>
        <v>0.47687250000000003</v>
      </c>
      <c r="AR322" s="248"/>
      <c r="AS322" s="247">
        <f>(AN322*365)*(AO322*0.67*0.04*1)</f>
        <v>3.8149800000000003</v>
      </c>
      <c r="AT322" s="247">
        <f>(AN322*365)*(AO322*0.67*0.015*1)</f>
        <v>1.4306175000000001</v>
      </c>
      <c r="AU322" s="247">
        <f>(AN322*365)*(AO322*0.67*0.65*1)</f>
        <v>61.993425000000009</v>
      </c>
      <c r="AV322" s="247">
        <f>(AN322*365)*(AO322*0.67*0.79*1)</f>
        <v>75.345855</v>
      </c>
      <c r="AW322" s="247">
        <f>(AN322*365)*(AO322*0.67*0.03*1)</f>
        <v>2.8612350000000002</v>
      </c>
      <c r="AX322" s="248"/>
      <c r="AY322" s="247">
        <f>(AN322*365)*(AO322*0.67*0.65*1)</f>
        <v>61.993425000000009</v>
      </c>
      <c r="AZ322" s="247">
        <f t="shared" si="125"/>
        <v>95.374500000000012</v>
      </c>
      <c r="BA322" s="247">
        <f t="shared" si="126"/>
        <v>9.5374500000000015</v>
      </c>
      <c r="BB322" s="247">
        <f t="shared" si="127"/>
        <v>0.47687250000000003</v>
      </c>
      <c r="BC322" s="247">
        <f>(AN322*365)*(AO322*0.67*0.01*1)</f>
        <v>0.95374500000000006</v>
      </c>
      <c r="BD322" s="247">
        <v>0</v>
      </c>
      <c r="BE322" s="247">
        <v>0</v>
      </c>
      <c r="BH322" s="120"/>
      <c r="BI322" s="203" t="s">
        <v>144</v>
      </c>
      <c r="BJ322" s="190" t="s">
        <v>168</v>
      </c>
      <c r="BK322" s="196">
        <f t="shared" si="128"/>
        <v>1</v>
      </c>
      <c r="BL322" s="190" t="s">
        <v>413</v>
      </c>
      <c r="BM322" s="189">
        <v>0.2</v>
      </c>
      <c r="BN322" s="189">
        <v>0.5</v>
      </c>
      <c r="BO322" s="188" t="s">
        <v>258</v>
      </c>
      <c r="BP322" s="196">
        <f t="shared" si="129"/>
        <v>1.2445714285714284</v>
      </c>
      <c r="BQ322" s="190" t="s">
        <v>415</v>
      </c>
      <c r="BR322" s="189">
        <v>0.2</v>
      </c>
      <c r="BS322" s="189">
        <v>0.5</v>
      </c>
      <c r="BT322" s="188" t="s">
        <v>258</v>
      </c>
      <c r="BU322" s="180"/>
      <c r="BV322" s="196">
        <v>25</v>
      </c>
      <c r="BW322" s="190" t="s">
        <v>414</v>
      </c>
      <c r="BX322" s="180"/>
      <c r="BY322" s="196">
        <v>370.88228571428567</v>
      </c>
      <c r="BZ322" s="190" t="s">
        <v>414</v>
      </c>
      <c r="CA322" s="180"/>
      <c r="CB322" s="180"/>
      <c r="CC322" s="178"/>
      <c r="CD322" s="178"/>
      <c r="CE322" s="180"/>
      <c r="CF322" s="180"/>
      <c r="CG322" s="180"/>
      <c r="CH322" s="180"/>
      <c r="CI322" s="178"/>
      <c r="CJ322" s="178"/>
      <c r="CK322" s="180"/>
      <c r="CL322" s="180"/>
      <c r="CM322" s="180"/>
      <c r="CN322" s="116"/>
      <c r="CO322" s="218">
        <f t="shared" si="110"/>
        <v>0.2</v>
      </c>
      <c r="CP322" s="100">
        <f t="shared" si="111"/>
        <v>0.35</v>
      </c>
      <c r="CQ322" s="218">
        <f t="shared" si="112"/>
        <v>0.5</v>
      </c>
      <c r="CR322" s="101">
        <v>0.2</v>
      </c>
      <c r="CS322" s="101">
        <v>0.5</v>
      </c>
      <c r="DA322" s="23" t="s">
        <v>144</v>
      </c>
      <c r="DB322" s="23">
        <v>1</v>
      </c>
      <c r="DC322" s="142">
        <f t="shared" si="130"/>
        <v>21</v>
      </c>
      <c r="DD322" s="142">
        <f t="shared" si="131"/>
        <v>25</v>
      </c>
      <c r="DE322" s="23">
        <v>40</v>
      </c>
      <c r="DF322" s="23">
        <v>0.99</v>
      </c>
      <c r="DG322" s="142">
        <f t="shared" si="132"/>
        <v>39.6</v>
      </c>
      <c r="DH322" s="23">
        <v>0.02</v>
      </c>
      <c r="DI322" s="149">
        <f t="shared" si="133"/>
        <v>1.2445714285714284</v>
      </c>
      <c r="DJ322" s="149">
        <f t="shared" si="134"/>
        <v>385.81714285714281</v>
      </c>
      <c r="DK322" s="149">
        <f t="shared" si="135"/>
        <v>370.88228571428567</v>
      </c>
      <c r="DL322" s="150">
        <f t="shared" si="136"/>
        <v>406.81714285714281</v>
      </c>
      <c r="DM322" s="150">
        <f t="shared" si="136"/>
        <v>395.88228571428567</v>
      </c>
      <c r="DN322" s="116" t="s">
        <v>168</v>
      </c>
      <c r="DO322" s="101" t="s">
        <v>392</v>
      </c>
    </row>
    <row r="323" spans="15:119" s="101" customFormat="1" ht="33.75" hidden="1" thickBot="1" x14ac:dyDescent="0.4">
      <c r="O323" s="227" t="s">
        <v>145</v>
      </c>
      <c r="Q323" s="243">
        <v>0.32</v>
      </c>
      <c r="R323" s="243">
        <v>380</v>
      </c>
      <c r="S323" s="246">
        <f t="shared" si="139"/>
        <v>0</v>
      </c>
      <c r="T323" s="246">
        <f t="shared" si="139"/>
        <v>0</v>
      </c>
      <c r="U323" s="246">
        <f t="shared" si="139"/>
        <v>0.34873142857142858</v>
      </c>
      <c r="V323" s="246">
        <f t="shared" si="139"/>
        <v>1.3949257142857143</v>
      </c>
      <c r="W323" s="246">
        <f t="shared" si="139"/>
        <v>0.34873142857142858</v>
      </c>
      <c r="X323" s="246">
        <f t="shared" si="139"/>
        <v>0</v>
      </c>
      <c r="Y323" s="246">
        <f t="shared" si="139"/>
        <v>0.69746285714285716</v>
      </c>
      <c r="Z323" s="246">
        <f t="shared" si="139"/>
        <v>4.8822400000000004</v>
      </c>
      <c r="AA323" s="246">
        <f t="shared" si="139"/>
        <v>0</v>
      </c>
      <c r="AB323" s="246">
        <f t="shared" si="139"/>
        <v>0</v>
      </c>
      <c r="AC323" s="246">
        <f t="shared" si="139"/>
        <v>0.41847771428571423</v>
      </c>
      <c r="AD323" s="246">
        <f t="shared" si="139"/>
        <v>0</v>
      </c>
      <c r="AE323" s="246">
        <f t="shared" si="139"/>
        <v>6.9746285714285721</v>
      </c>
      <c r="AF323" s="246">
        <v>0</v>
      </c>
      <c r="AG323" s="246">
        <f t="shared" si="138"/>
        <v>0.69746285714285716</v>
      </c>
      <c r="AH323" s="243"/>
      <c r="AI323" s="102">
        <v>2</v>
      </c>
      <c r="AJ323" s="100">
        <v>0</v>
      </c>
      <c r="AL323" s="102">
        <v>17</v>
      </c>
      <c r="AM323" s="237">
        <v>0.3</v>
      </c>
      <c r="AN323" s="241">
        <v>3.9</v>
      </c>
      <c r="AO323" s="241">
        <v>0.1</v>
      </c>
      <c r="AP323" s="247">
        <f>(AN323*365)*(AO323*0.67*0.02*1)</f>
        <v>1.9074900000000001</v>
      </c>
      <c r="AQ323" s="247">
        <f>(AN323*365)*(AO323*0.67*0.01*1)</f>
        <v>0.95374500000000006</v>
      </c>
      <c r="AR323" s="248"/>
      <c r="AS323" s="247">
        <f>(AN323*365)*(AO323*0.67*0.05*1)</f>
        <v>4.7687250000000008</v>
      </c>
      <c r="AT323" s="247">
        <f>(AN323*365)*(AO323*0.67*0.02*1)</f>
        <v>1.9074900000000001</v>
      </c>
      <c r="AU323" s="247">
        <f>(AN323*365)*(AO323*0.67*0.8*1)</f>
        <v>76.299600000000012</v>
      </c>
      <c r="AV323" s="247">
        <f>(AN323*365)*(AO323*0.67*0.8*1)</f>
        <v>76.299600000000012</v>
      </c>
      <c r="AW323" s="247">
        <f>(AN323*365)*(AO323*0.67*0.3*1)</f>
        <v>28.612349999999999</v>
      </c>
      <c r="AX323" s="248"/>
      <c r="AY323" s="247">
        <f>(AN323*365)*(AO323*0.67*0.8*1)</f>
        <v>76.299600000000012</v>
      </c>
      <c r="AZ323" s="247">
        <f t="shared" si="125"/>
        <v>95.374500000000012</v>
      </c>
      <c r="BA323" s="247">
        <f t="shared" si="126"/>
        <v>9.5374500000000015</v>
      </c>
      <c r="BB323" s="247">
        <f t="shared" si="127"/>
        <v>0.47687250000000003</v>
      </c>
      <c r="BC323" s="247">
        <f>(AN323*365)*(AO323*0.67*0.015*1)</f>
        <v>1.4306175000000001</v>
      </c>
      <c r="BD323" s="247">
        <v>0</v>
      </c>
      <c r="BE323" s="247">
        <v>0</v>
      </c>
      <c r="BH323" s="120"/>
      <c r="BI323" s="203" t="s">
        <v>145</v>
      </c>
      <c r="BJ323" s="190" t="s">
        <v>168</v>
      </c>
      <c r="BK323" s="196">
        <f t="shared" si="128"/>
        <v>2</v>
      </c>
      <c r="BL323" s="190" t="s">
        <v>413</v>
      </c>
      <c r="BM323" s="189">
        <v>0.2</v>
      </c>
      <c r="BN323" s="189">
        <v>0.5</v>
      </c>
      <c r="BO323" s="188" t="s">
        <v>258</v>
      </c>
      <c r="BP323" s="196">
        <f t="shared" si="129"/>
        <v>1.2445714285714284</v>
      </c>
      <c r="BQ323" s="190" t="s">
        <v>415</v>
      </c>
      <c r="BR323" s="189">
        <v>0.2</v>
      </c>
      <c r="BS323" s="189">
        <v>0.5</v>
      </c>
      <c r="BT323" s="188" t="s">
        <v>258</v>
      </c>
      <c r="BU323" s="180"/>
      <c r="BV323" s="196">
        <v>50</v>
      </c>
      <c r="BW323" s="190" t="s">
        <v>414</v>
      </c>
      <c r="BX323" s="180"/>
      <c r="BY323" s="196">
        <v>370.88228571428567</v>
      </c>
      <c r="BZ323" s="190" t="s">
        <v>414</v>
      </c>
      <c r="CA323" s="180"/>
      <c r="CB323" s="180"/>
      <c r="CC323" s="178"/>
      <c r="CD323" s="178"/>
      <c r="CE323" s="180"/>
      <c r="CF323" s="180"/>
      <c r="CG323" s="180"/>
      <c r="CH323" s="180"/>
      <c r="CI323" s="178"/>
      <c r="CJ323" s="178"/>
      <c r="CK323" s="180"/>
      <c r="CL323" s="180"/>
      <c r="CM323" s="180"/>
      <c r="CN323" s="116"/>
      <c r="CO323" s="218">
        <f t="shared" si="110"/>
        <v>0.2</v>
      </c>
      <c r="CP323" s="100">
        <f t="shared" si="111"/>
        <v>0.35</v>
      </c>
      <c r="CQ323" s="218">
        <f t="shared" si="112"/>
        <v>0.5</v>
      </c>
      <c r="CR323" s="101">
        <v>0.2</v>
      </c>
      <c r="CS323" s="101">
        <v>0.5</v>
      </c>
      <c r="DA323" s="23" t="s">
        <v>145</v>
      </c>
      <c r="DB323" s="23">
        <v>2</v>
      </c>
      <c r="DC323" s="142">
        <f t="shared" si="130"/>
        <v>42</v>
      </c>
      <c r="DD323" s="142">
        <f t="shared" si="131"/>
        <v>50</v>
      </c>
      <c r="DE323" s="23">
        <v>40</v>
      </c>
      <c r="DF323" s="23">
        <v>0.99</v>
      </c>
      <c r="DG323" s="142">
        <f t="shared" si="132"/>
        <v>39.6</v>
      </c>
      <c r="DH323" s="23">
        <v>0.02</v>
      </c>
      <c r="DI323" s="149">
        <f t="shared" si="133"/>
        <v>1.2445714285714284</v>
      </c>
      <c r="DJ323" s="149">
        <f t="shared" si="134"/>
        <v>385.81714285714281</v>
      </c>
      <c r="DK323" s="149">
        <f t="shared" si="135"/>
        <v>370.88228571428567</v>
      </c>
      <c r="DL323" s="150">
        <f t="shared" si="136"/>
        <v>427.81714285714281</v>
      </c>
      <c r="DM323" s="150">
        <f t="shared" si="136"/>
        <v>420.88228571428567</v>
      </c>
      <c r="DN323" s="116" t="s">
        <v>168</v>
      </c>
      <c r="DO323" s="101" t="s">
        <v>392</v>
      </c>
    </row>
    <row r="324" spans="15:119" s="101" customFormat="1" ht="33.75" hidden="1" thickBot="1" x14ac:dyDescent="0.4">
      <c r="O324" s="227" t="s">
        <v>146</v>
      </c>
      <c r="Q324" s="243">
        <v>1.37</v>
      </c>
      <c r="R324" s="243">
        <v>30</v>
      </c>
      <c r="S324" s="246">
        <f t="shared" si="139"/>
        <v>0</v>
      </c>
      <c r="T324" s="246">
        <f t="shared" si="139"/>
        <v>0</v>
      </c>
      <c r="U324" s="246">
        <f t="shared" si="139"/>
        <v>0.11786892857142858</v>
      </c>
      <c r="V324" s="246">
        <f t="shared" si="139"/>
        <v>0.47147571428571433</v>
      </c>
      <c r="W324" s="246">
        <f t="shared" si="139"/>
        <v>0.11786892857142858</v>
      </c>
      <c r="X324" s="246">
        <f t="shared" si="139"/>
        <v>0</v>
      </c>
      <c r="Y324" s="246">
        <f t="shared" si="139"/>
        <v>0.23573785714285717</v>
      </c>
      <c r="Z324" s="246">
        <f t="shared" si="139"/>
        <v>1.6501650000000003</v>
      </c>
      <c r="AA324" s="246">
        <f t="shared" si="139"/>
        <v>0</v>
      </c>
      <c r="AB324" s="246">
        <f t="shared" si="139"/>
        <v>0</v>
      </c>
      <c r="AC324" s="246">
        <f t="shared" si="139"/>
        <v>0.14144271428571431</v>
      </c>
      <c r="AD324" s="246">
        <f t="shared" si="139"/>
        <v>0</v>
      </c>
      <c r="AE324" s="246">
        <f t="shared" si="139"/>
        <v>2.3573785714285718</v>
      </c>
      <c r="AF324" s="246">
        <v>0</v>
      </c>
      <c r="AG324" s="246">
        <f t="shared" si="138"/>
        <v>0.23573785714285717</v>
      </c>
      <c r="AH324" s="243"/>
      <c r="AI324" s="102">
        <v>0.11</v>
      </c>
      <c r="AJ324" s="100">
        <v>0</v>
      </c>
      <c r="AL324" s="100">
        <v>0</v>
      </c>
      <c r="AM324" s="237">
        <v>0.3</v>
      </c>
      <c r="AN324" s="241">
        <v>0.35</v>
      </c>
      <c r="AO324" s="241">
        <v>0.13</v>
      </c>
      <c r="AP324" s="247">
        <f>(AN324*365)*(AO324*0.67*0.01*1)</f>
        <v>0.11127025</v>
      </c>
      <c r="AQ324" s="247">
        <f>(AN324*365)*(AO324*0.67*0.001*1)</f>
        <v>1.1127025E-2</v>
      </c>
      <c r="AR324" s="248"/>
      <c r="AS324" s="247">
        <f>(AN324*365)*(AO324*0.67*0.02*1)</f>
        <v>0.2225405</v>
      </c>
      <c r="AT324" s="247">
        <f>(AN324*365)*(AO324*0.67*0.01*1)</f>
        <v>0.11127025</v>
      </c>
      <c r="AU324" s="247">
        <f>(AN324*365)*(AO324*0.67*0.25*1)</f>
        <v>2.7817562499999999</v>
      </c>
      <c r="AV324" s="247">
        <f>(AN324*365)*(AO324*0.67*0.73*1)</f>
        <v>8.1227282499999998</v>
      </c>
      <c r="AW324" s="247">
        <f>(AN324*365)*(AO324*0.67*0.03*1)</f>
        <v>0.33381074999999999</v>
      </c>
      <c r="AX324" s="248"/>
      <c r="AY324" s="247">
        <f>(AN324*365)*(AO324*0.67*0.25*1)</f>
        <v>2.7817562499999999</v>
      </c>
      <c r="AZ324" s="247">
        <f t="shared" si="125"/>
        <v>11.127025</v>
      </c>
      <c r="BA324" s="247">
        <f t="shared" si="126"/>
        <v>1.1127024999999999</v>
      </c>
      <c r="BB324" s="247">
        <f t="shared" si="127"/>
        <v>5.5635125000000001E-2</v>
      </c>
      <c r="BC324" s="247">
        <f>(AN324*365)*(AO324*0.67*0.005*1)</f>
        <v>5.5635125000000001E-2</v>
      </c>
      <c r="BD324" s="247">
        <v>0</v>
      </c>
      <c r="BE324" s="247">
        <v>0</v>
      </c>
      <c r="BH324" s="120"/>
      <c r="BI324" s="203" t="s">
        <v>146</v>
      </c>
      <c r="BJ324" s="190" t="s">
        <v>168</v>
      </c>
      <c r="BK324" s="196">
        <f t="shared" si="128"/>
        <v>0.11</v>
      </c>
      <c r="BL324" s="190" t="s">
        <v>413</v>
      </c>
      <c r="BM324" s="189">
        <v>0.2</v>
      </c>
      <c r="BN324" s="189">
        <v>0.5</v>
      </c>
      <c r="BO324" s="188" t="s">
        <v>258</v>
      </c>
      <c r="BP324" s="196">
        <f t="shared" si="129"/>
        <v>1.2445714285714284</v>
      </c>
      <c r="BQ324" s="190" t="s">
        <v>415</v>
      </c>
      <c r="BR324" s="189">
        <v>0.2</v>
      </c>
      <c r="BS324" s="189">
        <v>0.5</v>
      </c>
      <c r="BT324" s="188" t="s">
        <v>258</v>
      </c>
      <c r="BU324" s="180"/>
      <c r="BV324" s="196">
        <v>2.75</v>
      </c>
      <c r="BW324" s="190" t="s">
        <v>414</v>
      </c>
      <c r="BX324" s="180"/>
      <c r="BY324" s="196">
        <v>370.88228571428567</v>
      </c>
      <c r="BZ324" s="190" t="s">
        <v>414</v>
      </c>
      <c r="CA324" s="178"/>
      <c r="CB324" s="180"/>
      <c r="CC324" s="178"/>
      <c r="CD324" s="178"/>
      <c r="CE324" s="180"/>
      <c r="CF324" s="180"/>
      <c r="CG324" s="180"/>
      <c r="CH324" s="180"/>
      <c r="CI324" s="178"/>
      <c r="CJ324" s="178"/>
      <c r="CK324" s="180"/>
      <c r="CL324" s="180"/>
      <c r="CM324" s="180"/>
      <c r="CN324" s="116"/>
      <c r="CO324" s="218">
        <f t="shared" si="110"/>
        <v>0.2</v>
      </c>
      <c r="CP324" s="100">
        <f t="shared" si="111"/>
        <v>0.35</v>
      </c>
      <c r="CQ324" s="218">
        <f t="shared" si="112"/>
        <v>0.5</v>
      </c>
      <c r="CR324" s="101">
        <v>0.2</v>
      </c>
      <c r="CS324" s="101">
        <v>0.5</v>
      </c>
      <c r="DA324" s="23" t="s">
        <v>146</v>
      </c>
      <c r="DB324" s="23">
        <v>0.11</v>
      </c>
      <c r="DC324" s="142">
        <f t="shared" si="130"/>
        <v>2.31</v>
      </c>
      <c r="DD324" s="142">
        <f t="shared" si="131"/>
        <v>2.75</v>
      </c>
      <c r="DE324" s="23">
        <v>40</v>
      </c>
      <c r="DF324" s="23">
        <v>0.99</v>
      </c>
      <c r="DG324" s="142">
        <f t="shared" si="132"/>
        <v>39.6</v>
      </c>
      <c r="DH324" s="23">
        <v>0.02</v>
      </c>
      <c r="DI324" s="149">
        <f t="shared" si="133"/>
        <v>1.2445714285714284</v>
      </c>
      <c r="DJ324" s="149">
        <f t="shared" si="134"/>
        <v>385.81714285714281</v>
      </c>
      <c r="DK324" s="149">
        <f t="shared" si="135"/>
        <v>370.88228571428567</v>
      </c>
      <c r="DL324" s="150">
        <f t="shared" si="136"/>
        <v>388.12714285714281</v>
      </c>
      <c r="DM324" s="150">
        <f t="shared" si="136"/>
        <v>373.63228571428567</v>
      </c>
      <c r="DN324" s="116" t="s">
        <v>168</v>
      </c>
      <c r="DO324" s="101" t="s">
        <v>392</v>
      </c>
    </row>
    <row r="325" spans="15:119" s="101" customFormat="1" ht="33.75" hidden="1" thickBot="1" x14ac:dyDescent="0.4">
      <c r="O325" s="227" t="s">
        <v>147</v>
      </c>
      <c r="Q325" s="243">
        <v>1.37</v>
      </c>
      <c r="R325" s="243">
        <v>30</v>
      </c>
      <c r="S325" s="246">
        <f t="shared" si="139"/>
        <v>0</v>
      </c>
      <c r="T325" s="246">
        <f t="shared" si="139"/>
        <v>0</v>
      </c>
      <c r="U325" s="246">
        <f t="shared" si="139"/>
        <v>0.11786892857142858</v>
      </c>
      <c r="V325" s="246">
        <f t="shared" si="139"/>
        <v>0.47147571428571433</v>
      </c>
      <c r="W325" s="246">
        <f t="shared" si="139"/>
        <v>0.11786892857142858</v>
      </c>
      <c r="X325" s="246">
        <f t="shared" si="139"/>
        <v>0</v>
      </c>
      <c r="Y325" s="246">
        <f t="shared" si="139"/>
        <v>0.23573785714285717</v>
      </c>
      <c r="Z325" s="246">
        <f t="shared" si="139"/>
        <v>1.6501650000000003</v>
      </c>
      <c r="AA325" s="246">
        <f t="shared" si="139"/>
        <v>0</v>
      </c>
      <c r="AB325" s="246">
        <f t="shared" si="139"/>
        <v>0</v>
      </c>
      <c r="AC325" s="246">
        <f t="shared" si="139"/>
        <v>0.14144271428571431</v>
      </c>
      <c r="AD325" s="246">
        <f t="shared" si="139"/>
        <v>0</v>
      </c>
      <c r="AE325" s="246">
        <f t="shared" si="139"/>
        <v>2.3573785714285718</v>
      </c>
      <c r="AF325" s="246">
        <v>0</v>
      </c>
      <c r="AG325" s="246">
        <f t="shared" si="138"/>
        <v>0.23573785714285717</v>
      </c>
      <c r="AH325" s="243"/>
      <c r="AI325" s="102">
        <v>0.17</v>
      </c>
      <c r="AJ325" s="100">
        <v>0</v>
      </c>
      <c r="AL325" s="100">
        <v>0</v>
      </c>
      <c r="AM325" s="237">
        <v>0.3</v>
      </c>
      <c r="AN325" s="241">
        <v>0.35</v>
      </c>
      <c r="AO325" s="241">
        <v>0.13</v>
      </c>
      <c r="AP325" s="247">
        <f>(AN325*365)*(AO325*0.67*0.015*1)</f>
        <v>0.16690537499999999</v>
      </c>
      <c r="AQ325" s="247">
        <f>(AN325*365)*(AO325*0.67*0.005*1)</f>
        <v>5.5635125000000001E-2</v>
      </c>
      <c r="AR325" s="248"/>
      <c r="AS325" s="247">
        <f>(AN325*365)*(AO325*0.67*0.04*1)</f>
        <v>0.445081</v>
      </c>
      <c r="AT325" s="247">
        <f>(AN325*365)*(AO325*0.67*0.015*1)</f>
        <v>0.16690537499999999</v>
      </c>
      <c r="AU325" s="247">
        <f>(AN325*365)*(AO325*0.67*0.65*1)</f>
        <v>7.2325662499999996</v>
      </c>
      <c r="AV325" s="247">
        <f>(AN325*365)*(AO325*0.67*0.79*1)</f>
        <v>8.7903497500000007</v>
      </c>
      <c r="AW325" s="247">
        <f>(AN325*365)*(AO325*0.67*0.03*1)</f>
        <v>0.33381074999999999</v>
      </c>
      <c r="AX325" s="248"/>
      <c r="AY325" s="247">
        <f>(AN325*365)*(AO325*0.67*0.65*1)</f>
        <v>7.2325662499999996</v>
      </c>
      <c r="AZ325" s="247">
        <f t="shared" si="125"/>
        <v>11.127025</v>
      </c>
      <c r="BA325" s="247">
        <f t="shared" si="126"/>
        <v>1.1127024999999999</v>
      </c>
      <c r="BB325" s="247">
        <f t="shared" si="127"/>
        <v>5.5635125000000001E-2</v>
      </c>
      <c r="BC325" s="247">
        <f>(AN325*365)*(AO325*0.67*0.01*1)</f>
        <v>0.11127025</v>
      </c>
      <c r="BD325" s="247">
        <v>0</v>
      </c>
      <c r="BE325" s="247">
        <v>0</v>
      </c>
      <c r="BH325" s="120"/>
      <c r="BI325" s="203" t="s">
        <v>147</v>
      </c>
      <c r="BJ325" s="190" t="s">
        <v>168</v>
      </c>
      <c r="BK325" s="196">
        <f t="shared" si="128"/>
        <v>0.17</v>
      </c>
      <c r="BL325" s="190" t="s">
        <v>413</v>
      </c>
      <c r="BM325" s="189">
        <v>0.2</v>
      </c>
      <c r="BN325" s="189">
        <v>0.5</v>
      </c>
      <c r="BO325" s="188" t="s">
        <v>258</v>
      </c>
      <c r="BP325" s="196">
        <f t="shared" si="129"/>
        <v>1.2445714285714284</v>
      </c>
      <c r="BQ325" s="190" t="s">
        <v>415</v>
      </c>
      <c r="BR325" s="189">
        <v>0.2</v>
      </c>
      <c r="BS325" s="189">
        <v>0.5</v>
      </c>
      <c r="BT325" s="188" t="s">
        <v>258</v>
      </c>
      <c r="BU325" s="180"/>
      <c r="BV325" s="196">
        <v>4.25</v>
      </c>
      <c r="BW325" s="190" t="s">
        <v>414</v>
      </c>
      <c r="BX325" s="180"/>
      <c r="BY325" s="196">
        <v>370.88228571428567</v>
      </c>
      <c r="BZ325" s="190" t="s">
        <v>414</v>
      </c>
      <c r="CA325" s="178"/>
      <c r="CB325" s="180"/>
      <c r="CC325" s="178"/>
      <c r="CD325" s="178"/>
      <c r="CE325" s="180"/>
      <c r="CF325" s="180"/>
      <c r="CG325" s="180"/>
      <c r="CH325" s="180"/>
      <c r="CI325" s="178"/>
      <c r="CJ325" s="178"/>
      <c r="CK325" s="180"/>
      <c r="CL325" s="180"/>
      <c r="CM325" s="180"/>
      <c r="CN325" s="116"/>
      <c r="CO325" s="218">
        <f t="shared" ref="CO325:CO388" si="140">BM325</f>
        <v>0.2</v>
      </c>
      <c r="CP325" s="100">
        <f t="shared" ref="CP325:CP388" si="141">(CO325+CQ325)/2</f>
        <v>0.35</v>
      </c>
      <c r="CQ325" s="218">
        <f t="shared" ref="CQ325:CQ388" si="142">BN325</f>
        <v>0.5</v>
      </c>
      <c r="CR325" s="101">
        <v>0.2</v>
      </c>
      <c r="CS325" s="101">
        <v>0.5</v>
      </c>
      <c r="DA325" s="23" t="s">
        <v>147</v>
      </c>
      <c r="DB325" s="23">
        <v>0.17</v>
      </c>
      <c r="DC325" s="142">
        <f t="shared" si="130"/>
        <v>3.5700000000000003</v>
      </c>
      <c r="DD325" s="142">
        <f t="shared" si="131"/>
        <v>4.25</v>
      </c>
      <c r="DE325" s="23">
        <v>40</v>
      </c>
      <c r="DF325" s="23">
        <v>0.99</v>
      </c>
      <c r="DG325" s="142">
        <f t="shared" si="132"/>
        <v>39.6</v>
      </c>
      <c r="DH325" s="23">
        <v>0.02</v>
      </c>
      <c r="DI325" s="149">
        <f t="shared" si="133"/>
        <v>1.2445714285714284</v>
      </c>
      <c r="DJ325" s="149">
        <f t="shared" si="134"/>
        <v>385.81714285714281</v>
      </c>
      <c r="DK325" s="149">
        <f t="shared" si="135"/>
        <v>370.88228571428567</v>
      </c>
      <c r="DL325" s="150">
        <f t="shared" si="136"/>
        <v>389.38714285714281</v>
      </c>
      <c r="DM325" s="150">
        <f t="shared" si="136"/>
        <v>375.13228571428567</v>
      </c>
      <c r="DN325" s="116" t="s">
        <v>168</v>
      </c>
      <c r="DO325" s="101" t="s">
        <v>392</v>
      </c>
    </row>
    <row r="326" spans="15:119" s="101" customFormat="1" ht="22.5" hidden="1" customHeight="1" x14ac:dyDescent="0.35">
      <c r="O326" s="227" t="s">
        <v>148</v>
      </c>
      <c r="Q326" s="243">
        <v>1.37</v>
      </c>
      <c r="R326" s="243">
        <v>30</v>
      </c>
      <c r="S326" s="246">
        <f t="shared" si="139"/>
        <v>0</v>
      </c>
      <c r="T326" s="246">
        <f t="shared" si="139"/>
        <v>0</v>
      </c>
      <c r="U326" s="246">
        <f t="shared" si="139"/>
        <v>0.11786892857142858</v>
      </c>
      <c r="V326" s="246">
        <f t="shared" si="139"/>
        <v>0.47147571428571433</v>
      </c>
      <c r="W326" s="246">
        <f t="shared" si="139"/>
        <v>0.11786892857142858</v>
      </c>
      <c r="X326" s="246">
        <f t="shared" si="139"/>
        <v>0</v>
      </c>
      <c r="Y326" s="246">
        <f t="shared" si="139"/>
        <v>0.23573785714285717</v>
      </c>
      <c r="Z326" s="246">
        <f t="shared" si="139"/>
        <v>1.6501650000000003</v>
      </c>
      <c r="AA326" s="246">
        <f t="shared" si="139"/>
        <v>0</v>
      </c>
      <c r="AB326" s="246">
        <f t="shared" si="139"/>
        <v>0</v>
      </c>
      <c r="AC326" s="246">
        <f t="shared" si="139"/>
        <v>0.14144271428571431</v>
      </c>
      <c r="AD326" s="246">
        <f t="shared" si="139"/>
        <v>0</v>
      </c>
      <c r="AE326" s="246">
        <f t="shared" si="139"/>
        <v>2.3573785714285718</v>
      </c>
      <c r="AF326" s="246">
        <v>0</v>
      </c>
      <c r="AG326" s="246">
        <f t="shared" si="138"/>
        <v>0.23573785714285717</v>
      </c>
      <c r="AH326" s="243"/>
      <c r="AI326" s="102">
        <v>0.22</v>
      </c>
      <c r="AJ326" s="100">
        <v>0</v>
      </c>
      <c r="AL326" s="100">
        <v>0</v>
      </c>
      <c r="AM326" s="237">
        <v>0.3</v>
      </c>
      <c r="AN326" s="241">
        <v>0.35</v>
      </c>
      <c r="AO326" s="241">
        <v>0.13</v>
      </c>
      <c r="AP326" s="247">
        <f>(AN326*365)*(AO326*0.67*0.02*1)</f>
        <v>0.2225405</v>
      </c>
      <c r="AQ326" s="247">
        <f>(AN326*365)*(AO326*0.67*0.01*1)</f>
        <v>0.11127025</v>
      </c>
      <c r="AR326" s="248"/>
      <c r="AS326" s="247">
        <f>(AN326*365)*(AO326*0.67*0.05*1)</f>
        <v>0.55635124999999996</v>
      </c>
      <c r="AT326" s="247">
        <f>(AN326*365)*(AO326*0.67*0.02*1)</f>
        <v>0.2225405</v>
      </c>
      <c r="AU326" s="247">
        <f>(AN326*365)*(AO326*0.67*0.8*1)</f>
        <v>8.9016199999999994</v>
      </c>
      <c r="AV326" s="247">
        <f>(AN326*365)*(AO326*0.67*0.8*1)</f>
        <v>8.9016199999999994</v>
      </c>
      <c r="AW326" s="247">
        <f>(AN326*365)*(AO326*0.67*0.3*1)</f>
        <v>3.3381075</v>
      </c>
      <c r="AX326" s="248"/>
      <c r="AY326" s="247">
        <f>(AN326*365)*(AO326*0.67*0.8*1)</f>
        <v>8.9016199999999994</v>
      </c>
      <c r="AZ326" s="247">
        <f t="shared" si="125"/>
        <v>11.127025</v>
      </c>
      <c r="BA326" s="247">
        <f t="shared" si="126"/>
        <v>1.1127024999999999</v>
      </c>
      <c r="BB326" s="247">
        <f t="shared" si="127"/>
        <v>5.5635125000000001E-2</v>
      </c>
      <c r="BC326" s="247">
        <f>(AN326*365)*(AO326*0.67*0.015*1)</f>
        <v>0.16690537499999999</v>
      </c>
      <c r="BD326" s="247">
        <v>0</v>
      </c>
      <c r="BE326" s="247">
        <v>0</v>
      </c>
      <c r="BH326" s="120"/>
      <c r="BI326" s="203" t="s">
        <v>148</v>
      </c>
      <c r="BJ326" s="190" t="s">
        <v>168</v>
      </c>
      <c r="BK326" s="196">
        <f t="shared" si="128"/>
        <v>0.22</v>
      </c>
      <c r="BL326" s="190" t="s">
        <v>413</v>
      </c>
      <c r="BM326" s="189">
        <v>0.2</v>
      </c>
      <c r="BN326" s="189">
        <v>0.5</v>
      </c>
      <c r="BO326" s="188" t="s">
        <v>258</v>
      </c>
      <c r="BP326" s="196">
        <f t="shared" si="129"/>
        <v>1.2445714285714284</v>
      </c>
      <c r="BQ326" s="190" t="s">
        <v>415</v>
      </c>
      <c r="BR326" s="189">
        <v>0.2</v>
      </c>
      <c r="BS326" s="189">
        <v>0.5</v>
      </c>
      <c r="BT326" s="188" t="s">
        <v>258</v>
      </c>
      <c r="BU326" s="204"/>
      <c r="BV326" s="196">
        <v>5.5</v>
      </c>
      <c r="BW326" s="190" t="s">
        <v>414</v>
      </c>
      <c r="BX326" s="204"/>
      <c r="BY326" s="196">
        <v>370.88228571428567</v>
      </c>
      <c r="BZ326" s="190" t="s">
        <v>414</v>
      </c>
      <c r="CA326" s="205"/>
      <c r="CB326" s="180"/>
      <c r="CC326" s="178"/>
      <c r="CD326" s="178"/>
      <c r="CE326" s="180"/>
      <c r="CF326" s="180"/>
      <c r="CG326" s="180"/>
      <c r="CH326" s="180"/>
      <c r="CI326" s="178"/>
      <c r="CJ326" s="178"/>
      <c r="CK326" s="180"/>
      <c r="CL326" s="180"/>
      <c r="CM326" s="180"/>
      <c r="CN326" s="116"/>
      <c r="CO326" s="218">
        <f t="shared" si="140"/>
        <v>0.2</v>
      </c>
      <c r="CP326" s="100">
        <f t="shared" si="141"/>
        <v>0.35</v>
      </c>
      <c r="CQ326" s="218">
        <f t="shared" si="142"/>
        <v>0.5</v>
      </c>
      <c r="CR326" s="101">
        <v>0.2</v>
      </c>
      <c r="CS326" s="101">
        <v>0.5</v>
      </c>
      <c r="DA326" s="23" t="s">
        <v>148</v>
      </c>
      <c r="DB326" s="23">
        <v>0.22</v>
      </c>
      <c r="DC326" s="142">
        <f t="shared" si="130"/>
        <v>4.62</v>
      </c>
      <c r="DD326" s="142">
        <f t="shared" si="131"/>
        <v>5.5</v>
      </c>
      <c r="DE326" s="23">
        <v>40</v>
      </c>
      <c r="DF326" s="23">
        <v>0.99</v>
      </c>
      <c r="DG326" s="142">
        <f t="shared" si="132"/>
        <v>39.6</v>
      </c>
      <c r="DH326" s="23">
        <v>0.02</v>
      </c>
      <c r="DI326" s="149">
        <f t="shared" si="133"/>
        <v>1.2445714285714284</v>
      </c>
      <c r="DJ326" s="149">
        <f t="shared" si="134"/>
        <v>385.81714285714281</v>
      </c>
      <c r="DK326" s="149">
        <f t="shared" si="135"/>
        <v>370.88228571428567</v>
      </c>
      <c r="DL326" s="150">
        <f t="shared" si="136"/>
        <v>390.43714285714282</v>
      </c>
      <c r="DM326" s="150">
        <f t="shared" si="136"/>
        <v>376.38228571428567</v>
      </c>
      <c r="DN326" s="116" t="s">
        <v>168</v>
      </c>
      <c r="DO326" s="101" t="s">
        <v>392</v>
      </c>
    </row>
    <row r="327" spans="15:119" s="101" customFormat="1" ht="24.75" hidden="1" customHeight="1" x14ac:dyDescent="0.35">
      <c r="O327" s="227" t="s">
        <v>149</v>
      </c>
      <c r="Q327" s="243">
        <v>1.37</v>
      </c>
      <c r="R327" s="243">
        <v>30</v>
      </c>
      <c r="S327" s="246">
        <f t="shared" si="139"/>
        <v>0</v>
      </c>
      <c r="T327" s="246">
        <f t="shared" si="139"/>
        <v>0</v>
      </c>
      <c r="U327" s="246">
        <f t="shared" si="139"/>
        <v>0.11786892857142858</v>
      </c>
      <c r="V327" s="246">
        <f t="shared" si="139"/>
        <v>0.47147571428571433</v>
      </c>
      <c r="W327" s="246">
        <f t="shared" si="139"/>
        <v>0.11786892857142858</v>
      </c>
      <c r="X327" s="246">
        <f t="shared" si="139"/>
        <v>0</v>
      </c>
      <c r="Y327" s="246">
        <f t="shared" si="139"/>
        <v>0.23573785714285717</v>
      </c>
      <c r="Z327" s="246">
        <f t="shared" si="139"/>
        <v>1.6501650000000003</v>
      </c>
      <c r="AA327" s="246">
        <f t="shared" si="139"/>
        <v>0</v>
      </c>
      <c r="AB327" s="246">
        <f t="shared" si="139"/>
        <v>0</v>
      </c>
      <c r="AC327" s="246">
        <f t="shared" si="139"/>
        <v>0.14144271428571431</v>
      </c>
      <c r="AD327" s="246">
        <f t="shared" si="139"/>
        <v>0</v>
      </c>
      <c r="AE327" s="246">
        <f t="shared" si="139"/>
        <v>2.3573785714285718</v>
      </c>
      <c r="AF327" s="246">
        <v>0</v>
      </c>
      <c r="AG327" s="246">
        <f t="shared" si="139"/>
        <v>0.23573785714285717</v>
      </c>
      <c r="AH327" s="243"/>
      <c r="AI327" s="102">
        <v>1.0900000000000001</v>
      </c>
      <c r="AJ327" s="100">
        <v>0</v>
      </c>
      <c r="AL327" s="100">
        <v>0</v>
      </c>
      <c r="AM327" s="237">
        <v>0.3</v>
      </c>
      <c r="AN327" s="241">
        <v>1.72</v>
      </c>
      <c r="AO327" s="241">
        <v>0.26</v>
      </c>
      <c r="AP327" s="247">
        <f>(AN327*365)*(AO327*0.67*0.01*1)</f>
        <v>1.0936276</v>
      </c>
      <c r="AQ327" s="247">
        <f>(AN327*365)*(AO327*0.67*0.001*1)</f>
        <v>0.10936276000000002</v>
      </c>
      <c r="AR327" s="248"/>
      <c r="AS327" s="247">
        <f>(AN327*365)*(AO327*0.67*0.02*1)</f>
        <v>2.1872552000000001</v>
      </c>
      <c r="AT327" s="247">
        <f>(AN327*365)*(AO327*0.67*0.01*1)</f>
        <v>1.0936276</v>
      </c>
      <c r="AU327" s="247">
        <f>(AN327*365)*(AO327*0.67*0.25*1)</f>
        <v>27.340690000000002</v>
      </c>
      <c r="AV327" s="247">
        <f>(AN327*365)*(AO327*0.67*0.73*1)</f>
        <v>79.83481479999999</v>
      </c>
      <c r="AW327" s="247">
        <f>(AN327*365)*(AO327*0.67*0.03*1)</f>
        <v>3.2808828000000001</v>
      </c>
      <c r="AX327" s="248"/>
      <c r="AY327" s="247">
        <f>(AN327*365)*(AO327*0.67*0.25*1)</f>
        <v>27.340690000000002</v>
      </c>
      <c r="AZ327" s="247">
        <f t="shared" si="125"/>
        <v>109.36276000000001</v>
      </c>
      <c r="BA327" s="247">
        <f t="shared" si="126"/>
        <v>10.936275999999999</v>
      </c>
      <c r="BB327" s="247">
        <f t="shared" si="127"/>
        <v>0.54681380000000002</v>
      </c>
      <c r="BC327" s="247">
        <f>(AN327*365)*(AO327*0.67*0.005*1)</f>
        <v>0.54681380000000002</v>
      </c>
      <c r="BD327" s="247">
        <v>0</v>
      </c>
      <c r="BE327" s="247">
        <v>0</v>
      </c>
      <c r="BH327" s="120"/>
      <c r="BI327" s="203" t="s">
        <v>149</v>
      </c>
      <c r="BJ327" s="190" t="s">
        <v>168</v>
      </c>
      <c r="BK327" s="196">
        <f t="shared" si="128"/>
        <v>1.0900000000000001</v>
      </c>
      <c r="BL327" s="190" t="s">
        <v>413</v>
      </c>
      <c r="BM327" s="189">
        <v>0.2</v>
      </c>
      <c r="BN327" s="189">
        <v>0.5</v>
      </c>
      <c r="BO327" s="188" t="s">
        <v>258</v>
      </c>
      <c r="BP327" s="196">
        <f t="shared" si="129"/>
        <v>1.2445714285714284</v>
      </c>
      <c r="BQ327" s="190" t="s">
        <v>415</v>
      </c>
      <c r="BR327" s="189">
        <v>0.2</v>
      </c>
      <c r="BS327" s="189">
        <v>0.5</v>
      </c>
      <c r="BT327" s="188" t="s">
        <v>258</v>
      </c>
      <c r="BU327" s="204"/>
      <c r="BV327" s="196">
        <v>27.250000000000004</v>
      </c>
      <c r="BW327" s="190" t="s">
        <v>414</v>
      </c>
      <c r="BX327" s="204"/>
      <c r="BY327" s="196">
        <v>370.88228571428567</v>
      </c>
      <c r="BZ327" s="190" t="s">
        <v>414</v>
      </c>
      <c r="CA327" s="205"/>
      <c r="CB327" s="180"/>
      <c r="CC327" s="178"/>
      <c r="CD327" s="178"/>
      <c r="CE327" s="180"/>
      <c r="CF327" s="180"/>
      <c r="CG327" s="180"/>
      <c r="CH327" s="180"/>
      <c r="CI327" s="178"/>
      <c r="CJ327" s="178"/>
      <c r="CK327" s="180"/>
      <c r="CL327" s="180"/>
      <c r="CM327" s="180"/>
      <c r="CN327" s="116"/>
      <c r="CO327" s="218">
        <f t="shared" si="140"/>
        <v>0.2</v>
      </c>
      <c r="CP327" s="100">
        <f t="shared" si="141"/>
        <v>0.35</v>
      </c>
      <c r="CQ327" s="218">
        <f t="shared" si="142"/>
        <v>0.5</v>
      </c>
      <c r="CR327" s="101">
        <v>0.2</v>
      </c>
      <c r="CS327" s="101">
        <v>0.5</v>
      </c>
      <c r="DA327" s="23" t="s">
        <v>149</v>
      </c>
      <c r="DB327" s="23">
        <v>1.0900000000000001</v>
      </c>
      <c r="DC327" s="142">
        <f t="shared" si="130"/>
        <v>22.89</v>
      </c>
      <c r="DD327" s="142">
        <f t="shared" si="131"/>
        <v>27.250000000000004</v>
      </c>
      <c r="DE327" s="23">
        <v>40</v>
      </c>
      <c r="DF327" s="23">
        <v>0.99</v>
      </c>
      <c r="DG327" s="142">
        <f t="shared" si="132"/>
        <v>39.6</v>
      </c>
      <c r="DH327" s="23">
        <v>0.02</v>
      </c>
      <c r="DI327" s="149">
        <f t="shared" si="133"/>
        <v>1.2445714285714284</v>
      </c>
      <c r="DJ327" s="149">
        <f t="shared" si="134"/>
        <v>385.81714285714281</v>
      </c>
      <c r="DK327" s="149">
        <f t="shared" si="135"/>
        <v>370.88228571428567</v>
      </c>
      <c r="DL327" s="150">
        <f t="shared" si="136"/>
        <v>408.7071428571428</v>
      </c>
      <c r="DM327" s="150">
        <f t="shared" si="136"/>
        <v>398.13228571428567</v>
      </c>
      <c r="DN327" s="116" t="s">
        <v>168</v>
      </c>
      <c r="DO327" s="101" t="s">
        <v>392</v>
      </c>
    </row>
    <row r="328" spans="15:119" s="101" customFormat="1" ht="33.75" hidden="1" thickBot="1" x14ac:dyDescent="0.4">
      <c r="O328" s="227" t="s">
        <v>150</v>
      </c>
      <c r="Q328" s="243">
        <v>1.37</v>
      </c>
      <c r="R328" s="243">
        <v>30</v>
      </c>
      <c r="S328" s="246">
        <f t="shared" si="139"/>
        <v>0</v>
      </c>
      <c r="T328" s="246">
        <f t="shared" si="139"/>
        <v>0</v>
      </c>
      <c r="U328" s="246">
        <f t="shared" si="139"/>
        <v>0.11786892857142858</v>
      </c>
      <c r="V328" s="246">
        <f t="shared" si="139"/>
        <v>0.47147571428571433</v>
      </c>
      <c r="W328" s="246">
        <f t="shared" si="139"/>
        <v>0.11786892857142858</v>
      </c>
      <c r="X328" s="246">
        <f t="shared" si="139"/>
        <v>0</v>
      </c>
      <c r="Y328" s="246">
        <f t="shared" si="139"/>
        <v>0.23573785714285717</v>
      </c>
      <c r="Z328" s="246">
        <f t="shared" si="139"/>
        <v>1.6501650000000003</v>
      </c>
      <c r="AA328" s="246">
        <f t="shared" si="139"/>
        <v>0</v>
      </c>
      <c r="AB328" s="246">
        <f t="shared" si="139"/>
        <v>0</v>
      </c>
      <c r="AC328" s="246">
        <f t="shared" si="139"/>
        <v>0.14144271428571431</v>
      </c>
      <c r="AD328" s="246">
        <f t="shared" si="139"/>
        <v>0</v>
      </c>
      <c r="AE328" s="246">
        <f t="shared" si="139"/>
        <v>2.3573785714285718</v>
      </c>
      <c r="AF328" s="246">
        <v>0</v>
      </c>
      <c r="AG328" s="246">
        <f t="shared" si="139"/>
        <v>0.23573785714285717</v>
      </c>
      <c r="AH328" s="243"/>
      <c r="AI328" s="102">
        <v>1.64</v>
      </c>
      <c r="AJ328" s="100">
        <v>0</v>
      </c>
      <c r="AL328" s="100">
        <v>0</v>
      </c>
      <c r="AM328" s="237">
        <v>0.3</v>
      </c>
      <c r="AN328" s="241">
        <v>1.72</v>
      </c>
      <c r="AO328" s="241">
        <v>0.26</v>
      </c>
      <c r="AP328" s="247">
        <f>(AN328*365)*(AO328*0.67*0.015*1)</f>
        <v>1.6404414</v>
      </c>
      <c r="AQ328" s="247">
        <f>(AN328*365)*(AO328*0.67*0.005*1)</f>
        <v>0.54681380000000002</v>
      </c>
      <c r="AR328" s="248"/>
      <c r="AS328" s="247">
        <f>(AN328*365)*(AO328*0.67*0.04*1)</f>
        <v>4.3745104000000001</v>
      </c>
      <c r="AT328" s="247">
        <f>(AN328*365)*(AO328*0.67*0.015*1)</f>
        <v>1.6404414</v>
      </c>
      <c r="AU328" s="247">
        <f>(AN328*365)*(AO328*0.67*0.65*1)</f>
        <v>71.085794000000007</v>
      </c>
      <c r="AV328" s="247">
        <f>(AN328*365)*(AO328*0.67*0.79*1)</f>
        <v>86.396580400000005</v>
      </c>
      <c r="AW328" s="247">
        <f>(AN328*365)*(AO328*0.67*0.03*1)</f>
        <v>3.2808828000000001</v>
      </c>
      <c r="AX328" s="248"/>
      <c r="AY328" s="247">
        <f>(AN328*365)*(AO328*0.67*0.65*1)</f>
        <v>71.085794000000007</v>
      </c>
      <c r="AZ328" s="247">
        <f t="shared" si="125"/>
        <v>109.36276000000001</v>
      </c>
      <c r="BA328" s="247">
        <f t="shared" si="126"/>
        <v>10.936275999999999</v>
      </c>
      <c r="BB328" s="247">
        <f t="shared" si="127"/>
        <v>0.54681380000000002</v>
      </c>
      <c r="BC328" s="247">
        <f>(AN328*365)*(AO328*0.67*0.01*1)</f>
        <v>1.0936276</v>
      </c>
      <c r="BD328" s="247">
        <v>0</v>
      </c>
      <c r="BE328" s="247">
        <v>0</v>
      </c>
      <c r="BH328" s="120"/>
      <c r="BI328" s="203" t="s">
        <v>150</v>
      </c>
      <c r="BJ328" s="190" t="s">
        <v>168</v>
      </c>
      <c r="BK328" s="196">
        <f t="shared" si="128"/>
        <v>1.64</v>
      </c>
      <c r="BL328" s="190" t="s">
        <v>413</v>
      </c>
      <c r="BM328" s="189">
        <v>0.2</v>
      </c>
      <c r="BN328" s="189">
        <v>0.5</v>
      </c>
      <c r="BO328" s="188" t="s">
        <v>258</v>
      </c>
      <c r="BP328" s="196">
        <f t="shared" si="129"/>
        <v>1.2445714285714284</v>
      </c>
      <c r="BQ328" s="190" t="s">
        <v>415</v>
      </c>
      <c r="BR328" s="189">
        <v>0.2</v>
      </c>
      <c r="BS328" s="189">
        <v>0.5</v>
      </c>
      <c r="BT328" s="188" t="s">
        <v>258</v>
      </c>
      <c r="BU328" s="204"/>
      <c r="BV328" s="196">
        <v>41</v>
      </c>
      <c r="BW328" s="190" t="s">
        <v>414</v>
      </c>
      <c r="BX328" s="204"/>
      <c r="BY328" s="196">
        <v>370.88228571428567</v>
      </c>
      <c r="BZ328" s="190" t="s">
        <v>414</v>
      </c>
      <c r="CA328" s="205"/>
      <c r="CB328" s="180"/>
      <c r="CC328" s="178"/>
      <c r="CD328" s="178"/>
      <c r="CE328" s="180"/>
      <c r="CF328" s="180"/>
      <c r="CG328" s="180"/>
      <c r="CH328" s="180"/>
      <c r="CI328" s="178"/>
      <c r="CJ328" s="178"/>
      <c r="CK328" s="180"/>
      <c r="CL328" s="180"/>
      <c r="CM328" s="180"/>
      <c r="CN328" s="116"/>
      <c r="CO328" s="218">
        <f t="shared" si="140"/>
        <v>0.2</v>
      </c>
      <c r="CP328" s="100">
        <f t="shared" si="141"/>
        <v>0.35</v>
      </c>
      <c r="CQ328" s="218">
        <f t="shared" si="142"/>
        <v>0.5</v>
      </c>
      <c r="CR328" s="101">
        <v>0.2</v>
      </c>
      <c r="CS328" s="101">
        <v>0.5</v>
      </c>
      <c r="DA328" s="23" t="s">
        <v>150</v>
      </c>
      <c r="DB328" s="23">
        <v>1.64</v>
      </c>
      <c r="DC328" s="142">
        <f t="shared" si="130"/>
        <v>34.44</v>
      </c>
      <c r="DD328" s="142">
        <f t="shared" si="131"/>
        <v>41</v>
      </c>
      <c r="DE328" s="23">
        <v>40</v>
      </c>
      <c r="DF328" s="23">
        <v>0.99</v>
      </c>
      <c r="DG328" s="142">
        <f t="shared" si="132"/>
        <v>39.6</v>
      </c>
      <c r="DH328" s="23">
        <v>0.02</v>
      </c>
      <c r="DI328" s="149">
        <f t="shared" si="133"/>
        <v>1.2445714285714284</v>
      </c>
      <c r="DJ328" s="149">
        <f t="shared" si="134"/>
        <v>385.81714285714281</v>
      </c>
      <c r="DK328" s="149">
        <f t="shared" si="135"/>
        <v>370.88228571428567</v>
      </c>
      <c r="DL328" s="150">
        <f t="shared" si="136"/>
        <v>420.25714285714281</v>
      </c>
      <c r="DM328" s="150">
        <f t="shared" si="136"/>
        <v>411.88228571428567</v>
      </c>
      <c r="DN328" s="116" t="s">
        <v>168</v>
      </c>
      <c r="DO328" s="101" t="s">
        <v>392</v>
      </c>
    </row>
    <row r="329" spans="15:119" s="101" customFormat="1" ht="33.75" hidden="1" thickBot="1" x14ac:dyDescent="0.4">
      <c r="O329" s="227" t="s">
        <v>151</v>
      </c>
      <c r="Q329" s="243">
        <v>1.37</v>
      </c>
      <c r="R329" s="243">
        <v>30</v>
      </c>
      <c r="S329" s="246">
        <f t="shared" si="139"/>
        <v>0</v>
      </c>
      <c r="T329" s="246">
        <f t="shared" si="139"/>
        <v>0</v>
      </c>
      <c r="U329" s="246">
        <f t="shared" si="139"/>
        <v>0.11786892857142858</v>
      </c>
      <c r="V329" s="246">
        <f t="shared" si="139"/>
        <v>0.47147571428571433</v>
      </c>
      <c r="W329" s="246">
        <f t="shared" si="139"/>
        <v>0.11786892857142858</v>
      </c>
      <c r="X329" s="246">
        <f t="shared" si="139"/>
        <v>0</v>
      </c>
      <c r="Y329" s="246">
        <f t="shared" si="139"/>
        <v>0.23573785714285717</v>
      </c>
      <c r="Z329" s="246">
        <f t="shared" si="139"/>
        <v>1.6501650000000003</v>
      </c>
      <c r="AA329" s="246">
        <f t="shared" si="139"/>
        <v>0</v>
      </c>
      <c r="AB329" s="246">
        <f t="shared" si="139"/>
        <v>0</v>
      </c>
      <c r="AC329" s="246">
        <f t="shared" si="139"/>
        <v>0.14144271428571431</v>
      </c>
      <c r="AD329" s="246">
        <f t="shared" si="139"/>
        <v>0</v>
      </c>
      <c r="AE329" s="246">
        <f t="shared" si="139"/>
        <v>2.3573785714285718</v>
      </c>
      <c r="AF329" s="246">
        <v>0</v>
      </c>
      <c r="AG329" s="246">
        <f t="shared" si="139"/>
        <v>0.23573785714285717</v>
      </c>
      <c r="AH329" s="243"/>
      <c r="AI329" s="102">
        <v>2.19</v>
      </c>
      <c r="AJ329" s="100">
        <v>0</v>
      </c>
      <c r="AL329" s="100">
        <v>0</v>
      </c>
      <c r="AM329" s="237">
        <v>0.3</v>
      </c>
      <c r="AN329" s="241">
        <v>1.72</v>
      </c>
      <c r="AO329" s="241">
        <v>0.26</v>
      </c>
      <c r="AP329" s="247">
        <f>(AN329*365)*(AO329*0.67*0.02*1)</f>
        <v>2.1872552000000001</v>
      </c>
      <c r="AQ329" s="247">
        <f>(AN329*365)*(AO329*0.67*0.01*1)</f>
        <v>1.0936276</v>
      </c>
      <c r="AR329" s="248"/>
      <c r="AS329" s="247">
        <f>(AN329*365)*(AO329*0.67*0.05*1)</f>
        <v>5.4681379999999997</v>
      </c>
      <c r="AT329" s="247">
        <f>(AN329*365)*(AO329*0.67*0.02*1)</f>
        <v>2.1872552000000001</v>
      </c>
      <c r="AU329" s="247">
        <f>(AN329*365)*(AO329*0.67*0.8*1)</f>
        <v>87.490207999999996</v>
      </c>
      <c r="AV329" s="247">
        <f>(AN329*365)*(AO329*0.67*0.8*1)</f>
        <v>87.490207999999996</v>
      </c>
      <c r="AW329" s="247">
        <f>(AN329*365)*(AO329*0.67*0.3*1)</f>
        <v>32.808828000000005</v>
      </c>
      <c r="AX329" s="248"/>
      <c r="AY329" s="247">
        <f>(AN329*365)*(AO329*0.67*0.8*1)</f>
        <v>87.490207999999996</v>
      </c>
      <c r="AZ329" s="247">
        <f t="shared" si="125"/>
        <v>109.36276000000001</v>
      </c>
      <c r="BA329" s="247">
        <f t="shared" si="126"/>
        <v>10.936275999999999</v>
      </c>
      <c r="BB329" s="247">
        <f t="shared" si="127"/>
        <v>0.54681380000000002</v>
      </c>
      <c r="BC329" s="247">
        <f>(AN329*365)*(AO329*0.67*0.015*1)</f>
        <v>1.6404414</v>
      </c>
      <c r="BD329" s="247">
        <v>0</v>
      </c>
      <c r="BE329" s="247">
        <v>0</v>
      </c>
      <c r="BH329" s="120"/>
      <c r="BI329" s="203" t="s">
        <v>151</v>
      </c>
      <c r="BJ329" s="190" t="s">
        <v>168</v>
      </c>
      <c r="BK329" s="196">
        <f t="shared" si="128"/>
        <v>2.1800000000000002</v>
      </c>
      <c r="BL329" s="190" t="s">
        <v>413</v>
      </c>
      <c r="BM329" s="189">
        <v>0.2</v>
      </c>
      <c r="BN329" s="189">
        <v>0.5</v>
      </c>
      <c r="BO329" s="188" t="s">
        <v>258</v>
      </c>
      <c r="BP329" s="196">
        <f t="shared" si="129"/>
        <v>1.2445714285714284</v>
      </c>
      <c r="BQ329" s="190" t="s">
        <v>415</v>
      </c>
      <c r="BR329" s="189">
        <v>0.2</v>
      </c>
      <c r="BS329" s="189">
        <v>0.5</v>
      </c>
      <c r="BT329" s="188" t="s">
        <v>258</v>
      </c>
      <c r="BU329" s="206"/>
      <c r="BV329" s="196">
        <v>54.500000000000007</v>
      </c>
      <c r="BW329" s="190" t="s">
        <v>414</v>
      </c>
      <c r="BX329" s="206"/>
      <c r="BY329" s="196">
        <v>370.88228571428567</v>
      </c>
      <c r="BZ329" s="190" t="s">
        <v>414</v>
      </c>
      <c r="CA329" s="207"/>
      <c r="CB329" s="180"/>
      <c r="CC329" s="178"/>
      <c r="CD329" s="178"/>
      <c r="CE329" s="180"/>
      <c r="CF329" s="180"/>
      <c r="CG329" s="180"/>
      <c r="CH329" s="180"/>
      <c r="CI329" s="178"/>
      <c r="CJ329" s="178"/>
      <c r="CK329" s="180"/>
      <c r="CL329" s="180"/>
      <c r="CM329" s="180"/>
      <c r="CN329" s="116"/>
      <c r="CO329" s="218">
        <f t="shared" si="140"/>
        <v>0.2</v>
      </c>
      <c r="CP329" s="100">
        <f t="shared" si="141"/>
        <v>0.35</v>
      </c>
      <c r="CQ329" s="218">
        <f t="shared" si="142"/>
        <v>0.5</v>
      </c>
      <c r="CR329" s="101">
        <v>0.2</v>
      </c>
      <c r="CS329" s="101">
        <v>0.5</v>
      </c>
      <c r="DA329" s="23" t="s">
        <v>151</v>
      </c>
      <c r="DB329" s="23">
        <v>2.1800000000000002</v>
      </c>
      <c r="DC329" s="142">
        <f t="shared" si="130"/>
        <v>45.78</v>
      </c>
      <c r="DD329" s="142">
        <f t="shared" si="131"/>
        <v>54.500000000000007</v>
      </c>
      <c r="DE329" s="23">
        <v>40</v>
      </c>
      <c r="DF329" s="23">
        <v>0.99</v>
      </c>
      <c r="DG329" s="142">
        <f t="shared" si="132"/>
        <v>39.6</v>
      </c>
      <c r="DH329" s="23">
        <v>0.02</v>
      </c>
      <c r="DI329" s="149">
        <f t="shared" si="133"/>
        <v>1.2445714285714284</v>
      </c>
      <c r="DJ329" s="149">
        <f t="shared" si="134"/>
        <v>385.81714285714281</v>
      </c>
      <c r="DK329" s="149">
        <f t="shared" si="135"/>
        <v>370.88228571428567</v>
      </c>
      <c r="DL329" s="150">
        <f t="shared" si="136"/>
        <v>431.59714285714279</v>
      </c>
      <c r="DM329" s="150">
        <f t="shared" si="136"/>
        <v>425.38228571428567</v>
      </c>
      <c r="DN329" s="116" t="s">
        <v>168</v>
      </c>
      <c r="DO329" s="101" t="s">
        <v>392</v>
      </c>
    </row>
    <row r="330" spans="15:119" s="101" customFormat="1" ht="33.75" hidden="1" thickBot="1" x14ac:dyDescent="0.4">
      <c r="O330" s="227" t="s">
        <v>152</v>
      </c>
      <c r="Q330" s="243">
        <v>1.37</v>
      </c>
      <c r="R330" s="243">
        <v>30</v>
      </c>
      <c r="S330" s="246">
        <f t="shared" si="139"/>
        <v>0</v>
      </c>
      <c r="T330" s="246">
        <f t="shared" si="139"/>
        <v>0</v>
      </c>
      <c r="U330" s="246">
        <f t="shared" si="139"/>
        <v>0.11786892857142858</v>
      </c>
      <c r="V330" s="246">
        <f t="shared" si="139"/>
        <v>0.47147571428571433</v>
      </c>
      <c r="W330" s="246">
        <f t="shared" si="139"/>
        <v>0.11786892857142858</v>
      </c>
      <c r="X330" s="246">
        <f t="shared" si="139"/>
        <v>0</v>
      </c>
      <c r="Y330" s="246">
        <f t="shared" si="139"/>
        <v>0.23573785714285717</v>
      </c>
      <c r="Z330" s="246">
        <f t="shared" si="139"/>
        <v>1.6501650000000003</v>
      </c>
      <c r="AA330" s="246">
        <f t="shared" si="139"/>
        <v>0</v>
      </c>
      <c r="AB330" s="246">
        <f t="shared" si="139"/>
        <v>0</v>
      </c>
      <c r="AC330" s="246">
        <f t="shared" si="139"/>
        <v>0.14144271428571431</v>
      </c>
      <c r="AD330" s="246">
        <f t="shared" si="139"/>
        <v>0</v>
      </c>
      <c r="AE330" s="246">
        <f t="shared" si="139"/>
        <v>2.3573785714285718</v>
      </c>
      <c r="AF330" s="246">
        <v>0</v>
      </c>
      <c r="AG330" s="246">
        <f t="shared" si="139"/>
        <v>0.23573785714285717</v>
      </c>
      <c r="AH330" s="243"/>
      <c r="AI330" s="102">
        <v>0.6</v>
      </c>
      <c r="AJ330" s="100">
        <v>0</v>
      </c>
      <c r="AL330" s="100">
        <v>0</v>
      </c>
      <c r="AM330" s="237">
        <v>0.3</v>
      </c>
      <c r="AN330" s="241">
        <v>0.94</v>
      </c>
      <c r="AO330" s="241">
        <v>0.26</v>
      </c>
      <c r="AP330" s="247">
        <f>(AN330*365)*(AO330*0.67*0.01*1)</f>
        <v>0.59768019999999999</v>
      </c>
      <c r="AQ330" s="247">
        <f>(AN330*365)*(AO330*0.67*0.001*1)</f>
        <v>5.9768020000000005E-2</v>
      </c>
      <c r="AR330" s="248"/>
      <c r="AS330" s="247">
        <f>(AN330*365)*(AO330*0.67*0.02*1)</f>
        <v>1.1953604</v>
      </c>
      <c r="AT330" s="247">
        <f>(AN330*365)*(AO330*0.67*0.01*1)</f>
        <v>0.59768019999999999</v>
      </c>
      <c r="AU330" s="247">
        <f>(AN330*365)*(AO330*0.67*0.25*1)</f>
        <v>14.942005</v>
      </c>
      <c r="AV330" s="247">
        <f>(AN330*365)*(AO330*0.67*0.73*1)</f>
        <v>43.630654599999993</v>
      </c>
      <c r="AW330" s="247">
        <f>(AN330*365)*(AO330*0.67*0.03*1)</f>
        <v>1.7930406000000001</v>
      </c>
      <c r="AX330" s="248"/>
      <c r="AY330" s="247">
        <f>(AN330*365)*(AO330*0.67*0.25*1)</f>
        <v>14.942005</v>
      </c>
      <c r="AZ330" s="247">
        <f t="shared" si="125"/>
        <v>59.76802</v>
      </c>
      <c r="BA330" s="247">
        <f t="shared" si="126"/>
        <v>5.9768020000000002</v>
      </c>
      <c r="BB330" s="247">
        <f t="shared" si="127"/>
        <v>0.2988401</v>
      </c>
      <c r="BC330" s="247">
        <f>(AN330*365)*(AO330*0.67*0.005*1)</f>
        <v>0.2988401</v>
      </c>
      <c r="BD330" s="247">
        <v>0</v>
      </c>
      <c r="BE330" s="247">
        <v>0</v>
      </c>
      <c r="BH330" s="120"/>
      <c r="BI330" s="203" t="s">
        <v>152</v>
      </c>
      <c r="BJ330" s="190" t="s">
        <v>168</v>
      </c>
      <c r="BK330" s="196">
        <f t="shared" si="128"/>
        <v>0.6</v>
      </c>
      <c r="BL330" s="190" t="s">
        <v>413</v>
      </c>
      <c r="BM330" s="189">
        <v>0.2</v>
      </c>
      <c r="BN330" s="189">
        <v>0.5</v>
      </c>
      <c r="BO330" s="188" t="s">
        <v>258</v>
      </c>
      <c r="BP330" s="196">
        <f t="shared" si="129"/>
        <v>1.2445714285714284</v>
      </c>
      <c r="BQ330" s="190" t="s">
        <v>415</v>
      </c>
      <c r="BR330" s="189">
        <v>0.2</v>
      </c>
      <c r="BS330" s="189">
        <v>0.5</v>
      </c>
      <c r="BT330" s="188" t="s">
        <v>258</v>
      </c>
      <c r="BU330" s="206"/>
      <c r="BV330" s="196">
        <v>15</v>
      </c>
      <c r="BW330" s="190" t="s">
        <v>414</v>
      </c>
      <c r="BX330" s="206"/>
      <c r="BY330" s="196">
        <v>370.88228571428567</v>
      </c>
      <c r="BZ330" s="190" t="s">
        <v>414</v>
      </c>
      <c r="CA330" s="207"/>
      <c r="CB330" s="180"/>
      <c r="CC330" s="178"/>
      <c r="CD330" s="178"/>
      <c r="CE330" s="180"/>
      <c r="CF330" s="180"/>
      <c r="CG330" s="180"/>
      <c r="CH330" s="180"/>
      <c r="CI330" s="178"/>
      <c r="CJ330" s="178"/>
      <c r="CK330" s="180"/>
      <c r="CL330" s="180"/>
      <c r="CM330" s="180"/>
      <c r="CN330" s="116"/>
      <c r="CO330" s="218">
        <f t="shared" si="140"/>
        <v>0.2</v>
      </c>
      <c r="CP330" s="100">
        <f t="shared" si="141"/>
        <v>0.35</v>
      </c>
      <c r="CQ330" s="218">
        <f t="shared" si="142"/>
        <v>0.5</v>
      </c>
      <c r="CR330" s="101">
        <v>0.2</v>
      </c>
      <c r="CS330" s="101">
        <v>0.5</v>
      </c>
      <c r="DA330" s="23" t="s">
        <v>152</v>
      </c>
      <c r="DB330" s="23">
        <v>0.6</v>
      </c>
      <c r="DC330" s="142">
        <f t="shared" si="130"/>
        <v>12.6</v>
      </c>
      <c r="DD330" s="142">
        <f t="shared" si="131"/>
        <v>15</v>
      </c>
      <c r="DE330" s="23">
        <v>40</v>
      </c>
      <c r="DF330" s="23">
        <v>0.99</v>
      </c>
      <c r="DG330" s="142">
        <f t="shared" si="132"/>
        <v>39.6</v>
      </c>
      <c r="DH330" s="23">
        <v>0.02</v>
      </c>
      <c r="DI330" s="149">
        <f t="shared" si="133"/>
        <v>1.2445714285714284</v>
      </c>
      <c r="DJ330" s="149">
        <f t="shared" si="134"/>
        <v>385.81714285714281</v>
      </c>
      <c r="DK330" s="149">
        <f t="shared" si="135"/>
        <v>370.88228571428567</v>
      </c>
      <c r="DL330" s="150">
        <f t="shared" si="136"/>
        <v>398.41714285714284</v>
      </c>
      <c r="DM330" s="150">
        <f t="shared" si="136"/>
        <v>385.88228571428567</v>
      </c>
      <c r="DN330" s="116" t="s">
        <v>168</v>
      </c>
      <c r="DO330" s="101" t="s">
        <v>392</v>
      </c>
    </row>
    <row r="331" spans="15:119" s="101" customFormat="1" ht="33.75" hidden="1" thickBot="1" x14ac:dyDescent="0.4">
      <c r="O331" s="227" t="s">
        <v>153</v>
      </c>
      <c r="Q331" s="243">
        <v>1.37</v>
      </c>
      <c r="R331" s="243">
        <v>30</v>
      </c>
      <c r="S331" s="246">
        <f t="shared" si="139"/>
        <v>0</v>
      </c>
      <c r="T331" s="246">
        <f t="shared" si="139"/>
        <v>0</v>
      </c>
      <c r="U331" s="246">
        <f t="shared" si="139"/>
        <v>0.11786892857142858</v>
      </c>
      <c r="V331" s="246">
        <f t="shared" si="139"/>
        <v>0.47147571428571433</v>
      </c>
      <c r="W331" s="246">
        <f t="shared" si="139"/>
        <v>0.11786892857142858</v>
      </c>
      <c r="X331" s="246">
        <f t="shared" si="139"/>
        <v>0</v>
      </c>
      <c r="Y331" s="246">
        <f t="shared" si="139"/>
        <v>0.23573785714285717</v>
      </c>
      <c r="Z331" s="246">
        <f t="shared" si="139"/>
        <v>1.6501650000000003</v>
      </c>
      <c r="AA331" s="246">
        <f t="shared" si="139"/>
        <v>0</v>
      </c>
      <c r="AB331" s="246">
        <f t="shared" si="139"/>
        <v>0</v>
      </c>
      <c r="AC331" s="246">
        <f t="shared" si="139"/>
        <v>0.14144271428571431</v>
      </c>
      <c r="AD331" s="246">
        <f t="shared" si="139"/>
        <v>0</v>
      </c>
      <c r="AE331" s="246">
        <f t="shared" si="139"/>
        <v>2.3573785714285718</v>
      </c>
      <c r="AF331" s="246">
        <v>0</v>
      </c>
      <c r="AG331" s="246">
        <f t="shared" si="139"/>
        <v>0.23573785714285717</v>
      </c>
      <c r="AH331" s="243"/>
      <c r="AI331" s="102">
        <v>0.9</v>
      </c>
      <c r="AJ331" s="100">
        <v>0</v>
      </c>
      <c r="AL331" s="100">
        <v>0</v>
      </c>
      <c r="AM331" s="237">
        <v>0.3</v>
      </c>
      <c r="AN331" s="241">
        <v>0.94</v>
      </c>
      <c r="AO331" s="241">
        <v>0.26</v>
      </c>
      <c r="AP331" s="247">
        <f>(AN331*365)*(AO331*0.67*0.015*1)</f>
        <v>0.89652030000000005</v>
      </c>
      <c r="AQ331" s="247">
        <f>(AN331*365)*(AO331*0.67*0.005*1)</f>
        <v>0.2988401</v>
      </c>
      <c r="AR331" s="248"/>
      <c r="AS331" s="247">
        <f>(AN331*365)*(AO331*0.67*0.04*1)</f>
        <v>2.3907208</v>
      </c>
      <c r="AT331" s="247">
        <f>(AN331*365)*(AO331*0.67*0.015*1)</f>
        <v>0.89652030000000005</v>
      </c>
      <c r="AU331" s="247">
        <f>(AN331*365)*(AO331*0.67*0.65*1)</f>
        <v>38.849212999999999</v>
      </c>
      <c r="AV331" s="247">
        <f>(AN331*365)*(AO331*0.67*0.79*1)</f>
        <v>47.216735800000002</v>
      </c>
      <c r="AW331" s="247">
        <f>(AN331*365)*(AO331*0.67*0.03*1)</f>
        <v>1.7930406000000001</v>
      </c>
      <c r="AX331" s="248"/>
      <c r="AY331" s="247">
        <f>(AN331*365)*(AO331*0.67*0.65*1)</f>
        <v>38.849212999999999</v>
      </c>
      <c r="AZ331" s="247">
        <f t="shared" si="125"/>
        <v>59.76802</v>
      </c>
      <c r="BA331" s="247">
        <f t="shared" si="126"/>
        <v>5.9768020000000002</v>
      </c>
      <c r="BB331" s="247">
        <f t="shared" si="127"/>
        <v>0.2988401</v>
      </c>
      <c r="BC331" s="247">
        <f>(AN331*365)*(AO331*0.67*0.01*1)</f>
        <v>0.59768019999999999</v>
      </c>
      <c r="BD331" s="247">
        <v>0</v>
      </c>
      <c r="BE331" s="247">
        <v>0</v>
      </c>
      <c r="BH331" s="120"/>
      <c r="BI331" s="203" t="s">
        <v>153</v>
      </c>
      <c r="BJ331" s="190" t="s">
        <v>168</v>
      </c>
      <c r="BK331" s="196">
        <f t="shared" si="128"/>
        <v>0.9</v>
      </c>
      <c r="BL331" s="190" t="s">
        <v>413</v>
      </c>
      <c r="BM331" s="189">
        <v>0.2</v>
      </c>
      <c r="BN331" s="189">
        <v>0.5</v>
      </c>
      <c r="BO331" s="188" t="s">
        <v>258</v>
      </c>
      <c r="BP331" s="196">
        <f t="shared" si="129"/>
        <v>1.2445714285714284</v>
      </c>
      <c r="BQ331" s="190" t="s">
        <v>415</v>
      </c>
      <c r="BR331" s="189">
        <v>0.2</v>
      </c>
      <c r="BS331" s="189">
        <v>0.5</v>
      </c>
      <c r="BT331" s="188" t="s">
        <v>258</v>
      </c>
      <c r="BU331" s="206"/>
      <c r="BV331" s="196">
        <v>22.5</v>
      </c>
      <c r="BW331" s="190" t="s">
        <v>414</v>
      </c>
      <c r="BX331" s="206"/>
      <c r="BY331" s="196">
        <v>370.88228571428567</v>
      </c>
      <c r="BZ331" s="190" t="s">
        <v>414</v>
      </c>
      <c r="CA331" s="207"/>
      <c r="CB331" s="180"/>
      <c r="CC331" s="178"/>
      <c r="CD331" s="178"/>
      <c r="CE331" s="180"/>
      <c r="CF331" s="180"/>
      <c r="CG331" s="180"/>
      <c r="CH331" s="180"/>
      <c r="CI331" s="178"/>
      <c r="CJ331" s="178"/>
      <c r="CK331" s="180"/>
      <c r="CL331" s="180"/>
      <c r="CM331" s="180"/>
      <c r="CN331" s="116"/>
      <c r="CO331" s="218">
        <f t="shared" si="140"/>
        <v>0.2</v>
      </c>
      <c r="CP331" s="100">
        <f t="shared" si="141"/>
        <v>0.35</v>
      </c>
      <c r="CQ331" s="218">
        <f t="shared" si="142"/>
        <v>0.5</v>
      </c>
      <c r="CR331" s="101">
        <v>0.2</v>
      </c>
      <c r="CS331" s="101">
        <v>0.5</v>
      </c>
      <c r="DA331" s="23" t="s">
        <v>153</v>
      </c>
      <c r="DB331" s="23">
        <v>0.9</v>
      </c>
      <c r="DC331" s="142">
        <f t="shared" si="130"/>
        <v>18.900000000000002</v>
      </c>
      <c r="DD331" s="142">
        <f t="shared" si="131"/>
        <v>22.5</v>
      </c>
      <c r="DE331" s="23">
        <v>40</v>
      </c>
      <c r="DF331" s="23">
        <v>0.99</v>
      </c>
      <c r="DG331" s="142">
        <f t="shared" si="132"/>
        <v>39.6</v>
      </c>
      <c r="DH331" s="23">
        <v>0.02</v>
      </c>
      <c r="DI331" s="149">
        <f t="shared" si="133"/>
        <v>1.2445714285714284</v>
      </c>
      <c r="DJ331" s="149">
        <f t="shared" si="134"/>
        <v>385.81714285714281</v>
      </c>
      <c r="DK331" s="149">
        <f t="shared" si="135"/>
        <v>370.88228571428567</v>
      </c>
      <c r="DL331" s="150">
        <f t="shared" si="136"/>
        <v>404.71714285714279</v>
      </c>
      <c r="DM331" s="150">
        <f t="shared" si="136"/>
        <v>393.38228571428567</v>
      </c>
      <c r="DN331" s="116" t="s">
        <v>168</v>
      </c>
      <c r="DO331" s="101" t="s">
        <v>392</v>
      </c>
    </row>
    <row r="332" spans="15:119" s="101" customFormat="1" ht="33.75" hidden="1" thickBot="1" x14ac:dyDescent="0.4">
      <c r="O332" s="227" t="s">
        <v>154</v>
      </c>
      <c r="Q332" s="243">
        <v>1.37</v>
      </c>
      <c r="R332" s="243">
        <v>30</v>
      </c>
      <c r="S332" s="246">
        <f t="shared" si="139"/>
        <v>0</v>
      </c>
      <c r="T332" s="246">
        <f t="shared" si="139"/>
        <v>0</v>
      </c>
      <c r="U332" s="246">
        <f t="shared" si="139"/>
        <v>0.11786892857142858</v>
      </c>
      <c r="V332" s="246">
        <f t="shared" si="139"/>
        <v>0.47147571428571433</v>
      </c>
      <c r="W332" s="246">
        <f t="shared" si="139"/>
        <v>0.11786892857142858</v>
      </c>
      <c r="X332" s="246">
        <f t="shared" si="139"/>
        <v>0</v>
      </c>
      <c r="Y332" s="246">
        <f t="shared" si="139"/>
        <v>0.23573785714285717</v>
      </c>
      <c r="Z332" s="246">
        <f t="shared" si="139"/>
        <v>1.6501650000000003</v>
      </c>
      <c r="AA332" s="246">
        <f t="shared" si="139"/>
        <v>0</v>
      </c>
      <c r="AB332" s="246">
        <f t="shared" si="139"/>
        <v>0</v>
      </c>
      <c r="AC332" s="246">
        <f t="shared" si="139"/>
        <v>0.14144271428571431</v>
      </c>
      <c r="AD332" s="246">
        <f t="shared" si="139"/>
        <v>0</v>
      </c>
      <c r="AE332" s="246">
        <f t="shared" si="139"/>
        <v>2.3573785714285718</v>
      </c>
      <c r="AF332" s="246">
        <v>0</v>
      </c>
      <c r="AG332" s="246">
        <f t="shared" si="139"/>
        <v>0.23573785714285717</v>
      </c>
      <c r="AH332" s="243"/>
      <c r="AI332" s="102">
        <v>1.2</v>
      </c>
      <c r="AJ332" s="100">
        <v>0</v>
      </c>
      <c r="AL332" s="100">
        <v>0</v>
      </c>
      <c r="AM332" s="237">
        <v>0.3</v>
      </c>
      <c r="AN332" s="241">
        <v>0.94</v>
      </c>
      <c r="AO332" s="241">
        <v>0.26</v>
      </c>
      <c r="AP332" s="247">
        <f>(AN332*365)*(AO332*0.67*0.02*1)</f>
        <v>1.1953604</v>
      </c>
      <c r="AQ332" s="247">
        <f>(AN332*365)*(AO332*0.67*0.01*1)</f>
        <v>0.59768019999999999</v>
      </c>
      <c r="AR332" s="248"/>
      <c r="AS332" s="247">
        <f>(AN332*365)*(AO332*0.67*0.05*1)</f>
        <v>2.9884010000000001</v>
      </c>
      <c r="AT332" s="247">
        <f>(AN332*365)*(AO332*0.67*0.02*1)</f>
        <v>1.1953604</v>
      </c>
      <c r="AU332" s="247">
        <f>(AN332*365)*(AO332*0.67*0.8*1)</f>
        <v>47.814416000000001</v>
      </c>
      <c r="AV332" s="247">
        <f>(AN332*365)*(AO332*0.67*0.8*1)</f>
        <v>47.814416000000001</v>
      </c>
      <c r="AW332" s="247">
        <f>(AN332*365)*(AO332*0.67*0.3*1)</f>
        <v>17.930406000000001</v>
      </c>
      <c r="AX332" s="248"/>
      <c r="AY332" s="247">
        <f>(AN332*365)*(AO332*0.67*0.8*1)</f>
        <v>47.814416000000001</v>
      </c>
      <c r="AZ332" s="247">
        <f t="shared" si="125"/>
        <v>59.76802</v>
      </c>
      <c r="BA332" s="247">
        <f t="shared" si="126"/>
        <v>5.9768020000000002</v>
      </c>
      <c r="BB332" s="247">
        <f t="shared" si="127"/>
        <v>0.2988401</v>
      </c>
      <c r="BC332" s="247">
        <f>(AN332*365)*(AO332*0.67*0.015*1)</f>
        <v>0.89652030000000005</v>
      </c>
      <c r="BD332" s="247">
        <v>0</v>
      </c>
      <c r="BE332" s="247">
        <v>0</v>
      </c>
      <c r="BH332" s="120"/>
      <c r="BI332" s="203" t="s">
        <v>154</v>
      </c>
      <c r="BJ332" s="190" t="s">
        <v>168</v>
      </c>
      <c r="BK332" s="196">
        <f t="shared" si="128"/>
        <v>1.19</v>
      </c>
      <c r="BL332" s="190" t="s">
        <v>413</v>
      </c>
      <c r="BM332" s="189">
        <v>0.2</v>
      </c>
      <c r="BN332" s="189">
        <v>0.5</v>
      </c>
      <c r="BO332" s="188" t="s">
        <v>258</v>
      </c>
      <c r="BP332" s="196">
        <f t="shared" si="129"/>
        <v>1.2445714285714284</v>
      </c>
      <c r="BQ332" s="190" t="s">
        <v>415</v>
      </c>
      <c r="BR332" s="189">
        <v>0.2</v>
      </c>
      <c r="BS332" s="189">
        <v>0.5</v>
      </c>
      <c r="BT332" s="188" t="s">
        <v>258</v>
      </c>
      <c r="BU332" s="206"/>
      <c r="BV332" s="196">
        <v>29.75</v>
      </c>
      <c r="BW332" s="190" t="s">
        <v>414</v>
      </c>
      <c r="BX332" s="206"/>
      <c r="BY332" s="196">
        <v>370.88228571428567</v>
      </c>
      <c r="BZ332" s="190" t="s">
        <v>414</v>
      </c>
      <c r="CA332" s="207"/>
      <c r="CB332" s="180"/>
      <c r="CC332" s="178"/>
      <c r="CD332" s="178"/>
      <c r="CE332" s="180"/>
      <c r="CF332" s="180"/>
      <c r="CG332" s="180"/>
      <c r="CH332" s="180"/>
      <c r="CI332" s="178"/>
      <c r="CJ332" s="178"/>
      <c r="CK332" s="180"/>
      <c r="CL332" s="180"/>
      <c r="CM332" s="180"/>
      <c r="CN332" s="116"/>
      <c r="CO332" s="218">
        <f t="shared" si="140"/>
        <v>0.2</v>
      </c>
      <c r="CP332" s="100">
        <f t="shared" si="141"/>
        <v>0.35</v>
      </c>
      <c r="CQ332" s="218">
        <f t="shared" si="142"/>
        <v>0.5</v>
      </c>
      <c r="CR332" s="101">
        <v>0.2</v>
      </c>
      <c r="CS332" s="101">
        <v>0.5</v>
      </c>
      <c r="DA332" s="23" t="s">
        <v>154</v>
      </c>
      <c r="DB332" s="23">
        <v>1.19</v>
      </c>
      <c r="DC332" s="142">
        <f t="shared" si="130"/>
        <v>24.99</v>
      </c>
      <c r="DD332" s="142">
        <f t="shared" si="131"/>
        <v>29.75</v>
      </c>
      <c r="DE332" s="23">
        <v>40</v>
      </c>
      <c r="DF332" s="23">
        <v>0.99</v>
      </c>
      <c r="DG332" s="142">
        <f t="shared" si="132"/>
        <v>39.6</v>
      </c>
      <c r="DH332" s="23">
        <v>0.02</v>
      </c>
      <c r="DI332" s="149">
        <f t="shared" si="133"/>
        <v>1.2445714285714284</v>
      </c>
      <c r="DJ332" s="149">
        <f t="shared" si="134"/>
        <v>385.81714285714281</v>
      </c>
      <c r="DK332" s="149">
        <f t="shared" si="135"/>
        <v>370.88228571428567</v>
      </c>
      <c r="DL332" s="150">
        <f t="shared" si="136"/>
        <v>410.80714285714282</v>
      </c>
      <c r="DM332" s="150">
        <f t="shared" si="136"/>
        <v>400.63228571428567</v>
      </c>
      <c r="DN332" s="116" t="s">
        <v>168</v>
      </c>
      <c r="DO332" s="101" t="s">
        <v>392</v>
      </c>
    </row>
    <row r="333" spans="15:119" s="101" customFormat="1" hidden="1" x14ac:dyDescent="0.25">
      <c r="O333" s="227" t="s">
        <v>548</v>
      </c>
      <c r="Q333" s="243">
        <v>1.37</v>
      </c>
      <c r="R333" s="243">
        <v>30</v>
      </c>
      <c r="S333" s="246">
        <f t="shared" si="139"/>
        <v>0</v>
      </c>
      <c r="T333" s="246">
        <f t="shared" si="139"/>
        <v>0</v>
      </c>
      <c r="U333" s="246">
        <f t="shared" si="139"/>
        <v>0.11786892857142858</v>
      </c>
      <c r="V333" s="246">
        <f t="shared" si="139"/>
        <v>0.47147571428571433</v>
      </c>
      <c r="W333" s="246">
        <f t="shared" si="139"/>
        <v>0.11786892857142858</v>
      </c>
      <c r="X333" s="246">
        <f t="shared" si="139"/>
        <v>0</v>
      </c>
      <c r="Y333" s="246">
        <f t="shared" si="139"/>
        <v>0.23573785714285717</v>
      </c>
      <c r="Z333" s="246">
        <f t="shared" si="139"/>
        <v>1.6501650000000003</v>
      </c>
      <c r="AA333" s="246">
        <f t="shared" si="139"/>
        <v>0</v>
      </c>
      <c r="AB333" s="246">
        <f t="shared" si="139"/>
        <v>0</v>
      </c>
      <c r="AC333" s="246">
        <f t="shared" si="139"/>
        <v>0.14144271428571431</v>
      </c>
      <c r="AD333" s="246">
        <f t="shared" si="139"/>
        <v>0</v>
      </c>
      <c r="AE333" s="246">
        <f t="shared" si="139"/>
        <v>2.3573785714285718</v>
      </c>
      <c r="AF333" s="246">
        <v>0</v>
      </c>
      <c r="AG333" s="246">
        <f t="shared" si="139"/>
        <v>0.23573785714285717</v>
      </c>
      <c r="AH333" s="243"/>
      <c r="AI333" s="102">
        <v>0.08</v>
      </c>
      <c r="AJ333" s="100"/>
      <c r="AK333" s="100"/>
      <c r="AL333" s="100"/>
      <c r="AM333" s="100"/>
      <c r="AN333" s="241">
        <v>0.1</v>
      </c>
      <c r="AO333" s="241">
        <v>0.32</v>
      </c>
      <c r="AP333" s="247">
        <f>(AN333*365)*(AO333*0.67*0.01*1)</f>
        <v>7.8256000000000006E-2</v>
      </c>
      <c r="AQ333" s="247">
        <f>(AN333*365)*(AO333*0.67*0.001*1)</f>
        <v>7.8256000000000003E-3</v>
      </c>
      <c r="AR333" s="248"/>
      <c r="AS333" s="247">
        <f>(AN333*365)*(AO333*0.67*0.02*1)</f>
        <v>0.15651200000000001</v>
      </c>
      <c r="AT333" s="247">
        <f>(AN333*365)*(AO333*0.67*0.01*1)</f>
        <v>7.8256000000000006E-2</v>
      </c>
      <c r="AU333" s="247">
        <f>(AN333*365)*(AO333*0.67*0.25*1)</f>
        <v>1.9564000000000001</v>
      </c>
      <c r="AV333" s="247">
        <f>(AN333*365)*(AO333*0.67*0.73*1)</f>
        <v>5.7126880000000009</v>
      </c>
      <c r="AW333" s="247">
        <f>(AN333*365)*(AO333*0.67*0.03*1)</f>
        <v>0.234768</v>
      </c>
      <c r="AX333" s="248"/>
      <c r="AY333" s="247">
        <f>(AN333*365)*(AO333*0.67*0.25*1)</f>
        <v>1.9564000000000001</v>
      </c>
      <c r="AZ333" s="247">
        <f t="shared" si="125"/>
        <v>7.8256000000000006</v>
      </c>
      <c r="BA333" s="247">
        <f t="shared" si="126"/>
        <v>0.78256000000000003</v>
      </c>
      <c r="BB333" s="247">
        <f t="shared" si="127"/>
        <v>3.9128000000000003E-2</v>
      </c>
      <c r="BC333" s="247">
        <f>(AN333*365)*(AO333*0.67*0.005*1)</f>
        <v>3.9128000000000003E-2</v>
      </c>
      <c r="BD333" s="247">
        <v>0</v>
      </c>
      <c r="BE333" s="247">
        <v>0</v>
      </c>
      <c r="BH333" s="99"/>
      <c r="BI333" s="102"/>
      <c r="BJ333" s="178"/>
      <c r="BK333" s="178"/>
      <c r="BL333" s="178"/>
      <c r="BM333" s="169"/>
      <c r="BN333" s="169"/>
      <c r="BO333" s="169"/>
      <c r="BP333" s="206"/>
      <c r="BQ333" s="206"/>
      <c r="BR333" s="206"/>
      <c r="BS333" s="206"/>
      <c r="BT333" s="206"/>
      <c r="BU333" s="206"/>
      <c r="BV333" s="207"/>
      <c r="BW333" s="206"/>
      <c r="BX333" s="206"/>
      <c r="BY333" s="207"/>
      <c r="BZ333" s="207"/>
      <c r="CA333" s="207"/>
      <c r="CB333" s="180"/>
      <c r="CC333" s="178"/>
      <c r="CD333" s="178"/>
      <c r="CE333" s="180"/>
      <c r="CF333" s="180"/>
      <c r="CG333" s="180"/>
      <c r="CH333" s="180"/>
      <c r="CI333" s="178"/>
      <c r="CJ333" s="178"/>
      <c r="CK333" s="180"/>
      <c r="CL333" s="180"/>
      <c r="CM333" s="180"/>
      <c r="CN333" s="116"/>
      <c r="CO333" s="218">
        <f t="shared" si="140"/>
        <v>0</v>
      </c>
      <c r="CP333" s="100">
        <f t="shared" si="141"/>
        <v>0</v>
      </c>
      <c r="CQ333" s="218">
        <f t="shared" si="142"/>
        <v>0</v>
      </c>
      <c r="DC333" s="116"/>
      <c r="DD333" s="141"/>
      <c r="DE333" s="116"/>
      <c r="DF333" s="116"/>
      <c r="DG333" s="116"/>
      <c r="DH333" s="116"/>
      <c r="DI333" s="116"/>
    </row>
    <row r="334" spans="15:119" s="101" customFormat="1" hidden="1" x14ac:dyDescent="0.25">
      <c r="O334" s="227" t="s">
        <v>549</v>
      </c>
      <c r="Q334" s="243">
        <v>1.37</v>
      </c>
      <c r="R334" s="243">
        <v>30</v>
      </c>
      <c r="S334" s="246">
        <f t="shared" si="139"/>
        <v>0</v>
      </c>
      <c r="T334" s="246">
        <f t="shared" si="139"/>
        <v>0</v>
      </c>
      <c r="U334" s="246">
        <f t="shared" si="139"/>
        <v>0.11786892857142858</v>
      </c>
      <c r="V334" s="246">
        <f t="shared" si="139"/>
        <v>0.47147571428571433</v>
      </c>
      <c r="W334" s="246">
        <f t="shared" si="139"/>
        <v>0.11786892857142858</v>
      </c>
      <c r="X334" s="246">
        <f t="shared" si="139"/>
        <v>0</v>
      </c>
      <c r="Y334" s="246">
        <f t="shared" si="139"/>
        <v>0.23573785714285717</v>
      </c>
      <c r="Z334" s="246">
        <f t="shared" si="139"/>
        <v>1.6501650000000003</v>
      </c>
      <c r="AA334" s="246">
        <f t="shared" si="139"/>
        <v>0</v>
      </c>
      <c r="AB334" s="246">
        <f t="shared" si="139"/>
        <v>0</v>
      </c>
      <c r="AC334" s="246">
        <f t="shared" si="139"/>
        <v>0.14144271428571431</v>
      </c>
      <c r="AD334" s="246">
        <f t="shared" si="139"/>
        <v>0</v>
      </c>
      <c r="AE334" s="246">
        <f t="shared" si="139"/>
        <v>2.3573785714285718</v>
      </c>
      <c r="AF334" s="246">
        <v>0</v>
      </c>
      <c r="AG334" s="246">
        <f t="shared" si="139"/>
        <v>0.23573785714285717</v>
      </c>
      <c r="AH334" s="243"/>
      <c r="AN334" s="241">
        <v>0.1</v>
      </c>
      <c r="AO334" s="241">
        <v>0.32</v>
      </c>
      <c r="AP334" s="247">
        <f>(AN334*365)*(AO334*0.67*0.015*1)</f>
        <v>0.117384</v>
      </c>
      <c r="AQ334" s="247">
        <f>(AN334*365)*(AO334*0.67*0.005*1)</f>
        <v>3.9128000000000003E-2</v>
      </c>
      <c r="AR334" s="248"/>
      <c r="AS334" s="247">
        <f>(AN334*365)*(AO334*0.67*0.04*1)</f>
        <v>0.31302400000000002</v>
      </c>
      <c r="AT334" s="247">
        <f>(AN334*365)*(AO334*0.67*0.015*1)</f>
        <v>0.117384</v>
      </c>
      <c r="AU334" s="247">
        <f>(AN334*365)*(AO334*0.67*0.65*1)</f>
        <v>5.0866400000000001</v>
      </c>
      <c r="AV334" s="247">
        <f>(AN334*365)*(AO334*0.67*0.79*1)</f>
        <v>6.1822240000000006</v>
      </c>
      <c r="AW334" s="247">
        <f>(AN334*365)*(AO334*0.67*0.03*1)</f>
        <v>0.234768</v>
      </c>
      <c r="AX334" s="248"/>
      <c r="AY334" s="247">
        <f>(AN334*365)*(AO334*0.67*0.65*1)</f>
        <v>5.0866400000000001</v>
      </c>
      <c r="AZ334" s="247">
        <f t="shared" si="125"/>
        <v>7.8256000000000006</v>
      </c>
      <c r="BA334" s="247">
        <f t="shared" si="126"/>
        <v>0.78256000000000003</v>
      </c>
      <c r="BB334" s="247">
        <f t="shared" si="127"/>
        <v>3.9128000000000003E-2</v>
      </c>
      <c r="BC334" s="247">
        <f>(AN334*365)*(AO334*0.67*0.01*1)</f>
        <v>7.8256000000000006E-2</v>
      </c>
      <c r="BD334" s="247">
        <v>0</v>
      </c>
      <c r="BE334" s="247">
        <v>0</v>
      </c>
      <c r="BI334" s="102"/>
      <c r="BJ334" s="178"/>
      <c r="BK334" s="178"/>
      <c r="BL334" s="178"/>
      <c r="BM334" s="169"/>
      <c r="BN334" s="169"/>
      <c r="BO334" s="169"/>
      <c r="BP334" s="206"/>
      <c r="BQ334" s="206"/>
      <c r="BR334" s="206"/>
      <c r="BS334" s="206"/>
      <c r="BT334" s="206"/>
      <c r="BU334" s="206"/>
      <c r="BV334" s="207"/>
      <c r="BW334" s="206"/>
      <c r="BX334" s="206"/>
      <c r="BY334" s="207"/>
      <c r="BZ334" s="207"/>
      <c r="CA334" s="207"/>
      <c r="CB334" s="180"/>
      <c r="CC334" s="178"/>
      <c r="CD334" s="178"/>
      <c r="CE334" s="180"/>
      <c r="CF334" s="180"/>
      <c r="CG334" s="180"/>
      <c r="CH334" s="180"/>
      <c r="CI334" s="178"/>
      <c r="CJ334" s="178"/>
      <c r="CK334" s="180"/>
      <c r="CL334" s="180"/>
      <c r="CM334" s="180"/>
      <c r="CN334" s="116"/>
      <c r="CO334" s="218">
        <f t="shared" si="140"/>
        <v>0</v>
      </c>
      <c r="CP334" s="100">
        <f t="shared" si="141"/>
        <v>0</v>
      </c>
      <c r="CQ334" s="218">
        <f t="shared" si="142"/>
        <v>0</v>
      </c>
      <c r="DC334" s="116" t="s">
        <v>67</v>
      </c>
      <c r="DE334" s="116" t="s">
        <v>103</v>
      </c>
      <c r="DF334" s="116" t="s">
        <v>104</v>
      </c>
      <c r="DG334" s="116"/>
      <c r="DH334" s="116"/>
      <c r="DI334" s="116"/>
      <c r="DJ334" s="116" t="s">
        <v>105</v>
      </c>
      <c r="DK334" s="116" t="s">
        <v>106</v>
      </c>
      <c r="DL334" s="116" t="s">
        <v>107</v>
      </c>
      <c r="DM334" s="116"/>
      <c r="DN334" s="116" t="s">
        <v>108</v>
      </c>
    </row>
    <row r="335" spans="15:119" s="101" customFormat="1" ht="18" hidden="1" x14ac:dyDescent="0.25">
      <c r="O335" s="227" t="s">
        <v>550</v>
      </c>
      <c r="Q335" s="243">
        <v>1.37</v>
      </c>
      <c r="R335" s="243">
        <v>30</v>
      </c>
      <c r="S335" s="246">
        <f t="shared" si="139"/>
        <v>0</v>
      </c>
      <c r="T335" s="246">
        <f t="shared" si="139"/>
        <v>0</v>
      </c>
      <c r="U335" s="246">
        <f t="shared" si="139"/>
        <v>0.11786892857142858</v>
      </c>
      <c r="V335" s="246">
        <f t="shared" si="139"/>
        <v>0.47147571428571433</v>
      </c>
      <c r="W335" s="246">
        <f t="shared" si="139"/>
        <v>0.11786892857142858</v>
      </c>
      <c r="X335" s="246">
        <f t="shared" si="139"/>
        <v>0</v>
      </c>
      <c r="Y335" s="246">
        <f t="shared" si="139"/>
        <v>0.23573785714285717</v>
      </c>
      <c r="Z335" s="246">
        <f t="shared" si="139"/>
        <v>1.6501650000000003</v>
      </c>
      <c r="AA335" s="246">
        <f t="shared" si="139"/>
        <v>0</v>
      </c>
      <c r="AB335" s="246">
        <f t="shared" si="139"/>
        <v>0</v>
      </c>
      <c r="AC335" s="246">
        <f t="shared" si="139"/>
        <v>0.14144271428571431</v>
      </c>
      <c r="AD335" s="246">
        <f t="shared" si="139"/>
        <v>0</v>
      </c>
      <c r="AE335" s="246">
        <f t="shared" si="139"/>
        <v>2.3573785714285718</v>
      </c>
      <c r="AF335" s="246">
        <v>0</v>
      </c>
      <c r="AG335" s="246">
        <f t="shared" si="139"/>
        <v>0.23573785714285717</v>
      </c>
      <c r="AH335" s="243"/>
      <c r="AN335" s="241">
        <v>0.1</v>
      </c>
      <c r="AO335" s="241">
        <v>0.32</v>
      </c>
      <c r="AP335" s="247">
        <f>(AN335*365)*(AO335*0.67*0.02*1)</f>
        <v>0.15651200000000001</v>
      </c>
      <c r="AQ335" s="247">
        <f>(AN335*365)*(AO335*0.67*0.01*1)</f>
        <v>7.8256000000000006E-2</v>
      </c>
      <c r="AR335" s="248"/>
      <c r="AS335" s="247">
        <f>(AN335*365)*(AO335*0.67*0.05*1)</f>
        <v>0.39128000000000002</v>
      </c>
      <c r="AT335" s="247">
        <f>(AN335*365)*(AO335*0.67*0.02*1)</f>
        <v>0.15651200000000001</v>
      </c>
      <c r="AU335" s="247">
        <f>(AN335*365)*(AO335*0.67*0.8*1)</f>
        <v>6.2604800000000003</v>
      </c>
      <c r="AV335" s="247">
        <f>(AN335*365)*(AO335*0.67*0.8*1)</f>
        <v>6.2604800000000003</v>
      </c>
      <c r="AW335" s="247">
        <f>(AN335*365)*(AO335*0.67*0.3*1)</f>
        <v>2.34768</v>
      </c>
      <c r="AX335" s="248"/>
      <c r="AY335" s="247">
        <f>(AN335*365)*(AO335*0.67*0.8*1)</f>
        <v>6.2604800000000003</v>
      </c>
      <c r="AZ335" s="247">
        <f t="shared" si="125"/>
        <v>7.8256000000000006</v>
      </c>
      <c r="BA335" s="247">
        <f t="shared" si="126"/>
        <v>0.78256000000000003</v>
      </c>
      <c r="BB335" s="247">
        <f t="shared" si="127"/>
        <v>3.9128000000000003E-2</v>
      </c>
      <c r="BC335" s="247">
        <f>(AN335*365)*(AO335*0.67*0.015*1)</f>
        <v>0.117384</v>
      </c>
      <c r="BD335" s="247">
        <v>0</v>
      </c>
      <c r="BE335" s="247">
        <v>0</v>
      </c>
      <c r="BI335" s="102"/>
      <c r="BJ335" s="178"/>
      <c r="BK335" s="178"/>
      <c r="BL335" s="178"/>
      <c r="BM335" s="169"/>
      <c r="BN335" s="169"/>
      <c r="BO335" s="169"/>
      <c r="BP335" s="206"/>
      <c r="BQ335" s="206"/>
      <c r="BR335" s="206"/>
      <c r="BS335" s="206"/>
      <c r="BT335" s="206"/>
      <c r="BU335" s="206"/>
      <c r="BV335" s="207"/>
      <c r="BW335" s="206"/>
      <c r="BX335" s="206"/>
      <c r="BY335" s="207"/>
      <c r="BZ335" s="207"/>
      <c r="CA335" s="207"/>
      <c r="CB335" s="180"/>
      <c r="CC335" s="178"/>
      <c r="CD335" s="178"/>
      <c r="CE335" s="180"/>
      <c r="CF335" s="180"/>
      <c r="CG335" s="180"/>
      <c r="CH335" s="180"/>
      <c r="CI335" s="178"/>
      <c r="CJ335" s="178"/>
      <c r="CK335" s="180"/>
      <c r="CL335" s="180"/>
      <c r="CM335" s="180"/>
      <c r="CN335" s="116"/>
      <c r="CO335" s="218">
        <f t="shared" si="140"/>
        <v>0</v>
      </c>
      <c r="CP335" s="100">
        <f t="shared" si="141"/>
        <v>0</v>
      </c>
      <c r="CQ335" s="218">
        <f t="shared" si="142"/>
        <v>0</v>
      </c>
      <c r="DA335" s="101" t="s">
        <v>62</v>
      </c>
      <c r="DB335" s="101" t="s">
        <v>49</v>
      </c>
      <c r="DC335" s="101">
        <f>+DN335</f>
        <v>6.1897500000000008E-2</v>
      </c>
      <c r="DE335" s="116">
        <v>1</v>
      </c>
      <c r="DF335" s="116">
        <v>0.9</v>
      </c>
      <c r="DG335" s="116"/>
      <c r="DH335" s="116"/>
      <c r="DI335" s="116"/>
      <c r="DJ335" s="116">
        <v>0.5</v>
      </c>
      <c r="DK335" s="116">
        <v>5.0000000000000001E-3</v>
      </c>
      <c r="DL335" s="116">
        <f>+DE335*DF335*DJ335*DK335*21</f>
        <v>4.7250000000000007E-2</v>
      </c>
      <c r="DM335" s="116"/>
      <c r="DN335" s="101">
        <f>+DL335+DM346</f>
        <v>6.1897500000000008E-2</v>
      </c>
      <c r="DO335" s="116" t="s">
        <v>376</v>
      </c>
    </row>
    <row r="336" spans="15:119" s="101" customFormat="1" ht="15" hidden="1" customHeight="1" x14ac:dyDescent="0.25">
      <c r="O336" s="227" t="s">
        <v>551</v>
      </c>
      <c r="Q336" s="243"/>
      <c r="R336" s="243"/>
      <c r="S336" s="242"/>
      <c r="T336" s="242"/>
      <c r="U336" s="242"/>
      <c r="V336" s="242"/>
      <c r="W336" s="242"/>
      <c r="X336" s="242"/>
      <c r="Y336" s="242"/>
      <c r="Z336" s="242"/>
      <c r="AA336" s="242"/>
      <c r="AB336" s="242"/>
      <c r="AC336" s="242"/>
      <c r="AD336" s="242"/>
      <c r="AE336" s="242"/>
      <c r="AF336" s="242"/>
      <c r="AG336" s="242"/>
      <c r="AH336" s="243"/>
      <c r="AI336" s="102">
        <v>5.67</v>
      </c>
      <c r="AN336" s="241">
        <v>1.1599999999999999</v>
      </c>
      <c r="AO336" s="241">
        <v>0.25</v>
      </c>
      <c r="AP336" s="247">
        <f>(AN336*365)*(AO336*0.67*0.01*1)</f>
        <v>0.70919500000000002</v>
      </c>
      <c r="AQ336" s="247">
        <f>(AN336*365)*(AO336*0.67*0.001*1)</f>
        <v>7.0919499999999996E-2</v>
      </c>
      <c r="AR336" s="248"/>
      <c r="AS336" s="247">
        <f>(AN336*365)*(AO336*0.67*0.02*1)</f>
        <v>1.41839</v>
      </c>
      <c r="AT336" s="247">
        <f>(AN336*365)*(AO336*0.67*0.01*1)</f>
        <v>0.70919500000000002</v>
      </c>
      <c r="AU336" s="247">
        <f>(AN336*365)*(AO336*0.67*0.25*1)</f>
        <v>17.729875</v>
      </c>
      <c r="AV336" s="247">
        <f>(AN336*365)*(AO336*0.67*0.73*1)</f>
        <v>51.771235000000004</v>
      </c>
      <c r="AW336" s="247">
        <f>(AN336*365)*(AO336*0.67*0.03*1)</f>
        <v>2.1275849999999998</v>
      </c>
      <c r="AX336" s="248"/>
      <c r="AY336" s="247">
        <f>(AN336*365)*(AO336*0.67*0.25*1)</f>
        <v>17.729875</v>
      </c>
      <c r="AZ336" s="247">
        <f t="shared" si="125"/>
        <v>70.919499999999999</v>
      </c>
      <c r="BA336" s="247">
        <f t="shared" si="126"/>
        <v>7.0919499999999998</v>
      </c>
      <c r="BB336" s="247">
        <f t="shared" si="127"/>
        <v>0.35459750000000001</v>
      </c>
      <c r="BC336" s="247">
        <f>(AN336*365)*(AO336*0.67*0.005*1)</f>
        <v>0.35459750000000001</v>
      </c>
      <c r="BD336" s="247">
        <v>0</v>
      </c>
      <c r="BE336" s="247">
        <v>0</v>
      </c>
      <c r="BI336" s="1606" t="s">
        <v>58</v>
      </c>
      <c r="BJ336" s="251"/>
      <c r="BK336" s="1606" t="s">
        <v>279</v>
      </c>
      <c r="BL336" s="251"/>
      <c r="BM336" s="1606" t="s">
        <v>233</v>
      </c>
      <c r="BN336" s="1606" t="s">
        <v>233</v>
      </c>
      <c r="BO336" s="1606" t="s">
        <v>240</v>
      </c>
      <c r="BP336" s="1606" t="s">
        <v>282</v>
      </c>
      <c r="BQ336" s="251"/>
      <c r="BR336" s="1606" t="s">
        <v>233</v>
      </c>
      <c r="BS336" s="1606" t="s">
        <v>233</v>
      </c>
      <c r="BT336" s="1606" t="s">
        <v>240</v>
      </c>
      <c r="BU336" s="102"/>
      <c r="BV336" s="207"/>
      <c r="BW336" s="206"/>
      <c r="BX336" s="206"/>
      <c r="BY336" s="207"/>
      <c r="BZ336" s="207"/>
      <c r="CA336" s="207"/>
      <c r="CB336" s="180"/>
      <c r="CC336" s="178"/>
      <c r="CD336" s="178"/>
      <c r="CE336" s="180"/>
      <c r="CF336" s="180"/>
      <c r="CG336" s="180"/>
      <c r="CH336" s="180"/>
      <c r="CI336" s="178"/>
      <c r="CJ336" s="178"/>
      <c r="CK336" s="180"/>
      <c r="CL336" s="180"/>
      <c r="CM336" s="180"/>
      <c r="CN336" s="116"/>
      <c r="CO336" s="218" t="str">
        <f t="shared" si="140"/>
        <v>Incertidumbre (+/- %)</v>
      </c>
      <c r="CP336" s="100" t="e">
        <f t="shared" si="141"/>
        <v>#VALUE!</v>
      </c>
      <c r="CQ336" s="218" t="str">
        <f t="shared" si="142"/>
        <v>Incertidumbre (+/- %)</v>
      </c>
      <c r="DF336" s="116"/>
      <c r="DG336" s="116"/>
      <c r="DH336" s="116"/>
      <c r="DI336" s="116"/>
    </row>
    <row r="337" spans="15:118" s="101" customFormat="1" ht="15.75" hidden="1" thickBot="1" x14ac:dyDescent="0.3">
      <c r="O337" s="227" t="s">
        <v>552</v>
      </c>
      <c r="Q337" s="243"/>
      <c r="R337" s="243"/>
      <c r="S337" s="242"/>
      <c r="T337" s="242"/>
      <c r="U337" s="242"/>
      <c r="V337" s="242"/>
      <c r="W337" s="242"/>
      <c r="X337" s="242"/>
      <c r="Y337" s="242"/>
      <c r="Z337" s="242"/>
      <c r="AA337" s="242"/>
      <c r="AB337" s="242"/>
      <c r="AC337" s="242"/>
      <c r="AD337" s="242"/>
      <c r="AE337" s="242"/>
      <c r="AF337" s="242"/>
      <c r="AG337" s="242"/>
      <c r="AH337" s="243"/>
      <c r="AN337" s="241">
        <v>1.1599999999999999</v>
      </c>
      <c r="AO337" s="241">
        <v>0.25</v>
      </c>
      <c r="AP337" s="247">
        <f>(AN337*365)*(AO337*0.67*0.015*1)</f>
        <v>1.0637924999999999</v>
      </c>
      <c r="AQ337" s="247">
        <f>(AN337*365)*(AO337*0.67*0.005*1)</f>
        <v>0.35459750000000001</v>
      </c>
      <c r="AR337" s="248"/>
      <c r="AS337" s="247">
        <f>(AN337*365)*(AO337*0.67*0.04*1)</f>
        <v>2.8367800000000001</v>
      </c>
      <c r="AT337" s="247">
        <f>(AN337*365)*(AO337*0.67*0.015*1)</f>
        <v>1.0637924999999999</v>
      </c>
      <c r="AU337" s="247">
        <f>(AN337*365)*(AO337*0.67*0.65*1)</f>
        <v>46.097675000000002</v>
      </c>
      <c r="AV337" s="247">
        <f>(AN337*365)*(AO337*0.67*0.79*1)</f>
        <v>56.026405000000011</v>
      </c>
      <c r="AW337" s="247">
        <f>(AN337*365)*(AO337*0.67*0.03*1)</f>
        <v>2.1275849999999998</v>
      </c>
      <c r="AX337" s="248"/>
      <c r="AY337" s="247">
        <f>(AN337*365)*(AO337*0.67*0.65*1)</f>
        <v>46.097675000000002</v>
      </c>
      <c r="AZ337" s="247">
        <f t="shared" si="125"/>
        <v>70.919499999999999</v>
      </c>
      <c r="BA337" s="247">
        <f t="shared" si="126"/>
        <v>7.0919499999999998</v>
      </c>
      <c r="BB337" s="247">
        <f t="shared" si="127"/>
        <v>0.35459750000000001</v>
      </c>
      <c r="BC337" s="247">
        <f>(AN337*365)*(AO337*0.67*0.01*1)</f>
        <v>0.70919500000000002</v>
      </c>
      <c r="BD337" s="247">
        <v>0</v>
      </c>
      <c r="BE337" s="247">
        <v>0</v>
      </c>
      <c r="BI337" s="1607"/>
      <c r="BJ337" s="252" t="s">
        <v>253</v>
      </c>
      <c r="BK337" s="1607"/>
      <c r="BL337" s="252" t="s">
        <v>251</v>
      </c>
      <c r="BM337" s="1607"/>
      <c r="BN337" s="1607"/>
      <c r="BO337" s="1607"/>
      <c r="BP337" s="1607"/>
      <c r="BQ337" s="252" t="s">
        <v>251</v>
      </c>
      <c r="BR337" s="1607"/>
      <c r="BS337" s="1607"/>
      <c r="BT337" s="1607"/>
      <c r="BU337" s="102"/>
      <c r="BV337" s="207"/>
      <c r="BW337" s="206"/>
      <c r="BX337" s="206"/>
      <c r="BY337" s="207"/>
      <c r="BZ337" s="207"/>
      <c r="CA337" s="207"/>
      <c r="CB337" s="180"/>
      <c r="CC337" s="178"/>
      <c r="CD337" s="178"/>
      <c r="CE337" s="180"/>
      <c r="CF337" s="180"/>
      <c r="CG337" s="180"/>
      <c r="CH337" s="180"/>
      <c r="CI337" s="178"/>
      <c r="CJ337" s="178"/>
      <c r="CK337" s="180"/>
      <c r="CL337" s="180"/>
      <c r="CM337" s="180"/>
      <c r="CN337" s="116"/>
      <c r="CO337" s="218">
        <f t="shared" si="140"/>
        <v>0</v>
      </c>
      <c r="CP337" s="100">
        <f t="shared" si="141"/>
        <v>0</v>
      </c>
      <c r="CQ337" s="218">
        <f t="shared" si="142"/>
        <v>0</v>
      </c>
      <c r="DF337" s="116"/>
      <c r="DG337" s="116"/>
      <c r="DH337" s="116"/>
      <c r="DI337" s="116"/>
      <c r="DL337" s="116">
        <f>+DE335*DF335*DJ335*DK335*25</f>
        <v>5.6250000000000008E-2</v>
      </c>
      <c r="DN337" s="101">
        <f>+DL337+DM348</f>
        <v>7.0330500000000004E-2</v>
      </c>
    </row>
    <row r="338" spans="15:118" s="101" customFormat="1" ht="18.75" hidden="1" thickBot="1" x14ac:dyDescent="0.3">
      <c r="O338" s="227" t="s">
        <v>553</v>
      </c>
      <c r="Q338" s="243"/>
      <c r="R338" s="243"/>
      <c r="S338" s="242"/>
      <c r="T338" s="242"/>
      <c r="U338" s="242"/>
      <c r="V338" s="242"/>
      <c r="W338" s="242"/>
      <c r="X338" s="242"/>
      <c r="Y338" s="242"/>
      <c r="Z338" s="242"/>
      <c r="AA338" s="242"/>
      <c r="AB338" s="242"/>
      <c r="AC338" s="242"/>
      <c r="AD338" s="242"/>
      <c r="AE338" s="242"/>
      <c r="AF338" s="242"/>
      <c r="AG338" s="242"/>
      <c r="AH338" s="243"/>
      <c r="AN338" s="241">
        <v>1.1599999999999999</v>
      </c>
      <c r="AO338" s="241">
        <v>0.25</v>
      </c>
      <c r="AP338" s="247">
        <f>(AN338*365)*(AO338*0.67*0.02*1)</f>
        <v>1.41839</v>
      </c>
      <c r="AQ338" s="247">
        <f>(AN338*365)*(AO338*0.67*0.01*1)</f>
        <v>0.70919500000000002</v>
      </c>
      <c r="AR338" s="248"/>
      <c r="AS338" s="247">
        <f>(AN338*365)*(AO338*0.67*0.05*1)</f>
        <v>3.5459749999999999</v>
      </c>
      <c r="AT338" s="247">
        <f>(AN338*365)*(AO338*0.67*0.02*1)</f>
        <v>1.41839</v>
      </c>
      <c r="AU338" s="247">
        <f>(AN338*365)*(AO338*0.67*0.8*1)</f>
        <v>56.735599999999998</v>
      </c>
      <c r="AV338" s="247">
        <f>(AN338*365)*(AO338*0.67*0.8*1)</f>
        <v>56.735599999999998</v>
      </c>
      <c r="AW338" s="247">
        <f>(AN338*365)*(AO338*0.67*0.3*1)</f>
        <v>21.275849999999998</v>
      </c>
      <c r="AX338" s="248"/>
      <c r="AY338" s="247">
        <f>(AN338*365)*(AO338*0.67*0.8*1)</f>
        <v>56.735599999999998</v>
      </c>
      <c r="AZ338" s="247">
        <f t="shared" si="125"/>
        <v>70.919499999999999</v>
      </c>
      <c r="BA338" s="247">
        <f t="shared" si="126"/>
        <v>7.0919499999999998</v>
      </c>
      <c r="BB338" s="247">
        <f t="shared" si="127"/>
        <v>0.35459750000000001</v>
      </c>
      <c r="BC338" s="247">
        <f>(AN338*365)*(AO338*0.67*0.015*1)</f>
        <v>1.0637924999999999</v>
      </c>
      <c r="BD338" s="247">
        <v>0</v>
      </c>
      <c r="BE338" s="247">
        <v>0</v>
      </c>
      <c r="BI338" s="203" t="s">
        <v>470</v>
      </c>
      <c r="BJ338" s="190" t="s">
        <v>471</v>
      </c>
      <c r="BK338" s="196">
        <f>10/1000</f>
        <v>0.01</v>
      </c>
      <c r="BL338" s="190" t="s">
        <v>416</v>
      </c>
      <c r="BM338" s="189">
        <f>0.08/10</f>
        <v>8.0000000000000002E-3</v>
      </c>
      <c r="BN338" s="189">
        <f>20/10</f>
        <v>2</v>
      </c>
      <c r="BO338" s="188" t="s">
        <v>258</v>
      </c>
      <c r="BP338" s="196">
        <f>0.6/1000</f>
        <v>5.9999999999999995E-4</v>
      </c>
      <c r="BQ338" s="190" t="s">
        <v>417</v>
      </c>
      <c r="BR338" s="189">
        <f>0.2/0.6</f>
        <v>0.33333333333333337</v>
      </c>
      <c r="BS338" s="189">
        <f>1.2/0.6</f>
        <v>2</v>
      </c>
      <c r="BT338" s="188" t="s">
        <v>258</v>
      </c>
      <c r="BU338" s="102"/>
      <c r="BV338" s="207"/>
      <c r="BW338" s="206"/>
      <c r="BX338" s="206"/>
      <c r="BY338" s="207"/>
      <c r="BZ338" s="207"/>
      <c r="CA338" s="207"/>
      <c r="CB338" s="180"/>
      <c r="CC338" s="178"/>
      <c r="CD338" s="178"/>
      <c r="CE338" s="180"/>
      <c r="CF338" s="180"/>
      <c r="CG338" s="180"/>
      <c r="CH338" s="180"/>
      <c r="CI338" s="178"/>
      <c r="CJ338" s="178"/>
      <c r="CK338" s="180"/>
      <c r="CL338" s="180"/>
      <c r="CM338" s="180"/>
      <c r="CN338" s="116"/>
      <c r="CO338" s="218">
        <f t="shared" si="140"/>
        <v>8.0000000000000002E-3</v>
      </c>
      <c r="CP338" s="100">
        <f t="shared" si="141"/>
        <v>1.004</v>
      </c>
      <c r="CQ338" s="218">
        <f t="shared" si="142"/>
        <v>2</v>
      </c>
      <c r="CR338" s="101">
        <v>0.9</v>
      </c>
      <c r="CS338" s="101">
        <v>1</v>
      </c>
      <c r="DF338" s="116"/>
      <c r="DG338" s="116"/>
      <c r="DH338" s="116"/>
      <c r="DI338" s="116"/>
      <c r="DL338" s="116"/>
    </row>
    <row r="339" spans="15:118" s="101" customFormat="1" ht="18.75" hidden="1" thickBot="1" x14ac:dyDescent="0.3">
      <c r="BD339" s="101">
        <v>0</v>
      </c>
      <c r="BI339" s="203" t="s">
        <v>472</v>
      </c>
      <c r="BJ339" s="190" t="s">
        <v>475</v>
      </c>
      <c r="BK339" s="196">
        <f>4/1000</f>
        <v>4.0000000000000001E-3</v>
      </c>
      <c r="BL339" s="190" t="s">
        <v>416</v>
      </c>
      <c r="BM339" s="189">
        <f>0.03/4</f>
        <v>7.4999999999999997E-3</v>
      </c>
      <c r="BN339" s="189">
        <f>8/4</f>
        <v>2</v>
      </c>
      <c r="BO339" s="188" t="s">
        <v>258</v>
      </c>
      <c r="BP339" s="196">
        <f>0.3/1000</f>
        <v>2.9999999999999997E-4</v>
      </c>
      <c r="BQ339" s="190" t="s">
        <v>417</v>
      </c>
      <c r="BR339" s="189">
        <f>0.06/0.3</f>
        <v>0.2</v>
      </c>
      <c r="BS339" s="189">
        <f>0.6/0.3</f>
        <v>2</v>
      </c>
      <c r="BT339" s="188" t="s">
        <v>258</v>
      </c>
      <c r="BU339" s="102"/>
      <c r="BV339" s="207"/>
      <c r="BW339" s="206"/>
      <c r="BX339" s="206"/>
      <c r="BY339" s="207"/>
      <c r="BZ339" s="207"/>
      <c r="CA339" s="207"/>
      <c r="CB339" s="180"/>
      <c r="CC339" s="178"/>
      <c r="CD339" s="178"/>
      <c r="CE339" s="180"/>
      <c r="CF339" s="180"/>
      <c r="CG339" s="180"/>
      <c r="CH339" s="180"/>
      <c r="CI339" s="178"/>
      <c r="CJ339" s="178"/>
      <c r="CK339" s="180"/>
      <c r="CL339" s="180"/>
      <c r="CM339" s="180"/>
      <c r="CN339" s="116"/>
      <c r="CO339" s="218">
        <f t="shared" si="140"/>
        <v>7.4999999999999997E-3</v>
      </c>
      <c r="CP339" s="100">
        <f t="shared" si="141"/>
        <v>1.0037499999999999</v>
      </c>
      <c r="CQ339" s="218">
        <f t="shared" si="142"/>
        <v>2</v>
      </c>
      <c r="CR339" s="101">
        <v>0.9</v>
      </c>
      <c r="CS339" s="101">
        <v>1</v>
      </c>
      <c r="DF339" s="116"/>
      <c r="DG339" s="116"/>
      <c r="DH339" s="116"/>
      <c r="DI339" s="116"/>
      <c r="DL339" s="116"/>
    </row>
    <row r="340" spans="15:118" s="101" customFormat="1" ht="18.75" hidden="1" thickBot="1" x14ac:dyDescent="0.3">
      <c r="BI340" s="203" t="s">
        <v>473</v>
      </c>
      <c r="BJ340" s="190" t="s">
        <v>471</v>
      </c>
      <c r="BK340" s="196">
        <f>2/1000</f>
        <v>2E-3</v>
      </c>
      <c r="BL340" s="190" t="s">
        <v>416</v>
      </c>
      <c r="BM340" s="189">
        <f>0/2</f>
        <v>0</v>
      </c>
      <c r="BN340" s="189">
        <f>20/2</f>
        <v>10</v>
      </c>
      <c r="BO340" s="188" t="s">
        <v>258</v>
      </c>
      <c r="BP340" s="196">
        <v>0</v>
      </c>
      <c r="BQ340" s="190" t="s">
        <v>417</v>
      </c>
      <c r="BR340" s="189">
        <v>0</v>
      </c>
      <c r="BS340" s="189">
        <v>0</v>
      </c>
      <c r="BT340" s="188" t="s">
        <v>258</v>
      </c>
      <c r="BU340" s="102"/>
      <c r="BV340" s="207"/>
      <c r="BW340" s="206"/>
      <c r="BX340" s="206"/>
      <c r="BY340" s="207"/>
      <c r="BZ340" s="207"/>
      <c r="CA340" s="207"/>
      <c r="CB340" s="180"/>
      <c r="CC340" s="178"/>
      <c r="CD340" s="178"/>
      <c r="CE340" s="180"/>
      <c r="CF340" s="180"/>
      <c r="CG340" s="180"/>
      <c r="CH340" s="180"/>
      <c r="CI340" s="178"/>
      <c r="CJ340" s="178"/>
      <c r="CK340" s="180"/>
      <c r="CL340" s="180"/>
      <c r="CM340" s="180"/>
      <c r="CN340" s="116"/>
      <c r="CO340" s="218">
        <f t="shared" si="140"/>
        <v>0</v>
      </c>
      <c r="CP340" s="100">
        <f t="shared" si="141"/>
        <v>5</v>
      </c>
      <c r="CQ340" s="218">
        <f t="shared" si="142"/>
        <v>10</v>
      </c>
      <c r="CR340" s="101">
        <v>0.9</v>
      </c>
      <c r="CS340" s="101">
        <v>1</v>
      </c>
      <c r="DF340" s="116"/>
      <c r="DG340" s="116"/>
      <c r="DH340" s="116"/>
      <c r="DI340" s="116"/>
      <c r="DL340" s="116"/>
    </row>
    <row r="341" spans="15:118" s="101" customFormat="1" ht="18.75" hidden="1" thickBot="1" x14ac:dyDescent="0.3">
      <c r="BB341" s="100" t="s">
        <v>509</v>
      </c>
      <c r="BC341" s="100" t="s">
        <v>510</v>
      </c>
      <c r="BD341" s="100" t="s">
        <v>512</v>
      </c>
      <c r="BE341" s="100"/>
      <c r="BF341" s="100" t="s">
        <v>511</v>
      </c>
      <c r="BI341" s="203" t="s">
        <v>474</v>
      </c>
      <c r="BJ341" s="190" t="s">
        <v>475</v>
      </c>
      <c r="BK341" s="196">
        <f>1/1000</f>
        <v>1E-3</v>
      </c>
      <c r="BL341" s="190" t="s">
        <v>416</v>
      </c>
      <c r="BM341" s="189">
        <f>0/2</f>
        <v>0</v>
      </c>
      <c r="BN341" s="189">
        <f>8/1</f>
        <v>8</v>
      </c>
      <c r="BO341" s="188" t="s">
        <v>258</v>
      </c>
      <c r="BP341" s="196">
        <v>0</v>
      </c>
      <c r="BQ341" s="190" t="s">
        <v>417</v>
      </c>
      <c r="BR341" s="189">
        <v>0</v>
      </c>
      <c r="BS341" s="189">
        <v>0</v>
      </c>
      <c r="BT341" s="188" t="s">
        <v>258</v>
      </c>
      <c r="BU341" s="102"/>
      <c r="BV341" s="207"/>
      <c r="BW341" s="206"/>
      <c r="BX341" s="206"/>
      <c r="BY341" s="207"/>
      <c r="BZ341" s="207"/>
      <c r="CA341" s="207"/>
      <c r="CB341" s="180"/>
      <c r="CC341" s="178"/>
      <c r="CD341" s="178"/>
      <c r="CE341" s="180"/>
      <c r="CF341" s="180"/>
      <c r="CG341" s="180"/>
      <c r="CH341" s="180"/>
      <c r="CI341" s="178"/>
      <c r="CJ341" s="178"/>
      <c r="CK341" s="180"/>
      <c r="CL341" s="180"/>
      <c r="CM341" s="180"/>
      <c r="CN341" s="116"/>
      <c r="CO341" s="218">
        <f t="shared" si="140"/>
        <v>0</v>
      </c>
      <c r="CP341" s="100">
        <f t="shared" si="141"/>
        <v>4</v>
      </c>
      <c r="CQ341" s="218">
        <f t="shared" si="142"/>
        <v>8</v>
      </c>
      <c r="CR341" s="101">
        <v>0.9</v>
      </c>
      <c r="CS341" s="101">
        <v>1</v>
      </c>
      <c r="DF341" s="116"/>
      <c r="DG341" s="116"/>
      <c r="DH341" s="116"/>
      <c r="DI341" s="116"/>
      <c r="DL341" s="116"/>
    </row>
    <row r="342" spans="15:118" s="101" customFormat="1" ht="26.25" hidden="1" thickBot="1" x14ac:dyDescent="0.3">
      <c r="BB342" s="100">
        <v>50.4</v>
      </c>
      <c r="BC342" s="100">
        <v>22</v>
      </c>
      <c r="BD342" s="100">
        <f>BC342/((BB342*1000*1000)/(1000*1000))</f>
        <v>0.43650793650793651</v>
      </c>
      <c r="BE342" s="100"/>
      <c r="BF342" s="100">
        <v>0.63500999999999996</v>
      </c>
      <c r="BI342" s="203" t="s">
        <v>507</v>
      </c>
      <c r="BJ342" s="190" t="s">
        <v>505</v>
      </c>
      <c r="BK342" s="196">
        <f>BD342*BF342</f>
        <v>0.27718690476190477</v>
      </c>
      <c r="BL342" s="190" t="s">
        <v>506</v>
      </c>
      <c r="BM342" s="189">
        <f>0%/5%</f>
        <v>0</v>
      </c>
      <c r="BN342" s="189">
        <f>10%/5%</f>
        <v>2</v>
      </c>
      <c r="BO342" s="188" t="s">
        <v>258</v>
      </c>
      <c r="BP342" s="196">
        <v>0</v>
      </c>
      <c r="BQ342" s="190" t="s">
        <v>508</v>
      </c>
      <c r="BR342" s="189">
        <v>0</v>
      </c>
      <c r="BS342" s="189">
        <v>0</v>
      </c>
      <c r="BT342" s="188" t="s">
        <v>258</v>
      </c>
      <c r="BU342" s="102"/>
      <c r="BV342" s="207"/>
      <c r="BW342" s="206"/>
      <c r="BX342" s="206"/>
      <c r="BY342" s="207"/>
      <c r="BZ342" s="207"/>
      <c r="CA342" s="207"/>
      <c r="CB342" s="180"/>
      <c r="CC342" s="178"/>
      <c r="CD342" s="178"/>
      <c r="CE342" s="180"/>
      <c r="CF342" s="180"/>
      <c r="CG342" s="180"/>
      <c r="CH342" s="180"/>
      <c r="CI342" s="178"/>
      <c r="CJ342" s="178"/>
      <c r="CK342" s="180"/>
      <c r="CL342" s="180"/>
      <c r="CM342" s="180"/>
      <c r="CN342" s="116"/>
      <c r="CO342" s="218">
        <f t="shared" si="140"/>
        <v>0</v>
      </c>
      <c r="CP342" s="100">
        <f t="shared" si="141"/>
        <v>1</v>
      </c>
      <c r="CQ342" s="218">
        <f t="shared" si="142"/>
        <v>2</v>
      </c>
      <c r="DF342" s="116"/>
      <c r="DG342" s="116"/>
      <c r="DH342" s="116"/>
      <c r="DI342" s="116"/>
      <c r="DL342" s="116"/>
    </row>
    <row r="343" spans="15:118" s="101" customFormat="1" ht="18.75" hidden="1" thickBot="1" x14ac:dyDescent="0.3">
      <c r="BI343" s="203" t="s">
        <v>316</v>
      </c>
      <c r="BJ343" s="190" t="s">
        <v>49</v>
      </c>
      <c r="BK343" s="196">
        <f>2.7/1000</f>
        <v>2.7000000000000001E-3</v>
      </c>
      <c r="BL343" s="190" t="s">
        <v>416</v>
      </c>
      <c r="BM343" s="189">
        <f>0.9/2.7</f>
        <v>0.33333333333333331</v>
      </c>
      <c r="BN343" s="189">
        <f>0.9/2.7</f>
        <v>0.33333333333333331</v>
      </c>
      <c r="BO343" s="188" t="s">
        <v>258</v>
      </c>
      <c r="BP343" s="196">
        <f>0.07/1000</f>
        <v>7.0000000000000007E-5</v>
      </c>
      <c r="BQ343" s="190" t="s">
        <v>417</v>
      </c>
      <c r="BR343" s="189">
        <f>0.1/0.07</f>
        <v>1.4285714285714286</v>
      </c>
      <c r="BS343" s="189">
        <f>0.1/0.07</f>
        <v>1.4285714285714286</v>
      </c>
      <c r="BT343" s="188" t="s">
        <v>258</v>
      </c>
      <c r="BU343" s="102"/>
      <c r="BV343" s="196">
        <v>1515</v>
      </c>
      <c r="BW343" s="190" t="s">
        <v>461</v>
      </c>
      <c r="BX343" s="189">
        <f>177/1515</f>
        <v>0.11683168316831684</v>
      </c>
      <c r="BY343" s="189">
        <f>177/1515</f>
        <v>0.11683168316831684</v>
      </c>
      <c r="BZ343" s="188" t="s">
        <v>258</v>
      </c>
      <c r="CA343" s="207"/>
      <c r="CB343" s="180"/>
      <c r="CC343" s="178"/>
      <c r="CD343" s="178"/>
      <c r="CE343" s="180"/>
      <c r="CF343" s="180"/>
      <c r="CG343" s="180"/>
      <c r="CH343" s="180"/>
      <c r="CI343" s="178"/>
      <c r="CJ343" s="178"/>
      <c r="CK343" s="180"/>
      <c r="CL343" s="180"/>
      <c r="CM343" s="180"/>
      <c r="CN343" s="116"/>
      <c r="CO343" s="218">
        <f t="shared" si="140"/>
        <v>0.33333333333333331</v>
      </c>
      <c r="CP343" s="100">
        <f t="shared" si="141"/>
        <v>0.33333333333333331</v>
      </c>
      <c r="CQ343" s="218">
        <f t="shared" si="142"/>
        <v>0.33333333333333331</v>
      </c>
      <c r="DF343" s="116"/>
      <c r="DG343" s="116"/>
      <c r="DH343" s="116"/>
      <c r="DI343" s="116"/>
      <c r="DL343" s="116"/>
    </row>
    <row r="344" spans="15:118" s="101" customFormat="1" ht="18.75" hidden="1" thickBot="1" x14ac:dyDescent="0.3">
      <c r="BI344" s="203" t="s">
        <v>460</v>
      </c>
      <c r="BJ344" s="190" t="s">
        <v>49</v>
      </c>
      <c r="BK344" s="196">
        <f>2.3/1000</f>
        <v>2.3E-3</v>
      </c>
      <c r="BL344" s="190" t="s">
        <v>416</v>
      </c>
      <c r="BM344" s="189">
        <f>0.9/2.3</f>
        <v>0.39130434782608697</v>
      </c>
      <c r="BN344" s="189">
        <f>0.9/2.3</f>
        <v>0.39130434782608697</v>
      </c>
      <c r="BO344" s="188" t="s">
        <v>258</v>
      </c>
      <c r="BP344" s="196">
        <f>0.21/1000</f>
        <v>2.0999999999999998E-4</v>
      </c>
      <c r="BQ344" s="190" t="s">
        <v>417</v>
      </c>
      <c r="BR344" s="189">
        <f>0.1/0.21</f>
        <v>0.47619047619047622</v>
      </c>
      <c r="BS344" s="189">
        <f>0.1/0.21</f>
        <v>0.47619047619047622</v>
      </c>
      <c r="BT344" s="188" t="s">
        <v>258</v>
      </c>
      <c r="BU344" s="102"/>
      <c r="BV344" s="196">
        <v>1613</v>
      </c>
      <c r="BW344" s="190" t="s">
        <v>461</v>
      </c>
      <c r="BX344" s="189">
        <f>95/1613</f>
        <v>5.8896466212027279E-2</v>
      </c>
      <c r="BY344" s="189">
        <f>95/1613</f>
        <v>5.8896466212027279E-2</v>
      </c>
      <c r="BZ344" s="188" t="s">
        <v>258</v>
      </c>
      <c r="CA344" s="207"/>
      <c r="CB344" s="180"/>
      <c r="CC344" s="178"/>
      <c r="CD344" s="178"/>
      <c r="CE344" s="180"/>
      <c r="CF344" s="180"/>
      <c r="CG344" s="180"/>
      <c r="CH344" s="180"/>
      <c r="CI344" s="178"/>
      <c r="CJ344" s="178"/>
      <c r="CK344" s="180"/>
      <c r="CL344" s="180"/>
      <c r="CM344" s="180"/>
      <c r="CN344" s="116"/>
      <c r="CO344" s="218">
        <f t="shared" si="140"/>
        <v>0.39130434782608697</v>
      </c>
      <c r="CP344" s="100">
        <f t="shared" si="141"/>
        <v>0.39130434782608697</v>
      </c>
      <c r="CQ344" s="218">
        <f t="shared" si="142"/>
        <v>0.39130434782608697</v>
      </c>
      <c r="DF344" s="116"/>
      <c r="DG344" s="116"/>
      <c r="DH344" s="116"/>
      <c r="DI344" s="116"/>
      <c r="DL344" s="116"/>
    </row>
    <row r="345" spans="15:118" s="101" customFormat="1" hidden="1" x14ac:dyDescent="0.25">
      <c r="BI345" s="102"/>
      <c r="BJ345" s="178"/>
      <c r="BK345" s="178"/>
      <c r="BL345" s="178"/>
      <c r="BM345" s="169"/>
      <c r="BN345" s="169"/>
      <c r="BO345" s="169"/>
      <c r="BP345" s="206"/>
      <c r="BQ345" s="178"/>
      <c r="BR345" s="206"/>
      <c r="BS345" s="206"/>
      <c r="BT345" s="206"/>
      <c r="BU345" s="206"/>
      <c r="BV345" s="207"/>
      <c r="BW345" s="206"/>
      <c r="BX345" s="206"/>
      <c r="BY345" s="207"/>
      <c r="BZ345" s="207"/>
      <c r="CA345" s="207"/>
      <c r="CB345" s="180"/>
      <c r="CC345" s="178"/>
      <c r="CD345" s="178"/>
      <c r="CE345" s="180"/>
      <c r="CF345" s="180"/>
      <c r="CG345" s="180"/>
      <c r="CH345" s="180"/>
      <c r="CI345" s="178"/>
      <c r="CJ345" s="178"/>
      <c r="CK345" s="180"/>
      <c r="CL345" s="180"/>
      <c r="CM345" s="180"/>
      <c r="CN345" s="116"/>
      <c r="CO345" s="218">
        <f t="shared" si="140"/>
        <v>0</v>
      </c>
      <c r="CP345" s="100">
        <f t="shared" si="141"/>
        <v>0</v>
      </c>
      <c r="CQ345" s="218">
        <f t="shared" si="142"/>
        <v>0</v>
      </c>
      <c r="DF345" s="116"/>
      <c r="DG345" s="116"/>
      <c r="DH345" s="116"/>
      <c r="DI345" s="116"/>
      <c r="DK345" s="101" t="s">
        <v>109</v>
      </c>
      <c r="DL345" s="101" t="s">
        <v>110</v>
      </c>
      <c r="DM345" s="101" t="s">
        <v>107</v>
      </c>
    </row>
    <row r="346" spans="15:118" s="101" customFormat="1" hidden="1" x14ac:dyDescent="0.25">
      <c r="BI346" s="102"/>
      <c r="BJ346" s="178"/>
      <c r="BK346" s="178"/>
      <c r="BL346" s="178"/>
      <c r="BM346" s="169"/>
      <c r="BN346" s="169"/>
      <c r="BO346" s="169"/>
      <c r="BP346" s="206"/>
      <c r="BQ346" s="206"/>
      <c r="BR346" s="206"/>
      <c r="BS346" s="206"/>
      <c r="BT346" s="206"/>
      <c r="BU346" s="206"/>
      <c r="BV346" s="207"/>
      <c r="BW346" s="206"/>
      <c r="BX346" s="206"/>
      <c r="BY346" s="207"/>
      <c r="BZ346" s="207"/>
      <c r="CA346" s="207"/>
      <c r="CB346" s="180"/>
      <c r="CC346" s="178"/>
      <c r="CD346" s="178"/>
      <c r="CE346" s="180"/>
      <c r="CF346" s="180"/>
      <c r="CG346" s="180"/>
      <c r="CH346" s="180"/>
      <c r="CI346" s="178"/>
      <c r="CJ346" s="178"/>
      <c r="CK346" s="180"/>
      <c r="CL346" s="180"/>
      <c r="CM346" s="180"/>
      <c r="CN346" s="116"/>
      <c r="CO346" s="218">
        <f t="shared" si="140"/>
        <v>0</v>
      </c>
      <c r="CP346" s="100">
        <f t="shared" si="141"/>
        <v>0</v>
      </c>
      <c r="CQ346" s="218">
        <f t="shared" si="142"/>
        <v>0</v>
      </c>
      <c r="DF346" s="116"/>
      <c r="DG346" s="116"/>
      <c r="DH346" s="116"/>
      <c r="DI346" s="116"/>
      <c r="DK346" s="101">
        <v>1.4999999999999999E-2</v>
      </c>
      <c r="DL346" s="101">
        <v>7.0000000000000001E-3</v>
      </c>
      <c r="DM346" s="101">
        <f>+DE335*DF335*DJ335*DK346*DL346*310</f>
        <v>1.4647500000000001E-2</v>
      </c>
    </row>
    <row r="347" spans="15:118" s="101" customFormat="1" hidden="1" x14ac:dyDescent="0.25">
      <c r="BI347" s="1606" t="s">
        <v>261</v>
      </c>
      <c r="BJ347" s="251"/>
      <c r="BK347" s="1606" t="s">
        <v>282</v>
      </c>
      <c r="BL347" s="251"/>
      <c r="BM347" s="1606" t="s">
        <v>233</v>
      </c>
      <c r="BN347" s="1606" t="s">
        <v>233</v>
      </c>
      <c r="BO347" s="1606" t="s">
        <v>240</v>
      </c>
      <c r="BP347" s="206"/>
      <c r="BQ347" s="206"/>
      <c r="BR347" s="206"/>
      <c r="BS347" s="206"/>
      <c r="BT347" s="206"/>
      <c r="BU347" s="206"/>
      <c r="BV347" s="207"/>
      <c r="BW347" s="206"/>
      <c r="BX347" s="206"/>
      <c r="BY347" s="207"/>
      <c r="BZ347" s="207"/>
      <c r="CA347" s="207"/>
      <c r="CB347" s="180"/>
      <c r="CC347" s="178"/>
      <c r="CD347" s="178"/>
      <c r="CE347" s="180"/>
      <c r="CF347" s="180"/>
      <c r="CG347" s="180"/>
      <c r="CH347" s="180"/>
      <c r="CI347" s="178"/>
      <c r="CJ347" s="178"/>
      <c r="CK347" s="180"/>
      <c r="CL347" s="180"/>
      <c r="CM347" s="180"/>
      <c r="CN347" s="116"/>
      <c r="CO347" s="218" t="str">
        <f t="shared" si="140"/>
        <v>Incertidumbre (+/- %)</v>
      </c>
      <c r="CP347" s="100" t="e">
        <f t="shared" si="141"/>
        <v>#VALUE!</v>
      </c>
      <c r="CQ347" s="218" t="str">
        <f t="shared" si="142"/>
        <v>Incertidumbre (+/- %)</v>
      </c>
      <c r="DF347" s="116"/>
      <c r="DG347" s="116"/>
      <c r="DH347" s="116"/>
      <c r="DI347" s="116"/>
    </row>
    <row r="348" spans="15:118" s="101" customFormat="1" ht="15.75" hidden="1" thickBot="1" x14ac:dyDescent="0.3">
      <c r="BI348" s="1607"/>
      <c r="BJ348" s="252" t="s">
        <v>253</v>
      </c>
      <c r="BK348" s="1607"/>
      <c r="BL348" s="252" t="s">
        <v>251</v>
      </c>
      <c r="BM348" s="1607"/>
      <c r="BN348" s="1607"/>
      <c r="BO348" s="1607"/>
      <c r="BP348" s="206"/>
      <c r="BQ348" s="206"/>
      <c r="BR348" s="206"/>
      <c r="BS348" s="206"/>
      <c r="BT348" s="206"/>
      <c r="BU348" s="206"/>
      <c r="BV348" s="207"/>
      <c r="BW348" s="206"/>
      <c r="BX348" s="206"/>
      <c r="BY348" s="207"/>
      <c r="BZ348" s="207"/>
      <c r="CA348" s="207"/>
      <c r="CB348" s="180"/>
      <c r="CC348" s="178"/>
      <c r="CD348" s="178"/>
      <c r="CE348" s="180"/>
      <c r="CF348" s="180"/>
      <c r="CG348" s="180"/>
      <c r="CH348" s="180"/>
      <c r="CI348" s="178"/>
      <c r="CJ348" s="178"/>
      <c r="CK348" s="180"/>
      <c r="CL348" s="180"/>
      <c r="CM348" s="180"/>
      <c r="CN348" s="116"/>
      <c r="CO348" s="218">
        <f t="shared" si="140"/>
        <v>0</v>
      </c>
      <c r="CP348" s="100">
        <f t="shared" si="141"/>
        <v>0</v>
      </c>
      <c r="CQ348" s="218">
        <f t="shared" si="142"/>
        <v>0</v>
      </c>
      <c r="DF348" s="116"/>
      <c r="DG348" s="116"/>
      <c r="DH348" s="116"/>
      <c r="DI348" s="116"/>
      <c r="DM348" s="101">
        <f>+DE335*DF335*DJ335*DK346*DL346*298</f>
        <v>1.4080500000000001E-2</v>
      </c>
    </row>
    <row r="349" spans="15:118" s="101" customFormat="1" ht="18.75" hidden="1" thickBot="1" x14ac:dyDescent="0.3">
      <c r="BI349" s="203" t="s">
        <v>450</v>
      </c>
      <c r="BJ349" s="190" t="s">
        <v>419</v>
      </c>
      <c r="BK349" s="196">
        <v>3.6666999999999998E-2</v>
      </c>
      <c r="BL349" s="190" t="s">
        <v>453</v>
      </c>
      <c r="BM349" s="189">
        <v>0.1</v>
      </c>
      <c r="BN349" s="189">
        <v>3</v>
      </c>
      <c r="BO349" s="188" t="s">
        <v>258</v>
      </c>
      <c r="BP349" s="206"/>
      <c r="BQ349" s="206"/>
      <c r="BR349" s="206"/>
      <c r="BS349" s="206"/>
      <c r="BT349" s="206"/>
      <c r="BU349" s="206"/>
      <c r="BV349" s="207"/>
      <c r="BW349" s="206"/>
      <c r="BX349" s="206"/>
      <c r="BY349" s="207"/>
      <c r="BZ349" s="207"/>
      <c r="CA349" s="207"/>
      <c r="CB349" s="180"/>
      <c r="CC349" s="178"/>
      <c r="CD349" s="178"/>
      <c r="CE349" s="180"/>
      <c r="CF349" s="180"/>
      <c r="CG349" s="180"/>
      <c r="CH349" s="180"/>
      <c r="CI349" s="178"/>
      <c r="CJ349" s="178"/>
      <c r="CK349" s="180"/>
      <c r="CL349" s="180"/>
      <c r="CM349" s="180"/>
      <c r="CN349" s="116"/>
      <c r="CO349" s="218">
        <f t="shared" si="140"/>
        <v>0.1</v>
      </c>
      <c r="CP349" s="100">
        <f t="shared" si="141"/>
        <v>1.55</v>
      </c>
      <c r="CQ349" s="218">
        <f t="shared" si="142"/>
        <v>3</v>
      </c>
      <c r="DF349" s="116"/>
      <c r="DG349" s="116"/>
      <c r="DH349" s="116"/>
      <c r="DI349" s="116"/>
    </row>
    <row r="350" spans="15:118" s="101" customFormat="1" ht="18.75" hidden="1" thickBot="1" x14ac:dyDescent="0.3">
      <c r="BI350" s="203" t="s">
        <v>451</v>
      </c>
      <c r="BJ350" s="190" t="s">
        <v>419</v>
      </c>
      <c r="BK350" s="196">
        <v>7.3332999999999995E-2</v>
      </c>
      <c r="BL350" s="190" t="s">
        <v>453</v>
      </c>
      <c r="BM350" s="189">
        <v>0.35</v>
      </c>
      <c r="BN350" s="189">
        <v>3</v>
      </c>
      <c r="BO350" s="188" t="s">
        <v>258</v>
      </c>
      <c r="BP350" s="206"/>
      <c r="BQ350" s="206"/>
      <c r="BR350" s="206"/>
      <c r="BS350" s="206"/>
      <c r="BT350" s="206"/>
      <c r="BU350" s="206"/>
      <c r="BV350" s="207"/>
      <c r="BW350" s="206"/>
      <c r="BX350" s="206"/>
      <c r="BY350" s="207"/>
      <c r="BZ350" s="207"/>
      <c r="CA350" s="207"/>
      <c r="CB350" s="180"/>
      <c r="CC350" s="178"/>
      <c r="CD350" s="178"/>
      <c r="CE350" s="180"/>
      <c r="CF350" s="180"/>
      <c r="CG350" s="180"/>
      <c r="CH350" s="180"/>
      <c r="CI350" s="178"/>
      <c r="CJ350" s="178"/>
      <c r="CK350" s="180"/>
      <c r="CL350" s="180"/>
      <c r="CM350" s="180"/>
      <c r="CN350" s="116"/>
      <c r="CO350" s="218">
        <f t="shared" si="140"/>
        <v>0.35</v>
      </c>
      <c r="CP350" s="100">
        <f t="shared" si="141"/>
        <v>1.675</v>
      </c>
      <c r="CQ350" s="218">
        <f t="shared" si="142"/>
        <v>3</v>
      </c>
      <c r="DF350" s="116"/>
      <c r="DG350" s="116"/>
      <c r="DH350" s="116"/>
      <c r="DI350" s="116"/>
    </row>
    <row r="351" spans="15:118" s="101" customFormat="1" ht="18.75" hidden="1" thickBot="1" x14ac:dyDescent="0.3">
      <c r="BI351" s="203" t="s">
        <v>452</v>
      </c>
      <c r="BJ351" s="190" t="s">
        <v>419</v>
      </c>
      <c r="BK351" s="196">
        <v>3.6666999999999998E-2</v>
      </c>
      <c r="BL351" s="190" t="s">
        <v>453</v>
      </c>
      <c r="BM351" s="189">
        <v>0.33329999999999999</v>
      </c>
      <c r="BN351" s="189">
        <v>3</v>
      </c>
      <c r="BO351" s="188" t="s">
        <v>258</v>
      </c>
      <c r="BP351" s="206"/>
      <c r="BQ351" s="206"/>
      <c r="BR351" s="206"/>
      <c r="BS351" s="206"/>
      <c r="BT351" s="206"/>
      <c r="BU351" s="206"/>
      <c r="BV351" s="207"/>
      <c r="BW351" s="206"/>
      <c r="BX351" s="206"/>
      <c r="BY351" s="207"/>
      <c r="BZ351" s="207"/>
      <c r="CA351" s="207"/>
      <c r="CB351" s="180"/>
      <c r="CC351" s="178"/>
      <c r="CD351" s="178"/>
      <c r="CE351" s="180"/>
      <c r="CF351" s="180"/>
      <c r="CG351" s="180"/>
      <c r="CH351" s="180"/>
      <c r="CI351" s="178"/>
      <c r="CJ351" s="178"/>
      <c r="CK351" s="180"/>
      <c r="CL351" s="180"/>
      <c r="CM351" s="180"/>
      <c r="CN351" s="116"/>
      <c r="CO351" s="218">
        <f t="shared" si="140"/>
        <v>0.33329999999999999</v>
      </c>
      <c r="CP351" s="100">
        <f t="shared" si="141"/>
        <v>1.66665</v>
      </c>
      <c r="CQ351" s="218">
        <f t="shared" si="142"/>
        <v>3</v>
      </c>
      <c r="DF351" s="116"/>
      <c r="DG351" s="116"/>
      <c r="DH351" s="116"/>
      <c r="DI351" s="116"/>
    </row>
    <row r="352" spans="15:118" s="101" customFormat="1" ht="18.75" hidden="1" thickBot="1" x14ac:dyDescent="0.3">
      <c r="BI352" s="203" t="s">
        <v>449</v>
      </c>
      <c r="BJ352" s="190" t="s">
        <v>419</v>
      </c>
      <c r="BK352" s="196">
        <v>1.0999999999999999E-2</v>
      </c>
      <c r="BL352" s="190" t="s">
        <v>453</v>
      </c>
      <c r="BM352" s="189">
        <v>0.01</v>
      </c>
      <c r="BN352" s="189">
        <v>2</v>
      </c>
      <c r="BO352" s="188" t="s">
        <v>258</v>
      </c>
      <c r="BP352" s="206"/>
      <c r="BQ352" s="196">
        <v>3.3525000000000005</v>
      </c>
      <c r="BR352" s="190" t="s">
        <v>420</v>
      </c>
      <c r="BS352" s="206"/>
      <c r="BT352" s="206"/>
      <c r="BU352" s="206"/>
      <c r="BV352" s="207"/>
      <c r="BW352" s="206"/>
      <c r="BX352" s="206"/>
      <c r="BY352" s="207"/>
      <c r="BZ352" s="207"/>
      <c r="CA352" s="207"/>
      <c r="CB352" s="180"/>
      <c r="CC352" s="178"/>
      <c r="CD352" s="178"/>
      <c r="CE352" s="180"/>
      <c r="CF352" s="180"/>
      <c r="CG352" s="180"/>
      <c r="CH352" s="180"/>
      <c r="CI352" s="178"/>
      <c r="CJ352" s="178"/>
      <c r="CK352" s="180"/>
      <c r="CL352" s="180"/>
      <c r="CM352" s="180"/>
      <c r="CN352" s="116"/>
      <c r="CO352" s="218">
        <f t="shared" si="140"/>
        <v>0.01</v>
      </c>
      <c r="CP352" s="100">
        <f t="shared" si="141"/>
        <v>1.0049999999999999</v>
      </c>
      <c r="CQ352" s="218">
        <f t="shared" si="142"/>
        <v>2</v>
      </c>
      <c r="DF352" s="116"/>
      <c r="DG352" s="116"/>
      <c r="DH352" s="116"/>
      <c r="DI352" s="116"/>
    </row>
    <row r="353" spans="61:119" s="101" customFormat="1" ht="18.75" hidden="1" thickBot="1" x14ac:dyDescent="0.3">
      <c r="BI353" s="203" t="s">
        <v>456</v>
      </c>
      <c r="BJ353" s="190" t="s">
        <v>455</v>
      </c>
      <c r="BK353" s="196">
        <f>0.12*(44/12)</f>
        <v>0.43999999999999995</v>
      </c>
      <c r="BL353" s="190" t="s">
        <v>454</v>
      </c>
      <c r="BM353" s="189">
        <v>0.01</v>
      </c>
      <c r="BN353" s="189">
        <v>0.5</v>
      </c>
      <c r="BO353" s="188" t="s">
        <v>258</v>
      </c>
      <c r="BP353" s="206"/>
      <c r="BQ353" s="206"/>
      <c r="BR353" s="206"/>
      <c r="BS353" s="206"/>
      <c r="BT353" s="206"/>
      <c r="BU353" s="206"/>
      <c r="BV353" s="207"/>
      <c r="BW353" s="206"/>
      <c r="BX353" s="206"/>
      <c r="BY353" s="207"/>
      <c r="BZ353" s="207"/>
      <c r="CA353" s="207"/>
      <c r="CB353" s="180"/>
      <c r="CC353" s="178"/>
      <c r="CD353" s="178"/>
      <c r="CE353" s="180"/>
      <c r="CF353" s="180"/>
      <c r="CG353" s="180"/>
      <c r="CH353" s="180"/>
      <c r="CI353" s="178"/>
      <c r="CJ353" s="178"/>
      <c r="CK353" s="180"/>
      <c r="CL353" s="180"/>
      <c r="CM353" s="180"/>
      <c r="CN353" s="116"/>
      <c r="CO353" s="218">
        <f t="shared" si="140"/>
        <v>0.01</v>
      </c>
      <c r="CP353" s="100">
        <f t="shared" si="141"/>
        <v>0.255</v>
      </c>
      <c r="CQ353" s="218">
        <f t="shared" si="142"/>
        <v>0.5</v>
      </c>
      <c r="DF353" s="116"/>
      <c r="DG353" s="116"/>
      <c r="DH353" s="116"/>
      <c r="DI353" s="116"/>
    </row>
    <row r="354" spans="61:119" s="101" customFormat="1" ht="18.75" hidden="1" thickBot="1" x14ac:dyDescent="0.3">
      <c r="BI354" s="203" t="s">
        <v>457</v>
      </c>
      <c r="BJ354" s="190" t="s">
        <v>455</v>
      </c>
      <c r="BK354" s="196">
        <f>0.13*(44/12)</f>
        <v>0.47666666666666668</v>
      </c>
      <c r="BL354" s="190" t="s">
        <v>454</v>
      </c>
      <c r="BM354" s="189">
        <v>0.01</v>
      </c>
      <c r="BN354" s="189">
        <v>0.5</v>
      </c>
      <c r="BO354" s="188" t="s">
        <v>258</v>
      </c>
      <c r="BP354" s="206"/>
      <c r="BQ354" s="206"/>
      <c r="BR354" s="206"/>
      <c r="BS354" s="206"/>
      <c r="BT354" s="206"/>
      <c r="BU354" s="206"/>
      <c r="BV354" s="207"/>
      <c r="BW354" s="206"/>
      <c r="BX354" s="206"/>
      <c r="BY354" s="207"/>
      <c r="BZ354" s="207"/>
      <c r="CA354" s="207"/>
      <c r="CB354" s="180"/>
      <c r="CC354" s="178"/>
      <c r="CD354" s="178"/>
      <c r="CE354" s="180"/>
      <c r="CF354" s="180"/>
      <c r="CG354" s="180"/>
      <c r="CH354" s="180"/>
      <c r="CI354" s="178"/>
      <c r="CJ354" s="178"/>
      <c r="CK354" s="180"/>
      <c r="CL354" s="180"/>
      <c r="CM354" s="180"/>
      <c r="CN354" s="116"/>
      <c r="CO354" s="218">
        <f t="shared" si="140"/>
        <v>0.01</v>
      </c>
      <c r="CP354" s="100">
        <f t="shared" si="141"/>
        <v>0.255</v>
      </c>
      <c r="CQ354" s="218">
        <f t="shared" si="142"/>
        <v>0.5</v>
      </c>
      <c r="DF354" s="116"/>
      <c r="DG354" s="116"/>
      <c r="DH354" s="116"/>
      <c r="DI354" s="116"/>
    </row>
    <row r="355" spans="61:119" s="101" customFormat="1" ht="18.75" hidden="1" thickBot="1" x14ac:dyDescent="0.3">
      <c r="BI355" s="203" t="s">
        <v>493</v>
      </c>
      <c r="BJ355" s="190" t="s">
        <v>458</v>
      </c>
      <c r="BK355" s="196">
        <f>0.2*(44/12)</f>
        <v>0.73333333333333339</v>
      </c>
      <c r="BL355" s="190" t="s">
        <v>459</v>
      </c>
      <c r="BM355" s="189">
        <v>0.01</v>
      </c>
      <c r="BN355" s="189">
        <v>0.5</v>
      </c>
      <c r="BO355" s="188" t="s">
        <v>258</v>
      </c>
      <c r="BP355" s="206"/>
      <c r="BQ355" s="196"/>
      <c r="BR355" s="190"/>
      <c r="BS355" s="206"/>
      <c r="BT355" s="206"/>
      <c r="BU355" s="206"/>
      <c r="BV355" s="207"/>
      <c r="BW355" s="206"/>
      <c r="BX355" s="206"/>
      <c r="BY355" s="207"/>
      <c r="BZ355" s="207"/>
      <c r="CA355" s="207"/>
      <c r="CB355" s="180"/>
      <c r="CC355" s="178"/>
      <c r="CD355" s="178"/>
      <c r="CE355" s="180"/>
      <c r="CF355" s="180"/>
      <c r="CG355" s="180"/>
      <c r="CH355" s="180"/>
      <c r="CI355" s="178"/>
      <c r="CJ355" s="178"/>
      <c r="CK355" s="180"/>
      <c r="CL355" s="180"/>
      <c r="CM355" s="180"/>
      <c r="CN355" s="116"/>
      <c r="CO355" s="218">
        <f t="shared" si="140"/>
        <v>0.01</v>
      </c>
      <c r="CP355" s="100">
        <f t="shared" si="141"/>
        <v>0.255</v>
      </c>
      <c r="CQ355" s="218">
        <f t="shared" si="142"/>
        <v>0.5</v>
      </c>
      <c r="CR355" s="101">
        <v>0.5</v>
      </c>
      <c r="CS355" s="101">
        <v>1</v>
      </c>
      <c r="DF355" s="116"/>
      <c r="DG355" s="116"/>
      <c r="DH355" s="116"/>
      <c r="DI355" s="116"/>
    </row>
    <row r="356" spans="61:119" s="101" customFormat="1" hidden="1" x14ac:dyDescent="0.25">
      <c r="BI356" s="102"/>
      <c r="BJ356" s="178"/>
      <c r="BK356" s="178"/>
      <c r="BL356" s="178"/>
      <c r="BM356" s="169"/>
      <c r="BN356" s="169"/>
      <c r="BO356" s="169"/>
      <c r="BP356" s="206"/>
      <c r="BQ356" s="206"/>
      <c r="BR356" s="206"/>
      <c r="BS356" s="206"/>
      <c r="BT356" s="206"/>
      <c r="BU356" s="206"/>
      <c r="BV356" s="207"/>
      <c r="BW356" s="206"/>
      <c r="BX356" s="206"/>
      <c r="BY356" s="207"/>
      <c r="BZ356" s="207"/>
      <c r="CA356" s="207"/>
      <c r="CB356" s="180"/>
      <c r="CC356" s="178"/>
      <c r="CD356" s="178"/>
      <c r="CE356" s="180"/>
      <c r="CF356" s="180"/>
      <c r="CG356" s="180"/>
      <c r="CH356" s="180"/>
      <c r="CI356" s="178"/>
      <c r="CJ356" s="178"/>
      <c r="CK356" s="180"/>
      <c r="CL356" s="180"/>
      <c r="CM356" s="180"/>
      <c r="CN356" s="116"/>
      <c r="CO356" s="218">
        <f t="shared" si="140"/>
        <v>0</v>
      </c>
      <c r="CP356" s="100">
        <f t="shared" si="141"/>
        <v>0</v>
      </c>
      <c r="CQ356" s="218">
        <f t="shared" si="142"/>
        <v>0</v>
      </c>
      <c r="DB356" s="101" t="s">
        <v>111</v>
      </c>
      <c r="DC356" s="101" t="s">
        <v>112</v>
      </c>
      <c r="DE356" s="101" t="s">
        <v>103</v>
      </c>
      <c r="DF356" s="116" t="s">
        <v>113</v>
      </c>
      <c r="DG356" s="116"/>
      <c r="DH356" s="116"/>
      <c r="DI356" s="116"/>
      <c r="DK356" s="101" t="s">
        <v>114</v>
      </c>
      <c r="DL356" s="124" t="s">
        <v>115</v>
      </c>
      <c r="DM356" s="115" t="s">
        <v>107</v>
      </c>
    </row>
    <row r="357" spans="61:119" s="101" customFormat="1" hidden="1" x14ac:dyDescent="0.25">
      <c r="BI357" s="102"/>
      <c r="BJ357" s="178"/>
      <c r="BK357" s="178"/>
      <c r="BL357" s="178"/>
      <c r="BM357" s="169"/>
      <c r="BN357" s="169"/>
      <c r="BO357" s="169"/>
      <c r="BP357" s="206"/>
      <c r="BQ357" s="206"/>
      <c r="BR357" s="206"/>
      <c r="BS357" s="206"/>
      <c r="BT357" s="206"/>
      <c r="BU357" s="206"/>
      <c r="BV357" s="207"/>
      <c r="BW357" s="206"/>
      <c r="BX357" s="206"/>
      <c r="BY357" s="207"/>
      <c r="BZ357" s="207"/>
      <c r="CA357" s="207"/>
      <c r="CB357" s="180"/>
      <c r="CC357" s="178"/>
      <c r="CD357" s="178"/>
      <c r="CE357" s="180"/>
      <c r="CF357" s="180"/>
      <c r="CG357" s="180"/>
      <c r="CH357" s="180"/>
      <c r="CI357" s="178"/>
      <c r="CJ357" s="178"/>
      <c r="CK357" s="180"/>
      <c r="CL357" s="180"/>
      <c r="CM357" s="180"/>
      <c r="CN357" s="116"/>
      <c r="CO357" s="218">
        <f t="shared" si="140"/>
        <v>0</v>
      </c>
      <c r="CP357" s="100">
        <f t="shared" si="141"/>
        <v>0</v>
      </c>
      <c r="CQ357" s="218">
        <f t="shared" si="142"/>
        <v>0</v>
      </c>
      <c r="DA357" s="101" t="s">
        <v>9</v>
      </c>
      <c r="DC357" s="101">
        <f>+DM357</f>
        <v>3.4875000000000003</v>
      </c>
      <c r="DE357" s="101">
        <v>1</v>
      </c>
      <c r="DF357" s="116">
        <v>0.9</v>
      </c>
      <c r="DG357" s="116"/>
      <c r="DH357" s="116"/>
      <c r="DI357" s="116"/>
      <c r="DK357" s="101">
        <v>1.2500000000000001E-2</v>
      </c>
      <c r="DL357" s="101">
        <v>310</v>
      </c>
      <c r="DM357" s="101">
        <f>+DF357*DK357*DL357</f>
        <v>3.4875000000000003</v>
      </c>
    </row>
    <row r="358" spans="61:119" s="101" customFormat="1" hidden="1" x14ac:dyDescent="0.25">
      <c r="BI358" s="102"/>
      <c r="BJ358" s="178"/>
      <c r="BK358" s="178"/>
      <c r="BL358" s="178"/>
      <c r="BM358" s="169"/>
      <c r="BN358" s="169"/>
      <c r="BO358" s="169"/>
      <c r="BP358" s="206"/>
      <c r="BQ358" s="206"/>
      <c r="BR358" s="206"/>
      <c r="BS358" s="206"/>
      <c r="BT358" s="206"/>
      <c r="BU358" s="206"/>
      <c r="BV358" s="207"/>
      <c r="BW358" s="206"/>
      <c r="BX358" s="206"/>
      <c r="BY358" s="207"/>
      <c r="BZ358" s="207"/>
      <c r="CA358" s="207"/>
      <c r="CB358" s="180"/>
      <c r="CC358" s="178"/>
      <c r="CD358" s="178"/>
      <c r="CE358" s="180"/>
      <c r="CF358" s="180"/>
      <c r="CG358" s="180"/>
      <c r="CH358" s="180"/>
      <c r="CI358" s="178"/>
      <c r="CJ358" s="178"/>
      <c r="CK358" s="180"/>
      <c r="CL358" s="180"/>
      <c r="CM358" s="180"/>
      <c r="CN358" s="116"/>
      <c r="CO358" s="218">
        <f t="shared" si="140"/>
        <v>0</v>
      </c>
      <c r="CP358" s="100">
        <f t="shared" si="141"/>
        <v>0</v>
      </c>
      <c r="CQ358" s="218">
        <f t="shared" si="142"/>
        <v>0</v>
      </c>
      <c r="DF358" s="116"/>
      <c r="DG358" s="116"/>
      <c r="DH358" s="116"/>
      <c r="DI358" s="116"/>
      <c r="DL358" s="101">
        <v>298</v>
      </c>
      <c r="DM358" s="101">
        <f>+DF357*DK357*DL358</f>
        <v>3.3525000000000005</v>
      </c>
    </row>
    <row r="359" spans="61:119" s="101" customFormat="1" hidden="1" x14ac:dyDescent="0.25">
      <c r="BI359" s="102"/>
      <c r="BJ359" s="178"/>
      <c r="BK359" s="178"/>
      <c r="BL359" s="178"/>
      <c r="BM359" s="169"/>
      <c r="BN359" s="169"/>
      <c r="BO359" s="169"/>
      <c r="BP359" s="206"/>
      <c r="BQ359" s="206"/>
      <c r="BR359" s="206"/>
      <c r="BS359" s="206"/>
      <c r="BT359" s="206"/>
      <c r="BU359" s="206"/>
      <c r="BV359" s="207"/>
      <c r="BW359" s="206"/>
      <c r="BX359" s="206"/>
      <c r="BY359" s="207"/>
      <c r="BZ359" s="207"/>
      <c r="CA359" s="207"/>
      <c r="CB359" s="180"/>
      <c r="CC359" s="178"/>
      <c r="CD359" s="178"/>
      <c r="CE359" s="180"/>
      <c r="CF359" s="180"/>
      <c r="CG359" s="180"/>
      <c r="CH359" s="180"/>
      <c r="CI359" s="178"/>
      <c r="CJ359" s="178"/>
      <c r="CK359" s="180"/>
      <c r="CL359" s="180"/>
      <c r="CM359" s="180"/>
      <c r="CN359" s="116"/>
      <c r="CO359" s="218">
        <f t="shared" si="140"/>
        <v>0</v>
      </c>
      <c r="CP359" s="100">
        <f t="shared" si="141"/>
        <v>0</v>
      </c>
      <c r="CQ359" s="218">
        <f t="shared" si="142"/>
        <v>0</v>
      </c>
      <c r="DF359" s="116"/>
      <c r="DG359" s="116"/>
      <c r="DH359" s="116"/>
      <c r="DI359" s="116"/>
    </row>
    <row r="360" spans="61:119" s="101" customFormat="1" hidden="1" x14ac:dyDescent="0.25">
      <c r="BI360" s="1606" t="s">
        <v>299</v>
      </c>
      <c r="BJ360" s="251"/>
      <c r="BK360" s="1606" t="s">
        <v>282</v>
      </c>
      <c r="BL360" s="251"/>
      <c r="BM360" s="1606" t="s">
        <v>233</v>
      </c>
      <c r="BN360" s="1606" t="s">
        <v>233</v>
      </c>
      <c r="BO360" s="1606" t="s">
        <v>240</v>
      </c>
      <c r="BP360" s="206"/>
      <c r="BQ360" s="206"/>
      <c r="BR360" s="206"/>
      <c r="BS360" s="206"/>
      <c r="BT360" s="206"/>
      <c r="BU360" s="206"/>
      <c r="BV360" s="207"/>
      <c r="BW360" s="206"/>
      <c r="BX360" s="206"/>
      <c r="BY360" s="207"/>
      <c r="BZ360" s="207"/>
      <c r="CA360" s="207"/>
      <c r="CB360" s="180"/>
      <c r="CC360" s="178"/>
      <c r="CD360" s="178"/>
      <c r="CE360" s="180"/>
      <c r="CF360" s="180"/>
      <c r="CG360" s="180"/>
      <c r="CH360" s="180"/>
      <c r="CI360" s="178"/>
      <c r="CJ360" s="178"/>
      <c r="CK360" s="180"/>
      <c r="CL360" s="180"/>
      <c r="CM360" s="180"/>
      <c r="CN360" s="116"/>
      <c r="CO360" s="218" t="str">
        <f t="shared" si="140"/>
        <v>Incertidumbre (+/- %)</v>
      </c>
      <c r="CP360" s="100" t="e">
        <f t="shared" si="141"/>
        <v>#VALUE!</v>
      </c>
      <c r="CQ360" s="218" t="str">
        <f t="shared" si="142"/>
        <v>Incertidumbre (+/- %)</v>
      </c>
      <c r="DF360" s="116"/>
      <c r="DG360" s="116"/>
      <c r="DH360" s="116"/>
      <c r="DI360" s="116"/>
    </row>
    <row r="361" spans="61:119" s="101" customFormat="1" ht="15.75" hidden="1" thickBot="1" x14ac:dyDescent="0.3">
      <c r="BI361" s="1607"/>
      <c r="BJ361" s="252" t="s">
        <v>253</v>
      </c>
      <c r="BK361" s="1607"/>
      <c r="BL361" s="252" t="s">
        <v>251</v>
      </c>
      <c r="BM361" s="1607"/>
      <c r="BN361" s="1607"/>
      <c r="BO361" s="1607"/>
      <c r="BP361" s="206"/>
      <c r="BQ361" s="206"/>
      <c r="BR361" s="206"/>
      <c r="BS361" s="206"/>
      <c r="BT361" s="206"/>
      <c r="BU361" s="206"/>
      <c r="BV361" s="207"/>
      <c r="BW361" s="206"/>
      <c r="BX361" s="206"/>
      <c r="BY361" s="207"/>
      <c r="BZ361" s="207"/>
      <c r="CA361" s="207"/>
      <c r="CB361" s="180"/>
      <c r="CC361" s="178"/>
      <c r="CD361" s="178"/>
      <c r="CE361" s="180"/>
      <c r="CF361" s="180"/>
      <c r="CG361" s="180"/>
      <c r="CH361" s="180"/>
      <c r="CI361" s="178"/>
      <c r="CJ361" s="178"/>
      <c r="CK361" s="180"/>
      <c r="CL361" s="180"/>
      <c r="CM361" s="180"/>
      <c r="CN361" s="116"/>
      <c r="CO361" s="218">
        <f t="shared" si="140"/>
        <v>0</v>
      </c>
      <c r="CP361" s="100">
        <f t="shared" si="141"/>
        <v>0</v>
      </c>
      <c r="CQ361" s="218">
        <f t="shared" si="142"/>
        <v>0</v>
      </c>
      <c r="DF361" s="116"/>
      <c r="DG361" s="116"/>
      <c r="DH361" s="116"/>
      <c r="DI361" s="116"/>
    </row>
    <row r="362" spans="61:119" s="101" customFormat="1" ht="18.75" hidden="1" thickBot="1" x14ac:dyDescent="0.3">
      <c r="BI362" s="203" t="s">
        <v>443</v>
      </c>
      <c r="BJ362" s="190" t="s">
        <v>76</v>
      </c>
      <c r="BK362" s="196">
        <v>0.19900000000000001</v>
      </c>
      <c r="BL362" s="190" t="s">
        <v>421</v>
      </c>
      <c r="BM362" s="189">
        <v>0.05</v>
      </c>
      <c r="BN362" s="189">
        <v>0.1</v>
      </c>
      <c r="BO362" s="188" t="s">
        <v>262</v>
      </c>
      <c r="BP362" s="206"/>
      <c r="BQ362" s="206"/>
      <c r="BR362" s="206"/>
      <c r="BS362" s="206"/>
      <c r="BT362" s="206"/>
      <c r="BU362" s="206"/>
      <c r="BV362" s="207"/>
      <c r="BW362" s="206"/>
      <c r="BX362" s="206"/>
      <c r="BY362" s="207"/>
      <c r="BZ362" s="207"/>
      <c r="CA362" s="207"/>
      <c r="CB362" s="180"/>
      <c r="CC362" s="178"/>
      <c r="CD362" s="178"/>
      <c r="CE362" s="180"/>
      <c r="CF362" s="180"/>
      <c r="CG362" s="180"/>
      <c r="CH362" s="180"/>
      <c r="CI362" s="178"/>
      <c r="CJ362" s="178"/>
      <c r="CK362" s="180"/>
      <c r="CL362" s="180"/>
      <c r="CM362" s="180"/>
      <c r="CN362" s="116"/>
      <c r="CO362" s="218">
        <f t="shared" si="140"/>
        <v>0.05</v>
      </c>
      <c r="CP362" s="100">
        <f t="shared" si="141"/>
        <v>7.5000000000000011E-2</v>
      </c>
      <c r="CQ362" s="218">
        <f t="shared" si="142"/>
        <v>0.1</v>
      </c>
      <c r="CR362" s="101">
        <v>0.05</v>
      </c>
      <c r="CS362" s="101">
        <v>0.1</v>
      </c>
      <c r="CZ362" s="123"/>
      <c r="DA362" s="122"/>
      <c r="DB362" s="122"/>
      <c r="DC362" s="123"/>
      <c r="DD362" s="123"/>
      <c r="DE362" s="123"/>
      <c r="DF362" s="122"/>
      <c r="DG362" s="122"/>
      <c r="DH362" s="122"/>
      <c r="DI362" s="122"/>
      <c r="DJ362" s="122"/>
      <c r="DK362" s="123"/>
      <c r="DL362" s="23"/>
      <c r="DM362" s="150"/>
      <c r="DN362" s="150"/>
      <c r="DO362" s="116"/>
    </row>
    <row r="363" spans="61:119" s="101" customFormat="1" ht="18.75" hidden="1" thickBot="1" x14ac:dyDescent="0.3">
      <c r="BI363" s="203" t="s">
        <v>191</v>
      </c>
      <c r="BJ363" s="190" t="s">
        <v>76</v>
      </c>
      <c r="BK363" s="196">
        <v>0.19</v>
      </c>
      <c r="BL363" s="190" t="s">
        <v>421</v>
      </c>
      <c r="BM363" s="189">
        <v>0.05</v>
      </c>
      <c r="BN363" s="189">
        <v>0.1</v>
      </c>
      <c r="BO363" s="188" t="s">
        <v>262</v>
      </c>
      <c r="BP363" s="206"/>
      <c r="BQ363" s="206"/>
      <c r="BR363" s="206"/>
      <c r="BS363" s="206"/>
      <c r="BT363" s="206"/>
      <c r="BU363" s="206"/>
      <c r="BV363" s="207"/>
      <c r="BW363" s="206"/>
      <c r="BX363" s="206"/>
      <c r="BY363" s="207"/>
      <c r="BZ363" s="207"/>
      <c r="CA363" s="207"/>
      <c r="CB363" s="180"/>
      <c r="CC363" s="178"/>
      <c r="CD363" s="178"/>
      <c r="CE363" s="180"/>
      <c r="CF363" s="180"/>
      <c r="CG363" s="180"/>
      <c r="CH363" s="180"/>
      <c r="CI363" s="178"/>
      <c r="CJ363" s="178"/>
      <c r="CK363" s="180"/>
      <c r="CL363" s="180"/>
      <c r="CM363" s="180"/>
      <c r="CN363" s="116"/>
      <c r="CO363" s="218">
        <f t="shared" si="140"/>
        <v>0.05</v>
      </c>
      <c r="CP363" s="100">
        <f t="shared" si="141"/>
        <v>7.5000000000000011E-2</v>
      </c>
      <c r="CQ363" s="218">
        <f t="shared" si="142"/>
        <v>0.1</v>
      </c>
      <c r="CR363" s="101">
        <v>0.05</v>
      </c>
      <c r="CS363" s="101">
        <v>0.1</v>
      </c>
      <c r="CZ363" s="123"/>
      <c r="DA363" s="122"/>
      <c r="DB363" s="122"/>
      <c r="DC363" s="123"/>
      <c r="DD363" s="123"/>
      <c r="DE363" s="123"/>
      <c r="DF363" s="122"/>
      <c r="DG363" s="122"/>
      <c r="DH363" s="122"/>
      <c r="DI363" s="122"/>
      <c r="DJ363" s="122"/>
      <c r="DK363" s="123"/>
      <c r="DL363" s="23"/>
      <c r="DM363" s="150"/>
      <c r="DN363" s="150"/>
      <c r="DO363" s="116"/>
    </row>
    <row r="364" spans="61:119" s="101" customFormat="1" ht="18.75" hidden="1" thickBot="1" x14ac:dyDescent="0.3">
      <c r="BI364" s="203" t="s">
        <v>444</v>
      </c>
      <c r="BJ364" s="190" t="s">
        <v>76</v>
      </c>
      <c r="BK364" s="196">
        <v>0.2</v>
      </c>
      <c r="BL364" s="190" t="s">
        <v>421</v>
      </c>
      <c r="BM364" s="189">
        <v>0.05</v>
      </c>
      <c r="BN364" s="189">
        <v>0.1</v>
      </c>
      <c r="BO364" s="188" t="s">
        <v>262</v>
      </c>
      <c r="BP364" s="206"/>
      <c r="BQ364" s="206"/>
      <c r="BR364" s="206"/>
      <c r="BS364" s="206"/>
      <c r="BT364" s="206"/>
      <c r="BU364" s="206"/>
      <c r="BV364" s="207"/>
      <c r="BW364" s="206"/>
      <c r="BX364" s="206"/>
      <c r="BY364" s="207"/>
      <c r="BZ364" s="207"/>
      <c r="CA364" s="207"/>
      <c r="CB364" s="180"/>
      <c r="CC364" s="178"/>
      <c r="CD364" s="178"/>
      <c r="CE364" s="180"/>
      <c r="CF364" s="180"/>
      <c r="CG364" s="180"/>
      <c r="CH364" s="180"/>
      <c r="CI364" s="178"/>
      <c r="CJ364" s="178"/>
      <c r="CK364" s="180"/>
      <c r="CL364" s="180"/>
      <c r="CM364" s="180"/>
      <c r="CN364" s="116"/>
      <c r="CO364" s="218">
        <f t="shared" si="140"/>
        <v>0.05</v>
      </c>
      <c r="CP364" s="100">
        <f t="shared" si="141"/>
        <v>7.5000000000000011E-2</v>
      </c>
      <c r="CQ364" s="218">
        <f t="shared" si="142"/>
        <v>0.1</v>
      </c>
      <c r="CZ364" s="123"/>
      <c r="DA364" s="122"/>
      <c r="DB364" s="122"/>
      <c r="DC364" s="123"/>
      <c r="DD364" s="123"/>
      <c r="DE364" s="123"/>
      <c r="DF364" s="122"/>
      <c r="DG364" s="122"/>
      <c r="DH364" s="122"/>
      <c r="DI364" s="122"/>
      <c r="DJ364" s="122"/>
      <c r="DK364" s="123"/>
      <c r="DL364" s="23"/>
      <c r="DM364" s="150"/>
      <c r="DN364" s="150"/>
      <c r="DO364" s="116"/>
    </row>
    <row r="365" spans="61:119" s="101" customFormat="1" ht="18.75" hidden="1" thickBot="1" x14ac:dyDescent="0.3">
      <c r="BI365" s="203" t="s">
        <v>445</v>
      </c>
      <c r="BJ365" s="190" t="s">
        <v>76</v>
      </c>
      <c r="BK365" s="196">
        <v>0.15</v>
      </c>
      <c r="BL365" s="190" t="s">
        <v>421</v>
      </c>
      <c r="BM365" s="189">
        <v>0.05</v>
      </c>
      <c r="BN365" s="189">
        <v>0.1</v>
      </c>
      <c r="BO365" s="188" t="s">
        <v>262</v>
      </c>
      <c r="BP365" s="206"/>
      <c r="BQ365" s="206"/>
      <c r="BR365" s="206"/>
      <c r="BS365" s="206"/>
      <c r="BT365" s="206"/>
      <c r="BU365" s="206"/>
      <c r="BV365" s="207"/>
      <c r="BW365" s="206"/>
      <c r="BX365" s="206"/>
      <c r="BY365" s="207"/>
      <c r="BZ365" s="207"/>
      <c r="CA365" s="207"/>
      <c r="CB365" s="180"/>
      <c r="CC365" s="178"/>
      <c r="CD365" s="178"/>
      <c r="CE365" s="180"/>
      <c r="CF365" s="180"/>
      <c r="CG365" s="180"/>
      <c r="CH365" s="180"/>
      <c r="CI365" s="178"/>
      <c r="CJ365" s="178"/>
      <c r="CK365" s="180"/>
      <c r="CL365" s="180"/>
      <c r="CM365" s="180"/>
      <c r="CN365" s="116"/>
      <c r="CO365" s="218">
        <f t="shared" si="140"/>
        <v>0.05</v>
      </c>
      <c r="CP365" s="100">
        <f t="shared" si="141"/>
        <v>7.5000000000000011E-2</v>
      </c>
      <c r="CQ365" s="218">
        <f t="shared" si="142"/>
        <v>0.1</v>
      </c>
      <c r="CZ365" s="123"/>
      <c r="DA365" s="122"/>
      <c r="DB365" s="122"/>
      <c r="DC365" s="123"/>
      <c r="DD365" s="123"/>
      <c r="DE365" s="123"/>
      <c r="DF365" s="122"/>
      <c r="DG365" s="122"/>
      <c r="DH365" s="122"/>
      <c r="DI365" s="122"/>
      <c r="DJ365" s="122"/>
      <c r="DK365" s="123"/>
      <c r="DL365" s="23"/>
      <c r="DM365" s="150"/>
      <c r="DN365" s="150"/>
      <c r="DO365" s="116"/>
    </row>
    <row r="366" spans="61:119" s="101" customFormat="1" ht="18.75" hidden="1" thickBot="1" x14ac:dyDescent="0.3">
      <c r="BI366" s="203" t="s">
        <v>447</v>
      </c>
      <c r="BJ366" s="190" t="s">
        <v>76</v>
      </c>
      <c r="BK366" s="196">
        <v>0.22</v>
      </c>
      <c r="BL366" s="190" t="s">
        <v>421</v>
      </c>
      <c r="BM366" s="189">
        <v>0.05</v>
      </c>
      <c r="BN366" s="189">
        <v>0.1</v>
      </c>
      <c r="BO366" s="188" t="s">
        <v>262</v>
      </c>
      <c r="BP366" s="206"/>
      <c r="BQ366" s="206"/>
      <c r="BR366" s="206"/>
      <c r="BS366" s="206"/>
      <c r="BT366" s="206"/>
      <c r="BU366" s="206"/>
      <c r="BV366" s="207"/>
      <c r="BW366" s="206"/>
      <c r="BX366" s="206"/>
      <c r="BY366" s="207"/>
      <c r="BZ366" s="207"/>
      <c r="CA366" s="207"/>
      <c r="CB366" s="180"/>
      <c r="CC366" s="178"/>
      <c r="CD366" s="178"/>
      <c r="CE366" s="180"/>
      <c r="CF366" s="180"/>
      <c r="CG366" s="180"/>
      <c r="CH366" s="180"/>
      <c r="CI366" s="178"/>
      <c r="CJ366" s="178"/>
      <c r="CK366" s="180"/>
      <c r="CL366" s="180"/>
      <c r="CM366" s="180"/>
      <c r="CN366" s="116"/>
      <c r="CO366" s="218">
        <f t="shared" si="140"/>
        <v>0.05</v>
      </c>
      <c r="CP366" s="100">
        <f t="shared" si="141"/>
        <v>7.5000000000000011E-2</v>
      </c>
      <c r="CQ366" s="218">
        <f t="shared" si="142"/>
        <v>0.1</v>
      </c>
      <c r="CZ366" s="123"/>
      <c r="DA366" s="122"/>
      <c r="DB366" s="122"/>
      <c r="DC366" s="123"/>
      <c r="DD366" s="123"/>
      <c r="DE366" s="123"/>
      <c r="DF366" s="122"/>
      <c r="DG366" s="122"/>
      <c r="DH366" s="122"/>
      <c r="DI366" s="122"/>
      <c r="DJ366" s="122"/>
      <c r="DK366" s="123"/>
      <c r="DL366" s="23"/>
      <c r="DM366" s="150"/>
      <c r="DN366" s="150"/>
      <c r="DO366" s="116"/>
    </row>
    <row r="367" spans="61:119" s="101" customFormat="1" ht="18.75" hidden="1" thickBot="1" x14ac:dyDescent="0.3">
      <c r="BI367" s="203" t="s">
        <v>446</v>
      </c>
      <c r="BJ367" s="190" t="s">
        <v>76</v>
      </c>
      <c r="BK367" s="196">
        <v>0.19</v>
      </c>
      <c r="BL367" s="190" t="s">
        <v>421</v>
      </c>
      <c r="BM367" s="189">
        <v>0.05</v>
      </c>
      <c r="BN367" s="189">
        <v>0.1</v>
      </c>
      <c r="BO367" s="188" t="s">
        <v>262</v>
      </c>
      <c r="BP367" s="206"/>
      <c r="BQ367" s="206"/>
      <c r="BR367" s="206"/>
      <c r="BS367" s="206"/>
      <c r="BT367" s="206"/>
      <c r="BU367" s="206"/>
      <c r="BV367" s="207"/>
      <c r="BW367" s="206"/>
      <c r="BX367" s="206"/>
      <c r="BY367" s="207"/>
      <c r="BZ367" s="207"/>
      <c r="CA367" s="207"/>
      <c r="CB367" s="180"/>
      <c r="CC367" s="178"/>
      <c r="CD367" s="178"/>
      <c r="CE367" s="180"/>
      <c r="CF367" s="180"/>
      <c r="CG367" s="180"/>
      <c r="CH367" s="180"/>
      <c r="CI367" s="178"/>
      <c r="CJ367" s="178"/>
      <c r="CK367" s="180"/>
      <c r="CL367" s="180"/>
      <c r="CM367" s="180"/>
      <c r="CN367" s="116"/>
      <c r="CO367" s="218">
        <f t="shared" si="140"/>
        <v>0.05</v>
      </c>
      <c r="CP367" s="100">
        <f t="shared" si="141"/>
        <v>7.5000000000000011E-2</v>
      </c>
      <c r="CQ367" s="218">
        <f t="shared" si="142"/>
        <v>0.1</v>
      </c>
      <c r="CZ367" s="123"/>
      <c r="DA367" s="122"/>
      <c r="DB367" s="122"/>
      <c r="DC367" s="123"/>
      <c r="DD367" s="123"/>
      <c r="DE367" s="123"/>
      <c r="DF367" s="122"/>
      <c r="DG367" s="122"/>
      <c r="DH367" s="122"/>
      <c r="DI367" s="122"/>
      <c r="DJ367" s="122"/>
      <c r="DK367" s="123"/>
      <c r="DL367" s="23"/>
      <c r="DM367" s="150"/>
      <c r="DN367" s="150"/>
      <c r="DO367" s="116"/>
    </row>
    <row r="368" spans="61:119" s="101" customFormat="1" ht="18.75" hidden="1" thickBot="1" x14ac:dyDescent="0.3">
      <c r="BI368" s="203" t="s">
        <v>448</v>
      </c>
      <c r="BJ368" s="190" t="s">
        <v>76</v>
      </c>
      <c r="BK368" s="196">
        <v>0.19</v>
      </c>
      <c r="BL368" s="190" t="s">
        <v>421</v>
      </c>
      <c r="BM368" s="189">
        <v>0.05</v>
      </c>
      <c r="BN368" s="189">
        <v>0.1</v>
      </c>
      <c r="BO368" s="188" t="s">
        <v>262</v>
      </c>
      <c r="BP368" s="206"/>
      <c r="BQ368" s="206"/>
      <c r="BR368" s="206"/>
      <c r="BS368" s="206"/>
      <c r="BT368" s="206"/>
      <c r="BU368" s="206"/>
      <c r="BV368" s="207"/>
      <c r="BW368" s="206"/>
      <c r="BX368" s="206"/>
      <c r="BY368" s="207"/>
      <c r="BZ368" s="207"/>
      <c r="CA368" s="207"/>
      <c r="CB368" s="180"/>
      <c r="CC368" s="178"/>
      <c r="CD368" s="178"/>
      <c r="CE368" s="180"/>
      <c r="CF368" s="180"/>
      <c r="CG368" s="180"/>
      <c r="CH368" s="180"/>
      <c r="CI368" s="178"/>
      <c r="CJ368" s="178"/>
      <c r="CK368" s="180"/>
      <c r="CL368" s="180"/>
      <c r="CM368" s="180"/>
      <c r="CN368" s="116"/>
      <c r="CO368" s="218">
        <f t="shared" si="140"/>
        <v>0.05</v>
      </c>
      <c r="CP368" s="100">
        <f t="shared" si="141"/>
        <v>7.5000000000000011E-2</v>
      </c>
      <c r="CQ368" s="218">
        <f t="shared" si="142"/>
        <v>0.1</v>
      </c>
      <c r="CZ368" s="123"/>
      <c r="DA368" s="122"/>
      <c r="DB368" s="122"/>
      <c r="DC368" s="123"/>
      <c r="DD368" s="123"/>
      <c r="DE368" s="123"/>
      <c r="DF368" s="122"/>
      <c r="DG368" s="122"/>
      <c r="DH368" s="122"/>
      <c r="DI368" s="122"/>
      <c r="DJ368" s="122"/>
      <c r="DK368" s="123"/>
      <c r="DL368" s="23"/>
      <c r="DM368" s="150"/>
      <c r="DN368" s="150"/>
      <c r="DO368" s="116"/>
    </row>
    <row r="369" spans="61:119" s="101" customFormat="1" ht="18.75" hidden="1" thickBot="1" x14ac:dyDescent="0.3">
      <c r="BI369" s="203" t="s">
        <v>190</v>
      </c>
      <c r="BJ369" s="190" t="s">
        <v>76</v>
      </c>
      <c r="BK369" s="196">
        <v>0.153</v>
      </c>
      <c r="BL369" s="190" t="s">
        <v>421</v>
      </c>
      <c r="BM369" s="189">
        <v>0.05</v>
      </c>
      <c r="BN369" s="189">
        <v>0.1</v>
      </c>
      <c r="BO369" s="188" t="s">
        <v>263</v>
      </c>
      <c r="BP369" s="206"/>
      <c r="BQ369" s="206"/>
      <c r="BR369" s="206"/>
      <c r="BS369" s="206"/>
      <c r="BT369" s="206"/>
      <c r="BU369" s="206"/>
      <c r="BV369" s="207"/>
      <c r="BW369" s="206"/>
      <c r="BX369" s="206"/>
      <c r="BY369" s="207"/>
      <c r="BZ369" s="207"/>
      <c r="CA369" s="207"/>
      <c r="CB369" s="180"/>
      <c r="CC369" s="178"/>
      <c r="CD369" s="178"/>
      <c r="CE369" s="180"/>
      <c r="CF369" s="180"/>
      <c r="CG369" s="180"/>
      <c r="CH369" s="180"/>
      <c r="CI369" s="178"/>
      <c r="CJ369" s="178"/>
      <c r="CK369" s="180"/>
      <c r="CL369" s="180"/>
      <c r="CM369" s="180"/>
      <c r="CN369" s="116"/>
      <c r="CO369" s="218">
        <f t="shared" si="140"/>
        <v>0.05</v>
      </c>
      <c r="CP369" s="100">
        <f t="shared" si="141"/>
        <v>7.5000000000000011E-2</v>
      </c>
      <c r="CQ369" s="218">
        <f t="shared" si="142"/>
        <v>0.1</v>
      </c>
      <c r="CZ369" s="123"/>
      <c r="DA369" s="122"/>
      <c r="DB369" s="122"/>
      <c r="DC369" s="123"/>
      <c r="DD369" s="123"/>
      <c r="DE369" s="123"/>
      <c r="DF369" s="122"/>
      <c r="DG369" s="122"/>
      <c r="DH369" s="122"/>
      <c r="DI369" s="122"/>
      <c r="DJ369" s="122"/>
      <c r="DK369" s="123"/>
      <c r="DL369" s="23"/>
      <c r="DM369" s="150"/>
      <c r="DN369" s="150"/>
      <c r="DO369" s="116"/>
    </row>
    <row r="370" spans="61:119" s="101" customFormat="1" ht="18.75" hidden="1" thickBot="1" x14ac:dyDescent="0.3">
      <c r="BI370" s="203" t="s">
        <v>189</v>
      </c>
      <c r="BJ370" s="190" t="s">
        <v>76</v>
      </c>
      <c r="BK370" s="196">
        <v>0.13600000000000001</v>
      </c>
      <c r="BL370" s="190" t="s">
        <v>421</v>
      </c>
      <c r="BM370" s="189">
        <v>0.05</v>
      </c>
      <c r="BN370" s="189">
        <v>0.1</v>
      </c>
      <c r="BO370" s="188" t="s">
        <v>263</v>
      </c>
      <c r="BP370" s="206"/>
      <c r="BQ370" s="206"/>
      <c r="BR370" s="206"/>
      <c r="BS370" s="206"/>
      <c r="BT370" s="206"/>
      <c r="BU370" s="206"/>
      <c r="BV370" s="207"/>
      <c r="BW370" s="206"/>
      <c r="BX370" s="206"/>
      <c r="BY370" s="207"/>
      <c r="BZ370" s="207"/>
      <c r="CA370" s="207"/>
      <c r="CB370" s="180"/>
      <c r="CC370" s="178"/>
      <c r="CD370" s="178"/>
      <c r="CE370" s="180"/>
      <c r="CF370" s="180"/>
      <c r="CG370" s="180"/>
      <c r="CH370" s="180"/>
      <c r="CI370" s="178"/>
      <c r="CJ370" s="178"/>
      <c r="CK370" s="180"/>
      <c r="CL370" s="180"/>
      <c r="CM370" s="180"/>
      <c r="CN370" s="116"/>
      <c r="CO370" s="218">
        <f t="shared" si="140"/>
        <v>0.05</v>
      </c>
      <c r="CP370" s="100">
        <f t="shared" si="141"/>
        <v>7.5000000000000011E-2</v>
      </c>
      <c r="CQ370" s="218">
        <f t="shared" si="142"/>
        <v>0.1</v>
      </c>
      <c r="CR370" s="101">
        <v>0.05</v>
      </c>
      <c r="CS370" s="101">
        <v>0.1</v>
      </c>
      <c r="CZ370" s="123"/>
      <c r="DA370" s="122"/>
      <c r="DB370" s="122"/>
      <c r="DC370" s="123"/>
      <c r="DD370" s="123"/>
      <c r="DE370" s="123"/>
      <c r="DF370" s="122"/>
      <c r="DG370" s="122"/>
      <c r="DH370" s="122"/>
      <c r="DI370" s="122"/>
      <c r="DJ370" s="122"/>
      <c r="DK370" s="123"/>
      <c r="DL370" s="23"/>
      <c r="DM370" s="150"/>
      <c r="DN370" s="150"/>
      <c r="DO370" s="116"/>
    </row>
    <row r="371" spans="61:119" s="101" customFormat="1" ht="18.75" hidden="1" thickBot="1" x14ac:dyDescent="0.3">
      <c r="BI371" s="203" t="s">
        <v>175</v>
      </c>
      <c r="BJ371" s="190" t="s">
        <v>76</v>
      </c>
      <c r="BK371" s="196">
        <v>0.29039999999999999</v>
      </c>
      <c r="BL371" s="190" t="s">
        <v>421</v>
      </c>
      <c r="BM371" s="189">
        <v>0.05</v>
      </c>
      <c r="BN371" s="189">
        <v>0.1</v>
      </c>
      <c r="BO371" s="188" t="s">
        <v>262</v>
      </c>
      <c r="BP371" s="206"/>
      <c r="BQ371" s="206"/>
      <c r="BR371" s="206"/>
      <c r="BS371" s="206"/>
      <c r="BT371" s="206"/>
      <c r="BU371" s="206"/>
      <c r="BV371" s="207"/>
      <c r="BW371" s="206"/>
      <c r="BX371" s="206"/>
      <c r="BY371" s="207"/>
      <c r="BZ371" s="207"/>
      <c r="CA371" s="207"/>
      <c r="CB371" s="180"/>
      <c r="CC371" s="178"/>
      <c r="CD371" s="178"/>
      <c r="CE371" s="180"/>
      <c r="CF371" s="180"/>
      <c r="CG371" s="180"/>
      <c r="CH371" s="180"/>
      <c r="CI371" s="178"/>
      <c r="CJ371" s="178"/>
      <c r="CK371" s="180"/>
      <c r="CL371" s="180"/>
      <c r="CM371" s="180"/>
      <c r="CN371" s="116"/>
      <c r="CO371" s="218">
        <f t="shared" si="140"/>
        <v>0.05</v>
      </c>
      <c r="CP371" s="100">
        <f t="shared" si="141"/>
        <v>7.5000000000000011E-2</v>
      </c>
      <c r="CQ371" s="218">
        <f t="shared" si="142"/>
        <v>0.1</v>
      </c>
      <c r="CR371" s="101">
        <v>0.05</v>
      </c>
      <c r="CS371" s="101">
        <v>0.1</v>
      </c>
      <c r="CZ371" s="123"/>
      <c r="DA371" s="122"/>
      <c r="DB371" s="122"/>
      <c r="DC371" s="123"/>
      <c r="DD371" s="123"/>
      <c r="DE371" s="123"/>
      <c r="DF371" s="122"/>
      <c r="DG371" s="122"/>
      <c r="DH371" s="122"/>
      <c r="DI371" s="122"/>
      <c r="DJ371" s="122"/>
      <c r="DK371" s="123"/>
      <c r="DL371" s="23"/>
      <c r="DM371" s="150"/>
      <c r="DN371" s="150"/>
      <c r="DO371" s="116"/>
    </row>
    <row r="372" spans="61:119" s="101" customFormat="1" hidden="1" x14ac:dyDescent="0.25">
      <c r="BI372" s="102"/>
      <c r="BJ372" s="178"/>
      <c r="BK372" s="178"/>
      <c r="BL372" s="178"/>
      <c r="BM372" s="169"/>
      <c r="BN372" s="169"/>
      <c r="BO372" s="169"/>
      <c r="BP372" s="206"/>
      <c r="BQ372" s="206"/>
      <c r="BR372" s="206"/>
      <c r="BS372" s="206"/>
      <c r="BT372" s="206"/>
      <c r="BU372" s="206"/>
      <c r="BV372" s="207"/>
      <c r="BW372" s="206"/>
      <c r="BX372" s="206"/>
      <c r="BY372" s="207"/>
      <c r="BZ372" s="207"/>
      <c r="CA372" s="207"/>
      <c r="CB372" s="180"/>
      <c r="CC372" s="178"/>
      <c r="CD372" s="178"/>
      <c r="CE372" s="180"/>
      <c r="CF372" s="180"/>
      <c r="CG372" s="180"/>
      <c r="CH372" s="180"/>
      <c r="CI372" s="178"/>
      <c r="CJ372" s="178"/>
      <c r="CK372" s="180"/>
      <c r="CL372" s="180"/>
      <c r="CM372" s="180"/>
      <c r="CN372" s="116"/>
      <c r="CO372" s="218">
        <f t="shared" si="140"/>
        <v>0</v>
      </c>
      <c r="CP372" s="100">
        <f t="shared" si="141"/>
        <v>0</v>
      </c>
      <c r="CQ372" s="218">
        <f t="shared" si="142"/>
        <v>0</v>
      </c>
      <c r="CZ372" s="123"/>
      <c r="DA372" s="122"/>
      <c r="DB372" s="122"/>
      <c r="DC372" s="123"/>
      <c r="DD372" s="123"/>
      <c r="DE372" s="123"/>
      <c r="DF372" s="122"/>
      <c r="DG372" s="122"/>
      <c r="DH372" s="122"/>
      <c r="DI372" s="122"/>
      <c r="DJ372" s="122"/>
      <c r="DK372" s="123"/>
      <c r="DL372" s="23"/>
      <c r="DM372" s="150"/>
      <c r="DN372" s="150"/>
      <c r="DO372" s="116"/>
    </row>
    <row r="373" spans="61:119" s="101" customFormat="1" hidden="1" x14ac:dyDescent="0.25">
      <c r="BI373" s="102"/>
      <c r="BJ373" s="178"/>
      <c r="BK373" s="178"/>
      <c r="BL373" s="178"/>
      <c r="BM373" s="169"/>
      <c r="BN373" s="169"/>
      <c r="BO373" s="169"/>
      <c r="BP373" s="206"/>
      <c r="BQ373" s="206"/>
      <c r="BR373" s="206"/>
      <c r="BS373" s="206"/>
      <c r="BT373" s="206"/>
      <c r="BU373" s="206"/>
      <c r="BV373" s="207"/>
      <c r="BW373" s="206"/>
      <c r="BX373" s="206"/>
      <c r="BY373" s="207"/>
      <c r="BZ373" s="207"/>
      <c r="CA373" s="207"/>
      <c r="CB373" s="180"/>
      <c r="CC373" s="178"/>
      <c r="CD373" s="178"/>
      <c r="CE373" s="180"/>
      <c r="CF373" s="180"/>
      <c r="CG373" s="180"/>
      <c r="CH373" s="180"/>
      <c r="CI373" s="178"/>
      <c r="CJ373" s="178"/>
      <c r="CK373" s="180"/>
      <c r="CL373" s="180"/>
      <c r="CM373" s="180"/>
      <c r="CN373" s="116"/>
      <c r="CO373" s="218">
        <f t="shared" si="140"/>
        <v>0</v>
      </c>
      <c r="CP373" s="100">
        <f t="shared" si="141"/>
        <v>0</v>
      </c>
      <c r="CQ373" s="218">
        <f t="shared" si="142"/>
        <v>0</v>
      </c>
      <c r="CZ373" s="123"/>
      <c r="DA373" s="122"/>
      <c r="DB373" s="122"/>
      <c r="DC373" s="123"/>
      <c r="DD373" s="123"/>
      <c r="DE373" s="123"/>
      <c r="DF373" s="122"/>
      <c r="DG373" s="122"/>
      <c r="DH373" s="122"/>
      <c r="DI373" s="122"/>
      <c r="DJ373" s="122"/>
      <c r="DK373" s="123"/>
      <c r="DL373" s="23"/>
      <c r="DM373" s="150"/>
      <c r="DN373" s="150"/>
      <c r="DO373" s="116"/>
    </row>
    <row r="374" spans="61:119" s="101" customFormat="1" hidden="1" x14ac:dyDescent="0.25">
      <c r="BI374" s="102"/>
      <c r="BJ374" s="178"/>
      <c r="BK374" s="178"/>
      <c r="BL374" s="178"/>
      <c r="BM374" s="169"/>
      <c r="BN374" s="169"/>
      <c r="BO374" s="169"/>
      <c r="BP374" s="206"/>
      <c r="BQ374" s="206"/>
      <c r="BR374" s="206"/>
      <c r="BS374" s="206"/>
      <c r="BT374" s="206"/>
      <c r="BU374" s="206"/>
      <c r="BV374" s="207"/>
      <c r="BW374" s="206"/>
      <c r="BX374" s="206"/>
      <c r="BY374" s="207"/>
      <c r="BZ374" s="207"/>
      <c r="CA374" s="207"/>
      <c r="CB374" s="180"/>
      <c r="CC374" s="178"/>
      <c r="CD374" s="178"/>
      <c r="CE374" s="180"/>
      <c r="CF374" s="180"/>
      <c r="CG374" s="180"/>
      <c r="CH374" s="180"/>
      <c r="CI374" s="178"/>
      <c r="CJ374" s="178"/>
      <c r="CK374" s="180"/>
      <c r="CL374" s="180"/>
      <c r="CM374" s="180"/>
      <c r="CN374" s="116"/>
      <c r="CO374" s="218">
        <f t="shared" si="140"/>
        <v>0</v>
      </c>
      <c r="CP374" s="100">
        <f t="shared" si="141"/>
        <v>0</v>
      </c>
      <c r="CQ374" s="218">
        <f t="shared" si="142"/>
        <v>0</v>
      </c>
      <c r="CZ374" s="123"/>
      <c r="DA374" s="122"/>
      <c r="DB374" s="122"/>
      <c r="DC374" s="123"/>
      <c r="DD374" s="123"/>
      <c r="DE374" s="123"/>
      <c r="DF374" s="122"/>
      <c r="DG374" s="122"/>
      <c r="DH374" s="122"/>
      <c r="DI374" s="122"/>
      <c r="DJ374" s="122"/>
      <c r="DK374" s="123"/>
      <c r="DL374" s="23"/>
      <c r="DM374" s="150"/>
      <c r="DN374" s="150"/>
      <c r="DO374" s="116"/>
    </row>
    <row r="375" spans="61:119" s="101" customFormat="1" hidden="1" x14ac:dyDescent="0.25">
      <c r="BI375" s="1606" t="s">
        <v>300</v>
      </c>
      <c r="BJ375" s="251"/>
      <c r="BK375" s="1606" t="s">
        <v>302</v>
      </c>
      <c r="BL375" s="251"/>
      <c r="BM375" s="1606" t="s">
        <v>233</v>
      </c>
      <c r="BN375" s="1606" t="s">
        <v>233</v>
      </c>
      <c r="BO375" s="1606" t="s">
        <v>240</v>
      </c>
      <c r="BP375" s="206"/>
      <c r="BQ375" s="206"/>
      <c r="BR375" s="206"/>
      <c r="BS375" s="206"/>
      <c r="BT375" s="206"/>
      <c r="BU375" s="206"/>
      <c r="BV375" s="207"/>
      <c r="BW375" s="206"/>
      <c r="BX375" s="206"/>
      <c r="BY375" s="207"/>
      <c r="BZ375" s="207"/>
      <c r="CA375" s="207"/>
      <c r="CB375" s="180"/>
      <c r="CC375" s="178"/>
      <c r="CD375" s="178"/>
      <c r="CE375" s="180"/>
      <c r="CF375" s="180"/>
      <c r="CG375" s="180"/>
      <c r="CH375" s="180"/>
      <c r="CI375" s="178"/>
      <c r="CJ375" s="178"/>
      <c r="CK375" s="180"/>
      <c r="CL375" s="180"/>
      <c r="CM375" s="180"/>
      <c r="CN375" s="116"/>
      <c r="CO375" s="218" t="str">
        <f t="shared" si="140"/>
        <v>Incertidumbre (+/- %)</v>
      </c>
      <c r="CP375" s="100" t="e">
        <f t="shared" si="141"/>
        <v>#VALUE!</v>
      </c>
      <c r="CQ375" s="218" t="str">
        <f t="shared" si="142"/>
        <v>Incertidumbre (+/- %)</v>
      </c>
      <c r="CZ375" s="123"/>
      <c r="DA375" s="122"/>
      <c r="DB375" s="122"/>
      <c r="DC375" s="123"/>
      <c r="DD375" s="123"/>
      <c r="DE375" s="123"/>
      <c r="DF375" s="122"/>
      <c r="DG375" s="122"/>
      <c r="DH375" s="122"/>
      <c r="DI375" s="122"/>
      <c r="DJ375" s="122"/>
      <c r="DK375" s="123"/>
      <c r="DL375" s="23"/>
      <c r="DM375" s="150"/>
      <c r="DN375" s="150"/>
      <c r="DO375" s="116"/>
    </row>
    <row r="376" spans="61:119" s="101" customFormat="1" ht="15.75" hidden="1" thickBot="1" x14ac:dyDescent="0.3">
      <c r="BI376" s="1607"/>
      <c r="BJ376" s="252" t="s">
        <v>253</v>
      </c>
      <c r="BK376" s="1607"/>
      <c r="BL376" s="252" t="s">
        <v>251</v>
      </c>
      <c r="BM376" s="1607"/>
      <c r="BN376" s="1607"/>
      <c r="BO376" s="1607"/>
      <c r="BP376" s="206"/>
      <c r="BQ376" s="206"/>
      <c r="BR376" s="206"/>
      <c r="BS376" s="206"/>
      <c r="BT376" s="206"/>
      <c r="BU376" s="206"/>
      <c r="BV376" s="207"/>
      <c r="BW376" s="206"/>
      <c r="BX376" s="206"/>
      <c r="BY376" s="207"/>
      <c r="BZ376" s="207"/>
      <c r="CA376" s="207"/>
      <c r="CB376" s="180"/>
      <c r="CC376" s="178"/>
      <c r="CD376" s="178"/>
      <c r="CE376" s="180"/>
      <c r="CF376" s="180"/>
      <c r="CG376" s="180"/>
      <c r="CH376" s="180"/>
      <c r="CI376" s="178"/>
      <c r="CJ376" s="178"/>
      <c r="CK376" s="180"/>
      <c r="CL376" s="180"/>
      <c r="CM376" s="180"/>
      <c r="CN376" s="116"/>
      <c r="CO376" s="218">
        <f t="shared" si="140"/>
        <v>0</v>
      </c>
      <c r="CP376" s="100">
        <f t="shared" si="141"/>
        <v>0</v>
      </c>
      <c r="CQ376" s="218">
        <f t="shared" si="142"/>
        <v>0</v>
      </c>
      <c r="CZ376" s="123"/>
      <c r="DA376" s="122"/>
      <c r="DB376" s="122"/>
      <c r="DC376" s="123"/>
      <c r="DD376" s="123"/>
      <c r="DE376" s="123"/>
      <c r="DF376" s="122"/>
      <c r="DG376" s="122"/>
      <c r="DH376" s="122"/>
      <c r="DI376" s="122"/>
      <c r="DJ376" s="122"/>
      <c r="DK376" s="123"/>
      <c r="DL376" s="23"/>
      <c r="DM376" s="150"/>
      <c r="DN376" s="150"/>
      <c r="DO376" s="116"/>
    </row>
    <row r="377" spans="61:119" s="101" customFormat="1" ht="18.75" hidden="1" thickBot="1" x14ac:dyDescent="0.3">
      <c r="BI377" s="203" t="s">
        <v>74</v>
      </c>
      <c r="BJ377" s="190" t="s">
        <v>78</v>
      </c>
      <c r="BK377" s="196">
        <v>68.819999999999993</v>
      </c>
      <c r="BL377" s="190" t="s">
        <v>422</v>
      </c>
      <c r="BM377" s="189">
        <v>0.05</v>
      </c>
      <c r="BN377" s="189">
        <v>0.05</v>
      </c>
      <c r="BO377" s="188" t="s">
        <v>77</v>
      </c>
      <c r="BP377" s="206"/>
      <c r="BQ377" s="206"/>
      <c r="BR377" s="206"/>
      <c r="BS377" s="206"/>
      <c r="BT377" s="206"/>
      <c r="BU377" s="206"/>
      <c r="BV377" s="207"/>
      <c r="BW377" s="206"/>
      <c r="BX377" s="206"/>
      <c r="BY377" s="207"/>
      <c r="BZ377" s="207"/>
      <c r="CA377" s="207"/>
      <c r="CB377" s="180"/>
      <c r="CC377" s="178"/>
      <c r="CD377" s="178"/>
      <c r="CE377" s="180"/>
      <c r="CF377" s="180"/>
      <c r="CG377" s="180"/>
      <c r="CH377" s="180"/>
      <c r="CI377" s="178"/>
      <c r="CJ377" s="178"/>
      <c r="CK377" s="180"/>
      <c r="CL377" s="180"/>
      <c r="CM377" s="180"/>
      <c r="CN377" s="116"/>
      <c r="CO377" s="218">
        <f t="shared" si="140"/>
        <v>0.05</v>
      </c>
      <c r="CP377" s="100">
        <f t="shared" si="141"/>
        <v>0.05</v>
      </c>
      <c r="CQ377" s="218">
        <f t="shared" si="142"/>
        <v>0.05</v>
      </c>
      <c r="CR377" s="101">
        <v>0.05</v>
      </c>
      <c r="CS377" s="101">
        <v>0.05</v>
      </c>
      <c r="CZ377" s="123"/>
      <c r="DA377" s="122"/>
      <c r="DB377" s="122"/>
      <c r="DC377" s="123"/>
      <c r="DD377" s="123"/>
      <c r="DE377" s="123"/>
      <c r="DF377" s="122"/>
      <c r="DG377" s="122"/>
      <c r="DH377" s="122"/>
      <c r="DI377" s="122"/>
      <c r="DJ377" s="122"/>
      <c r="DK377" s="123"/>
      <c r="DL377" s="23"/>
      <c r="DM377" s="150"/>
      <c r="DN377" s="150"/>
      <c r="DO377" s="116"/>
    </row>
    <row r="378" spans="61:119" s="101" customFormat="1" ht="18.75" hidden="1" thickBot="1" x14ac:dyDescent="0.3">
      <c r="BI378" s="203" t="s">
        <v>73</v>
      </c>
      <c r="BJ378" s="190" t="s">
        <v>78</v>
      </c>
      <c r="BK378" s="196">
        <v>83.37</v>
      </c>
      <c r="BL378" s="190" t="s">
        <v>422</v>
      </c>
      <c r="BM378" s="189">
        <v>0.05</v>
      </c>
      <c r="BN378" s="189">
        <v>0.05</v>
      </c>
      <c r="BO378" s="188" t="s">
        <v>77</v>
      </c>
      <c r="BP378" s="206"/>
      <c r="BQ378" s="206"/>
      <c r="BR378" s="206"/>
      <c r="BS378" s="206"/>
      <c r="BT378" s="206"/>
      <c r="BU378" s="206"/>
      <c r="BV378" s="207"/>
      <c r="BW378" s="206"/>
      <c r="BX378" s="206"/>
      <c r="BY378" s="207"/>
      <c r="BZ378" s="207"/>
      <c r="CA378" s="207"/>
      <c r="CB378" s="180"/>
      <c r="CC378" s="178"/>
      <c r="CD378" s="178"/>
      <c r="CE378" s="180"/>
      <c r="CF378" s="180"/>
      <c r="CG378" s="180"/>
      <c r="CH378" s="180"/>
      <c r="CI378" s="178"/>
      <c r="CJ378" s="178"/>
      <c r="CK378" s="180"/>
      <c r="CL378" s="180"/>
      <c r="CM378" s="180"/>
      <c r="CN378" s="116"/>
      <c r="CO378" s="218">
        <f t="shared" si="140"/>
        <v>0.05</v>
      </c>
      <c r="CP378" s="100">
        <f t="shared" si="141"/>
        <v>0.05</v>
      </c>
      <c r="CQ378" s="218">
        <f t="shared" si="142"/>
        <v>0.05</v>
      </c>
      <c r="CR378" s="101">
        <v>0.05</v>
      </c>
      <c r="CS378" s="101">
        <v>0.05</v>
      </c>
      <c r="CZ378" s="123"/>
      <c r="DA378" s="122"/>
      <c r="DB378" s="122"/>
      <c r="DC378" s="123"/>
      <c r="DD378" s="123"/>
      <c r="DE378" s="123"/>
      <c r="DF378" s="122"/>
      <c r="DG378" s="122"/>
      <c r="DH378" s="122"/>
      <c r="DI378" s="122"/>
      <c r="DJ378" s="122"/>
      <c r="DK378" s="123"/>
      <c r="DL378" s="23"/>
      <c r="DM378" s="150"/>
      <c r="DN378" s="150"/>
      <c r="DO378" s="116"/>
    </row>
    <row r="379" spans="61:119" s="101" customFormat="1" ht="18.75" hidden="1" thickBot="1" x14ac:dyDescent="0.3">
      <c r="BI379" s="203" t="s">
        <v>79</v>
      </c>
      <c r="BJ379" s="190" t="s">
        <v>78</v>
      </c>
      <c r="BK379" s="196">
        <v>159.43</v>
      </c>
      <c r="BL379" s="190" t="s">
        <v>422</v>
      </c>
      <c r="BM379" s="189">
        <v>0.05</v>
      </c>
      <c r="BN379" s="189">
        <v>0.05</v>
      </c>
      <c r="BO379" s="188" t="s">
        <v>77</v>
      </c>
      <c r="BP379" s="206"/>
      <c r="BQ379" s="206"/>
      <c r="BR379" s="206"/>
      <c r="BS379" s="206"/>
      <c r="BT379" s="206"/>
      <c r="BU379" s="206"/>
      <c r="BV379" s="207"/>
      <c r="BW379" s="206"/>
      <c r="BX379" s="206"/>
      <c r="BY379" s="207"/>
      <c r="BZ379" s="207"/>
      <c r="CA379" s="207"/>
      <c r="CB379" s="180"/>
      <c r="CC379" s="178"/>
      <c r="CD379" s="178"/>
      <c r="CE379" s="180"/>
      <c r="CF379" s="180"/>
      <c r="CG379" s="180"/>
      <c r="CH379" s="180"/>
      <c r="CI379" s="178"/>
      <c r="CJ379" s="178"/>
      <c r="CK379" s="180"/>
      <c r="CL379" s="180"/>
      <c r="CM379" s="180"/>
      <c r="CN379" s="116"/>
      <c r="CO379" s="218">
        <f t="shared" si="140"/>
        <v>0.05</v>
      </c>
      <c r="CP379" s="100">
        <f t="shared" si="141"/>
        <v>0.05</v>
      </c>
      <c r="CQ379" s="218">
        <f t="shared" si="142"/>
        <v>0.05</v>
      </c>
      <c r="CR379" s="101">
        <v>0.05</v>
      </c>
      <c r="CS379" s="101">
        <v>0.05</v>
      </c>
      <c r="CZ379" s="123"/>
      <c r="DA379" s="122"/>
      <c r="DB379" s="122"/>
      <c r="DC379" s="123"/>
      <c r="DD379" s="123"/>
      <c r="DE379" s="123"/>
      <c r="DF379" s="122"/>
      <c r="DG379" s="122"/>
      <c r="DH379" s="122"/>
      <c r="DI379" s="122"/>
      <c r="DJ379" s="122"/>
      <c r="DK379" s="123"/>
      <c r="DL379" s="23"/>
      <c r="DM379" s="150"/>
      <c r="DN379" s="150"/>
      <c r="DO379" s="116"/>
    </row>
    <row r="380" spans="61:119" s="101" customFormat="1" ht="18.75" hidden="1" thickBot="1" x14ac:dyDescent="0.3">
      <c r="BI380" s="203" t="s">
        <v>70</v>
      </c>
      <c r="BJ380" s="190" t="s">
        <v>78</v>
      </c>
      <c r="BK380" s="196">
        <v>102.71</v>
      </c>
      <c r="BL380" s="190" t="s">
        <v>422</v>
      </c>
      <c r="BM380" s="189">
        <v>0.05</v>
      </c>
      <c r="BN380" s="189">
        <v>0.05</v>
      </c>
      <c r="BO380" s="188" t="s">
        <v>77</v>
      </c>
      <c r="BP380" s="206"/>
      <c r="BQ380" s="206"/>
      <c r="BR380" s="206"/>
      <c r="BS380" s="206"/>
      <c r="BT380" s="206"/>
      <c r="BU380" s="206"/>
      <c r="BV380" s="207"/>
      <c r="BW380" s="206"/>
      <c r="BX380" s="206"/>
      <c r="BY380" s="207"/>
      <c r="BZ380" s="207"/>
      <c r="CA380" s="207"/>
      <c r="CB380" s="180"/>
      <c r="CC380" s="178"/>
      <c r="CD380" s="178"/>
      <c r="CE380" s="180"/>
      <c r="CF380" s="180"/>
      <c r="CG380" s="180"/>
      <c r="CH380" s="180"/>
      <c r="CI380" s="178"/>
      <c r="CJ380" s="178"/>
      <c r="CK380" s="180"/>
      <c r="CL380" s="180"/>
      <c r="CM380" s="180"/>
      <c r="CN380" s="116"/>
      <c r="CO380" s="218">
        <f t="shared" si="140"/>
        <v>0.05</v>
      </c>
      <c r="CP380" s="100">
        <f t="shared" si="141"/>
        <v>0.05</v>
      </c>
      <c r="CQ380" s="218">
        <f t="shared" si="142"/>
        <v>0.05</v>
      </c>
      <c r="CR380" s="101">
        <v>0.05</v>
      </c>
      <c r="CS380" s="101">
        <v>0.05</v>
      </c>
      <c r="CZ380" s="123"/>
      <c r="DA380" s="122"/>
      <c r="DB380" s="122"/>
      <c r="DC380" s="123"/>
      <c r="DD380" s="123"/>
      <c r="DE380" s="123"/>
      <c r="DF380" s="122"/>
      <c r="DG380" s="122"/>
      <c r="DH380" s="122"/>
      <c r="DI380" s="122"/>
      <c r="DJ380" s="122"/>
      <c r="DK380" s="123"/>
      <c r="DL380" s="23"/>
      <c r="DM380" s="150"/>
      <c r="DN380" s="150"/>
      <c r="DO380" s="116"/>
    </row>
    <row r="381" spans="61:119" s="101" customFormat="1" ht="18.75" hidden="1" thickBot="1" x14ac:dyDescent="0.3">
      <c r="BI381" s="203" t="s">
        <v>80</v>
      </c>
      <c r="BJ381" s="190" t="s">
        <v>78</v>
      </c>
      <c r="BK381" s="196">
        <v>81.25</v>
      </c>
      <c r="BL381" s="190" t="s">
        <v>422</v>
      </c>
      <c r="BM381" s="189">
        <v>0.05</v>
      </c>
      <c r="BN381" s="189">
        <v>0.05</v>
      </c>
      <c r="BO381" s="188" t="s">
        <v>77</v>
      </c>
      <c r="BP381" s="206"/>
      <c r="BQ381" s="206"/>
      <c r="BR381" s="206"/>
      <c r="BS381" s="206"/>
      <c r="BT381" s="206"/>
      <c r="BU381" s="206"/>
      <c r="BV381" s="207"/>
      <c r="BW381" s="206"/>
      <c r="BX381" s="206"/>
      <c r="BY381" s="207"/>
      <c r="BZ381" s="207"/>
      <c r="CA381" s="207"/>
      <c r="CB381" s="180"/>
      <c r="CC381" s="178"/>
      <c r="CD381" s="178"/>
      <c r="CE381" s="180"/>
      <c r="CF381" s="180"/>
      <c r="CG381" s="180"/>
      <c r="CH381" s="180"/>
      <c r="CI381" s="178"/>
      <c r="CJ381" s="178"/>
      <c r="CK381" s="180"/>
      <c r="CL381" s="180"/>
      <c r="CM381" s="180"/>
      <c r="CN381" s="116"/>
      <c r="CO381" s="218">
        <f t="shared" si="140"/>
        <v>0.05</v>
      </c>
      <c r="CP381" s="100">
        <f t="shared" si="141"/>
        <v>0.05</v>
      </c>
      <c r="CQ381" s="218">
        <f t="shared" si="142"/>
        <v>0.05</v>
      </c>
      <c r="CR381" s="101">
        <v>0.05</v>
      </c>
      <c r="CS381" s="101">
        <v>0.05</v>
      </c>
      <c r="CZ381" s="123"/>
      <c r="DA381" s="122"/>
      <c r="DB381" s="122"/>
      <c r="DC381" s="123"/>
      <c r="DD381" s="123"/>
      <c r="DE381" s="123"/>
      <c r="DF381" s="122"/>
      <c r="DG381" s="122"/>
      <c r="DH381" s="122"/>
      <c r="DI381" s="122"/>
      <c r="DJ381" s="122"/>
      <c r="DK381" s="123"/>
      <c r="DL381" s="23"/>
      <c r="DM381" s="150"/>
      <c r="DN381" s="150"/>
      <c r="DO381" s="116"/>
    </row>
    <row r="382" spans="61:119" s="101" customFormat="1" ht="18.75" hidden="1" thickBot="1" x14ac:dyDescent="0.3">
      <c r="BI382" s="203" t="s">
        <v>71</v>
      </c>
      <c r="BJ382" s="190" t="s">
        <v>78</v>
      </c>
      <c r="BK382" s="196">
        <v>97.7</v>
      </c>
      <c r="BL382" s="190" t="s">
        <v>422</v>
      </c>
      <c r="BM382" s="189">
        <v>0.05</v>
      </c>
      <c r="BN382" s="189">
        <v>0.05</v>
      </c>
      <c r="BO382" s="188" t="s">
        <v>77</v>
      </c>
      <c r="BP382" s="206"/>
      <c r="BQ382" s="206"/>
      <c r="BR382" s="206"/>
      <c r="BS382" s="206"/>
      <c r="BT382" s="206"/>
      <c r="BU382" s="206"/>
      <c r="BV382" s="207"/>
      <c r="BW382" s="206"/>
      <c r="BX382" s="206"/>
      <c r="BY382" s="207"/>
      <c r="BZ382" s="207"/>
      <c r="CA382" s="207"/>
      <c r="CB382" s="180"/>
      <c r="CC382" s="178"/>
      <c r="CD382" s="178"/>
      <c r="CE382" s="180"/>
      <c r="CF382" s="180"/>
      <c r="CG382" s="180"/>
      <c r="CH382" s="180"/>
      <c r="CI382" s="178"/>
      <c r="CJ382" s="178"/>
      <c r="CK382" s="180"/>
      <c r="CL382" s="180"/>
      <c r="CM382" s="180"/>
      <c r="CN382" s="116"/>
      <c r="CO382" s="218">
        <f t="shared" si="140"/>
        <v>0.05</v>
      </c>
      <c r="CP382" s="100">
        <f t="shared" si="141"/>
        <v>0.05</v>
      </c>
      <c r="CQ382" s="218">
        <f t="shared" si="142"/>
        <v>0.05</v>
      </c>
      <c r="CR382" s="101">
        <v>0.05</v>
      </c>
      <c r="CS382" s="101">
        <v>0.05</v>
      </c>
      <c r="CZ382" s="123"/>
      <c r="DA382" s="122"/>
      <c r="DB382" s="122"/>
      <c r="DC382" s="123"/>
      <c r="DD382" s="123"/>
      <c r="DE382" s="123"/>
      <c r="DF382" s="122"/>
      <c r="DG382" s="122"/>
      <c r="DH382" s="122"/>
      <c r="DI382" s="122"/>
      <c r="DJ382" s="122"/>
      <c r="DK382" s="123"/>
      <c r="DL382" s="23"/>
      <c r="DM382" s="150"/>
      <c r="DN382" s="150"/>
      <c r="DO382" s="116"/>
    </row>
    <row r="383" spans="61:119" s="101" customFormat="1" ht="18.75" hidden="1" thickBot="1" x14ac:dyDescent="0.3">
      <c r="BI383" s="203" t="s">
        <v>72</v>
      </c>
      <c r="BJ383" s="190" t="s">
        <v>78</v>
      </c>
      <c r="BK383" s="196">
        <v>159.58000000000001</v>
      </c>
      <c r="BL383" s="190" t="s">
        <v>422</v>
      </c>
      <c r="BM383" s="189">
        <v>0.05</v>
      </c>
      <c r="BN383" s="189">
        <v>0.05</v>
      </c>
      <c r="BO383" s="188" t="s">
        <v>77</v>
      </c>
      <c r="BP383" s="206"/>
      <c r="BQ383" s="206"/>
      <c r="BR383" s="206"/>
      <c r="BS383" s="206"/>
      <c r="BT383" s="206"/>
      <c r="BU383" s="206"/>
      <c r="BV383" s="207"/>
      <c r="BW383" s="206"/>
      <c r="BX383" s="206"/>
      <c r="BY383" s="207"/>
      <c r="BZ383" s="207"/>
      <c r="CA383" s="207"/>
      <c r="CB383" s="180"/>
      <c r="CC383" s="178"/>
      <c r="CD383" s="178"/>
      <c r="CE383" s="180"/>
      <c r="CF383" s="180"/>
      <c r="CG383" s="180"/>
      <c r="CH383" s="180"/>
      <c r="CI383" s="178"/>
      <c r="CJ383" s="178"/>
      <c r="CK383" s="180"/>
      <c r="CL383" s="180"/>
      <c r="CM383" s="180"/>
      <c r="CN383" s="116"/>
      <c r="CO383" s="218">
        <f t="shared" si="140"/>
        <v>0.05</v>
      </c>
      <c r="CP383" s="100">
        <f t="shared" si="141"/>
        <v>0.05</v>
      </c>
      <c r="CQ383" s="218">
        <f t="shared" si="142"/>
        <v>0.05</v>
      </c>
      <c r="CR383" s="101">
        <v>0.05</v>
      </c>
      <c r="CS383" s="101">
        <v>0.05</v>
      </c>
      <c r="CZ383" s="123"/>
      <c r="DA383" s="122"/>
      <c r="DB383" s="122"/>
      <c r="DC383" s="123"/>
      <c r="DD383" s="123"/>
      <c r="DE383" s="123"/>
      <c r="DF383" s="122"/>
      <c r="DG383" s="122"/>
      <c r="DH383" s="122"/>
      <c r="DI383" s="122"/>
      <c r="DJ383" s="122"/>
      <c r="DK383" s="123"/>
      <c r="DL383" s="23"/>
      <c r="DM383" s="150"/>
      <c r="DN383" s="150"/>
      <c r="DO383" s="116"/>
    </row>
    <row r="384" spans="61:119" s="101" customFormat="1" ht="18.75" hidden="1" thickBot="1" x14ac:dyDescent="0.3">
      <c r="BI384" s="203" t="s">
        <v>81</v>
      </c>
      <c r="BJ384" s="190" t="s">
        <v>78</v>
      </c>
      <c r="BK384" s="196">
        <v>116.5</v>
      </c>
      <c r="BL384" s="190" t="s">
        <v>422</v>
      </c>
      <c r="BM384" s="189">
        <v>0.05</v>
      </c>
      <c r="BN384" s="189">
        <v>0.05</v>
      </c>
      <c r="BO384" s="188" t="s">
        <v>77</v>
      </c>
      <c r="BP384" s="206"/>
      <c r="BQ384" s="206"/>
      <c r="BR384" s="206"/>
      <c r="BS384" s="206"/>
      <c r="BT384" s="206"/>
      <c r="BU384" s="206"/>
      <c r="BV384" s="207"/>
      <c r="BW384" s="206"/>
      <c r="BX384" s="206"/>
      <c r="BY384" s="207"/>
      <c r="BZ384" s="207"/>
      <c r="CA384" s="207"/>
      <c r="CB384" s="180"/>
      <c r="CC384" s="178"/>
      <c r="CD384" s="178"/>
      <c r="CE384" s="180"/>
      <c r="CF384" s="180"/>
      <c r="CG384" s="180"/>
      <c r="CH384" s="180"/>
      <c r="CI384" s="178"/>
      <c r="CJ384" s="178"/>
      <c r="CK384" s="180"/>
      <c r="CL384" s="180"/>
      <c r="CM384" s="180"/>
      <c r="CN384" s="116"/>
      <c r="CO384" s="218">
        <f t="shared" si="140"/>
        <v>0.05</v>
      </c>
      <c r="CP384" s="100">
        <f t="shared" si="141"/>
        <v>0.05</v>
      </c>
      <c r="CQ384" s="218">
        <f t="shared" si="142"/>
        <v>0.05</v>
      </c>
      <c r="CR384" s="101">
        <v>0.05</v>
      </c>
      <c r="CS384" s="101">
        <v>0.05</v>
      </c>
      <c r="CZ384" s="123"/>
      <c r="DA384" s="122"/>
      <c r="DB384" s="122"/>
      <c r="DC384" s="123"/>
      <c r="DD384" s="123"/>
      <c r="DE384" s="123"/>
      <c r="DF384" s="122"/>
      <c r="DG384" s="122"/>
      <c r="DH384" s="122"/>
      <c r="DI384" s="122"/>
      <c r="DJ384" s="122"/>
      <c r="DK384" s="123"/>
      <c r="DL384" s="23"/>
      <c r="DM384" s="150"/>
      <c r="DN384" s="150"/>
      <c r="DO384" s="116"/>
    </row>
    <row r="385" spans="61:119" s="101" customFormat="1" ht="18.75" hidden="1" thickBot="1" x14ac:dyDescent="0.3">
      <c r="BI385" s="203" t="s">
        <v>82</v>
      </c>
      <c r="BJ385" s="190" t="s">
        <v>78</v>
      </c>
      <c r="BK385" s="196">
        <v>88.52</v>
      </c>
      <c r="BL385" s="190" t="s">
        <v>422</v>
      </c>
      <c r="BM385" s="189">
        <v>0.05</v>
      </c>
      <c r="BN385" s="189">
        <v>0.05</v>
      </c>
      <c r="BO385" s="188" t="s">
        <v>77</v>
      </c>
      <c r="BP385" s="206"/>
      <c r="BQ385" s="206"/>
      <c r="BR385" s="206"/>
      <c r="BS385" s="206"/>
      <c r="BT385" s="206"/>
      <c r="BU385" s="206"/>
      <c r="BV385" s="207"/>
      <c r="BW385" s="206"/>
      <c r="BX385" s="206"/>
      <c r="BY385" s="207"/>
      <c r="BZ385" s="207"/>
      <c r="CA385" s="207"/>
      <c r="CB385" s="180"/>
      <c r="CC385" s="178"/>
      <c r="CD385" s="178"/>
      <c r="CE385" s="180"/>
      <c r="CF385" s="180"/>
      <c r="CG385" s="180"/>
      <c r="CH385" s="180"/>
      <c r="CI385" s="178"/>
      <c r="CJ385" s="178"/>
      <c r="CK385" s="180"/>
      <c r="CL385" s="180"/>
      <c r="CM385" s="180"/>
      <c r="CN385" s="116"/>
      <c r="CO385" s="218">
        <f t="shared" si="140"/>
        <v>0.05</v>
      </c>
      <c r="CP385" s="100">
        <f t="shared" si="141"/>
        <v>0.05</v>
      </c>
      <c r="CQ385" s="218">
        <f t="shared" si="142"/>
        <v>0.05</v>
      </c>
      <c r="CR385" s="101">
        <v>0.05</v>
      </c>
      <c r="CS385" s="101">
        <v>0.05</v>
      </c>
      <c r="CZ385" s="123"/>
      <c r="DA385" s="122"/>
      <c r="DB385" s="122"/>
      <c r="DC385" s="123"/>
      <c r="DD385" s="123"/>
      <c r="DE385" s="123"/>
      <c r="DF385" s="122"/>
      <c r="DG385" s="122"/>
      <c r="DH385" s="122"/>
      <c r="DI385" s="122"/>
      <c r="DJ385" s="122"/>
      <c r="DK385" s="123"/>
      <c r="DL385" s="23"/>
      <c r="DM385" s="150"/>
      <c r="DN385" s="150"/>
      <c r="DO385" s="116"/>
    </row>
    <row r="386" spans="61:119" s="101" customFormat="1" ht="18.75" hidden="1" thickBot="1" x14ac:dyDescent="0.3">
      <c r="BI386" s="203" t="s">
        <v>83</v>
      </c>
      <c r="BJ386" s="190" t="s">
        <v>78</v>
      </c>
      <c r="BK386" s="196">
        <v>43.4</v>
      </c>
      <c r="BL386" s="190" t="s">
        <v>422</v>
      </c>
      <c r="BM386" s="189">
        <v>0.05</v>
      </c>
      <c r="BN386" s="189">
        <v>0.05</v>
      </c>
      <c r="BO386" s="188" t="s">
        <v>77</v>
      </c>
      <c r="BP386" s="206"/>
      <c r="BQ386" s="206"/>
      <c r="BR386" s="206"/>
      <c r="BS386" s="206"/>
      <c r="BT386" s="206"/>
      <c r="BU386" s="206"/>
      <c r="BV386" s="207"/>
      <c r="BW386" s="206"/>
      <c r="BX386" s="206"/>
      <c r="BY386" s="207"/>
      <c r="BZ386" s="207"/>
      <c r="CA386" s="207"/>
      <c r="CB386" s="180"/>
      <c r="CC386" s="178"/>
      <c r="CD386" s="178"/>
      <c r="CE386" s="180"/>
      <c r="CF386" s="180"/>
      <c r="CG386" s="180"/>
      <c r="CH386" s="180"/>
      <c r="CI386" s="178"/>
      <c r="CJ386" s="178"/>
      <c r="CK386" s="180"/>
      <c r="CL386" s="180"/>
      <c r="CM386" s="180"/>
      <c r="CN386" s="116"/>
      <c r="CO386" s="218">
        <f t="shared" si="140"/>
        <v>0.05</v>
      </c>
      <c r="CP386" s="100">
        <f t="shared" si="141"/>
        <v>0.05</v>
      </c>
      <c r="CQ386" s="218">
        <f t="shared" si="142"/>
        <v>0.05</v>
      </c>
      <c r="CR386" s="101">
        <v>0.05</v>
      </c>
      <c r="CS386" s="101">
        <v>0.05</v>
      </c>
      <c r="CZ386" s="123"/>
      <c r="DA386" s="122"/>
      <c r="DB386" s="122"/>
      <c r="DC386" s="123"/>
      <c r="DD386" s="123"/>
      <c r="DE386" s="123"/>
      <c r="DF386" s="122"/>
      <c r="DG386" s="122"/>
      <c r="DH386" s="122"/>
      <c r="DI386" s="122"/>
      <c r="DJ386" s="122"/>
      <c r="DK386" s="123"/>
      <c r="DL386" s="23"/>
      <c r="DM386" s="150"/>
      <c r="DN386" s="150"/>
      <c r="DO386" s="116"/>
    </row>
    <row r="387" spans="61:119" s="101" customFormat="1" ht="18.75" hidden="1" thickBot="1" x14ac:dyDescent="0.3">
      <c r="BI387" s="203" t="s">
        <v>84</v>
      </c>
      <c r="BJ387" s="190" t="s">
        <v>78</v>
      </c>
      <c r="BK387" s="196">
        <v>229.26</v>
      </c>
      <c r="BL387" s="190" t="s">
        <v>422</v>
      </c>
      <c r="BM387" s="189">
        <v>0.05</v>
      </c>
      <c r="BN387" s="189">
        <v>0.05</v>
      </c>
      <c r="BO387" s="188" t="s">
        <v>77</v>
      </c>
      <c r="BP387" s="206"/>
      <c r="BQ387" s="206"/>
      <c r="BR387" s="206"/>
      <c r="BS387" s="206"/>
      <c r="BT387" s="206"/>
      <c r="BU387" s="206"/>
      <c r="BV387" s="207"/>
      <c r="BW387" s="206"/>
      <c r="BX387" s="206"/>
      <c r="BY387" s="207"/>
      <c r="BZ387" s="207"/>
      <c r="CA387" s="207"/>
      <c r="CB387" s="180"/>
      <c r="CC387" s="178"/>
      <c r="CD387" s="178"/>
      <c r="CE387" s="180"/>
      <c r="CF387" s="180"/>
      <c r="CG387" s="180"/>
      <c r="CH387" s="180"/>
      <c r="CI387" s="178"/>
      <c r="CJ387" s="178"/>
      <c r="CK387" s="180"/>
      <c r="CL387" s="180"/>
      <c r="CM387" s="180"/>
      <c r="CN387" s="116"/>
      <c r="CO387" s="218">
        <f t="shared" si="140"/>
        <v>0.05</v>
      </c>
      <c r="CP387" s="100">
        <f t="shared" si="141"/>
        <v>0.05</v>
      </c>
      <c r="CQ387" s="218">
        <f t="shared" si="142"/>
        <v>0.05</v>
      </c>
      <c r="CR387" s="101">
        <v>0.05</v>
      </c>
      <c r="CS387" s="101">
        <v>0.05</v>
      </c>
      <c r="CZ387" s="123"/>
      <c r="DA387" s="122"/>
      <c r="DB387" s="122"/>
      <c r="DC387" s="123"/>
      <c r="DD387" s="123"/>
      <c r="DE387" s="123"/>
      <c r="DF387" s="122"/>
      <c r="DG387" s="122"/>
      <c r="DH387" s="122"/>
      <c r="DI387" s="122"/>
      <c r="DJ387" s="122"/>
      <c r="DK387" s="123"/>
      <c r="DL387" s="23"/>
      <c r="DM387" s="150"/>
      <c r="DN387" s="150"/>
      <c r="DO387" s="116"/>
    </row>
    <row r="388" spans="61:119" s="101" customFormat="1" ht="18.75" hidden="1" thickBot="1" x14ac:dyDescent="0.3">
      <c r="BI388" s="203" t="s">
        <v>85</v>
      </c>
      <c r="BJ388" s="190" t="s">
        <v>78</v>
      </c>
      <c r="BK388" s="196">
        <v>55.15</v>
      </c>
      <c r="BL388" s="190" t="s">
        <v>422</v>
      </c>
      <c r="BM388" s="189">
        <v>0.05</v>
      </c>
      <c r="BN388" s="189">
        <v>0.05</v>
      </c>
      <c r="BO388" s="188" t="s">
        <v>77</v>
      </c>
      <c r="BP388" s="206"/>
      <c r="BQ388" s="206"/>
      <c r="BR388" s="206"/>
      <c r="BS388" s="206"/>
      <c r="BT388" s="206"/>
      <c r="BU388" s="206"/>
      <c r="BV388" s="207"/>
      <c r="BW388" s="206"/>
      <c r="BX388" s="206"/>
      <c r="BY388" s="207"/>
      <c r="BZ388" s="207"/>
      <c r="CA388" s="207"/>
      <c r="CB388" s="180"/>
      <c r="CC388" s="178"/>
      <c r="CD388" s="178"/>
      <c r="CE388" s="180"/>
      <c r="CF388" s="180"/>
      <c r="CG388" s="180"/>
      <c r="CH388" s="180"/>
      <c r="CI388" s="178"/>
      <c r="CJ388" s="178"/>
      <c r="CK388" s="180"/>
      <c r="CL388" s="180"/>
      <c r="CM388" s="180"/>
      <c r="CN388" s="116"/>
      <c r="CO388" s="218">
        <f t="shared" si="140"/>
        <v>0.05</v>
      </c>
      <c r="CP388" s="100">
        <f t="shared" si="141"/>
        <v>0.05</v>
      </c>
      <c r="CQ388" s="218">
        <f t="shared" si="142"/>
        <v>0.05</v>
      </c>
      <c r="CR388" s="101">
        <v>0.05</v>
      </c>
      <c r="CS388" s="101">
        <v>0.05</v>
      </c>
      <c r="CZ388" s="123"/>
      <c r="DA388" s="122"/>
      <c r="DB388" s="122"/>
      <c r="DC388" s="123"/>
      <c r="DD388" s="123"/>
      <c r="DE388" s="123"/>
      <c r="DF388" s="122"/>
      <c r="DG388" s="122"/>
      <c r="DH388" s="122"/>
      <c r="DI388" s="122"/>
      <c r="DJ388" s="122"/>
      <c r="DK388" s="123"/>
      <c r="DL388" s="23"/>
      <c r="DM388" s="150"/>
      <c r="DN388" s="150"/>
      <c r="DO388" s="116"/>
    </row>
    <row r="389" spans="61:119" s="101" customFormat="1" ht="18.75" hidden="1" thickBot="1" x14ac:dyDescent="0.3">
      <c r="BI389" s="203" t="s">
        <v>86</v>
      </c>
      <c r="BJ389" s="190" t="s">
        <v>78</v>
      </c>
      <c r="BK389" s="196">
        <v>84.94</v>
      </c>
      <c r="BL389" s="190" t="s">
        <v>422</v>
      </c>
      <c r="BM389" s="189">
        <v>0.05</v>
      </c>
      <c r="BN389" s="189">
        <v>0.05</v>
      </c>
      <c r="BO389" s="188" t="s">
        <v>77</v>
      </c>
      <c r="BP389" s="206"/>
      <c r="BQ389" s="206"/>
      <c r="BR389" s="206"/>
      <c r="BS389" s="206"/>
      <c r="BT389" s="206"/>
      <c r="BU389" s="206"/>
      <c r="BV389" s="207"/>
      <c r="BW389" s="206"/>
      <c r="BX389" s="206"/>
      <c r="BY389" s="207"/>
      <c r="BZ389" s="207"/>
      <c r="CA389" s="207"/>
      <c r="CB389" s="180"/>
      <c r="CC389" s="178"/>
      <c r="CD389" s="178"/>
      <c r="CE389" s="180"/>
      <c r="CF389" s="180"/>
      <c r="CG389" s="180"/>
      <c r="CH389" s="180"/>
      <c r="CI389" s="178"/>
      <c r="CJ389" s="178"/>
      <c r="CK389" s="180"/>
      <c r="CL389" s="180"/>
      <c r="CM389" s="180"/>
      <c r="CN389" s="116"/>
      <c r="CO389" s="218">
        <f t="shared" ref="CO389:CO449" si="143">BM389</f>
        <v>0.05</v>
      </c>
      <c r="CP389" s="100">
        <f t="shared" ref="CP389:CP449" si="144">(CO389+CQ389)/2</f>
        <v>0.05</v>
      </c>
      <c r="CQ389" s="218">
        <f t="shared" ref="CQ389:CQ449" si="145">BN389</f>
        <v>0.05</v>
      </c>
      <c r="CR389" s="101">
        <v>0.05</v>
      </c>
      <c r="CS389" s="101">
        <v>0.05</v>
      </c>
      <c r="CZ389" s="123"/>
      <c r="DA389" s="122"/>
      <c r="DB389" s="122"/>
      <c r="DC389" s="123"/>
      <c r="DD389" s="123"/>
      <c r="DE389" s="123"/>
      <c r="DF389" s="122"/>
      <c r="DG389" s="122"/>
      <c r="DH389" s="122"/>
      <c r="DI389" s="122"/>
      <c r="DJ389" s="122"/>
      <c r="DK389" s="123"/>
      <c r="DL389" s="23"/>
      <c r="DM389" s="150"/>
      <c r="DN389" s="150"/>
      <c r="DO389" s="116"/>
    </row>
    <row r="390" spans="61:119" s="101" customFormat="1" ht="18.75" hidden="1" thickBot="1" x14ac:dyDescent="0.3">
      <c r="BI390" s="203" t="s">
        <v>87</v>
      </c>
      <c r="BJ390" s="190" t="s">
        <v>78</v>
      </c>
      <c r="BK390" s="196">
        <v>169.75</v>
      </c>
      <c r="BL390" s="190" t="s">
        <v>422</v>
      </c>
      <c r="BM390" s="189">
        <v>0.05</v>
      </c>
      <c r="BN390" s="189">
        <v>0.05</v>
      </c>
      <c r="BO390" s="188" t="s">
        <v>77</v>
      </c>
      <c r="BP390" s="206"/>
      <c r="BQ390" s="206"/>
      <c r="BR390" s="206"/>
      <c r="BS390" s="206"/>
      <c r="BT390" s="206"/>
      <c r="BU390" s="206"/>
      <c r="BV390" s="207"/>
      <c r="BW390" s="206"/>
      <c r="BX390" s="206"/>
      <c r="BY390" s="207"/>
      <c r="BZ390" s="207"/>
      <c r="CA390" s="207"/>
      <c r="CB390" s="180"/>
      <c r="CC390" s="178"/>
      <c r="CD390" s="178"/>
      <c r="CE390" s="180"/>
      <c r="CF390" s="180"/>
      <c r="CG390" s="180"/>
      <c r="CH390" s="180"/>
      <c r="CI390" s="178"/>
      <c r="CJ390" s="178"/>
      <c r="CK390" s="180"/>
      <c r="CL390" s="180"/>
      <c r="CM390" s="180"/>
      <c r="CN390" s="116"/>
      <c r="CO390" s="218">
        <f t="shared" si="143"/>
        <v>0.05</v>
      </c>
      <c r="CP390" s="100">
        <f t="shared" si="144"/>
        <v>0.05</v>
      </c>
      <c r="CQ390" s="218">
        <f t="shared" si="145"/>
        <v>0.05</v>
      </c>
      <c r="CR390" s="101">
        <v>0.05</v>
      </c>
      <c r="CS390" s="101">
        <v>0.05</v>
      </c>
      <c r="CZ390" s="123"/>
      <c r="DA390" s="122"/>
      <c r="DB390" s="122"/>
      <c r="DC390" s="123"/>
      <c r="DD390" s="123"/>
      <c r="DE390" s="123"/>
      <c r="DF390" s="122"/>
      <c r="DG390" s="122"/>
      <c r="DH390" s="122"/>
      <c r="DI390" s="122"/>
      <c r="DJ390" s="122"/>
      <c r="DK390" s="123"/>
      <c r="DL390" s="23"/>
      <c r="DM390" s="150"/>
      <c r="DN390" s="150"/>
      <c r="DO390" s="116"/>
    </row>
    <row r="391" spans="61:119" s="101" customFormat="1" ht="18.75" hidden="1" thickBot="1" x14ac:dyDescent="0.3">
      <c r="BI391" s="203" t="s">
        <v>340</v>
      </c>
      <c r="BJ391" s="190" t="s">
        <v>78</v>
      </c>
      <c r="BK391" s="196">
        <v>137.47</v>
      </c>
      <c r="BL391" s="190" t="s">
        <v>422</v>
      </c>
      <c r="BM391" s="189">
        <v>0.05</v>
      </c>
      <c r="BN391" s="189">
        <v>0.05</v>
      </c>
      <c r="BO391" s="188" t="s">
        <v>77</v>
      </c>
      <c r="BP391" s="206"/>
      <c r="BQ391" s="206"/>
      <c r="BR391" s="206"/>
      <c r="BS391" s="206"/>
      <c r="BT391" s="206"/>
      <c r="BU391" s="206"/>
      <c r="BV391" s="207"/>
      <c r="BW391" s="206"/>
      <c r="BX391" s="206"/>
      <c r="BY391" s="207"/>
      <c r="BZ391" s="207"/>
      <c r="CA391" s="207"/>
      <c r="CB391" s="180"/>
      <c r="CC391" s="178"/>
      <c r="CD391" s="178"/>
      <c r="CE391" s="180"/>
      <c r="CF391" s="180"/>
      <c r="CG391" s="180"/>
      <c r="CH391" s="180"/>
      <c r="CI391" s="178"/>
      <c r="CJ391" s="178"/>
      <c r="CK391" s="180"/>
      <c r="CL391" s="180"/>
      <c r="CM391" s="180"/>
      <c r="CN391" s="116"/>
      <c r="CO391" s="218">
        <f t="shared" si="143"/>
        <v>0.05</v>
      </c>
      <c r="CP391" s="100">
        <f t="shared" si="144"/>
        <v>0.05</v>
      </c>
      <c r="CQ391" s="218">
        <f t="shared" si="145"/>
        <v>0.05</v>
      </c>
      <c r="CR391" s="101">
        <v>0.05</v>
      </c>
      <c r="CS391" s="101">
        <v>0.05</v>
      </c>
      <c r="CZ391" s="123"/>
      <c r="DA391" s="122"/>
      <c r="DB391" s="122"/>
      <c r="DC391" s="123"/>
      <c r="DD391" s="123"/>
      <c r="DE391" s="123"/>
      <c r="DF391" s="122"/>
      <c r="DG391" s="122"/>
      <c r="DH391" s="122"/>
      <c r="DI391" s="122"/>
      <c r="DJ391" s="122"/>
      <c r="DK391" s="123"/>
      <c r="DL391" s="23"/>
      <c r="DM391" s="150"/>
      <c r="DN391" s="150"/>
      <c r="DO391" s="116"/>
    </row>
    <row r="392" spans="61:119" s="101" customFormat="1" ht="18.75" hidden="1" thickBot="1" x14ac:dyDescent="0.3">
      <c r="BI392" s="203" t="s">
        <v>88</v>
      </c>
      <c r="BJ392" s="190" t="s">
        <v>78</v>
      </c>
      <c r="BK392" s="196">
        <v>75.37</v>
      </c>
      <c r="BL392" s="190" t="s">
        <v>422</v>
      </c>
      <c r="BM392" s="189">
        <v>0.05</v>
      </c>
      <c r="BN392" s="189">
        <v>0.05</v>
      </c>
      <c r="BO392" s="188" t="s">
        <v>77</v>
      </c>
      <c r="BP392" s="206"/>
      <c r="BQ392" s="206"/>
      <c r="BR392" s="206"/>
      <c r="BS392" s="206"/>
      <c r="BT392" s="206"/>
      <c r="BU392" s="206"/>
      <c r="BV392" s="207"/>
      <c r="BW392" s="206"/>
      <c r="BX392" s="206"/>
      <c r="BY392" s="207"/>
      <c r="BZ392" s="207"/>
      <c r="CA392" s="207"/>
      <c r="CB392" s="180"/>
      <c r="CC392" s="178"/>
      <c r="CD392" s="178"/>
      <c r="CE392" s="180"/>
      <c r="CF392" s="180"/>
      <c r="CG392" s="180"/>
      <c r="CH392" s="180"/>
      <c r="CI392" s="178"/>
      <c r="CJ392" s="178"/>
      <c r="CK392" s="180"/>
      <c r="CL392" s="180"/>
      <c r="CM392" s="180"/>
      <c r="CN392" s="116"/>
      <c r="CO392" s="218">
        <f t="shared" si="143"/>
        <v>0.05</v>
      </c>
      <c r="CP392" s="100">
        <f t="shared" si="144"/>
        <v>0.05</v>
      </c>
      <c r="CQ392" s="218">
        <f t="shared" si="145"/>
        <v>0.05</v>
      </c>
      <c r="CR392" s="101">
        <v>0.05</v>
      </c>
      <c r="CS392" s="101">
        <v>0.05</v>
      </c>
      <c r="CZ392" s="123"/>
      <c r="DA392" s="122"/>
      <c r="DB392" s="122"/>
      <c r="DC392" s="123"/>
      <c r="DD392" s="123"/>
      <c r="DE392" s="123"/>
      <c r="DF392" s="122"/>
      <c r="DG392" s="122"/>
      <c r="DH392" s="122"/>
      <c r="DI392" s="122"/>
      <c r="DJ392" s="122"/>
      <c r="DK392" s="123"/>
      <c r="DL392" s="23"/>
      <c r="DM392" s="150"/>
      <c r="DN392" s="150"/>
      <c r="DO392" s="116"/>
    </row>
    <row r="393" spans="61:119" s="101" customFormat="1" ht="18.75" hidden="1" thickBot="1" x14ac:dyDescent="0.3">
      <c r="BI393" s="203" t="s">
        <v>89</v>
      </c>
      <c r="BJ393" s="190" t="s">
        <v>78</v>
      </c>
      <c r="BK393" s="196">
        <v>130.97999999999999</v>
      </c>
      <c r="BL393" s="190" t="s">
        <v>422</v>
      </c>
      <c r="BM393" s="189">
        <v>0.05</v>
      </c>
      <c r="BN393" s="189">
        <v>0.05</v>
      </c>
      <c r="BO393" s="188" t="s">
        <v>77</v>
      </c>
      <c r="BP393" s="206"/>
      <c r="BQ393" s="206"/>
      <c r="BR393" s="206"/>
      <c r="BS393" s="206"/>
      <c r="BT393" s="206"/>
      <c r="BU393" s="206"/>
      <c r="BV393" s="207"/>
      <c r="BW393" s="206"/>
      <c r="BX393" s="206"/>
      <c r="BY393" s="207"/>
      <c r="BZ393" s="207"/>
      <c r="CA393" s="207"/>
      <c r="CB393" s="180"/>
      <c r="CC393" s="178"/>
      <c r="CD393" s="178"/>
      <c r="CE393" s="180"/>
      <c r="CF393" s="180"/>
      <c r="CG393" s="180"/>
      <c r="CH393" s="180"/>
      <c r="CI393" s="178"/>
      <c r="CJ393" s="178"/>
      <c r="CK393" s="180"/>
      <c r="CL393" s="180"/>
      <c r="CM393" s="180"/>
      <c r="CN393" s="116"/>
      <c r="CO393" s="218">
        <f t="shared" si="143"/>
        <v>0.05</v>
      </c>
      <c r="CP393" s="100">
        <f t="shared" si="144"/>
        <v>0.05</v>
      </c>
      <c r="CQ393" s="218">
        <f t="shared" si="145"/>
        <v>0.05</v>
      </c>
      <c r="CR393" s="101">
        <v>0.05</v>
      </c>
      <c r="CS393" s="101">
        <v>0.05</v>
      </c>
      <c r="CZ393" s="123"/>
      <c r="DA393" s="122"/>
      <c r="DB393" s="122"/>
      <c r="DC393" s="123"/>
      <c r="DD393" s="123"/>
      <c r="DE393" s="123"/>
      <c r="DF393" s="122"/>
      <c r="DG393" s="122"/>
      <c r="DH393" s="122"/>
      <c r="DI393" s="122"/>
      <c r="DJ393" s="122"/>
      <c r="DK393" s="123"/>
      <c r="DL393" s="23"/>
      <c r="DM393" s="150"/>
      <c r="DN393" s="150"/>
      <c r="DO393" s="116"/>
    </row>
    <row r="394" spans="61:119" s="101" customFormat="1" ht="18.75" hidden="1" thickBot="1" x14ac:dyDescent="0.3">
      <c r="BI394" s="203" t="s">
        <v>90</v>
      </c>
      <c r="BJ394" s="190" t="s">
        <v>78</v>
      </c>
      <c r="BK394" s="196">
        <v>79.5</v>
      </c>
      <c r="BL394" s="190" t="s">
        <v>422</v>
      </c>
      <c r="BM394" s="189">
        <v>0.05</v>
      </c>
      <c r="BN394" s="189">
        <v>0.05</v>
      </c>
      <c r="BO394" s="188" t="s">
        <v>77</v>
      </c>
      <c r="BP394" s="206"/>
      <c r="BQ394" s="206"/>
      <c r="BR394" s="206"/>
      <c r="BS394" s="206"/>
      <c r="BT394" s="206"/>
      <c r="BU394" s="206"/>
      <c r="BV394" s="207"/>
      <c r="BW394" s="206"/>
      <c r="BX394" s="206"/>
      <c r="BY394" s="207"/>
      <c r="BZ394" s="207"/>
      <c r="CA394" s="207"/>
      <c r="CB394" s="180"/>
      <c r="CC394" s="178"/>
      <c r="CD394" s="178"/>
      <c r="CE394" s="180"/>
      <c r="CF394" s="180"/>
      <c r="CG394" s="180"/>
      <c r="CH394" s="180"/>
      <c r="CI394" s="178"/>
      <c r="CJ394" s="178"/>
      <c r="CK394" s="180"/>
      <c r="CL394" s="180"/>
      <c r="CM394" s="180"/>
      <c r="CN394" s="116"/>
      <c r="CO394" s="218">
        <f t="shared" si="143"/>
        <v>0.05</v>
      </c>
      <c r="CP394" s="100">
        <f t="shared" si="144"/>
        <v>0.05</v>
      </c>
      <c r="CQ394" s="218">
        <f t="shared" si="145"/>
        <v>0.05</v>
      </c>
      <c r="CR394" s="101">
        <v>0.05</v>
      </c>
      <c r="CS394" s="101">
        <v>0.05</v>
      </c>
      <c r="CZ394" s="123"/>
      <c r="DA394" s="122"/>
      <c r="DB394" s="122"/>
      <c r="DC394" s="123"/>
      <c r="DD394" s="123"/>
      <c r="DE394" s="123"/>
      <c r="DF394" s="122"/>
      <c r="DG394" s="122"/>
      <c r="DH394" s="122"/>
      <c r="DI394" s="122"/>
      <c r="DJ394" s="122"/>
      <c r="DK394" s="123"/>
      <c r="DL394" s="23"/>
      <c r="DM394" s="150"/>
      <c r="DN394" s="150"/>
      <c r="DO394" s="116"/>
    </row>
    <row r="395" spans="61:119" s="101" customFormat="1" ht="18.75" hidden="1" thickBot="1" x14ac:dyDescent="0.3">
      <c r="BI395" s="203" t="s">
        <v>91</v>
      </c>
      <c r="BJ395" s="190" t="s">
        <v>78</v>
      </c>
      <c r="BK395" s="196">
        <v>73.42</v>
      </c>
      <c r="BL395" s="190" t="s">
        <v>422</v>
      </c>
      <c r="BM395" s="189">
        <v>0.05</v>
      </c>
      <c r="BN395" s="189">
        <v>0.05</v>
      </c>
      <c r="BO395" s="188" t="s">
        <v>77</v>
      </c>
      <c r="BP395" s="206"/>
      <c r="BQ395" s="206"/>
      <c r="BR395" s="206"/>
      <c r="BS395" s="206"/>
      <c r="BT395" s="206"/>
      <c r="BU395" s="206"/>
      <c r="BV395" s="207"/>
      <c r="BW395" s="206"/>
      <c r="BX395" s="206"/>
      <c r="BY395" s="207"/>
      <c r="BZ395" s="207"/>
      <c r="CA395" s="207"/>
      <c r="CB395" s="180"/>
      <c r="CC395" s="178"/>
      <c r="CD395" s="178"/>
      <c r="CE395" s="180"/>
      <c r="CF395" s="180"/>
      <c r="CG395" s="180"/>
      <c r="CH395" s="180"/>
      <c r="CI395" s="178"/>
      <c r="CJ395" s="178"/>
      <c r="CK395" s="180"/>
      <c r="CL395" s="180"/>
      <c r="CM395" s="180"/>
      <c r="CN395" s="116"/>
      <c r="CO395" s="218">
        <f t="shared" si="143"/>
        <v>0.05</v>
      </c>
      <c r="CP395" s="100">
        <f t="shared" si="144"/>
        <v>0.05</v>
      </c>
      <c r="CQ395" s="218">
        <f t="shared" si="145"/>
        <v>0.05</v>
      </c>
      <c r="CR395" s="101">
        <v>0.05</v>
      </c>
      <c r="CS395" s="101">
        <v>0.05</v>
      </c>
      <c r="CZ395" s="123"/>
      <c r="DA395" s="122"/>
      <c r="DB395" s="122"/>
      <c r="DC395" s="123"/>
      <c r="DD395" s="123"/>
      <c r="DE395" s="123"/>
      <c r="DF395" s="122"/>
      <c r="DG395" s="122"/>
      <c r="DH395" s="122"/>
      <c r="DI395" s="122"/>
      <c r="DJ395" s="122"/>
      <c r="DK395" s="123"/>
      <c r="DL395" s="23"/>
      <c r="DM395" s="150"/>
      <c r="DN395" s="150"/>
      <c r="DO395" s="116"/>
    </row>
    <row r="396" spans="61:119" s="101" customFormat="1" ht="18.75" hidden="1" thickBot="1" x14ac:dyDescent="0.3">
      <c r="BI396" s="203" t="s">
        <v>332</v>
      </c>
      <c r="BJ396" s="190" t="s">
        <v>78</v>
      </c>
      <c r="BK396" s="196">
        <v>131.06</v>
      </c>
      <c r="BL396" s="190" t="s">
        <v>422</v>
      </c>
      <c r="BM396" s="189">
        <v>0.05</v>
      </c>
      <c r="BN396" s="189">
        <v>0.05</v>
      </c>
      <c r="BO396" s="188" t="s">
        <v>77</v>
      </c>
      <c r="BP396" s="206"/>
      <c r="BQ396" s="206"/>
      <c r="BR396" s="206"/>
      <c r="BS396" s="206"/>
      <c r="BT396" s="206"/>
      <c r="BU396" s="206"/>
      <c r="BV396" s="207"/>
      <c r="BW396" s="206"/>
      <c r="BX396" s="206"/>
      <c r="BY396" s="207"/>
      <c r="BZ396" s="207"/>
      <c r="CA396" s="207"/>
      <c r="CB396" s="180"/>
      <c r="CC396" s="178"/>
      <c r="CD396" s="178"/>
      <c r="CE396" s="180"/>
      <c r="CF396" s="180"/>
      <c r="CG396" s="180"/>
      <c r="CH396" s="180"/>
      <c r="CI396" s="178"/>
      <c r="CJ396" s="178"/>
      <c r="CK396" s="180"/>
      <c r="CL396" s="180"/>
      <c r="CM396" s="180"/>
      <c r="CN396" s="116"/>
      <c r="CO396" s="218">
        <f t="shared" si="143"/>
        <v>0.05</v>
      </c>
      <c r="CP396" s="100">
        <f t="shared" si="144"/>
        <v>0.05</v>
      </c>
      <c r="CQ396" s="218">
        <f t="shared" si="145"/>
        <v>0.05</v>
      </c>
      <c r="CR396" s="101">
        <v>0.05</v>
      </c>
      <c r="CS396" s="101">
        <v>0.05</v>
      </c>
      <c r="CZ396" s="123"/>
      <c r="DA396" s="122"/>
      <c r="DB396" s="122"/>
      <c r="DC396" s="123"/>
      <c r="DD396" s="123"/>
      <c r="DE396" s="123"/>
      <c r="DF396" s="122"/>
      <c r="DG396" s="122"/>
      <c r="DH396" s="122"/>
      <c r="DI396" s="122"/>
      <c r="DJ396" s="122"/>
      <c r="DK396" s="123"/>
      <c r="DL396" s="23"/>
      <c r="DM396" s="150"/>
      <c r="DN396" s="150"/>
      <c r="DO396" s="116"/>
    </row>
    <row r="397" spans="61:119" s="101" customFormat="1" ht="18.75" hidden="1" thickBot="1" x14ac:dyDescent="0.3">
      <c r="BI397" s="203" t="s">
        <v>92</v>
      </c>
      <c r="BJ397" s="190" t="s">
        <v>78</v>
      </c>
      <c r="BK397" s="196">
        <v>196.94</v>
      </c>
      <c r="BL397" s="190" t="s">
        <v>422</v>
      </c>
      <c r="BM397" s="189">
        <v>0.05</v>
      </c>
      <c r="BN397" s="189">
        <v>0.05</v>
      </c>
      <c r="BO397" s="188" t="s">
        <v>77</v>
      </c>
      <c r="BP397" s="206"/>
      <c r="BQ397" s="206"/>
      <c r="BR397" s="206"/>
      <c r="BS397" s="206"/>
      <c r="BT397" s="206"/>
      <c r="BU397" s="206"/>
      <c r="BV397" s="207"/>
      <c r="BW397" s="206"/>
      <c r="BX397" s="206"/>
      <c r="BY397" s="207"/>
      <c r="BZ397" s="207"/>
      <c r="CA397" s="207"/>
      <c r="CB397" s="180"/>
      <c r="CC397" s="178"/>
      <c r="CD397" s="178"/>
      <c r="CE397" s="180"/>
      <c r="CF397" s="180"/>
      <c r="CG397" s="180"/>
      <c r="CH397" s="180"/>
      <c r="CI397" s="178"/>
      <c r="CJ397" s="178"/>
      <c r="CK397" s="180"/>
      <c r="CL397" s="180"/>
      <c r="CM397" s="180"/>
      <c r="CN397" s="116"/>
      <c r="CO397" s="218">
        <f t="shared" si="143"/>
        <v>0.05</v>
      </c>
      <c r="CP397" s="100">
        <f t="shared" si="144"/>
        <v>0.05</v>
      </c>
      <c r="CQ397" s="218">
        <f t="shared" si="145"/>
        <v>0.05</v>
      </c>
      <c r="CR397" s="101">
        <v>0.05</v>
      </c>
      <c r="CS397" s="101">
        <v>0.05</v>
      </c>
      <c r="CZ397" s="123"/>
      <c r="DA397" s="122"/>
      <c r="DB397" s="122"/>
      <c r="DC397" s="123"/>
      <c r="DD397" s="123"/>
      <c r="DE397" s="123"/>
      <c r="DF397" s="122"/>
      <c r="DG397" s="122"/>
      <c r="DH397" s="122"/>
      <c r="DI397" s="122"/>
      <c r="DJ397" s="122"/>
      <c r="DK397" s="123"/>
      <c r="DL397" s="23"/>
      <c r="DM397" s="150"/>
      <c r="DN397" s="150"/>
      <c r="DO397" s="116"/>
    </row>
    <row r="398" spans="61:119" s="101" customFormat="1" ht="18.75" hidden="1" thickBot="1" x14ac:dyDescent="0.3">
      <c r="BI398" s="203" t="s">
        <v>331</v>
      </c>
      <c r="BJ398" s="190" t="s">
        <v>78</v>
      </c>
      <c r="BK398" s="196">
        <v>188.24</v>
      </c>
      <c r="BL398" s="190" t="s">
        <v>422</v>
      </c>
      <c r="BM398" s="189">
        <v>0.05</v>
      </c>
      <c r="BN398" s="189">
        <v>0.05</v>
      </c>
      <c r="BO398" s="188" t="s">
        <v>77</v>
      </c>
      <c r="BP398" s="206"/>
      <c r="BQ398" s="206"/>
      <c r="BR398" s="206"/>
      <c r="BS398" s="206"/>
      <c r="BT398" s="206"/>
      <c r="BU398" s="206"/>
      <c r="BV398" s="207"/>
      <c r="BW398" s="206"/>
      <c r="BX398" s="206"/>
      <c r="BY398" s="207"/>
      <c r="BZ398" s="207"/>
      <c r="CA398" s="207"/>
      <c r="CB398" s="180"/>
      <c r="CC398" s="178"/>
      <c r="CD398" s="178"/>
      <c r="CE398" s="180"/>
      <c r="CF398" s="180"/>
      <c r="CG398" s="180"/>
      <c r="CH398" s="180"/>
      <c r="CI398" s="178"/>
      <c r="CJ398" s="178"/>
      <c r="CK398" s="180"/>
      <c r="CL398" s="180"/>
      <c r="CM398" s="180"/>
      <c r="CN398" s="116"/>
      <c r="CO398" s="218">
        <f t="shared" si="143"/>
        <v>0.05</v>
      </c>
      <c r="CP398" s="100">
        <f t="shared" si="144"/>
        <v>0.05</v>
      </c>
      <c r="CQ398" s="218">
        <f t="shared" si="145"/>
        <v>0.05</v>
      </c>
      <c r="CR398" s="101">
        <v>0.05</v>
      </c>
      <c r="CS398" s="101">
        <v>0.05</v>
      </c>
      <c r="CZ398" s="123"/>
      <c r="DA398" s="122"/>
      <c r="DB398" s="122"/>
      <c r="DC398" s="123"/>
      <c r="DD398" s="123"/>
      <c r="DE398" s="123"/>
      <c r="DF398" s="122"/>
      <c r="DG398" s="122"/>
      <c r="DH398" s="122"/>
      <c r="DI398" s="122"/>
      <c r="DJ398" s="122"/>
      <c r="DK398" s="123"/>
      <c r="DL398" s="23"/>
      <c r="DM398" s="150"/>
      <c r="DN398" s="150"/>
      <c r="DO398" s="116"/>
    </row>
    <row r="399" spans="61:119" s="101" customFormat="1" ht="18.75" hidden="1" thickBot="1" x14ac:dyDescent="0.3">
      <c r="BI399" s="203" t="s">
        <v>305</v>
      </c>
      <c r="BJ399" s="190" t="s">
        <v>78</v>
      </c>
      <c r="BK399" s="196">
        <v>166.07</v>
      </c>
      <c r="BL399" s="190" t="s">
        <v>422</v>
      </c>
      <c r="BM399" s="189">
        <v>0.05</v>
      </c>
      <c r="BN399" s="189">
        <v>0.05</v>
      </c>
      <c r="BO399" s="188" t="s">
        <v>77</v>
      </c>
      <c r="BP399" s="206"/>
      <c r="BQ399" s="206"/>
      <c r="BR399" s="206"/>
      <c r="BS399" s="206"/>
      <c r="BT399" s="206"/>
      <c r="BU399" s="206"/>
      <c r="BV399" s="207"/>
      <c r="BW399" s="206"/>
      <c r="BX399" s="206"/>
      <c r="BY399" s="207"/>
      <c r="BZ399" s="207"/>
      <c r="CA399" s="207"/>
      <c r="CB399" s="180"/>
      <c r="CC399" s="178"/>
      <c r="CD399" s="178"/>
      <c r="CE399" s="180"/>
      <c r="CF399" s="180"/>
      <c r="CG399" s="180"/>
      <c r="CH399" s="180"/>
      <c r="CI399" s="178"/>
      <c r="CJ399" s="178"/>
      <c r="CK399" s="180"/>
      <c r="CL399" s="180"/>
      <c r="CM399" s="180"/>
      <c r="CN399" s="116"/>
      <c r="CO399" s="218">
        <f t="shared" si="143"/>
        <v>0.05</v>
      </c>
      <c r="CP399" s="100">
        <f t="shared" si="144"/>
        <v>0.05</v>
      </c>
      <c r="CQ399" s="218">
        <f t="shared" si="145"/>
        <v>0.05</v>
      </c>
      <c r="CR399" s="101">
        <v>0.05</v>
      </c>
      <c r="CS399" s="101">
        <v>0.05</v>
      </c>
      <c r="CZ399" s="123"/>
      <c r="DA399" s="122"/>
      <c r="DB399" s="122"/>
      <c r="DC399" s="123"/>
      <c r="DD399" s="123"/>
      <c r="DE399" s="123"/>
      <c r="DF399" s="122"/>
      <c r="DG399" s="122"/>
      <c r="DH399" s="122"/>
      <c r="DI399" s="122"/>
      <c r="DJ399" s="122"/>
      <c r="DK399" s="123"/>
      <c r="DL399" s="23"/>
      <c r="DM399" s="150"/>
      <c r="DN399" s="150"/>
      <c r="DO399" s="116"/>
    </row>
    <row r="400" spans="61:119" s="101" customFormat="1" ht="18.75" hidden="1" thickBot="1" x14ac:dyDescent="0.3">
      <c r="BI400" s="203" t="s">
        <v>93</v>
      </c>
      <c r="BJ400" s="190" t="s">
        <v>78</v>
      </c>
      <c r="BK400" s="196">
        <v>176.09</v>
      </c>
      <c r="BL400" s="190" t="s">
        <v>422</v>
      </c>
      <c r="BM400" s="189">
        <v>0.05</v>
      </c>
      <c r="BN400" s="189">
        <v>0.05</v>
      </c>
      <c r="BO400" s="188" t="s">
        <v>77</v>
      </c>
      <c r="BP400" s="206"/>
      <c r="BQ400" s="206"/>
      <c r="BR400" s="206"/>
      <c r="BS400" s="206"/>
      <c r="BT400" s="206"/>
      <c r="BU400" s="206"/>
      <c r="BV400" s="207"/>
      <c r="BW400" s="206"/>
      <c r="BX400" s="206"/>
      <c r="BY400" s="207"/>
      <c r="BZ400" s="207"/>
      <c r="CA400" s="207"/>
      <c r="CB400" s="180"/>
      <c r="CC400" s="178"/>
      <c r="CD400" s="178"/>
      <c r="CE400" s="180"/>
      <c r="CF400" s="180"/>
      <c r="CG400" s="180"/>
      <c r="CH400" s="180"/>
      <c r="CI400" s="178"/>
      <c r="CJ400" s="178"/>
      <c r="CK400" s="180"/>
      <c r="CL400" s="180"/>
      <c r="CM400" s="180"/>
      <c r="CN400" s="116"/>
      <c r="CO400" s="218">
        <f t="shared" si="143"/>
        <v>0.05</v>
      </c>
      <c r="CP400" s="100">
        <f t="shared" si="144"/>
        <v>0.05</v>
      </c>
      <c r="CQ400" s="218">
        <f t="shared" si="145"/>
        <v>0.05</v>
      </c>
      <c r="CR400" s="101">
        <v>0.05</v>
      </c>
      <c r="CS400" s="101">
        <v>0.05</v>
      </c>
      <c r="CZ400" s="123"/>
      <c r="DA400" s="122"/>
      <c r="DB400" s="122"/>
      <c r="DC400" s="123"/>
      <c r="DD400" s="123"/>
      <c r="DE400" s="123"/>
      <c r="DF400" s="122"/>
      <c r="DG400" s="122"/>
      <c r="DH400" s="122"/>
      <c r="DI400" s="122"/>
      <c r="DJ400" s="122"/>
      <c r="DK400" s="123"/>
      <c r="DL400" s="23"/>
      <c r="DM400" s="150"/>
      <c r="DN400" s="150"/>
      <c r="DO400" s="116"/>
    </row>
    <row r="401" spans="61:119" s="101" customFormat="1" ht="18.75" hidden="1" thickBot="1" x14ac:dyDescent="0.3">
      <c r="BI401" s="203" t="s">
        <v>94</v>
      </c>
      <c r="BJ401" s="190" t="s">
        <v>78</v>
      </c>
      <c r="BK401" s="196">
        <v>162.44</v>
      </c>
      <c r="BL401" s="190" t="s">
        <v>422</v>
      </c>
      <c r="BM401" s="189">
        <v>0.05</v>
      </c>
      <c r="BN401" s="189">
        <v>0.05</v>
      </c>
      <c r="BO401" s="188" t="s">
        <v>77</v>
      </c>
      <c r="BP401" s="206"/>
      <c r="BQ401" s="206"/>
      <c r="BR401" s="206"/>
      <c r="BS401" s="206"/>
      <c r="BT401" s="206"/>
      <c r="BU401" s="206"/>
      <c r="BV401" s="207"/>
      <c r="BW401" s="206"/>
      <c r="BX401" s="206"/>
      <c r="BY401" s="207"/>
      <c r="BZ401" s="207"/>
      <c r="CA401" s="207"/>
      <c r="CB401" s="180"/>
      <c r="CC401" s="178"/>
      <c r="CD401" s="178"/>
      <c r="CE401" s="180"/>
      <c r="CF401" s="180"/>
      <c r="CG401" s="180"/>
      <c r="CH401" s="180"/>
      <c r="CI401" s="178"/>
      <c r="CJ401" s="178"/>
      <c r="CK401" s="180"/>
      <c r="CL401" s="180"/>
      <c r="CM401" s="180"/>
      <c r="CN401" s="116"/>
      <c r="CO401" s="218">
        <f t="shared" si="143"/>
        <v>0.05</v>
      </c>
      <c r="CP401" s="100">
        <f t="shared" si="144"/>
        <v>0.05</v>
      </c>
      <c r="CQ401" s="218">
        <f t="shared" si="145"/>
        <v>0.05</v>
      </c>
      <c r="CR401" s="101">
        <v>0.05</v>
      </c>
      <c r="CS401" s="101">
        <v>0.05</v>
      </c>
      <c r="CZ401" s="123"/>
      <c r="DA401" s="122"/>
      <c r="DB401" s="122"/>
      <c r="DC401" s="123"/>
      <c r="DD401" s="123"/>
      <c r="DE401" s="123"/>
      <c r="DF401" s="122"/>
      <c r="DG401" s="122"/>
      <c r="DH401" s="122"/>
      <c r="DI401" s="122"/>
      <c r="DJ401" s="122"/>
      <c r="DK401" s="123"/>
      <c r="DL401" s="23"/>
      <c r="DM401" s="150"/>
      <c r="DN401" s="150"/>
      <c r="DO401" s="116"/>
    </row>
    <row r="402" spans="61:119" s="101" customFormat="1" ht="18.75" hidden="1" thickBot="1" x14ac:dyDescent="0.3">
      <c r="BI402" s="203" t="s">
        <v>95</v>
      </c>
      <c r="BJ402" s="190" t="s">
        <v>78</v>
      </c>
      <c r="BK402" s="196">
        <v>39.6</v>
      </c>
      <c r="BL402" s="190" t="s">
        <v>422</v>
      </c>
      <c r="BM402" s="189">
        <v>0.05</v>
      </c>
      <c r="BN402" s="189">
        <v>0.05</v>
      </c>
      <c r="BO402" s="188" t="s">
        <v>77</v>
      </c>
      <c r="BP402" s="206"/>
      <c r="BQ402" s="206"/>
      <c r="BR402" s="206"/>
      <c r="BS402" s="206"/>
      <c r="BT402" s="206"/>
      <c r="BU402" s="206"/>
      <c r="BV402" s="207"/>
      <c r="BW402" s="206"/>
      <c r="BX402" s="206"/>
      <c r="BY402" s="207"/>
      <c r="BZ402" s="207"/>
      <c r="CA402" s="207"/>
      <c r="CB402" s="180"/>
      <c r="CC402" s="178"/>
      <c r="CD402" s="178"/>
      <c r="CE402" s="180"/>
      <c r="CF402" s="180"/>
      <c r="CG402" s="180"/>
      <c r="CH402" s="180"/>
      <c r="CI402" s="178"/>
      <c r="CJ402" s="178"/>
      <c r="CK402" s="180"/>
      <c r="CL402" s="180"/>
      <c r="CM402" s="180"/>
      <c r="CN402" s="116"/>
      <c r="CO402" s="218">
        <f t="shared" si="143"/>
        <v>0.05</v>
      </c>
      <c r="CP402" s="100">
        <f t="shared" si="144"/>
        <v>0.05</v>
      </c>
      <c r="CQ402" s="218">
        <f t="shared" si="145"/>
        <v>0.05</v>
      </c>
      <c r="CR402" s="101">
        <v>0.05</v>
      </c>
      <c r="CS402" s="101">
        <v>0.05</v>
      </c>
      <c r="CZ402" s="123"/>
      <c r="DA402" s="122"/>
      <c r="DB402" s="122"/>
      <c r="DC402" s="123"/>
      <c r="DD402" s="123"/>
      <c r="DE402" s="123"/>
      <c r="DF402" s="122"/>
      <c r="DG402" s="122"/>
      <c r="DH402" s="122"/>
      <c r="DI402" s="122"/>
      <c r="DJ402" s="122"/>
      <c r="DK402" s="123"/>
      <c r="DL402" s="23"/>
      <c r="DM402" s="150"/>
      <c r="DN402" s="150"/>
      <c r="DO402" s="116"/>
    </row>
    <row r="403" spans="61:119" s="101" customFormat="1" ht="18.75" hidden="1" thickBot="1" x14ac:dyDescent="0.3">
      <c r="BI403" s="203" t="s">
        <v>96</v>
      </c>
      <c r="BJ403" s="190" t="s">
        <v>78</v>
      </c>
      <c r="BK403" s="196">
        <v>83.35</v>
      </c>
      <c r="BL403" s="190" t="s">
        <v>422</v>
      </c>
      <c r="BM403" s="189">
        <v>0.05</v>
      </c>
      <c r="BN403" s="189">
        <v>0.05</v>
      </c>
      <c r="BO403" s="188" t="s">
        <v>77</v>
      </c>
      <c r="BP403" s="206"/>
      <c r="BQ403" s="206"/>
      <c r="BR403" s="206"/>
      <c r="BS403" s="206"/>
      <c r="BT403" s="206"/>
      <c r="BU403" s="206"/>
      <c r="BV403" s="207"/>
      <c r="BW403" s="206"/>
      <c r="BX403" s="206"/>
      <c r="BY403" s="207"/>
      <c r="BZ403" s="207"/>
      <c r="CA403" s="207"/>
      <c r="CB403" s="180"/>
      <c r="CC403" s="178"/>
      <c r="CD403" s="178"/>
      <c r="CE403" s="180"/>
      <c r="CF403" s="180"/>
      <c r="CG403" s="180"/>
      <c r="CH403" s="180"/>
      <c r="CI403" s="178"/>
      <c r="CJ403" s="178"/>
      <c r="CK403" s="180"/>
      <c r="CL403" s="180"/>
      <c r="CM403" s="180"/>
      <c r="CN403" s="116"/>
      <c r="CO403" s="218">
        <f t="shared" si="143"/>
        <v>0.05</v>
      </c>
      <c r="CP403" s="100">
        <f t="shared" si="144"/>
        <v>0.05</v>
      </c>
      <c r="CQ403" s="218">
        <f t="shared" si="145"/>
        <v>0.05</v>
      </c>
      <c r="CR403" s="101">
        <v>0.05</v>
      </c>
      <c r="CS403" s="101">
        <v>0.05</v>
      </c>
      <c r="CZ403" s="123"/>
      <c r="DA403" s="122"/>
      <c r="DB403" s="122"/>
      <c r="DC403" s="123"/>
      <c r="DD403" s="123"/>
      <c r="DE403" s="123"/>
      <c r="DF403" s="122"/>
      <c r="DG403" s="122"/>
      <c r="DH403" s="122"/>
      <c r="DI403" s="122"/>
      <c r="DJ403" s="122"/>
      <c r="DK403" s="123"/>
      <c r="DL403" s="23"/>
      <c r="DM403" s="150"/>
      <c r="DN403" s="150"/>
      <c r="DO403" s="116"/>
    </row>
    <row r="404" spans="61:119" s="101" customFormat="1" ht="15.75" hidden="1" thickBot="1" x14ac:dyDescent="0.3">
      <c r="BI404" s="203" t="s">
        <v>350</v>
      </c>
      <c r="BJ404" s="203" t="s">
        <v>632</v>
      </c>
      <c r="BK404" s="196">
        <v>1.05</v>
      </c>
      <c r="BL404" s="203" t="s">
        <v>633</v>
      </c>
      <c r="BM404" s="208">
        <v>0.05</v>
      </c>
      <c r="BN404" s="208">
        <v>0.05</v>
      </c>
      <c r="BO404" s="203" t="s">
        <v>351</v>
      </c>
      <c r="BP404" s="206"/>
      <c r="BQ404" s="206"/>
      <c r="BR404" s="206"/>
      <c r="BS404" s="206"/>
      <c r="BT404" s="206"/>
      <c r="BU404" s="206"/>
      <c r="BV404" s="207"/>
      <c r="BW404" s="206"/>
      <c r="BX404" s="206"/>
      <c r="BY404" s="207"/>
      <c r="BZ404" s="207"/>
      <c r="CA404" s="207"/>
      <c r="CB404" s="180"/>
      <c r="CC404" s="178"/>
      <c r="CD404" s="178"/>
      <c r="CE404" s="180"/>
      <c r="CF404" s="180"/>
      <c r="CG404" s="180"/>
      <c r="CH404" s="180"/>
      <c r="CI404" s="178"/>
      <c r="CJ404" s="178"/>
      <c r="CK404" s="180"/>
      <c r="CL404" s="180"/>
      <c r="CM404" s="180"/>
      <c r="CN404" s="116"/>
      <c r="CO404" s="218">
        <f t="shared" si="143"/>
        <v>0.05</v>
      </c>
      <c r="CP404" s="100">
        <f t="shared" si="144"/>
        <v>0.05</v>
      </c>
      <c r="CQ404" s="218">
        <f t="shared" si="145"/>
        <v>0.05</v>
      </c>
      <c r="CR404" s="101">
        <v>0.05</v>
      </c>
      <c r="CS404" s="101">
        <v>0.05</v>
      </c>
      <c r="CZ404" s="123"/>
      <c r="DA404" s="122"/>
      <c r="DB404" s="122"/>
      <c r="DC404" s="123"/>
      <c r="DD404" s="123"/>
      <c r="DE404" s="123"/>
      <c r="DF404" s="122"/>
      <c r="DG404" s="122"/>
      <c r="DH404" s="122"/>
      <c r="DI404" s="122"/>
      <c r="DJ404" s="122"/>
      <c r="DK404" s="123"/>
      <c r="DL404" s="23"/>
      <c r="DM404" s="150"/>
      <c r="DN404" s="150"/>
      <c r="DO404" s="116"/>
    </row>
    <row r="405" spans="61:119" s="101" customFormat="1" ht="26.25" hidden="1" thickBot="1" x14ac:dyDescent="0.3">
      <c r="BI405" s="203" t="s">
        <v>352</v>
      </c>
      <c r="BJ405" s="203" t="s">
        <v>632</v>
      </c>
      <c r="BK405" s="196">
        <v>1.44E-2</v>
      </c>
      <c r="BL405" s="203" t="s">
        <v>633</v>
      </c>
      <c r="BM405" s="208">
        <v>0.05</v>
      </c>
      <c r="BN405" s="208">
        <v>0.05</v>
      </c>
      <c r="BO405" s="203" t="s">
        <v>353</v>
      </c>
      <c r="BP405" s="206"/>
      <c r="BQ405" s="206"/>
      <c r="BR405" s="206"/>
      <c r="BS405" s="206"/>
      <c r="BT405" s="206"/>
      <c r="BU405" s="206"/>
      <c r="BV405" s="207"/>
      <c r="BW405" s="206"/>
      <c r="BX405" s="206"/>
      <c r="BY405" s="207"/>
      <c r="BZ405" s="207"/>
      <c r="CA405" s="207"/>
      <c r="CB405" s="180"/>
      <c r="CC405" s="178"/>
      <c r="CD405" s="178"/>
      <c r="CE405" s="180"/>
      <c r="CF405" s="180"/>
      <c r="CG405" s="180"/>
      <c r="CH405" s="180"/>
      <c r="CI405" s="178"/>
      <c r="CJ405" s="178"/>
      <c r="CK405" s="180"/>
      <c r="CL405" s="180"/>
      <c r="CM405" s="180"/>
      <c r="CN405" s="116"/>
      <c r="CO405" s="218">
        <f t="shared" si="143"/>
        <v>0.05</v>
      </c>
      <c r="CP405" s="100">
        <f t="shared" si="144"/>
        <v>0.05</v>
      </c>
      <c r="CQ405" s="218">
        <f t="shared" si="145"/>
        <v>0.05</v>
      </c>
      <c r="CR405" s="101">
        <v>0.05</v>
      </c>
      <c r="CS405" s="101">
        <v>0.05</v>
      </c>
      <c r="CZ405" s="123"/>
      <c r="DA405" s="122"/>
      <c r="DB405" s="122"/>
      <c r="DC405" s="123"/>
      <c r="DD405" s="123"/>
      <c r="DE405" s="123"/>
      <c r="DF405" s="122"/>
      <c r="DG405" s="122"/>
      <c r="DH405" s="122"/>
      <c r="DI405" s="122"/>
      <c r="DJ405" s="122"/>
      <c r="DK405" s="123"/>
      <c r="DL405" s="23"/>
      <c r="DM405" s="150"/>
      <c r="DN405" s="150"/>
      <c r="DO405" s="116"/>
    </row>
    <row r="406" spans="61:119" s="101" customFormat="1" ht="15.75" hidden="1" thickBot="1" x14ac:dyDescent="0.3">
      <c r="BI406" s="203" t="s">
        <v>354</v>
      </c>
      <c r="BJ406" s="203" t="s">
        <v>632</v>
      </c>
      <c r="BK406" s="196">
        <v>7.8200000000000006E-2</v>
      </c>
      <c r="BL406" s="203" t="s">
        <v>633</v>
      </c>
      <c r="BM406" s="208">
        <v>0.05</v>
      </c>
      <c r="BN406" s="208">
        <v>0.05</v>
      </c>
      <c r="BO406" s="203" t="s">
        <v>355</v>
      </c>
      <c r="BP406" s="206"/>
      <c r="BQ406" s="206"/>
      <c r="BR406" s="206"/>
      <c r="BS406" s="206"/>
      <c r="BT406" s="206"/>
      <c r="BU406" s="206"/>
      <c r="BV406" s="207"/>
      <c r="BW406" s="206"/>
      <c r="BX406" s="206"/>
      <c r="BY406" s="207"/>
      <c r="BZ406" s="207"/>
      <c r="CA406" s="207"/>
      <c r="CB406" s="180"/>
      <c r="CC406" s="178"/>
      <c r="CD406" s="178"/>
      <c r="CE406" s="180"/>
      <c r="CF406" s="180"/>
      <c r="CG406" s="180"/>
      <c r="CH406" s="180"/>
      <c r="CI406" s="178"/>
      <c r="CJ406" s="178"/>
      <c r="CK406" s="180"/>
      <c r="CL406" s="180"/>
      <c r="CM406" s="180"/>
      <c r="CN406" s="116"/>
      <c r="CO406" s="218">
        <f t="shared" si="143"/>
        <v>0.05</v>
      </c>
      <c r="CP406" s="100">
        <f t="shared" si="144"/>
        <v>0.05</v>
      </c>
      <c r="CQ406" s="218">
        <f t="shared" si="145"/>
        <v>0.05</v>
      </c>
      <c r="CR406" s="101">
        <v>0.05</v>
      </c>
      <c r="CS406" s="101">
        <v>0.05</v>
      </c>
      <c r="CZ406" s="123"/>
      <c r="DA406" s="122"/>
      <c r="DB406" s="122"/>
      <c r="DC406" s="123"/>
      <c r="DD406" s="123"/>
      <c r="DE406" s="123"/>
      <c r="DF406" s="122"/>
      <c r="DG406" s="122"/>
      <c r="DH406" s="122"/>
      <c r="DI406" s="122"/>
      <c r="DJ406" s="122"/>
      <c r="DK406" s="123"/>
      <c r="DL406" s="23"/>
      <c r="DM406" s="150"/>
      <c r="DN406" s="150"/>
      <c r="DO406" s="116"/>
    </row>
    <row r="407" spans="61:119" s="101" customFormat="1" hidden="1" x14ac:dyDescent="0.25">
      <c r="BI407" s="102"/>
      <c r="BJ407" s="178"/>
      <c r="BK407" s="178"/>
      <c r="BL407" s="178"/>
      <c r="BM407" s="169"/>
      <c r="BN407" s="169"/>
      <c r="BO407" s="169"/>
      <c r="BP407" s="206"/>
      <c r="BQ407" s="206"/>
      <c r="BR407" s="206"/>
      <c r="BS407" s="206"/>
      <c r="BT407" s="206"/>
      <c r="BU407" s="206"/>
      <c r="BV407" s="207"/>
      <c r="BW407" s="206"/>
      <c r="BX407" s="206"/>
      <c r="BY407" s="207"/>
      <c r="BZ407" s="207"/>
      <c r="CA407" s="207"/>
      <c r="CB407" s="180"/>
      <c r="CC407" s="178"/>
      <c r="CD407" s="178"/>
      <c r="CE407" s="180"/>
      <c r="CF407" s="180"/>
      <c r="CG407" s="180"/>
      <c r="CH407" s="180"/>
      <c r="CI407" s="178"/>
      <c r="CJ407" s="178"/>
      <c r="CK407" s="180"/>
      <c r="CL407" s="180"/>
      <c r="CM407" s="180"/>
      <c r="CN407" s="116"/>
      <c r="CO407" s="218">
        <f t="shared" si="143"/>
        <v>0</v>
      </c>
      <c r="CP407" s="100">
        <f t="shared" si="144"/>
        <v>0</v>
      </c>
      <c r="CQ407" s="218">
        <f t="shared" si="145"/>
        <v>0</v>
      </c>
      <c r="CZ407" s="123"/>
      <c r="DA407" s="122"/>
      <c r="DB407" s="122"/>
      <c r="DC407" s="123"/>
      <c r="DD407" s="123"/>
      <c r="DE407" s="123"/>
      <c r="DF407" s="122"/>
      <c r="DG407" s="122"/>
      <c r="DH407" s="122"/>
      <c r="DI407" s="122"/>
      <c r="DJ407" s="122"/>
      <c r="DK407" s="123"/>
      <c r="DL407" s="23"/>
      <c r="DM407" s="150"/>
      <c r="DN407" s="150"/>
      <c r="DO407" s="116"/>
    </row>
    <row r="408" spans="61:119" s="101" customFormat="1" hidden="1" x14ac:dyDescent="0.25">
      <c r="BI408" s="102"/>
      <c r="BJ408" s="178"/>
      <c r="BK408" s="178"/>
      <c r="BL408" s="178"/>
      <c r="BM408" s="169"/>
      <c r="BN408" s="169"/>
      <c r="BO408" s="169"/>
      <c r="BP408" s="206"/>
      <c r="BQ408" s="206"/>
      <c r="BR408" s="206"/>
      <c r="BS408" s="206"/>
      <c r="BT408" s="206"/>
      <c r="BU408" s="206"/>
      <c r="BV408" s="207"/>
      <c r="BW408" s="206"/>
      <c r="BX408" s="206"/>
      <c r="BY408" s="207"/>
      <c r="BZ408" s="207"/>
      <c r="CA408" s="207"/>
      <c r="CB408" s="180"/>
      <c r="CC408" s="178"/>
      <c r="CD408" s="178"/>
      <c r="CE408" s="180"/>
      <c r="CF408" s="180"/>
      <c r="CG408" s="180"/>
      <c r="CH408" s="180"/>
      <c r="CI408" s="178"/>
      <c r="CJ408" s="178"/>
      <c r="CK408" s="180"/>
      <c r="CL408" s="180"/>
      <c r="CM408" s="180"/>
      <c r="CN408" s="116"/>
      <c r="CO408" s="218">
        <f t="shared" si="143"/>
        <v>0</v>
      </c>
      <c r="CP408" s="100">
        <f t="shared" si="144"/>
        <v>0</v>
      </c>
      <c r="CQ408" s="218">
        <f t="shared" si="145"/>
        <v>0</v>
      </c>
      <c r="CZ408" s="123"/>
      <c r="DA408" s="122"/>
      <c r="DB408" s="122"/>
      <c r="DC408" s="123"/>
      <c r="DD408" s="123"/>
      <c r="DE408" s="123"/>
      <c r="DF408" s="122"/>
      <c r="DG408" s="122"/>
      <c r="DH408" s="122"/>
      <c r="DI408" s="122"/>
      <c r="DJ408" s="122"/>
      <c r="DK408" s="123"/>
      <c r="DL408" s="23"/>
      <c r="DM408" s="150"/>
      <c r="DN408" s="150"/>
      <c r="DO408" s="116"/>
    </row>
    <row r="409" spans="61:119" s="101" customFormat="1" hidden="1" x14ac:dyDescent="0.25">
      <c r="BI409" s="102"/>
      <c r="BJ409" s="178"/>
      <c r="BK409" s="178"/>
      <c r="BL409" s="178"/>
      <c r="BM409" s="169"/>
      <c r="BN409" s="169"/>
      <c r="BO409" s="169"/>
      <c r="BP409" s="206"/>
      <c r="BQ409" s="206"/>
      <c r="BR409" s="206"/>
      <c r="BS409" s="206"/>
      <c r="BT409" s="206"/>
      <c r="BU409" s="206"/>
      <c r="BV409" s="207"/>
      <c r="BW409" s="206"/>
      <c r="BX409" s="206"/>
      <c r="BY409" s="207"/>
      <c r="BZ409" s="207"/>
      <c r="CA409" s="207"/>
      <c r="CB409" s="180"/>
      <c r="CC409" s="178"/>
      <c r="CD409" s="178"/>
      <c r="CE409" s="180"/>
      <c r="CF409" s="180"/>
      <c r="CG409" s="180"/>
      <c r="CH409" s="180"/>
      <c r="CI409" s="178"/>
      <c r="CJ409" s="178"/>
      <c r="CK409" s="180"/>
      <c r="CL409" s="180"/>
      <c r="CM409" s="180"/>
      <c r="CN409" s="116"/>
      <c r="CO409" s="218">
        <f t="shared" si="143"/>
        <v>0</v>
      </c>
      <c r="CP409" s="100">
        <f t="shared" si="144"/>
        <v>0</v>
      </c>
      <c r="CQ409" s="218">
        <f t="shared" si="145"/>
        <v>0</v>
      </c>
      <c r="CZ409" s="123"/>
      <c r="DA409" s="122"/>
      <c r="DB409" s="122"/>
      <c r="DC409" s="123"/>
      <c r="DD409" s="123"/>
      <c r="DE409" s="123"/>
      <c r="DF409" s="122"/>
      <c r="DG409" s="122"/>
      <c r="DH409" s="122"/>
      <c r="DI409" s="122"/>
      <c r="DJ409" s="122"/>
      <c r="DK409" s="123"/>
      <c r="DL409" s="23"/>
      <c r="DM409" s="150"/>
      <c r="DN409" s="150"/>
      <c r="DO409" s="116"/>
    </row>
    <row r="410" spans="61:119" s="101" customFormat="1" ht="15" hidden="1" customHeight="1" x14ac:dyDescent="0.25">
      <c r="BI410" s="1606" t="s">
        <v>301</v>
      </c>
      <c r="BJ410" s="251"/>
      <c r="BK410" s="1606" t="s">
        <v>302</v>
      </c>
      <c r="BL410" s="251"/>
      <c r="BM410" s="1606" t="s">
        <v>233</v>
      </c>
      <c r="BN410" s="1606" t="s">
        <v>233</v>
      </c>
      <c r="BO410" s="1606" t="s">
        <v>240</v>
      </c>
      <c r="BP410" s="206"/>
      <c r="BQ410" s="206"/>
      <c r="BR410" s="206"/>
      <c r="BS410" s="206"/>
      <c r="BT410" s="206"/>
      <c r="BU410" s="206"/>
      <c r="BV410" s="207"/>
      <c r="BW410" s="206"/>
      <c r="BX410" s="206"/>
      <c r="BY410" s="207"/>
      <c r="BZ410" s="207"/>
      <c r="CA410" s="207"/>
      <c r="CB410" s="180"/>
      <c r="CC410" s="178"/>
      <c r="CD410" s="178"/>
      <c r="CE410" s="180"/>
      <c r="CF410" s="180"/>
      <c r="CG410" s="180"/>
      <c r="CH410" s="180"/>
      <c r="CI410" s="178"/>
      <c r="CJ410" s="178"/>
      <c r="CK410" s="180"/>
      <c r="CL410" s="180"/>
      <c r="CM410" s="180"/>
      <c r="CN410" s="116"/>
      <c r="CO410" s="218" t="str">
        <f t="shared" si="143"/>
        <v>Incertidumbre (+/- %)</v>
      </c>
      <c r="CP410" s="100" t="e">
        <f t="shared" si="144"/>
        <v>#VALUE!</v>
      </c>
      <c r="CQ410" s="218" t="str">
        <f t="shared" si="145"/>
        <v>Incertidumbre (+/- %)</v>
      </c>
      <c r="CZ410" s="123"/>
      <c r="DA410" s="122"/>
      <c r="DB410" s="122"/>
      <c r="DC410" s="123"/>
      <c r="DD410" s="123"/>
      <c r="DE410" s="123"/>
      <c r="DF410" s="122"/>
      <c r="DG410" s="122"/>
      <c r="DH410" s="122"/>
      <c r="DI410" s="122"/>
      <c r="DJ410" s="122"/>
      <c r="DK410" s="123"/>
      <c r="DL410" s="23"/>
      <c r="DM410" s="150"/>
      <c r="DN410" s="150"/>
      <c r="DO410" s="116"/>
    </row>
    <row r="411" spans="61:119" s="101" customFormat="1" ht="15.75" hidden="1" thickBot="1" x14ac:dyDescent="0.3">
      <c r="BI411" s="1607"/>
      <c r="BJ411" s="252" t="s">
        <v>253</v>
      </c>
      <c r="BK411" s="1607"/>
      <c r="BL411" s="252" t="s">
        <v>251</v>
      </c>
      <c r="BM411" s="1607"/>
      <c r="BN411" s="1607"/>
      <c r="BO411" s="1607"/>
      <c r="BP411" s="206"/>
      <c r="BQ411" s="206"/>
      <c r="BR411" s="206"/>
      <c r="BS411" s="206"/>
      <c r="BT411" s="206"/>
      <c r="BU411" s="206"/>
      <c r="BV411" s="207"/>
      <c r="BW411" s="206"/>
      <c r="BX411" s="206"/>
      <c r="BY411" s="207"/>
      <c r="BZ411" s="207"/>
      <c r="CA411" s="207"/>
      <c r="CB411" s="180"/>
      <c r="CC411" s="178"/>
      <c r="CD411" s="178"/>
      <c r="CE411" s="180"/>
      <c r="CF411" s="180"/>
      <c r="CG411" s="180"/>
      <c r="CH411" s="180"/>
      <c r="CI411" s="178"/>
      <c r="CJ411" s="178"/>
      <c r="CK411" s="180"/>
      <c r="CL411" s="180"/>
      <c r="CM411" s="180"/>
      <c r="CN411" s="116"/>
      <c r="CO411" s="218">
        <f t="shared" si="143"/>
        <v>0</v>
      </c>
      <c r="CP411" s="100">
        <f t="shared" si="144"/>
        <v>0</v>
      </c>
      <c r="CQ411" s="218">
        <f t="shared" si="145"/>
        <v>0</v>
      </c>
      <c r="CZ411" s="123"/>
      <c r="DA411" s="122"/>
      <c r="DB411" s="122"/>
      <c r="DC411" s="123"/>
      <c r="DD411" s="123"/>
      <c r="DE411" s="123"/>
      <c r="DF411" s="122"/>
      <c r="DG411" s="122"/>
      <c r="DH411" s="122"/>
      <c r="DI411" s="122"/>
      <c r="DJ411" s="122"/>
      <c r="DK411" s="123"/>
      <c r="DL411" s="23"/>
      <c r="DM411" s="150"/>
      <c r="DN411" s="150"/>
      <c r="DO411" s="116"/>
    </row>
    <row r="412" spans="61:119" s="101" customFormat="1" ht="18.75" hidden="1" customHeight="1" x14ac:dyDescent="0.25">
      <c r="BI412" s="203" t="s">
        <v>68</v>
      </c>
      <c r="BJ412" s="190" t="s">
        <v>49</v>
      </c>
      <c r="BK412" s="196">
        <v>1.05</v>
      </c>
      <c r="BL412" s="190" t="s">
        <v>418</v>
      </c>
      <c r="BM412" s="189">
        <v>0.01</v>
      </c>
      <c r="BN412" s="189">
        <v>0.5</v>
      </c>
      <c r="BO412" s="209" t="s">
        <v>341</v>
      </c>
      <c r="BP412" s="206"/>
      <c r="BQ412" s="206"/>
      <c r="BR412" s="206"/>
      <c r="BS412" s="206"/>
      <c r="BT412" s="206"/>
      <c r="BU412" s="206"/>
      <c r="BV412" s="207"/>
      <c r="BW412" s="206"/>
      <c r="BX412" s="206"/>
      <c r="BY412" s="207"/>
      <c r="BZ412" s="207"/>
      <c r="CA412" s="207"/>
      <c r="CB412" s="180"/>
      <c r="CC412" s="178"/>
      <c r="CD412" s="178"/>
      <c r="CE412" s="180"/>
      <c r="CF412" s="180"/>
      <c r="CG412" s="180"/>
      <c r="CH412" s="180"/>
      <c r="CI412" s="178"/>
      <c r="CJ412" s="178"/>
      <c r="CK412" s="180"/>
      <c r="CL412" s="180"/>
      <c r="CM412" s="180"/>
      <c r="CN412" s="116"/>
      <c r="CO412" s="218">
        <f t="shared" si="143"/>
        <v>0.01</v>
      </c>
      <c r="CP412" s="100">
        <f t="shared" si="144"/>
        <v>0.255</v>
      </c>
      <c r="CQ412" s="218">
        <f t="shared" si="145"/>
        <v>0.5</v>
      </c>
      <c r="CR412" s="101">
        <v>0.01</v>
      </c>
      <c r="CS412" s="101">
        <v>0.5</v>
      </c>
      <c r="CZ412" s="123"/>
      <c r="DA412" s="122"/>
      <c r="DB412" s="122"/>
      <c r="DC412" s="123"/>
      <c r="DD412" s="123"/>
      <c r="DE412" s="123"/>
      <c r="DF412" s="122"/>
      <c r="DG412" s="122"/>
      <c r="DH412" s="122"/>
      <c r="DI412" s="122"/>
      <c r="DJ412" s="122"/>
      <c r="DK412" s="123"/>
      <c r="DL412" s="23"/>
      <c r="DM412" s="150"/>
      <c r="DN412" s="150"/>
      <c r="DO412" s="116"/>
    </row>
    <row r="413" spans="61:119" s="101" customFormat="1" ht="18.75" hidden="1" customHeight="1" x14ac:dyDescent="0.25">
      <c r="BI413" s="203" t="s">
        <v>69</v>
      </c>
      <c r="BJ413" s="190" t="s">
        <v>49</v>
      </c>
      <c r="BK413" s="196">
        <v>0.81</v>
      </c>
      <c r="BL413" s="190" t="s">
        <v>418</v>
      </c>
      <c r="BM413" s="189">
        <v>0.01</v>
      </c>
      <c r="BN413" s="189">
        <v>0.5</v>
      </c>
      <c r="BO413" s="210" t="s">
        <v>320</v>
      </c>
      <c r="BP413" s="206"/>
      <c r="BQ413" s="206"/>
      <c r="BR413" s="206"/>
      <c r="BS413" s="206"/>
      <c r="BT413" s="206"/>
      <c r="BU413" s="206"/>
      <c r="BV413" s="207"/>
      <c r="BW413" s="206"/>
      <c r="BX413" s="206"/>
      <c r="BY413" s="207"/>
      <c r="BZ413" s="207"/>
      <c r="CA413" s="207"/>
      <c r="CB413" s="180"/>
      <c r="CC413" s="178"/>
      <c r="CD413" s="178"/>
      <c r="CE413" s="180"/>
      <c r="CF413" s="180"/>
      <c r="CG413" s="180"/>
      <c r="CH413" s="180"/>
      <c r="CI413" s="178"/>
      <c r="CJ413" s="178"/>
      <c r="CK413" s="180"/>
      <c r="CL413" s="180"/>
      <c r="CM413" s="180"/>
      <c r="CN413" s="116"/>
      <c r="CO413" s="218">
        <f t="shared" si="143"/>
        <v>0.01</v>
      </c>
      <c r="CP413" s="100">
        <f t="shared" si="144"/>
        <v>0.255</v>
      </c>
      <c r="CQ413" s="218">
        <f t="shared" si="145"/>
        <v>0.5</v>
      </c>
      <c r="CR413" s="101">
        <v>0.01</v>
      </c>
      <c r="CS413" s="101">
        <v>0.5</v>
      </c>
      <c r="CZ413" s="123"/>
      <c r="DA413" s="122"/>
      <c r="DB413" s="122"/>
      <c r="DC413" s="123"/>
      <c r="DD413" s="123"/>
      <c r="DE413" s="123"/>
      <c r="DF413" s="122"/>
      <c r="DG413" s="122"/>
      <c r="DH413" s="122"/>
      <c r="DI413" s="122"/>
      <c r="DJ413" s="122"/>
      <c r="DK413" s="123"/>
      <c r="DL413" s="23"/>
      <c r="DM413" s="150"/>
      <c r="DN413" s="150"/>
      <c r="DO413" s="116"/>
    </row>
    <row r="414" spans="61:119" s="101" customFormat="1" ht="18.75" hidden="1" customHeight="1" x14ac:dyDescent="0.25">
      <c r="BI414" s="203" t="s">
        <v>317</v>
      </c>
      <c r="BJ414" s="190" t="s">
        <v>49</v>
      </c>
      <c r="BK414" s="196">
        <v>0.83</v>
      </c>
      <c r="BL414" s="190" t="s">
        <v>418</v>
      </c>
      <c r="BM414" s="189">
        <v>0.01</v>
      </c>
      <c r="BN414" s="189">
        <v>0.5</v>
      </c>
      <c r="BO414" s="209" t="s">
        <v>342</v>
      </c>
      <c r="BP414" s="206"/>
      <c r="BQ414" s="206"/>
      <c r="BR414" s="206"/>
      <c r="BS414" s="206"/>
      <c r="BT414" s="206"/>
      <c r="BU414" s="206"/>
      <c r="BV414" s="207"/>
      <c r="BW414" s="206"/>
      <c r="BX414" s="206"/>
      <c r="BY414" s="207"/>
      <c r="BZ414" s="207"/>
      <c r="CA414" s="207"/>
      <c r="CB414" s="180"/>
      <c r="CC414" s="178"/>
      <c r="CD414" s="178"/>
      <c r="CE414" s="180"/>
      <c r="CF414" s="180"/>
      <c r="CG414" s="180"/>
      <c r="CH414" s="180"/>
      <c r="CI414" s="178"/>
      <c r="CJ414" s="178"/>
      <c r="CK414" s="180"/>
      <c r="CL414" s="180"/>
      <c r="CM414" s="180"/>
      <c r="CN414" s="116"/>
      <c r="CO414" s="218">
        <f t="shared" si="143"/>
        <v>0.01</v>
      </c>
      <c r="CP414" s="100">
        <f t="shared" si="144"/>
        <v>0.255</v>
      </c>
      <c r="CQ414" s="218">
        <f t="shared" si="145"/>
        <v>0.5</v>
      </c>
      <c r="CR414" s="101">
        <v>0.01</v>
      </c>
      <c r="CS414" s="101">
        <v>0.5</v>
      </c>
      <c r="CZ414" s="123"/>
      <c r="DA414" s="122"/>
      <c r="DB414" s="122"/>
      <c r="DC414" s="123"/>
      <c r="DD414" s="123"/>
      <c r="DE414" s="123"/>
      <c r="DF414" s="122"/>
      <c r="DG414" s="122"/>
      <c r="DH414" s="122"/>
      <c r="DI414" s="122"/>
      <c r="DJ414" s="122"/>
      <c r="DK414" s="123"/>
      <c r="DL414" s="23"/>
      <c r="DM414" s="150"/>
      <c r="DN414" s="150"/>
      <c r="DO414" s="116"/>
    </row>
    <row r="415" spans="61:119" s="101" customFormat="1" ht="18.75" hidden="1" customHeight="1" x14ac:dyDescent="0.25">
      <c r="BI415" s="203" t="s">
        <v>318</v>
      </c>
      <c r="BJ415" s="190" t="s">
        <v>49</v>
      </c>
      <c r="BK415" s="196">
        <v>1.39</v>
      </c>
      <c r="BL415" s="190" t="s">
        <v>418</v>
      </c>
      <c r="BM415" s="189">
        <v>0.01</v>
      </c>
      <c r="BN415" s="189">
        <v>0.5</v>
      </c>
      <c r="BO415" s="209" t="s">
        <v>342</v>
      </c>
      <c r="BP415" s="206"/>
      <c r="BQ415" s="206"/>
      <c r="BR415" s="206"/>
      <c r="BS415" s="206"/>
      <c r="BT415" s="206"/>
      <c r="BU415" s="206"/>
      <c r="BV415" s="207"/>
      <c r="BW415" s="206"/>
      <c r="BX415" s="206"/>
      <c r="BY415" s="207"/>
      <c r="BZ415" s="207"/>
      <c r="CA415" s="207"/>
      <c r="CB415" s="180"/>
      <c r="CC415" s="178"/>
      <c r="CD415" s="178"/>
      <c r="CE415" s="180"/>
      <c r="CF415" s="180"/>
      <c r="CG415" s="180"/>
      <c r="CH415" s="180"/>
      <c r="CI415" s="178"/>
      <c r="CJ415" s="178"/>
      <c r="CK415" s="180"/>
      <c r="CL415" s="180"/>
      <c r="CM415" s="180"/>
      <c r="CN415" s="116"/>
      <c r="CO415" s="218">
        <f t="shared" si="143"/>
        <v>0.01</v>
      </c>
      <c r="CP415" s="100">
        <f t="shared" si="144"/>
        <v>0.255</v>
      </c>
      <c r="CQ415" s="218">
        <f t="shared" si="145"/>
        <v>0.5</v>
      </c>
      <c r="CR415" s="101">
        <v>0.01</v>
      </c>
      <c r="CS415" s="101">
        <v>0.5</v>
      </c>
      <c r="CZ415" s="123"/>
      <c r="DA415" s="122"/>
      <c r="DB415" s="122"/>
      <c r="DC415" s="123"/>
      <c r="DD415" s="123"/>
      <c r="DE415" s="123"/>
      <c r="DF415" s="122"/>
      <c r="DG415" s="122"/>
      <c r="DH415" s="122"/>
      <c r="DI415" s="122"/>
      <c r="DJ415" s="122"/>
      <c r="DK415" s="123"/>
      <c r="DL415" s="23"/>
      <c r="DM415" s="150"/>
      <c r="DN415" s="150"/>
      <c r="DO415" s="116"/>
    </row>
    <row r="416" spans="61:119" s="101" customFormat="1" ht="18.75" hidden="1" customHeight="1" x14ac:dyDescent="0.25">
      <c r="BI416" s="203" t="s">
        <v>326</v>
      </c>
      <c r="BJ416" s="190" t="s">
        <v>49</v>
      </c>
      <c r="BK416" s="196">
        <v>2.87</v>
      </c>
      <c r="BL416" s="190" t="s">
        <v>418</v>
      </c>
      <c r="BM416" s="189">
        <v>0.01</v>
      </c>
      <c r="BN416" s="189">
        <v>0.5</v>
      </c>
      <c r="BO416" s="210" t="s">
        <v>319</v>
      </c>
      <c r="BP416" s="206"/>
      <c r="BQ416" s="206"/>
      <c r="BR416" s="206"/>
      <c r="BS416" s="206"/>
      <c r="BT416" s="206"/>
      <c r="BU416" s="206"/>
      <c r="BV416" s="207"/>
      <c r="BW416" s="206"/>
      <c r="BX416" s="206"/>
      <c r="BY416" s="207"/>
      <c r="BZ416" s="207"/>
      <c r="CA416" s="207"/>
      <c r="CB416" s="180"/>
      <c r="CC416" s="178"/>
      <c r="CD416" s="178"/>
      <c r="CE416" s="180"/>
      <c r="CF416" s="180"/>
      <c r="CG416" s="180"/>
      <c r="CH416" s="180"/>
      <c r="CI416" s="178"/>
      <c r="CJ416" s="178"/>
      <c r="CK416" s="180"/>
      <c r="CL416" s="180"/>
      <c r="CM416" s="180"/>
      <c r="CN416" s="116"/>
      <c r="CO416" s="218">
        <f t="shared" si="143"/>
        <v>0.01</v>
      </c>
      <c r="CP416" s="100">
        <f t="shared" si="144"/>
        <v>0.255</v>
      </c>
      <c r="CQ416" s="218">
        <f t="shared" si="145"/>
        <v>0.5</v>
      </c>
      <c r="CR416" s="101">
        <v>0.01</v>
      </c>
      <c r="CS416" s="101">
        <v>0.5</v>
      </c>
      <c r="CZ416" s="123"/>
      <c r="DA416" s="122"/>
      <c r="DB416" s="122"/>
      <c r="DC416" s="123"/>
      <c r="DD416" s="123"/>
      <c r="DE416" s="123"/>
      <c r="DF416" s="122"/>
      <c r="DG416" s="122"/>
      <c r="DH416" s="122"/>
      <c r="DI416" s="122"/>
      <c r="DJ416" s="122"/>
      <c r="DK416" s="123"/>
      <c r="DL416" s="23"/>
      <c r="DM416" s="150"/>
      <c r="DN416" s="150"/>
      <c r="DO416" s="116"/>
    </row>
    <row r="417" spans="61:119" s="101" customFormat="1" ht="18.75" hidden="1" customHeight="1" x14ac:dyDescent="0.25">
      <c r="BI417" s="203" t="s">
        <v>327</v>
      </c>
      <c r="BJ417" s="190" t="s">
        <v>49</v>
      </c>
      <c r="BK417" s="196">
        <v>2.08</v>
      </c>
      <c r="BL417" s="190" t="s">
        <v>418</v>
      </c>
      <c r="BM417" s="189">
        <v>0.01</v>
      </c>
      <c r="BN417" s="189">
        <v>0.5</v>
      </c>
      <c r="BO417" s="210" t="s">
        <v>322</v>
      </c>
      <c r="BP417" s="206"/>
      <c r="BQ417" s="206"/>
      <c r="BR417" s="206"/>
      <c r="BS417" s="206"/>
      <c r="BT417" s="206"/>
      <c r="BU417" s="206"/>
      <c r="BV417" s="207"/>
      <c r="BW417" s="206"/>
      <c r="BX417" s="206"/>
      <c r="BY417" s="207"/>
      <c r="BZ417" s="207"/>
      <c r="CA417" s="207"/>
      <c r="CB417" s="180"/>
      <c r="CC417" s="178"/>
      <c r="CD417" s="178"/>
      <c r="CE417" s="180"/>
      <c r="CF417" s="180"/>
      <c r="CG417" s="180"/>
      <c r="CH417" s="180"/>
      <c r="CI417" s="178"/>
      <c r="CJ417" s="178"/>
      <c r="CK417" s="180"/>
      <c r="CL417" s="180"/>
      <c r="CM417" s="180"/>
      <c r="CN417" s="116"/>
      <c r="CO417" s="218">
        <f t="shared" si="143"/>
        <v>0.01</v>
      </c>
      <c r="CP417" s="100">
        <f t="shared" si="144"/>
        <v>0.255</v>
      </c>
      <c r="CQ417" s="218">
        <f t="shared" si="145"/>
        <v>0.5</v>
      </c>
      <c r="CR417" s="101">
        <v>0.01</v>
      </c>
      <c r="CS417" s="101">
        <v>0.5</v>
      </c>
      <c r="CZ417" s="123"/>
      <c r="DA417" s="122"/>
      <c r="DB417" s="122"/>
      <c r="DC417" s="123"/>
      <c r="DD417" s="123"/>
      <c r="DE417" s="123"/>
      <c r="DF417" s="122"/>
      <c r="DG417" s="122"/>
      <c r="DH417" s="122"/>
      <c r="DI417" s="122"/>
      <c r="DJ417" s="122"/>
      <c r="DK417" s="123"/>
      <c r="DL417" s="23"/>
      <c r="DM417" s="150"/>
      <c r="DN417" s="150"/>
      <c r="DO417" s="116"/>
    </row>
    <row r="418" spans="61:119" s="101" customFormat="1" ht="18.75" hidden="1" customHeight="1" x14ac:dyDescent="0.25">
      <c r="BI418" s="203" t="s">
        <v>328</v>
      </c>
      <c r="BJ418" s="190" t="s">
        <v>49</v>
      </c>
      <c r="BK418" s="196">
        <v>2.89</v>
      </c>
      <c r="BL418" s="190" t="s">
        <v>418</v>
      </c>
      <c r="BM418" s="189">
        <v>0.01</v>
      </c>
      <c r="BN418" s="189">
        <v>0.5</v>
      </c>
      <c r="BO418" s="210" t="s">
        <v>321</v>
      </c>
      <c r="BP418" s="206"/>
      <c r="BQ418" s="206"/>
      <c r="BR418" s="206"/>
      <c r="BS418" s="206"/>
      <c r="BT418" s="206"/>
      <c r="BU418" s="206"/>
      <c r="BV418" s="207"/>
      <c r="BW418" s="206"/>
      <c r="BX418" s="206"/>
      <c r="BY418" s="207"/>
      <c r="BZ418" s="207"/>
      <c r="CA418" s="207"/>
      <c r="CB418" s="180"/>
      <c r="CC418" s="178"/>
      <c r="CD418" s="178"/>
      <c r="CE418" s="180"/>
      <c r="CF418" s="180"/>
      <c r="CG418" s="180"/>
      <c r="CH418" s="180"/>
      <c r="CI418" s="178"/>
      <c r="CJ418" s="178"/>
      <c r="CK418" s="180"/>
      <c r="CL418" s="180"/>
      <c r="CM418" s="180"/>
      <c r="CN418" s="116"/>
      <c r="CO418" s="218">
        <f t="shared" si="143"/>
        <v>0.01</v>
      </c>
      <c r="CP418" s="100">
        <f t="shared" si="144"/>
        <v>0.255</v>
      </c>
      <c r="CQ418" s="218">
        <f t="shared" si="145"/>
        <v>0.5</v>
      </c>
      <c r="CR418" s="101">
        <v>0.01</v>
      </c>
      <c r="CS418" s="101">
        <v>0.5</v>
      </c>
      <c r="CZ418" s="123"/>
      <c r="DA418" s="122"/>
      <c r="DB418" s="122"/>
      <c r="DC418" s="123"/>
      <c r="DD418" s="123"/>
      <c r="DE418" s="123"/>
      <c r="DF418" s="122"/>
      <c r="DG418" s="122"/>
      <c r="DH418" s="122"/>
      <c r="DI418" s="122"/>
      <c r="DJ418" s="122"/>
      <c r="DK418" s="123"/>
      <c r="DL418" s="23"/>
      <c r="DM418" s="150"/>
      <c r="DN418" s="150"/>
      <c r="DO418" s="116"/>
    </row>
    <row r="419" spans="61:119" s="101" customFormat="1" ht="18.75" hidden="1" customHeight="1" x14ac:dyDescent="0.25">
      <c r="BI419" s="203" t="s">
        <v>323</v>
      </c>
      <c r="BJ419" s="190" t="s">
        <v>49</v>
      </c>
      <c r="BK419" s="196">
        <v>11.1</v>
      </c>
      <c r="BL419" s="190" t="s">
        <v>418</v>
      </c>
      <c r="BM419" s="189">
        <v>0.01</v>
      </c>
      <c r="BN419" s="189">
        <v>0.5</v>
      </c>
      <c r="BO419" s="210" t="s">
        <v>325</v>
      </c>
      <c r="BP419" s="206"/>
      <c r="BQ419" s="206"/>
      <c r="BR419" s="206"/>
      <c r="BS419" s="206"/>
      <c r="BT419" s="206"/>
      <c r="BU419" s="206"/>
      <c r="BV419" s="207"/>
      <c r="BW419" s="206"/>
      <c r="BX419" s="206"/>
      <c r="BY419" s="207"/>
      <c r="BZ419" s="207"/>
      <c r="CA419" s="207"/>
      <c r="CB419" s="180"/>
      <c r="CC419" s="178"/>
      <c r="CD419" s="178"/>
      <c r="CE419" s="180"/>
      <c r="CF419" s="180"/>
      <c r="CG419" s="180"/>
      <c r="CH419" s="180"/>
      <c r="CI419" s="178"/>
      <c r="CJ419" s="178"/>
      <c r="CK419" s="180"/>
      <c r="CL419" s="180"/>
      <c r="CM419" s="180"/>
      <c r="CN419" s="116"/>
      <c r="CO419" s="218">
        <f t="shared" si="143"/>
        <v>0.01</v>
      </c>
      <c r="CP419" s="100">
        <f t="shared" si="144"/>
        <v>0.255</v>
      </c>
      <c r="CQ419" s="218">
        <f t="shared" si="145"/>
        <v>0.5</v>
      </c>
      <c r="CR419" s="101">
        <v>0.01</v>
      </c>
      <c r="CS419" s="101">
        <v>0.5</v>
      </c>
      <c r="CZ419" s="123"/>
      <c r="DA419" s="122"/>
      <c r="DB419" s="122"/>
      <c r="DC419" s="123"/>
      <c r="DD419" s="123"/>
      <c r="DE419" s="123"/>
      <c r="DF419" s="122"/>
      <c r="DG419" s="122"/>
      <c r="DH419" s="122"/>
      <c r="DI419" s="122"/>
      <c r="DJ419" s="122"/>
      <c r="DK419" s="123"/>
      <c r="DL419" s="23"/>
      <c r="DM419" s="150"/>
      <c r="DN419" s="150"/>
      <c r="DO419" s="116"/>
    </row>
    <row r="420" spans="61:119" s="101" customFormat="1" ht="18.75" hidden="1" customHeight="1" x14ac:dyDescent="0.25">
      <c r="BI420" s="203" t="s">
        <v>324</v>
      </c>
      <c r="BJ420" s="190" t="s">
        <v>49</v>
      </c>
      <c r="BK420" s="196">
        <v>2.33</v>
      </c>
      <c r="BL420" s="190" t="s">
        <v>418</v>
      </c>
      <c r="BM420" s="189">
        <v>0.01</v>
      </c>
      <c r="BN420" s="189">
        <v>0.5</v>
      </c>
      <c r="BO420" s="210" t="s">
        <v>329</v>
      </c>
      <c r="BP420" s="206"/>
      <c r="BQ420" s="206"/>
      <c r="BR420" s="206"/>
      <c r="BS420" s="206"/>
      <c r="BT420" s="206"/>
      <c r="BU420" s="206"/>
      <c r="BV420" s="207"/>
      <c r="BW420" s="206"/>
      <c r="BX420" s="206"/>
      <c r="BY420" s="207"/>
      <c r="BZ420" s="207"/>
      <c r="CA420" s="207"/>
      <c r="CB420" s="180"/>
      <c r="CC420" s="178"/>
      <c r="CD420" s="178"/>
      <c r="CE420" s="180"/>
      <c r="CF420" s="180"/>
      <c r="CG420" s="180"/>
      <c r="CH420" s="180"/>
      <c r="CI420" s="178"/>
      <c r="CJ420" s="178"/>
      <c r="CK420" s="180"/>
      <c r="CL420" s="180"/>
      <c r="CM420" s="180"/>
      <c r="CN420" s="116"/>
      <c r="CO420" s="218">
        <f t="shared" si="143"/>
        <v>0.01</v>
      </c>
      <c r="CP420" s="100">
        <f t="shared" si="144"/>
        <v>0.255</v>
      </c>
      <c r="CQ420" s="218">
        <f t="shared" si="145"/>
        <v>0.5</v>
      </c>
      <c r="CR420" s="101">
        <v>0.01</v>
      </c>
      <c r="CS420" s="101">
        <v>0.5</v>
      </c>
      <c r="CZ420" s="123"/>
      <c r="DA420" s="122"/>
      <c r="DB420" s="122"/>
      <c r="DC420" s="123"/>
      <c r="DD420" s="123"/>
      <c r="DE420" s="123"/>
      <c r="DF420" s="122"/>
      <c r="DG420" s="122"/>
      <c r="DH420" s="122"/>
      <c r="DI420" s="122"/>
      <c r="DJ420" s="122"/>
      <c r="DK420" s="123"/>
      <c r="DL420" s="23"/>
      <c r="DM420" s="150"/>
      <c r="DN420" s="150"/>
      <c r="DO420" s="116"/>
    </row>
    <row r="421" spans="61:119" s="101" customFormat="1" ht="18.75" hidden="1" customHeight="1" x14ac:dyDescent="0.25">
      <c r="BI421" s="203"/>
      <c r="BJ421" s="190"/>
      <c r="BK421" s="196"/>
      <c r="BL421" s="190"/>
      <c r="BM421" s="189"/>
      <c r="BN421" s="189"/>
      <c r="BO421" s="210"/>
      <c r="BP421" s="206"/>
      <c r="BQ421" s="206"/>
      <c r="BR421" s="206"/>
      <c r="BS421" s="206"/>
      <c r="BT421" s="206"/>
      <c r="BU421" s="206"/>
      <c r="BV421" s="207"/>
      <c r="BW421" s="206"/>
      <c r="BX421" s="206"/>
      <c r="BY421" s="207"/>
      <c r="BZ421" s="207"/>
      <c r="CA421" s="207"/>
      <c r="CB421" s="180"/>
      <c r="CC421" s="178"/>
      <c r="CD421" s="178"/>
      <c r="CE421" s="180"/>
      <c r="CF421" s="180"/>
      <c r="CG421" s="180"/>
      <c r="CH421" s="180"/>
      <c r="CI421" s="178"/>
      <c r="CJ421" s="178"/>
      <c r="CK421" s="180"/>
      <c r="CL421" s="180"/>
      <c r="CM421" s="180"/>
      <c r="CN421" s="116"/>
      <c r="CO421" s="218">
        <f t="shared" si="143"/>
        <v>0</v>
      </c>
      <c r="CP421" s="100">
        <f t="shared" si="144"/>
        <v>0</v>
      </c>
      <c r="CQ421" s="218">
        <f t="shared" si="145"/>
        <v>0</v>
      </c>
      <c r="CR421" s="101">
        <v>0.01</v>
      </c>
      <c r="CS421" s="101">
        <v>0.5</v>
      </c>
      <c r="CZ421" s="123"/>
      <c r="DA421" s="122"/>
      <c r="DB421" s="122"/>
      <c r="DC421" s="123"/>
      <c r="DD421" s="123"/>
      <c r="DE421" s="123"/>
      <c r="DF421" s="122"/>
      <c r="DG421" s="122"/>
      <c r="DH421" s="122"/>
      <c r="DI421" s="122"/>
      <c r="DJ421" s="122"/>
      <c r="DK421" s="123"/>
      <c r="DL421" s="23"/>
      <c r="DM421" s="150"/>
      <c r="DN421" s="150"/>
      <c r="DO421" s="116"/>
    </row>
    <row r="422" spans="61:119" s="101" customFormat="1" hidden="1" x14ac:dyDescent="0.25">
      <c r="BI422" s="102"/>
      <c r="BJ422" s="178"/>
      <c r="BK422" s="178"/>
      <c r="BL422" s="178"/>
      <c r="BM422" s="169"/>
      <c r="BN422" s="169"/>
      <c r="BO422" s="169"/>
      <c r="BP422" s="206"/>
      <c r="BQ422" s="206"/>
      <c r="BR422" s="206"/>
      <c r="BS422" s="206"/>
      <c r="BT422" s="206"/>
      <c r="BU422" s="206"/>
      <c r="BV422" s="207"/>
      <c r="BW422" s="206"/>
      <c r="BX422" s="206"/>
      <c r="BY422" s="207"/>
      <c r="BZ422" s="207"/>
      <c r="CA422" s="207"/>
      <c r="CB422" s="180"/>
      <c r="CC422" s="178"/>
      <c r="CD422" s="178"/>
      <c r="CE422" s="180"/>
      <c r="CF422" s="180"/>
      <c r="CG422" s="180"/>
      <c r="CH422" s="180"/>
      <c r="CI422" s="178"/>
      <c r="CJ422" s="178"/>
      <c r="CK422" s="180"/>
      <c r="CL422" s="180"/>
      <c r="CM422" s="180"/>
      <c r="CN422" s="116"/>
      <c r="CO422" s="218">
        <f t="shared" si="143"/>
        <v>0</v>
      </c>
      <c r="CP422" s="100">
        <f t="shared" si="144"/>
        <v>0</v>
      </c>
      <c r="CQ422" s="218">
        <f t="shared" si="145"/>
        <v>0</v>
      </c>
      <c r="CZ422" s="123"/>
      <c r="DA422" s="122"/>
      <c r="DB422" s="122"/>
      <c r="DC422" s="123"/>
      <c r="DD422" s="123"/>
      <c r="DE422" s="123"/>
      <c r="DF422" s="122"/>
      <c r="DG422" s="122"/>
      <c r="DH422" s="122"/>
      <c r="DI422" s="122"/>
      <c r="DJ422" s="122"/>
      <c r="DK422" s="123"/>
      <c r="DL422" s="23"/>
      <c r="DM422" s="150"/>
      <c r="DN422" s="150"/>
      <c r="DO422" s="116"/>
    </row>
    <row r="423" spans="61:119" s="101" customFormat="1" hidden="1" x14ac:dyDescent="0.25">
      <c r="BI423" s="102"/>
      <c r="BJ423" s="178"/>
      <c r="BK423" s="178"/>
      <c r="BL423" s="178"/>
      <c r="BM423" s="169"/>
      <c r="BN423" s="169"/>
      <c r="BO423" s="169"/>
      <c r="BP423" s="206"/>
      <c r="BQ423" s="206"/>
      <c r="BR423" s="206"/>
      <c r="BS423" s="206"/>
      <c r="BT423" s="206"/>
      <c r="BU423" s="206"/>
      <c r="BV423" s="207"/>
      <c r="BW423" s="206"/>
      <c r="BX423" s="206"/>
      <c r="BY423" s="207"/>
      <c r="BZ423" s="207"/>
      <c r="CA423" s="207"/>
      <c r="CB423" s="180"/>
      <c r="CC423" s="178"/>
      <c r="CD423" s="178"/>
      <c r="CE423" s="180"/>
      <c r="CF423" s="180"/>
      <c r="CG423" s="180"/>
      <c r="CH423" s="180"/>
      <c r="CI423" s="178"/>
      <c r="CJ423" s="178"/>
      <c r="CK423" s="180"/>
      <c r="CL423" s="180"/>
      <c r="CM423" s="180"/>
      <c r="CN423" s="116"/>
      <c r="CO423" s="218">
        <f t="shared" si="143"/>
        <v>0</v>
      </c>
      <c r="CP423" s="100">
        <f t="shared" si="144"/>
        <v>0</v>
      </c>
      <c r="CQ423" s="218">
        <f t="shared" si="145"/>
        <v>0</v>
      </c>
      <c r="CZ423" s="123"/>
      <c r="DA423" s="122"/>
      <c r="DB423" s="122"/>
      <c r="DC423" s="123"/>
      <c r="DD423" s="123"/>
      <c r="DE423" s="123"/>
      <c r="DF423" s="122"/>
      <c r="DG423" s="122"/>
      <c r="DH423" s="122"/>
      <c r="DI423" s="122"/>
      <c r="DJ423" s="122"/>
      <c r="DK423" s="123"/>
      <c r="DL423" s="23"/>
      <c r="DM423" s="150"/>
      <c r="DN423" s="150"/>
      <c r="DO423" s="116"/>
    </row>
    <row r="424" spans="61:119" s="101" customFormat="1" hidden="1" x14ac:dyDescent="0.25">
      <c r="BI424" s="102"/>
      <c r="BJ424" s="178"/>
      <c r="BK424" s="178"/>
      <c r="BL424" s="178"/>
      <c r="BM424" s="169"/>
      <c r="BN424" s="169"/>
      <c r="BO424" s="169"/>
      <c r="BP424" s="206"/>
      <c r="BQ424" s="206"/>
      <c r="BR424" s="206"/>
      <c r="BS424" s="206"/>
      <c r="BT424" s="206"/>
      <c r="BU424" s="206"/>
      <c r="BV424" s="207"/>
      <c r="BW424" s="206"/>
      <c r="BX424" s="206"/>
      <c r="BY424" s="207"/>
      <c r="BZ424" s="207"/>
      <c r="CA424" s="207"/>
      <c r="CB424" s="180"/>
      <c r="CC424" s="178"/>
      <c r="CD424" s="178"/>
      <c r="CE424" s="180"/>
      <c r="CF424" s="180"/>
      <c r="CG424" s="180"/>
      <c r="CH424" s="180"/>
      <c r="CI424" s="178"/>
      <c r="CJ424" s="178"/>
      <c r="CK424" s="180"/>
      <c r="CL424" s="180"/>
      <c r="CM424" s="180"/>
      <c r="CN424" s="116"/>
      <c r="CO424" s="218">
        <f t="shared" si="143"/>
        <v>0</v>
      </c>
      <c r="CP424" s="100">
        <f t="shared" si="144"/>
        <v>0</v>
      </c>
      <c r="CQ424" s="218">
        <f t="shared" si="145"/>
        <v>0</v>
      </c>
      <c r="CZ424" s="123"/>
      <c r="DA424" s="122"/>
      <c r="DB424" s="122"/>
      <c r="DC424" s="123"/>
      <c r="DD424" s="123"/>
      <c r="DE424" s="123"/>
      <c r="DF424" s="122"/>
      <c r="DG424" s="122"/>
      <c r="DH424" s="122"/>
      <c r="DI424" s="122"/>
      <c r="DJ424" s="122"/>
      <c r="DK424" s="123"/>
      <c r="DL424" s="23"/>
      <c r="DM424" s="150"/>
      <c r="DN424" s="150"/>
      <c r="DO424" s="116"/>
    </row>
    <row r="425" spans="61:119" s="101" customFormat="1" hidden="1" x14ac:dyDescent="0.25">
      <c r="BI425" s="102"/>
      <c r="BJ425" s="178"/>
      <c r="BK425" s="178"/>
      <c r="BL425" s="178"/>
      <c r="BM425" s="169"/>
      <c r="BN425" s="169"/>
      <c r="BO425" s="169"/>
      <c r="BP425" s="206"/>
      <c r="BQ425" s="206"/>
      <c r="BR425" s="206"/>
      <c r="BS425" s="206"/>
      <c r="BT425" s="206"/>
      <c r="BU425" s="206"/>
      <c r="BV425" s="207"/>
      <c r="BW425" s="206"/>
      <c r="BX425" s="206"/>
      <c r="BY425" s="207"/>
      <c r="BZ425" s="207"/>
      <c r="CA425" s="207"/>
      <c r="CB425" s="180"/>
      <c r="CC425" s="178"/>
      <c r="CD425" s="178"/>
      <c r="CE425" s="180"/>
      <c r="CF425" s="180"/>
      <c r="CG425" s="180"/>
      <c r="CH425" s="180"/>
      <c r="CI425" s="178"/>
      <c r="CJ425" s="178"/>
      <c r="CK425" s="180"/>
      <c r="CL425" s="180"/>
      <c r="CM425" s="180"/>
      <c r="CN425" s="116"/>
      <c r="CO425" s="218">
        <f t="shared" si="143"/>
        <v>0</v>
      </c>
      <c r="CP425" s="100">
        <f t="shared" si="144"/>
        <v>0</v>
      </c>
      <c r="CQ425" s="218">
        <f t="shared" si="145"/>
        <v>0</v>
      </c>
      <c r="CZ425" s="123"/>
      <c r="DA425" s="122"/>
      <c r="DB425" s="122"/>
      <c r="DC425" s="123"/>
      <c r="DD425" s="123"/>
      <c r="DE425" s="123"/>
      <c r="DF425" s="122"/>
      <c r="DG425" s="122"/>
      <c r="DH425" s="122"/>
      <c r="DI425" s="122"/>
      <c r="DJ425" s="122"/>
      <c r="DK425" s="123"/>
      <c r="DL425" s="23"/>
      <c r="DM425" s="150"/>
      <c r="DN425" s="150"/>
      <c r="DO425" s="116"/>
    </row>
    <row r="426" spans="61:119" s="101" customFormat="1" hidden="1" x14ac:dyDescent="0.25">
      <c r="BI426" s="102"/>
      <c r="BJ426" s="178"/>
      <c r="BK426" s="178"/>
      <c r="BL426" s="178"/>
      <c r="BM426" s="169"/>
      <c r="BN426" s="169"/>
      <c r="BO426" s="169"/>
      <c r="BP426" s="206"/>
      <c r="BQ426" s="206"/>
      <c r="BR426" s="206"/>
      <c r="BS426" s="206"/>
      <c r="BT426" s="206"/>
      <c r="BU426" s="206"/>
      <c r="BV426" s="207"/>
      <c r="BW426" s="206"/>
      <c r="BX426" s="206"/>
      <c r="BY426" s="207"/>
      <c r="BZ426" s="207"/>
      <c r="CA426" s="207"/>
      <c r="CB426" s="180"/>
      <c r="CC426" s="178"/>
      <c r="CD426" s="178"/>
      <c r="CE426" s="180"/>
      <c r="CF426" s="180"/>
      <c r="CG426" s="180"/>
      <c r="CH426" s="180"/>
      <c r="CI426" s="178"/>
      <c r="CJ426" s="178"/>
      <c r="CK426" s="180"/>
      <c r="CL426" s="180"/>
      <c r="CM426" s="180"/>
      <c r="CN426" s="116"/>
      <c r="CO426" s="218">
        <f t="shared" si="143"/>
        <v>0</v>
      </c>
      <c r="CP426" s="100">
        <f t="shared" si="144"/>
        <v>0</v>
      </c>
      <c r="CQ426" s="218">
        <f t="shared" si="145"/>
        <v>0</v>
      </c>
      <c r="CZ426" s="123"/>
      <c r="DA426" s="122"/>
      <c r="DB426" s="122"/>
      <c r="DC426" s="123"/>
      <c r="DD426" s="123"/>
      <c r="DE426" s="123"/>
      <c r="DF426" s="122"/>
      <c r="DG426" s="122"/>
      <c r="DH426" s="122"/>
      <c r="DI426" s="122"/>
      <c r="DJ426" s="122"/>
      <c r="DK426" s="123"/>
      <c r="DL426" s="23"/>
      <c r="DM426" s="150"/>
      <c r="DN426" s="150"/>
      <c r="DO426" s="116"/>
    </row>
    <row r="427" spans="61:119" s="101" customFormat="1" hidden="1" x14ac:dyDescent="0.25">
      <c r="BI427" s="102"/>
      <c r="BJ427" s="178"/>
      <c r="BK427" s="178"/>
      <c r="BL427" s="178"/>
      <c r="BM427" s="169"/>
      <c r="BN427" s="169"/>
      <c r="BO427" s="169"/>
      <c r="BP427" s="206"/>
      <c r="BQ427" s="206"/>
      <c r="BR427" s="206"/>
      <c r="BS427" s="206"/>
      <c r="BT427" s="206"/>
      <c r="BU427" s="206"/>
      <c r="BV427" s="207"/>
      <c r="BW427" s="206"/>
      <c r="BX427" s="206"/>
      <c r="BY427" s="207"/>
      <c r="BZ427" s="207"/>
      <c r="CA427" s="207"/>
      <c r="CB427" s="180"/>
      <c r="CC427" s="178"/>
      <c r="CD427" s="178"/>
      <c r="CE427" s="180"/>
      <c r="CF427" s="180"/>
      <c r="CG427" s="180"/>
      <c r="CH427" s="180"/>
      <c r="CI427" s="178"/>
      <c r="CJ427" s="178"/>
      <c r="CK427" s="180"/>
      <c r="CL427" s="180"/>
      <c r="CM427" s="180"/>
      <c r="CN427" s="116"/>
      <c r="CO427" s="218">
        <f t="shared" si="143"/>
        <v>0</v>
      </c>
      <c r="CP427" s="100">
        <f t="shared" si="144"/>
        <v>0</v>
      </c>
      <c r="CQ427" s="218">
        <f t="shared" si="145"/>
        <v>0</v>
      </c>
      <c r="CZ427" s="123"/>
      <c r="DA427" s="122"/>
      <c r="DB427" s="122"/>
      <c r="DC427" s="123"/>
      <c r="DD427" s="123"/>
      <c r="DE427" s="123"/>
      <c r="DF427" s="122"/>
      <c r="DG427" s="122"/>
      <c r="DH427" s="122"/>
      <c r="DI427" s="122"/>
      <c r="DJ427" s="122"/>
      <c r="DK427" s="123"/>
      <c r="DL427" s="23"/>
      <c r="DM427" s="150"/>
      <c r="DN427" s="150"/>
      <c r="DO427" s="116"/>
    </row>
    <row r="428" spans="61:119" s="101" customFormat="1" hidden="1" x14ac:dyDescent="0.25">
      <c r="BI428" s="102"/>
      <c r="BJ428" s="178"/>
      <c r="BK428" s="178"/>
      <c r="BL428" s="178"/>
      <c r="BM428" s="169"/>
      <c r="BN428" s="169"/>
      <c r="BO428" s="169"/>
      <c r="BP428" s="206"/>
      <c r="BQ428" s="206"/>
      <c r="BR428" s="206"/>
      <c r="BS428" s="206"/>
      <c r="BT428" s="206"/>
      <c r="BU428" s="206"/>
      <c r="BV428" s="207"/>
      <c r="BW428" s="206"/>
      <c r="BX428" s="206"/>
      <c r="BY428" s="207"/>
      <c r="BZ428" s="207"/>
      <c r="CA428" s="207"/>
      <c r="CB428" s="180"/>
      <c r="CC428" s="178"/>
      <c r="CD428" s="178"/>
      <c r="CE428" s="180"/>
      <c r="CF428" s="180"/>
      <c r="CG428" s="180"/>
      <c r="CH428" s="180"/>
      <c r="CI428" s="178"/>
      <c r="CJ428" s="178"/>
      <c r="CK428" s="180"/>
      <c r="CL428" s="180"/>
      <c r="CM428" s="180"/>
      <c r="CN428" s="116"/>
      <c r="CO428" s="218">
        <f t="shared" si="143"/>
        <v>0</v>
      </c>
      <c r="CP428" s="100">
        <f t="shared" si="144"/>
        <v>0</v>
      </c>
      <c r="CQ428" s="218">
        <f t="shared" si="145"/>
        <v>0</v>
      </c>
      <c r="CZ428" s="123"/>
      <c r="DA428" s="122"/>
      <c r="DB428" s="122"/>
      <c r="DC428" s="123"/>
      <c r="DD428" s="123"/>
      <c r="DE428" s="123"/>
      <c r="DF428" s="122"/>
      <c r="DG428" s="122"/>
      <c r="DH428" s="122"/>
      <c r="DI428" s="122"/>
      <c r="DJ428" s="122"/>
      <c r="DK428" s="123"/>
      <c r="DL428" s="23"/>
      <c r="DM428" s="150"/>
      <c r="DN428" s="150"/>
      <c r="DO428" s="116"/>
    </row>
    <row r="429" spans="61:119" s="101" customFormat="1" ht="15.75" hidden="1" thickBot="1" x14ac:dyDescent="0.3">
      <c r="BI429" s="211" t="s">
        <v>116</v>
      </c>
      <c r="BJ429" s="212" t="s">
        <v>117</v>
      </c>
      <c r="BK429" s="178"/>
      <c r="BL429" s="178"/>
      <c r="BM429" s="169"/>
      <c r="BN429" s="169"/>
      <c r="BO429" s="169"/>
      <c r="BP429" s="206"/>
      <c r="BQ429" s="206"/>
      <c r="BR429" s="206"/>
      <c r="BS429" s="206"/>
      <c r="BT429" s="206"/>
      <c r="BU429" s="206"/>
      <c r="BV429" s="207"/>
      <c r="BW429" s="206"/>
      <c r="BX429" s="206"/>
      <c r="BY429" s="207"/>
      <c r="BZ429" s="207"/>
      <c r="CA429" s="207"/>
      <c r="CB429" s="180"/>
      <c r="CC429" s="178"/>
      <c r="CD429" s="178"/>
      <c r="CE429" s="180"/>
      <c r="CF429" s="180"/>
      <c r="CG429" s="180"/>
      <c r="CH429" s="180"/>
      <c r="CI429" s="178"/>
      <c r="CJ429" s="178"/>
      <c r="CK429" s="180"/>
      <c r="CL429" s="180"/>
      <c r="CM429" s="180"/>
      <c r="CN429" s="116"/>
      <c r="CO429" s="218">
        <f t="shared" si="143"/>
        <v>0</v>
      </c>
      <c r="CP429" s="100">
        <f t="shared" si="144"/>
        <v>0</v>
      </c>
      <c r="CQ429" s="218">
        <f t="shared" si="145"/>
        <v>0</v>
      </c>
      <c r="CZ429" s="123"/>
      <c r="DA429" s="122"/>
      <c r="DB429" s="122"/>
      <c r="DC429" s="123"/>
      <c r="DD429" s="123"/>
      <c r="DE429" s="123"/>
      <c r="DF429" s="122"/>
      <c r="DG429" s="122"/>
      <c r="DH429" s="122"/>
      <c r="DI429" s="122"/>
      <c r="DJ429" s="122"/>
      <c r="DK429" s="123"/>
      <c r="DL429" s="23"/>
      <c r="DM429" s="150"/>
      <c r="DN429" s="150"/>
      <c r="DO429" s="116"/>
    </row>
    <row r="430" spans="61:119" s="101" customFormat="1" ht="15.75" hidden="1" thickBot="1" x14ac:dyDescent="0.3">
      <c r="BI430" s="190">
        <v>0</v>
      </c>
      <c r="BJ430" s="203">
        <v>0</v>
      </c>
      <c r="BK430" s="178"/>
      <c r="BL430" s="178"/>
      <c r="BM430" s="169"/>
      <c r="BN430" s="169"/>
      <c r="BO430" s="169"/>
      <c r="BP430" s="206"/>
      <c r="BQ430" s="206"/>
      <c r="BR430" s="206"/>
      <c r="BS430" s="206"/>
      <c r="BT430" s="206"/>
      <c r="BU430" s="206"/>
      <c r="BV430" s="207"/>
      <c r="BW430" s="206"/>
      <c r="BX430" s="206"/>
      <c r="BY430" s="207"/>
      <c r="BZ430" s="207"/>
      <c r="CA430" s="207"/>
      <c r="CB430" s="180"/>
      <c r="CC430" s="178"/>
      <c r="CD430" s="178"/>
      <c r="CE430" s="180"/>
      <c r="CF430" s="180"/>
      <c r="CG430" s="180"/>
      <c r="CH430" s="180"/>
      <c r="CI430" s="178"/>
      <c r="CJ430" s="178"/>
      <c r="CK430" s="180"/>
      <c r="CL430" s="180"/>
      <c r="CM430" s="180"/>
      <c r="CN430" s="116"/>
      <c r="CO430" s="218">
        <f t="shared" si="143"/>
        <v>0</v>
      </c>
      <c r="CP430" s="100">
        <f t="shared" si="144"/>
        <v>0</v>
      </c>
      <c r="CQ430" s="218">
        <f t="shared" si="145"/>
        <v>0</v>
      </c>
      <c r="CZ430" s="123"/>
      <c r="DA430" s="122"/>
      <c r="DB430" s="122"/>
      <c r="DC430" s="123"/>
      <c r="DD430" s="123"/>
      <c r="DE430" s="123"/>
      <c r="DF430" s="122"/>
      <c r="DG430" s="122"/>
      <c r="DH430" s="122"/>
      <c r="DI430" s="122"/>
      <c r="DJ430" s="122"/>
      <c r="DK430" s="123"/>
      <c r="DL430" s="23"/>
      <c r="DM430" s="150"/>
      <c r="DN430" s="150"/>
      <c r="DO430" s="116"/>
    </row>
    <row r="431" spans="61:119" s="101" customFormat="1" ht="15.75" hidden="1" thickBot="1" x14ac:dyDescent="0.3">
      <c r="BI431" s="190">
        <v>2</v>
      </c>
      <c r="BJ431" s="203">
        <v>12.71</v>
      </c>
      <c r="BK431" s="178"/>
      <c r="BL431" s="178"/>
      <c r="BM431" s="169"/>
      <c r="BN431" s="169"/>
      <c r="BO431" s="169"/>
      <c r="BP431" s="180"/>
      <c r="BQ431" s="180"/>
      <c r="BR431" s="180"/>
      <c r="BS431" s="180"/>
      <c r="BT431" s="180"/>
      <c r="BU431" s="180"/>
      <c r="BV431" s="180"/>
      <c r="BW431" s="180"/>
      <c r="BX431" s="180"/>
      <c r="BY431" s="180"/>
      <c r="BZ431" s="180"/>
      <c r="CA431" s="180"/>
      <c r="CB431" s="180"/>
      <c r="CC431" s="178"/>
      <c r="CD431" s="178"/>
      <c r="CE431" s="180"/>
      <c r="CF431" s="180"/>
      <c r="CG431" s="180"/>
      <c r="CH431" s="180"/>
      <c r="CI431" s="178"/>
      <c r="CJ431" s="178"/>
      <c r="CK431" s="180"/>
      <c r="CL431" s="180"/>
      <c r="CM431" s="180"/>
      <c r="CN431" s="116"/>
      <c r="CO431" s="218">
        <f t="shared" si="143"/>
        <v>0</v>
      </c>
      <c r="CP431" s="100">
        <f t="shared" si="144"/>
        <v>0</v>
      </c>
      <c r="CQ431" s="218">
        <f t="shared" si="145"/>
        <v>0</v>
      </c>
      <c r="CZ431" s="116"/>
      <c r="DA431" s="116"/>
      <c r="DB431" s="116"/>
      <c r="DC431" s="116"/>
      <c r="DD431" s="116"/>
      <c r="DE431" s="116"/>
      <c r="DF431" s="116"/>
      <c r="DG431" s="116"/>
      <c r="DH431" s="116"/>
      <c r="DI431" s="116"/>
      <c r="DJ431" s="116"/>
      <c r="DK431" s="116"/>
      <c r="DL431" s="116"/>
    </row>
    <row r="432" spans="61:119" s="101" customFormat="1" ht="15.75" hidden="1" thickBot="1" x14ac:dyDescent="0.3">
      <c r="BI432" s="190">
        <v>3</v>
      </c>
      <c r="BJ432" s="203">
        <v>4.3</v>
      </c>
      <c r="BK432" s="178"/>
      <c r="BL432" s="178"/>
      <c r="BM432" s="169"/>
      <c r="BN432" s="169"/>
      <c r="BO432" s="169"/>
      <c r="BP432" s="180"/>
      <c r="BQ432" s="180"/>
      <c r="BR432" s="180"/>
      <c r="BS432" s="180"/>
      <c r="BT432" s="180"/>
      <c r="BU432" s="180"/>
      <c r="BV432" s="180"/>
      <c r="BW432" s="180"/>
      <c r="BX432" s="180"/>
      <c r="BY432" s="180"/>
      <c r="BZ432" s="180"/>
      <c r="CA432" s="180"/>
      <c r="CB432" s="180"/>
      <c r="CC432" s="178"/>
      <c r="CD432" s="178"/>
      <c r="CE432" s="180"/>
      <c r="CF432" s="180"/>
      <c r="CG432" s="180"/>
      <c r="CH432" s="180"/>
      <c r="CI432" s="178"/>
      <c r="CJ432" s="178"/>
      <c r="CK432" s="180"/>
      <c r="CL432" s="180"/>
      <c r="CM432" s="180"/>
      <c r="CN432" s="116"/>
      <c r="CO432" s="218">
        <f t="shared" si="143"/>
        <v>0</v>
      </c>
      <c r="CP432" s="100">
        <f t="shared" si="144"/>
        <v>0</v>
      </c>
      <c r="CQ432" s="218">
        <f t="shared" si="145"/>
        <v>0</v>
      </c>
      <c r="CZ432" s="116"/>
      <c r="DA432" s="116"/>
      <c r="DB432" s="116"/>
      <c r="DC432" s="116"/>
      <c r="DD432" s="116"/>
      <c r="DE432" s="116"/>
      <c r="DF432" s="116"/>
      <c r="DG432" s="116"/>
      <c r="DH432" s="116"/>
      <c r="DI432" s="116"/>
      <c r="DJ432" s="116"/>
      <c r="DK432" s="116"/>
      <c r="DL432" s="116"/>
      <c r="DM432" s="116"/>
      <c r="DN432" s="116"/>
      <c r="DO432" s="116"/>
    </row>
    <row r="433" spans="1:120" s="101" customFormat="1" ht="15.75" hidden="1" thickBot="1" x14ac:dyDescent="0.3">
      <c r="BI433" s="190">
        <v>4</v>
      </c>
      <c r="BJ433" s="203">
        <v>3.18</v>
      </c>
      <c r="BK433" s="178"/>
      <c r="BL433" s="178"/>
      <c r="BM433" s="169"/>
      <c r="BN433" s="169"/>
      <c r="BO433" s="169"/>
      <c r="BP433" s="178"/>
      <c r="BQ433" s="178"/>
      <c r="BR433" s="178"/>
      <c r="BS433" s="178"/>
      <c r="BT433" s="178"/>
      <c r="BU433" s="178"/>
      <c r="BV433" s="180"/>
      <c r="BW433" s="178"/>
      <c r="BX433" s="178"/>
      <c r="BY433" s="180"/>
      <c r="BZ433" s="180"/>
      <c r="CA433" s="180"/>
      <c r="CB433" s="180"/>
      <c r="CC433" s="178"/>
      <c r="CD433" s="178"/>
      <c r="CE433" s="180"/>
      <c r="CF433" s="180"/>
      <c r="CG433" s="180"/>
      <c r="CH433" s="180"/>
      <c r="CI433" s="178"/>
      <c r="CJ433" s="178"/>
      <c r="CK433" s="180"/>
      <c r="CL433" s="180"/>
      <c r="CM433" s="180"/>
      <c r="CN433" s="116"/>
      <c r="CO433" s="218">
        <f t="shared" si="143"/>
        <v>0</v>
      </c>
      <c r="CP433" s="100">
        <f t="shared" si="144"/>
        <v>0</v>
      </c>
      <c r="CQ433" s="218">
        <f t="shared" si="145"/>
        <v>0</v>
      </c>
      <c r="CZ433" s="116"/>
      <c r="DA433" s="115"/>
      <c r="DB433" s="115"/>
      <c r="DC433" s="116"/>
      <c r="DD433" s="116"/>
      <c r="DE433" s="116"/>
      <c r="DF433" s="116"/>
      <c r="DG433" s="115"/>
      <c r="DH433" s="115"/>
      <c r="DI433" s="116"/>
      <c r="DJ433" s="116"/>
      <c r="DK433" s="116"/>
      <c r="DL433" s="116"/>
      <c r="DM433" s="116"/>
      <c r="DN433" s="116"/>
      <c r="DP433" s="116"/>
    </row>
    <row r="434" spans="1:120" s="101" customFormat="1" ht="15.75" hidden="1" thickBot="1" x14ac:dyDescent="0.3">
      <c r="BI434" s="190">
        <v>5</v>
      </c>
      <c r="BJ434" s="203">
        <v>2.78</v>
      </c>
      <c r="BK434" s="178"/>
      <c r="BL434" s="178"/>
      <c r="BM434" s="169"/>
      <c r="BN434" s="169"/>
      <c r="BO434" s="169"/>
      <c r="BP434" s="178"/>
      <c r="BQ434" s="178"/>
      <c r="BR434" s="178"/>
      <c r="BS434" s="178"/>
      <c r="BT434" s="178"/>
      <c r="BU434" s="178"/>
      <c r="BV434" s="178"/>
      <c r="BW434" s="178"/>
      <c r="BX434" s="178"/>
      <c r="BY434" s="178"/>
      <c r="BZ434" s="178"/>
      <c r="CA434" s="178"/>
      <c r="CB434" s="180"/>
      <c r="CC434" s="178"/>
      <c r="CD434" s="178"/>
      <c r="CE434" s="180"/>
      <c r="CF434" s="180"/>
      <c r="CG434" s="180"/>
      <c r="CH434" s="180"/>
      <c r="CI434" s="178"/>
      <c r="CJ434" s="178"/>
      <c r="CK434" s="180"/>
      <c r="CL434" s="180"/>
      <c r="CM434" s="180"/>
      <c r="CN434" s="116"/>
      <c r="CO434" s="218">
        <f t="shared" si="143"/>
        <v>0</v>
      </c>
      <c r="CP434" s="100">
        <f t="shared" si="144"/>
        <v>0</v>
      </c>
      <c r="CQ434" s="218">
        <f t="shared" si="145"/>
        <v>0</v>
      </c>
      <c r="CZ434" s="116"/>
      <c r="DA434" s="115"/>
      <c r="DB434" s="115"/>
      <c r="DC434" s="116"/>
      <c r="DD434" s="116"/>
      <c r="DE434" s="116"/>
      <c r="DF434" s="116"/>
      <c r="DG434" s="115"/>
      <c r="DH434" s="115"/>
      <c r="DI434" s="116"/>
      <c r="DJ434" s="116"/>
      <c r="DK434" s="116"/>
      <c r="DL434" s="116"/>
    </row>
    <row r="435" spans="1:120" s="101" customFormat="1" ht="15.75" hidden="1" thickBot="1" x14ac:dyDescent="0.3">
      <c r="BI435" s="190">
        <v>6</v>
      </c>
      <c r="BJ435" s="203">
        <v>2.57</v>
      </c>
      <c r="BK435" s="178"/>
      <c r="BL435" s="178"/>
      <c r="BM435" s="169"/>
      <c r="BN435" s="169"/>
      <c r="BO435" s="169"/>
      <c r="BP435" s="178"/>
      <c r="BQ435" s="178"/>
      <c r="BR435" s="178"/>
      <c r="BS435" s="178"/>
      <c r="BT435" s="178"/>
      <c r="BU435" s="178"/>
      <c r="BV435" s="178"/>
      <c r="BW435" s="178"/>
      <c r="BX435" s="178"/>
      <c r="BY435" s="178"/>
      <c r="BZ435" s="178"/>
      <c r="CA435" s="178"/>
      <c r="CB435" s="180"/>
      <c r="CC435" s="178"/>
      <c r="CD435" s="178"/>
      <c r="CE435" s="180"/>
      <c r="CF435" s="180"/>
      <c r="CG435" s="180"/>
      <c r="CH435" s="180"/>
      <c r="CI435" s="178"/>
      <c r="CJ435" s="178"/>
      <c r="CK435" s="180"/>
      <c r="CL435" s="180"/>
      <c r="CM435" s="180"/>
      <c r="CN435" s="116"/>
      <c r="CO435" s="218">
        <f t="shared" si="143"/>
        <v>0</v>
      </c>
      <c r="CP435" s="100">
        <f t="shared" si="144"/>
        <v>0</v>
      </c>
      <c r="CQ435" s="218">
        <f t="shared" si="145"/>
        <v>0</v>
      </c>
      <c r="CR435" s="116"/>
    </row>
    <row r="436" spans="1:120" s="101" customFormat="1" ht="15.75" hidden="1" thickBot="1" x14ac:dyDescent="0.3">
      <c r="BI436" s="190">
        <v>7</v>
      </c>
      <c r="BJ436" s="203">
        <v>2.4500000000000002</v>
      </c>
      <c r="BK436" s="178"/>
      <c r="BL436" s="178"/>
      <c r="BM436" s="169"/>
      <c r="BN436" s="169"/>
      <c r="BO436" s="169"/>
      <c r="BP436" s="178"/>
      <c r="BQ436" s="178"/>
      <c r="BR436" s="178"/>
      <c r="BS436" s="178"/>
      <c r="BT436" s="178"/>
      <c r="BU436" s="178"/>
      <c r="BV436" s="178"/>
      <c r="BW436" s="178"/>
      <c r="BX436" s="178"/>
      <c r="BY436" s="178"/>
      <c r="BZ436" s="178"/>
      <c r="CA436" s="178"/>
      <c r="CB436" s="180"/>
      <c r="CC436" s="178"/>
      <c r="CD436" s="178"/>
      <c r="CE436" s="180"/>
      <c r="CF436" s="180"/>
      <c r="CG436" s="180"/>
      <c r="CH436" s="180"/>
      <c r="CI436" s="178"/>
      <c r="CJ436" s="178"/>
      <c r="CK436" s="180"/>
      <c r="CL436" s="180"/>
      <c r="CM436" s="180"/>
      <c r="CN436" s="116"/>
      <c r="CO436" s="218">
        <f t="shared" si="143"/>
        <v>0</v>
      </c>
      <c r="CP436" s="100">
        <f t="shared" si="144"/>
        <v>0</v>
      </c>
      <c r="CQ436" s="218">
        <f t="shared" si="145"/>
        <v>0</v>
      </c>
    </row>
    <row r="437" spans="1:120" s="101" customFormat="1" ht="15.75" hidden="1" thickBot="1" x14ac:dyDescent="0.3">
      <c r="BI437" s="190">
        <v>8</v>
      </c>
      <c r="BJ437" s="203">
        <v>2.36</v>
      </c>
      <c r="BK437" s="178"/>
      <c r="BL437" s="178"/>
      <c r="BM437" s="169"/>
      <c r="BN437" s="169"/>
      <c r="BO437" s="169"/>
      <c r="BP437" s="178"/>
      <c r="BQ437" s="178"/>
      <c r="BR437" s="178"/>
      <c r="BS437" s="178"/>
      <c r="BT437" s="178"/>
      <c r="BU437" s="178"/>
      <c r="BV437" s="178"/>
      <c r="BW437" s="178"/>
      <c r="BX437" s="178"/>
      <c r="BY437" s="178"/>
      <c r="BZ437" s="178"/>
      <c r="CA437" s="178"/>
      <c r="CB437" s="180"/>
      <c r="CC437" s="178"/>
      <c r="CD437" s="178"/>
      <c r="CE437" s="180"/>
      <c r="CF437" s="180"/>
      <c r="CG437" s="180"/>
      <c r="CH437" s="180"/>
      <c r="CI437" s="178"/>
      <c r="CJ437" s="178"/>
      <c r="CK437" s="180"/>
      <c r="CL437" s="180"/>
      <c r="CM437" s="180"/>
      <c r="CN437" s="116"/>
      <c r="CO437" s="218">
        <f t="shared" si="143"/>
        <v>0</v>
      </c>
      <c r="CP437" s="100">
        <f t="shared" si="144"/>
        <v>0</v>
      </c>
      <c r="CQ437" s="218">
        <f t="shared" si="145"/>
        <v>0</v>
      </c>
    </row>
    <row r="438" spans="1:120" s="101" customFormat="1" ht="15.75" hidden="1" thickBot="1" x14ac:dyDescent="0.3">
      <c r="BI438" s="190">
        <v>9</v>
      </c>
      <c r="BJ438" s="203">
        <v>2.31</v>
      </c>
      <c r="BK438" s="178"/>
      <c r="BL438" s="178"/>
      <c r="BM438" s="169"/>
      <c r="BN438" s="169"/>
      <c r="BO438" s="169"/>
      <c r="BP438" s="178"/>
      <c r="BQ438" s="178"/>
      <c r="BR438" s="178"/>
      <c r="BS438" s="178"/>
      <c r="BT438" s="178"/>
      <c r="BU438" s="178"/>
      <c r="BV438" s="178"/>
      <c r="BW438" s="178"/>
      <c r="BX438" s="178"/>
      <c r="BY438" s="178"/>
      <c r="BZ438" s="178"/>
      <c r="CA438" s="178"/>
      <c r="CB438" s="180"/>
      <c r="CC438" s="178"/>
      <c r="CD438" s="178"/>
      <c r="CE438" s="180"/>
      <c r="CF438" s="180"/>
      <c r="CG438" s="180"/>
      <c r="CH438" s="180"/>
      <c r="CI438" s="178"/>
      <c r="CJ438" s="178"/>
      <c r="CK438" s="180"/>
      <c r="CL438" s="180"/>
      <c r="CM438" s="180"/>
      <c r="CN438" s="116"/>
      <c r="CO438" s="218">
        <f t="shared" si="143"/>
        <v>0</v>
      </c>
      <c r="CP438" s="100">
        <f t="shared" si="144"/>
        <v>0</v>
      </c>
      <c r="CQ438" s="218">
        <f t="shared" si="145"/>
        <v>0</v>
      </c>
    </row>
    <row r="439" spans="1:120" s="101" customFormat="1" ht="15.75" hidden="1" thickBot="1" x14ac:dyDescent="0.3">
      <c r="BI439" s="190">
        <v>10</v>
      </c>
      <c r="BJ439" s="203">
        <v>2.2599999999999998</v>
      </c>
      <c r="BK439" s="178"/>
      <c r="BL439" s="178"/>
      <c r="BM439" s="169"/>
      <c r="BN439" s="169"/>
      <c r="BO439" s="169"/>
      <c r="BP439" s="178"/>
      <c r="BQ439" s="178"/>
      <c r="BR439" s="178"/>
      <c r="BS439" s="178"/>
      <c r="BT439" s="178"/>
      <c r="BU439" s="178"/>
      <c r="BV439" s="178"/>
      <c r="BW439" s="178"/>
      <c r="BX439" s="178"/>
      <c r="BY439" s="178"/>
      <c r="BZ439" s="178"/>
      <c r="CA439" s="178"/>
      <c r="CB439" s="180"/>
      <c r="CC439" s="178"/>
      <c r="CD439" s="178"/>
      <c r="CE439" s="180"/>
      <c r="CF439" s="180"/>
      <c r="CG439" s="180"/>
      <c r="CH439" s="180"/>
      <c r="CI439" s="178"/>
      <c r="CJ439" s="178"/>
      <c r="CK439" s="180"/>
      <c r="CL439" s="180"/>
      <c r="CM439" s="180"/>
      <c r="CN439" s="116"/>
      <c r="CO439" s="218">
        <f t="shared" si="143"/>
        <v>0</v>
      </c>
      <c r="CP439" s="100">
        <f t="shared" si="144"/>
        <v>0</v>
      </c>
      <c r="CQ439" s="218">
        <f t="shared" si="145"/>
        <v>0</v>
      </c>
    </row>
    <row r="440" spans="1:120" s="101" customFormat="1" ht="15.75" hidden="1" thickBot="1" x14ac:dyDescent="0.3">
      <c r="BI440" s="190">
        <v>11</v>
      </c>
      <c r="BJ440" s="203">
        <v>2.23</v>
      </c>
      <c r="BK440" s="178"/>
      <c r="BL440" s="178"/>
      <c r="BM440" s="169"/>
      <c r="BN440" s="169"/>
      <c r="BO440" s="169"/>
      <c r="BP440" s="178"/>
      <c r="BQ440" s="178"/>
      <c r="BR440" s="178"/>
      <c r="BS440" s="178"/>
      <c r="BT440" s="178"/>
      <c r="BU440" s="178"/>
      <c r="BV440" s="178"/>
      <c r="BW440" s="178"/>
      <c r="BX440" s="178"/>
      <c r="BY440" s="178"/>
      <c r="BZ440" s="178"/>
      <c r="CA440" s="178"/>
      <c r="CB440" s="180"/>
      <c r="CC440" s="178"/>
      <c r="CD440" s="178"/>
      <c r="CE440" s="180"/>
      <c r="CF440" s="180"/>
      <c r="CG440" s="180"/>
      <c r="CH440" s="180"/>
      <c r="CI440" s="178"/>
      <c r="CJ440" s="178"/>
      <c r="CK440" s="180"/>
      <c r="CL440" s="180"/>
      <c r="CM440" s="180"/>
      <c r="CN440" s="116"/>
      <c r="CO440" s="218">
        <f t="shared" si="143"/>
        <v>0</v>
      </c>
      <c r="CP440" s="100">
        <f t="shared" si="144"/>
        <v>0</v>
      </c>
      <c r="CQ440" s="218">
        <f t="shared" si="145"/>
        <v>0</v>
      </c>
    </row>
    <row r="441" spans="1:120" s="101" customFormat="1" ht="15.75" hidden="1" thickBot="1" x14ac:dyDescent="0.3">
      <c r="BI441" s="190">
        <v>12</v>
      </c>
      <c r="BJ441" s="203">
        <v>2.2000000000000002</v>
      </c>
      <c r="BK441" s="178"/>
      <c r="BL441" s="178"/>
      <c r="BM441" s="169"/>
      <c r="BN441" s="169"/>
      <c r="BO441" s="169"/>
      <c r="BP441" s="178"/>
      <c r="BQ441" s="178"/>
      <c r="BR441" s="178"/>
      <c r="BS441" s="178"/>
      <c r="BT441" s="178"/>
      <c r="BU441" s="178"/>
      <c r="BV441" s="178"/>
      <c r="BW441" s="178"/>
      <c r="BX441" s="178"/>
      <c r="BY441" s="178"/>
      <c r="BZ441" s="178"/>
      <c r="CA441" s="178"/>
      <c r="CB441" s="180"/>
      <c r="CC441" s="178"/>
      <c r="CD441" s="178"/>
      <c r="CE441" s="180"/>
      <c r="CF441" s="180"/>
      <c r="CG441" s="180"/>
      <c r="CH441" s="180"/>
      <c r="CI441" s="178"/>
      <c r="CJ441" s="178"/>
      <c r="CK441" s="180"/>
      <c r="CL441" s="180"/>
      <c r="CM441" s="180"/>
      <c r="CN441" s="116"/>
      <c r="CO441" s="218">
        <f t="shared" si="143"/>
        <v>0</v>
      </c>
      <c r="CP441" s="100">
        <f t="shared" si="144"/>
        <v>0</v>
      </c>
      <c r="CQ441" s="218">
        <f t="shared" si="145"/>
        <v>0</v>
      </c>
    </row>
    <row r="442" spans="1:120" s="101" customFormat="1" hidden="1" x14ac:dyDescent="0.25">
      <c r="BI442" s="102"/>
      <c r="BJ442" s="178"/>
      <c r="BK442" s="178"/>
      <c r="BL442" s="178"/>
      <c r="BM442" s="169"/>
      <c r="BN442" s="169"/>
      <c r="BO442" s="169"/>
      <c r="BP442" s="178"/>
      <c r="BQ442" s="178"/>
      <c r="BR442" s="178"/>
      <c r="BS442" s="178"/>
      <c r="BT442" s="178"/>
      <c r="BU442" s="178"/>
      <c r="BV442" s="178"/>
      <c r="BW442" s="178"/>
      <c r="BX442" s="178"/>
      <c r="BY442" s="178"/>
      <c r="BZ442" s="178"/>
      <c r="CA442" s="178"/>
      <c r="CB442" s="180"/>
      <c r="CC442" s="178"/>
      <c r="CD442" s="178"/>
      <c r="CE442" s="180"/>
      <c r="CF442" s="180"/>
      <c r="CG442" s="180"/>
      <c r="CH442" s="180"/>
      <c r="CI442" s="178"/>
      <c r="CJ442" s="178"/>
      <c r="CK442" s="180"/>
      <c r="CL442" s="180"/>
      <c r="CM442" s="180"/>
      <c r="CN442" s="116"/>
      <c r="CO442" s="218">
        <f t="shared" si="143"/>
        <v>0</v>
      </c>
      <c r="CP442" s="100">
        <f t="shared" si="144"/>
        <v>0</v>
      </c>
      <c r="CQ442" s="218">
        <f t="shared" si="145"/>
        <v>0</v>
      </c>
      <c r="CR442" s="124"/>
      <c r="CS442" s="115"/>
    </row>
    <row r="443" spans="1:120" s="101" customFormat="1" hidden="1" x14ac:dyDescent="0.25">
      <c r="A443" s="99"/>
      <c r="V443" s="103"/>
      <c r="AA443" s="104"/>
      <c r="AB443" s="104"/>
      <c r="AD443" s="104"/>
      <c r="AE443" s="105"/>
      <c r="AH443" s="106"/>
      <c r="AI443" s="106"/>
      <c r="AK443" s="104"/>
      <c r="AR443" s="104"/>
      <c r="AV443" s="104"/>
      <c r="AX443" s="104"/>
      <c r="BB443" s="104"/>
      <c r="BC443" s="104"/>
      <c r="BE443" s="104"/>
      <c r="BH443" s="99"/>
      <c r="BI443" s="102"/>
      <c r="BJ443" s="178"/>
      <c r="BK443" s="178"/>
      <c r="BL443" s="178"/>
      <c r="BM443" s="169"/>
      <c r="BN443" s="169"/>
      <c r="BO443" s="169"/>
      <c r="BP443" s="178"/>
      <c r="BQ443" s="178"/>
      <c r="BR443" s="178"/>
      <c r="BS443" s="178"/>
      <c r="BT443" s="178"/>
      <c r="BU443" s="178"/>
      <c r="BV443" s="178"/>
      <c r="BW443" s="178"/>
      <c r="BX443" s="178"/>
      <c r="BY443" s="178"/>
      <c r="BZ443" s="178"/>
      <c r="CA443" s="178"/>
      <c r="CB443" s="180"/>
      <c r="CC443" s="178"/>
      <c r="CD443" s="178"/>
      <c r="CE443" s="180"/>
      <c r="CF443" s="180"/>
      <c r="CG443" s="180"/>
      <c r="CH443" s="180"/>
      <c r="CI443" s="178"/>
      <c r="CJ443" s="178"/>
      <c r="CK443" s="180"/>
      <c r="CL443" s="180"/>
      <c r="CM443" s="180"/>
      <c r="CN443" s="116"/>
      <c r="CO443" s="218">
        <f t="shared" si="143"/>
        <v>0</v>
      </c>
      <c r="CP443" s="100">
        <f t="shared" si="144"/>
        <v>0</v>
      </c>
      <c r="CQ443" s="218">
        <f t="shared" si="145"/>
        <v>0</v>
      </c>
    </row>
    <row r="444" spans="1:120" s="101" customFormat="1" hidden="1" x14ac:dyDescent="0.25">
      <c r="A444" s="99"/>
      <c r="V444" s="103"/>
      <c r="AA444" s="104"/>
      <c r="AB444" s="104"/>
      <c r="AD444" s="104"/>
      <c r="AE444" s="105"/>
      <c r="AH444" s="106"/>
      <c r="AI444" s="106"/>
      <c r="AK444" s="104"/>
      <c r="AR444" s="104"/>
      <c r="AV444" s="104"/>
      <c r="AX444" s="104"/>
      <c r="BB444" s="104"/>
      <c r="BC444" s="104"/>
      <c r="BE444" s="104"/>
      <c r="BH444" s="99"/>
      <c r="BI444" s="102"/>
      <c r="BJ444" s="178"/>
      <c r="BK444" s="178"/>
      <c r="BL444" s="178"/>
      <c r="BM444" s="169"/>
      <c r="BN444" s="169"/>
      <c r="BO444" s="169"/>
      <c r="BP444" s="178"/>
      <c r="BQ444" s="178"/>
      <c r="BR444" s="178"/>
      <c r="BS444" s="178"/>
      <c r="BT444" s="178"/>
      <c r="BU444" s="178"/>
      <c r="BV444" s="178"/>
      <c r="BW444" s="178"/>
      <c r="BX444" s="178"/>
      <c r="BY444" s="178"/>
      <c r="BZ444" s="178"/>
      <c r="CA444" s="178"/>
      <c r="CB444" s="180"/>
      <c r="CC444" s="178"/>
      <c r="CD444" s="178"/>
      <c r="CE444" s="180"/>
      <c r="CF444" s="180"/>
      <c r="CG444" s="180"/>
      <c r="CH444" s="180"/>
      <c r="CI444" s="178"/>
      <c r="CJ444" s="178"/>
      <c r="CK444" s="180"/>
      <c r="CL444" s="180"/>
      <c r="CM444" s="180"/>
      <c r="CN444" s="116"/>
      <c r="CO444" s="218">
        <f t="shared" si="143"/>
        <v>0</v>
      </c>
      <c r="CP444" s="100">
        <f t="shared" si="144"/>
        <v>0</v>
      </c>
      <c r="CQ444" s="218">
        <f t="shared" si="145"/>
        <v>0</v>
      </c>
    </row>
    <row r="445" spans="1:120" s="101" customFormat="1" ht="15.75" hidden="1" thickBot="1" x14ac:dyDescent="0.3">
      <c r="A445" s="99"/>
      <c r="V445" s="103"/>
      <c r="AA445" s="104"/>
      <c r="AB445" s="104"/>
      <c r="AD445" s="104"/>
      <c r="AE445" s="105"/>
      <c r="AH445" s="106"/>
      <c r="AI445" s="106"/>
      <c r="AK445" s="104"/>
      <c r="AR445" s="104"/>
      <c r="AV445" s="104"/>
      <c r="AX445" s="104"/>
      <c r="BB445" s="104"/>
      <c r="BC445" s="104"/>
      <c r="BE445" s="104"/>
      <c r="BH445" s="99"/>
      <c r="BI445" s="211"/>
      <c r="BJ445" s="211" t="s">
        <v>309</v>
      </c>
      <c r="BK445" s="211" t="s">
        <v>310</v>
      </c>
      <c r="BL445" s="211" t="s">
        <v>567</v>
      </c>
      <c r="BM445" s="169"/>
      <c r="BN445" s="169"/>
      <c r="BO445" s="169"/>
      <c r="BP445" s="178"/>
      <c r="BQ445" s="178"/>
      <c r="BR445" s="178"/>
      <c r="BS445" s="178"/>
      <c r="BT445" s="178"/>
      <c r="BU445" s="178"/>
      <c r="BV445" s="178"/>
      <c r="BW445" s="178"/>
      <c r="BX445" s="178"/>
      <c r="BY445" s="178"/>
      <c r="BZ445" s="178"/>
      <c r="CA445" s="178"/>
      <c r="CB445" s="180"/>
      <c r="CC445" s="178"/>
      <c r="CD445" s="178"/>
      <c r="CE445" s="180"/>
      <c r="CF445" s="180"/>
      <c r="CG445" s="180"/>
      <c r="CH445" s="180"/>
      <c r="CI445" s="178"/>
      <c r="CJ445" s="178"/>
      <c r="CK445" s="180"/>
      <c r="CL445" s="180"/>
      <c r="CM445" s="180"/>
      <c r="CN445" s="116"/>
      <c r="CO445" s="218">
        <f t="shared" si="143"/>
        <v>0</v>
      </c>
      <c r="CP445" s="100">
        <f t="shared" si="144"/>
        <v>0</v>
      </c>
      <c r="CQ445" s="218">
        <f t="shared" si="145"/>
        <v>0</v>
      </c>
    </row>
    <row r="446" spans="1:120" s="101" customFormat="1" ht="25.5" hidden="1" customHeight="1" x14ac:dyDescent="0.25">
      <c r="A446" s="99"/>
      <c r="V446" s="103"/>
      <c r="AA446" s="104"/>
      <c r="AB446" s="104"/>
      <c r="AD446" s="104"/>
      <c r="AE446" s="105"/>
      <c r="AH446" s="106"/>
      <c r="AI446" s="106"/>
      <c r="AK446" s="104"/>
      <c r="AR446" s="104"/>
      <c r="AV446" s="104"/>
      <c r="AX446" s="104"/>
      <c r="BB446" s="104"/>
      <c r="BC446" s="104"/>
      <c r="BE446" s="104"/>
      <c r="BH446" s="99"/>
      <c r="BI446" s="211" t="s">
        <v>307</v>
      </c>
      <c r="BJ446" s="211" t="s">
        <v>308</v>
      </c>
      <c r="BK446" s="211" t="s">
        <v>308</v>
      </c>
      <c r="BL446" s="211" t="s">
        <v>308</v>
      </c>
      <c r="BM446" s="169"/>
      <c r="BN446" s="169"/>
      <c r="BO446" s="169"/>
      <c r="BP446" s="178"/>
      <c r="BQ446" s="178"/>
      <c r="BR446" s="178"/>
      <c r="BS446" s="178"/>
      <c r="BT446" s="178"/>
      <c r="BU446" s="178"/>
      <c r="BV446" s="178"/>
      <c r="BW446" s="178"/>
      <c r="BX446" s="178"/>
      <c r="BY446" s="178"/>
      <c r="BZ446" s="178"/>
      <c r="CA446" s="178"/>
      <c r="CB446" s="180"/>
      <c r="CC446" s="178"/>
      <c r="CD446" s="178"/>
      <c r="CE446" s="180"/>
      <c r="CF446" s="180"/>
      <c r="CG446" s="180"/>
      <c r="CH446" s="180"/>
      <c r="CI446" s="178"/>
      <c r="CJ446" s="178"/>
      <c r="CK446" s="180"/>
      <c r="CL446" s="180"/>
      <c r="CM446" s="180"/>
      <c r="CN446" s="116"/>
      <c r="CO446" s="218">
        <f t="shared" si="143"/>
        <v>0</v>
      </c>
      <c r="CP446" s="100">
        <f t="shared" si="144"/>
        <v>0</v>
      </c>
      <c r="CQ446" s="218">
        <f t="shared" si="145"/>
        <v>0</v>
      </c>
    </row>
    <row r="447" spans="1:120" s="101" customFormat="1" ht="15.75" hidden="1" thickBot="1" x14ac:dyDescent="0.3">
      <c r="A447" s="99"/>
      <c r="V447" s="103"/>
      <c r="AA447" s="104"/>
      <c r="AB447" s="104"/>
      <c r="AD447" s="104"/>
      <c r="AE447" s="105"/>
      <c r="AH447" s="106"/>
      <c r="AI447" s="106"/>
      <c r="AK447" s="104"/>
      <c r="AR447" s="104"/>
      <c r="AV447" s="104"/>
      <c r="AX447" s="104"/>
      <c r="BB447" s="104"/>
      <c r="BC447" s="104"/>
      <c r="BE447" s="104"/>
      <c r="BH447" s="99"/>
      <c r="BI447" s="190" t="s">
        <v>170</v>
      </c>
      <c r="BJ447" s="190">
        <v>1</v>
      </c>
      <c r="BK447" s="190">
        <v>1</v>
      </c>
      <c r="BL447" s="190">
        <v>1</v>
      </c>
      <c r="BM447" s="169"/>
      <c r="BN447" s="169"/>
      <c r="BO447" s="169"/>
      <c r="BP447" s="178"/>
      <c r="BQ447" s="178"/>
      <c r="BR447" s="178"/>
      <c r="BS447" s="178"/>
      <c r="BT447" s="178"/>
      <c r="BU447" s="178"/>
      <c r="BV447" s="178"/>
      <c r="BW447" s="178"/>
      <c r="BX447" s="178"/>
      <c r="BY447" s="178"/>
      <c r="BZ447" s="178"/>
      <c r="CA447" s="178"/>
      <c r="CB447" s="180"/>
      <c r="CC447" s="178"/>
      <c r="CD447" s="178"/>
      <c r="CE447" s="180"/>
      <c r="CF447" s="180"/>
      <c r="CG447" s="180"/>
      <c r="CH447" s="180"/>
      <c r="CI447" s="178"/>
      <c r="CJ447" s="178"/>
      <c r="CK447" s="180"/>
      <c r="CL447" s="180"/>
      <c r="CM447" s="180"/>
      <c r="CN447" s="116"/>
      <c r="CO447" s="218">
        <f t="shared" si="143"/>
        <v>0</v>
      </c>
      <c r="CP447" s="100">
        <f t="shared" si="144"/>
        <v>0</v>
      </c>
      <c r="CQ447" s="218">
        <f t="shared" si="145"/>
        <v>0</v>
      </c>
    </row>
    <row r="448" spans="1:120" s="101" customFormat="1" ht="15.75" hidden="1" thickBot="1" x14ac:dyDescent="0.3">
      <c r="A448" s="99"/>
      <c r="V448" s="103"/>
      <c r="AA448" s="104"/>
      <c r="AB448" s="104"/>
      <c r="AD448" s="104"/>
      <c r="AE448" s="105"/>
      <c r="AH448" s="106"/>
      <c r="AI448" s="106"/>
      <c r="AK448" s="104"/>
      <c r="AR448" s="104"/>
      <c r="AV448" s="104"/>
      <c r="AX448" s="104"/>
      <c r="BB448" s="104"/>
      <c r="BC448" s="104"/>
      <c r="BE448" s="104"/>
      <c r="BH448" s="99"/>
      <c r="BI448" s="190" t="s">
        <v>106</v>
      </c>
      <c r="BJ448" s="190">
        <v>28</v>
      </c>
      <c r="BK448" s="190">
        <v>25</v>
      </c>
      <c r="BL448" s="190">
        <v>21</v>
      </c>
      <c r="BM448" s="169"/>
      <c r="BN448" s="169"/>
      <c r="BO448" s="169"/>
      <c r="BP448" s="178"/>
      <c r="BQ448" s="178"/>
      <c r="BR448" s="178"/>
      <c r="BS448" s="178"/>
      <c r="BT448" s="178"/>
      <c r="BU448" s="178"/>
      <c r="BV448" s="178"/>
      <c r="BW448" s="178"/>
      <c r="BX448" s="178"/>
      <c r="BY448" s="178"/>
      <c r="BZ448" s="178"/>
      <c r="CA448" s="178"/>
      <c r="CB448" s="180"/>
      <c r="CC448" s="178"/>
      <c r="CD448" s="178"/>
      <c r="CE448" s="180"/>
      <c r="CF448" s="180"/>
      <c r="CG448" s="180"/>
      <c r="CH448" s="180"/>
      <c r="CI448" s="178"/>
      <c r="CJ448" s="178"/>
      <c r="CK448" s="180"/>
      <c r="CL448" s="180"/>
      <c r="CM448" s="180"/>
      <c r="CN448" s="116"/>
      <c r="CO448" s="218">
        <f t="shared" si="143"/>
        <v>0</v>
      </c>
      <c r="CP448" s="100">
        <f t="shared" si="144"/>
        <v>0</v>
      </c>
      <c r="CQ448" s="218">
        <f t="shared" si="145"/>
        <v>0</v>
      </c>
    </row>
    <row r="449" spans="1:137" s="101" customFormat="1" ht="15.75" hidden="1" thickBot="1" x14ac:dyDescent="0.3">
      <c r="A449" s="99"/>
      <c r="V449" s="103"/>
      <c r="AA449" s="104"/>
      <c r="AB449" s="104"/>
      <c r="AD449" s="104"/>
      <c r="AE449" s="105"/>
      <c r="AH449" s="106"/>
      <c r="AI449" s="106"/>
      <c r="AK449" s="104"/>
      <c r="AR449" s="104"/>
      <c r="AV449" s="104"/>
      <c r="AX449" s="104"/>
      <c r="BB449" s="104"/>
      <c r="BC449" s="104"/>
      <c r="BE449" s="104"/>
      <c r="BH449" s="99"/>
      <c r="BI449" s="190" t="s">
        <v>110</v>
      </c>
      <c r="BJ449" s="190">
        <v>265</v>
      </c>
      <c r="BK449" s="190">
        <v>298</v>
      </c>
      <c r="BL449" s="190">
        <v>310</v>
      </c>
      <c r="BM449" s="169"/>
      <c r="BN449" s="169"/>
      <c r="BO449" s="169"/>
      <c r="BP449" s="178"/>
      <c r="BQ449" s="178"/>
      <c r="BR449" s="178"/>
      <c r="BS449" s="178"/>
      <c r="BT449" s="178"/>
      <c r="BU449" s="178"/>
      <c r="BV449" s="178"/>
      <c r="BW449" s="178"/>
      <c r="BX449" s="178"/>
      <c r="BY449" s="178"/>
      <c r="BZ449" s="178"/>
      <c r="CA449" s="178"/>
      <c r="CB449" s="180"/>
      <c r="CC449" s="178"/>
      <c r="CD449" s="178"/>
      <c r="CE449" s="180"/>
      <c r="CF449" s="180"/>
      <c r="CG449" s="180"/>
      <c r="CH449" s="180"/>
      <c r="CI449" s="178"/>
      <c r="CJ449" s="178"/>
      <c r="CK449" s="180"/>
      <c r="CL449" s="180"/>
      <c r="CM449" s="180"/>
      <c r="CN449" s="116"/>
      <c r="CO449" s="218">
        <f t="shared" si="143"/>
        <v>0</v>
      </c>
      <c r="CP449" s="100">
        <f t="shared" si="144"/>
        <v>0</v>
      </c>
      <c r="CQ449" s="218">
        <f t="shared" si="145"/>
        <v>0</v>
      </c>
    </row>
    <row r="450" spans="1:137" s="101" customFormat="1" ht="15.75" hidden="1" thickBot="1" x14ac:dyDescent="0.3">
      <c r="A450" s="99"/>
      <c r="V450" s="103"/>
      <c r="AA450" s="104"/>
      <c r="AB450" s="104"/>
      <c r="AD450" s="104"/>
      <c r="AE450" s="105"/>
      <c r="AH450" s="106"/>
      <c r="AI450" s="106"/>
      <c r="AK450" s="104"/>
      <c r="AR450" s="104"/>
      <c r="AV450" s="104"/>
      <c r="AX450" s="104"/>
      <c r="BB450" s="104"/>
      <c r="BC450" s="104"/>
      <c r="BE450" s="104"/>
      <c r="BH450" s="99"/>
      <c r="BI450" s="190" t="s">
        <v>8</v>
      </c>
      <c r="BJ450" s="190">
        <v>23500</v>
      </c>
      <c r="BK450" s="190">
        <v>22800</v>
      </c>
      <c r="BL450" s="190"/>
      <c r="BM450" s="169"/>
      <c r="BN450" s="169"/>
      <c r="BO450" s="169"/>
      <c r="BP450" s="178"/>
      <c r="BQ450" s="178"/>
      <c r="BR450" s="178"/>
      <c r="BS450" s="178"/>
      <c r="BT450" s="178"/>
      <c r="BU450" s="178"/>
      <c r="BV450" s="178"/>
      <c r="BW450" s="178"/>
      <c r="BX450" s="178"/>
      <c r="BY450" s="178"/>
      <c r="BZ450" s="178"/>
      <c r="CA450" s="178"/>
      <c r="CB450" s="180"/>
      <c r="CC450" s="178"/>
      <c r="CD450" s="178"/>
      <c r="CE450" s="180"/>
      <c r="CF450" s="180"/>
      <c r="CG450" s="180"/>
      <c r="CH450" s="180"/>
      <c r="CI450" s="178"/>
      <c r="CJ450" s="178"/>
      <c r="CK450" s="180"/>
      <c r="CL450" s="180"/>
      <c r="CM450" s="180"/>
      <c r="CN450" s="116"/>
      <c r="CO450" s="100"/>
      <c r="CP450" s="100"/>
      <c r="CQ450" s="100"/>
    </row>
    <row r="451" spans="1:137" s="101" customFormat="1" ht="15.75" hidden="1" thickBot="1" x14ac:dyDescent="0.3">
      <c r="A451" s="99"/>
      <c r="V451" s="103"/>
      <c r="AA451" s="104"/>
      <c r="AB451" s="104"/>
      <c r="AD451" s="104"/>
      <c r="AE451" s="105"/>
      <c r="AH451" s="106"/>
      <c r="AI451" s="106"/>
      <c r="AK451" s="104"/>
      <c r="AR451" s="104"/>
      <c r="AV451" s="104"/>
      <c r="AX451" s="104"/>
      <c r="BB451" s="104"/>
      <c r="BC451" s="104"/>
      <c r="BE451" s="104"/>
      <c r="BH451" s="99"/>
      <c r="BI451" s="190" t="s">
        <v>313</v>
      </c>
      <c r="BJ451" s="190">
        <v>16100</v>
      </c>
      <c r="BK451" s="190">
        <v>17200</v>
      </c>
      <c r="BL451" s="190" t="s">
        <v>314</v>
      </c>
      <c r="BM451" s="169"/>
      <c r="BN451" s="169"/>
      <c r="BO451" s="169"/>
      <c r="BP451" s="178"/>
      <c r="BQ451" s="178"/>
      <c r="BR451" s="178"/>
      <c r="BS451" s="178"/>
      <c r="BT451" s="178"/>
      <c r="BU451" s="178"/>
      <c r="BV451" s="178"/>
      <c r="BW451" s="178"/>
      <c r="BX451" s="178"/>
      <c r="BY451" s="178"/>
      <c r="BZ451" s="178"/>
      <c r="CA451" s="178"/>
      <c r="CB451" s="180"/>
      <c r="CC451" s="178"/>
      <c r="CD451" s="178"/>
      <c r="CE451" s="180"/>
      <c r="CF451" s="180"/>
      <c r="CG451" s="180"/>
      <c r="CH451" s="180"/>
      <c r="CI451" s="178"/>
      <c r="CJ451" s="178"/>
      <c r="CK451" s="180"/>
      <c r="CL451" s="180"/>
      <c r="CM451" s="180"/>
      <c r="CN451" s="116"/>
      <c r="CO451" s="100"/>
      <c r="CP451" s="100"/>
      <c r="CQ451" s="100"/>
    </row>
    <row r="452" spans="1:137" s="101" customFormat="1" ht="15.75" hidden="1" thickBot="1" x14ac:dyDescent="0.3">
      <c r="A452" s="99"/>
      <c r="V452" s="103"/>
      <c r="AA452" s="104"/>
      <c r="AB452" s="104"/>
      <c r="AD452" s="104"/>
      <c r="AE452" s="105"/>
      <c r="AH452" s="106"/>
      <c r="AI452" s="106"/>
      <c r="AK452" s="104"/>
      <c r="AR452" s="104"/>
      <c r="AV452" s="104"/>
      <c r="AX452" s="104"/>
      <c r="BB452" s="104"/>
      <c r="BC452" s="104"/>
      <c r="BE452" s="104"/>
      <c r="BH452" s="99"/>
      <c r="BI452" s="190"/>
      <c r="BJ452" s="190"/>
      <c r="BK452" s="190"/>
      <c r="BL452" s="190"/>
      <c r="BM452" s="169"/>
      <c r="BN452" s="169"/>
      <c r="BO452" s="169"/>
      <c r="BP452" s="178"/>
      <c r="BQ452" s="178"/>
      <c r="BR452" s="178"/>
      <c r="BS452" s="178"/>
      <c r="BT452" s="178"/>
      <c r="BU452" s="178"/>
      <c r="BV452" s="178"/>
      <c r="BW452" s="178"/>
      <c r="BX452" s="178"/>
      <c r="BY452" s="178"/>
      <c r="BZ452" s="178"/>
      <c r="CA452" s="178"/>
      <c r="CB452" s="180"/>
      <c r="CC452" s="178"/>
      <c r="CD452" s="178"/>
      <c r="CE452" s="180"/>
      <c r="CF452" s="180"/>
      <c r="CG452" s="180"/>
      <c r="CH452" s="180"/>
      <c r="CI452" s="178"/>
      <c r="CJ452" s="178"/>
      <c r="CK452" s="180"/>
      <c r="CL452" s="180"/>
      <c r="CM452" s="180"/>
      <c r="CN452" s="116"/>
      <c r="CO452" s="100"/>
      <c r="CP452" s="100"/>
      <c r="CQ452" s="100"/>
    </row>
    <row r="453" spans="1:137" s="101" customFormat="1" ht="15.75" hidden="1" thickBot="1" x14ac:dyDescent="0.3">
      <c r="A453" s="99"/>
      <c r="V453" s="103"/>
      <c r="AA453" s="104"/>
      <c r="AB453" s="104"/>
      <c r="AD453" s="104"/>
      <c r="AE453" s="105"/>
      <c r="AH453" s="106"/>
      <c r="AI453" s="106"/>
      <c r="AK453" s="104"/>
      <c r="AR453" s="104"/>
      <c r="AV453" s="104"/>
      <c r="AX453" s="104"/>
      <c r="BB453" s="104"/>
      <c r="BC453" s="104"/>
      <c r="BE453" s="104"/>
      <c r="BH453" s="99"/>
      <c r="BI453" s="190"/>
      <c r="BJ453" s="190"/>
      <c r="BK453" s="190"/>
      <c r="BL453" s="190"/>
      <c r="BM453" s="169"/>
      <c r="BN453" s="169"/>
      <c r="BO453" s="169"/>
      <c r="BP453" s="178"/>
      <c r="BQ453" s="178"/>
      <c r="BR453" s="178"/>
      <c r="BS453" s="178"/>
      <c r="BT453" s="178"/>
      <c r="BU453" s="178"/>
      <c r="BV453" s="178"/>
      <c r="BW453" s="178"/>
      <c r="BX453" s="178"/>
      <c r="BY453" s="178"/>
      <c r="BZ453" s="178"/>
      <c r="CA453" s="178"/>
      <c r="CB453" s="180"/>
      <c r="CC453" s="178"/>
      <c r="CD453" s="178"/>
      <c r="CE453" s="180"/>
      <c r="CF453" s="180"/>
      <c r="CG453" s="180"/>
      <c r="CH453" s="180"/>
      <c r="CI453" s="178"/>
      <c r="CJ453" s="178"/>
      <c r="CK453" s="180"/>
      <c r="CL453" s="180"/>
      <c r="CM453" s="180"/>
      <c r="CN453" s="116"/>
      <c r="CO453" s="100"/>
      <c r="CP453" s="100"/>
      <c r="CQ453" s="100"/>
    </row>
    <row r="454" spans="1:137" s="101" customFormat="1" ht="15.75" hidden="1" thickBot="1" x14ac:dyDescent="0.3">
      <c r="A454" s="99"/>
      <c r="V454" s="103"/>
      <c r="AA454" s="104"/>
      <c r="AB454" s="104"/>
      <c r="AD454" s="104"/>
      <c r="AE454" s="105"/>
      <c r="AH454" s="106"/>
      <c r="AI454" s="106"/>
      <c r="AK454" s="104"/>
      <c r="AR454" s="104"/>
      <c r="AV454" s="104"/>
      <c r="AX454" s="104"/>
      <c r="BB454" s="104"/>
      <c r="BC454" s="104"/>
      <c r="BE454" s="104"/>
      <c r="BH454" s="99"/>
      <c r="BI454" s="190"/>
      <c r="BJ454" s="190"/>
      <c r="BK454" s="190"/>
      <c r="BL454" s="190"/>
      <c r="BM454" s="169"/>
      <c r="BN454" s="169"/>
      <c r="BO454" s="169"/>
      <c r="BP454" s="178"/>
      <c r="BQ454" s="178"/>
      <c r="BR454" s="178"/>
      <c r="BS454" s="178"/>
      <c r="BT454" s="178"/>
      <c r="BU454" s="178"/>
      <c r="BV454" s="178"/>
      <c r="BW454" s="178"/>
      <c r="BX454" s="178"/>
      <c r="BY454" s="178"/>
      <c r="BZ454" s="178"/>
      <c r="CA454" s="178"/>
      <c r="CB454" s="180"/>
      <c r="CC454" s="178"/>
      <c r="CD454" s="178"/>
      <c r="CE454" s="180"/>
      <c r="CF454" s="180"/>
      <c r="CG454" s="180"/>
      <c r="CH454" s="180"/>
      <c r="CI454" s="178"/>
      <c r="CJ454" s="178"/>
      <c r="CK454" s="180"/>
      <c r="CL454" s="180"/>
      <c r="CM454" s="180"/>
      <c r="CN454" s="116"/>
      <c r="CO454" s="100"/>
      <c r="CP454" s="100"/>
      <c r="CQ454" s="100"/>
    </row>
    <row r="455" spans="1:137" s="101" customFormat="1" hidden="1" x14ac:dyDescent="0.25">
      <c r="A455" s="99"/>
      <c r="V455" s="103"/>
      <c r="AA455" s="104"/>
      <c r="AB455" s="104"/>
      <c r="AD455" s="104"/>
      <c r="AE455" s="105"/>
      <c r="AH455" s="106"/>
      <c r="AI455" s="106"/>
      <c r="AK455" s="104"/>
      <c r="AR455" s="104"/>
      <c r="AV455" s="104"/>
      <c r="AX455" s="104"/>
      <c r="BB455" s="104"/>
      <c r="BC455" s="104"/>
      <c r="BE455" s="104"/>
      <c r="BH455" s="99"/>
      <c r="BI455" s="102"/>
      <c r="BJ455" s="178"/>
      <c r="BK455" s="178"/>
      <c r="BL455" s="178"/>
      <c r="BM455" s="169"/>
      <c r="BN455" s="169"/>
      <c r="BO455" s="169"/>
      <c r="BP455" s="178"/>
      <c r="BQ455" s="178"/>
      <c r="BR455" s="178"/>
      <c r="BS455" s="178"/>
      <c r="BT455" s="178"/>
      <c r="BU455" s="178"/>
      <c r="BV455" s="178"/>
      <c r="BW455" s="178"/>
      <c r="BX455" s="178"/>
      <c r="BY455" s="178"/>
      <c r="BZ455" s="178"/>
      <c r="CA455" s="178"/>
      <c r="CB455" s="180"/>
      <c r="CC455" s="178"/>
      <c r="CD455" s="178"/>
      <c r="CE455" s="180"/>
      <c r="CF455" s="180"/>
      <c r="CG455" s="180"/>
      <c r="CH455" s="180"/>
      <c r="CI455" s="178"/>
      <c r="CJ455" s="178"/>
      <c r="CK455" s="180"/>
      <c r="CL455" s="180"/>
      <c r="CM455" s="180"/>
      <c r="CN455" s="116"/>
      <c r="CO455" s="100"/>
      <c r="CP455" s="100"/>
      <c r="CQ455" s="100"/>
    </row>
    <row r="456" spans="1:137" s="101" customFormat="1" hidden="1" x14ac:dyDescent="0.25">
      <c r="A456" s="99"/>
      <c r="V456" s="103"/>
      <c r="AA456" s="104"/>
      <c r="AB456" s="104"/>
      <c r="AD456" s="104"/>
      <c r="AE456" s="105"/>
      <c r="AH456" s="106"/>
      <c r="AI456" s="106"/>
      <c r="AK456" s="104"/>
      <c r="AR456" s="104"/>
      <c r="AV456" s="104"/>
      <c r="AX456" s="104"/>
      <c r="BB456" s="104"/>
      <c r="BC456" s="104"/>
      <c r="BE456" s="104"/>
      <c r="BH456" s="99"/>
      <c r="BI456" s="102"/>
      <c r="BJ456" s="178"/>
      <c r="BK456" s="178"/>
      <c r="BL456" s="178"/>
      <c r="BM456" s="169"/>
      <c r="BN456" s="169"/>
      <c r="BO456" s="169"/>
      <c r="BP456" s="178"/>
      <c r="BQ456" s="178"/>
      <c r="BR456" s="178"/>
      <c r="BS456" s="178"/>
      <c r="BT456" s="178"/>
      <c r="BU456" s="178"/>
      <c r="BV456" s="178"/>
      <c r="BW456" s="178"/>
      <c r="BX456" s="178"/>
      <c r="BY456" s="178"/>
      <c r="BZ456" s="178"/>
      <c r="CA456" s="178"/>
      <c r="CB456" s="180"/>
      <c r="CC456" s="178"/>
      <c r="CD456" s="178"/>
      <c r="CE456" s="180"/>
      <c r="CF456" s="180"/>
      <c r="CG456" s="180"/>
      <c r="CH456" s="180"/>
      <c r="CI456" s="178"/>
      <c r="CJ456" s="178"/>
      <c r="CK456" s="180"/>
      <c r="CL456" s="180"/>
      <c r="CM456" s="180"/>
      <c r="CN456" s="116"/>
      <c r="CO456" s="100"/>
      <c r="CP456" s="100"/>
      <c r="CQ456" s="100"/>
    </row>
    <row r="457" spans="1:137" s="101" customFormat="1" hidden="1" x14ac:dyDescent="0.25">
      <c r="A457" s="99"/>
      <c r="V457" s="103"/>
      <c r="AA457" s="104"/>
      <c r="AB457" s="104"/>
      <c r="AD457" s="104"/>
      <c r="AE457" s="105"/>
      <c r="AH457" s="106"/>
      <c r="AI457" s="106"/>
      <c r="AK457" s="104"/>
      <c r="AR457" s="104"/>
      <c r="AV457" s="104"/>
      <c r="AX457" s="104"/>
      <c r="BB457" s="104"/>
      <c r="BC457" s="104"/>
      <c r="BE457" s="104"/>
      <c r="BH457" s="99"/>
      <c r="BI457" s="102"/>
      <c r="BJ457" s="178"/>
      <c r="BK457" s="178"/>
      <c r="BL457" s="178"/>
      <c r="BM457" s="169"/>
      <c r="BN457" s="169"/>
      <c r="BO457" s="169"/>
      <c r="BP457" s="178"/>
      <c r="BQ457" s="178"/>
      <c r="BR457" s="178"/>
      <c r="BS457" s="178"/>
      <c r="BT457" s="178"/>
      <c r="BU457" s="178"/>
      <c r="BV457" s="178"/>
      <c r="BW457" s="178"/>
      <c r="BX457" s="178"/>
      <c r="BY457" s="178"/>
      <c r="BZ457" s="178"/>
      <c r="CA457" s="178"/>
      <c r="CB457" s="180"/>
      <c r="CC457" s="178"/>
      <c r="CD457" s="178"/>
      <c r="CE457" s="180"/>
      <c r="CF457" s="180"/>
      <c r="CG457" s="180"/>
      <c r="CH457" s="180"/>
      <c r="CI457" s="178"/>
      <c r="CJ457" s="178"/>
      <c r="CK457" s="180"/>
      <c r="CL457" s="180"/>
      <c r="CM457" s="180"/>
      <c r="CN457" s="116"/>
      <c r="CO457" s="100"/>
      <c r="CP457" s="100"/>
      <c r="CQ457" s="100"/>
    </row>
    <row r="458" spans="1:137" s="101" customFormat="1" hidden="1" x14ac:dyDescent="0.25">
      <c r="A458" s="99"/>
      <c r="V458" s="103"/>
      <c r="AA458" s="104"/>
      <c r="AB458" s="104"/>
      <c r="AD458" s="104"/>
      <c r="AE458" s="105"/>
      <c r="AH458" s="106"/>
      <c r="AI458" s="106"/>
      <c r="AK458" s="104"/>
      <c r="AR458" s="104"/>
      <c r="AV458" s="104"/>
      <c r="AX458" s="104"/>
      <c r="BB458" s="104"/>
      <c r="BC458" s="104"/>
      <c r="BE458" s="104"/>
      <c r="BH458" s="99"/>
      <c r="BI458" s="102"/>
      <c r="BJ458" s="178"/>
      <c r="BK458" s="178"/>
      <c r="BL458" s="178"/>
      <c r="BM458" s="169"/>
      <c r="BN458" s="169"/>
      <c r="BO458" s="169"/>
      <c r="BP458" s="178"/>
      <c r="BQ458" s="178"/>
      <c r="BR458" s="178"/>
      <c r="BS458" s="178"/>
      <c r="BT458" s="178"/>
      <c r="BU458" s="178"/>
      <c r="BV458" s="178"/>
      <c r="BW458" s="178"/>
      <c r="BX458" s="178"/>
      <c r="BY458" s="178"/>
      <c r="BZ458" s="178"/>
      <c r="CA458" s="178"/>
      <c r="CB458" s="180"/>
      <c r="CC458" s="178"/>
      <c r="CD458" s="178"/>
      <c r="CE458" s="180"/>
      <c r="CF458" s="180"/>
      <c r="CG458" s="180"/>
      <c r="CH458" s="180"/>
      <c r="CI458" s="178"/>
      <c r="CJ458" s="178"/>
      <c r="CK458" s="180"/>
      <c r="CL458" s="180"/>
      <c r="CM458" s="180"/>
      <c r="CN458" s="116"/>
      <c r="CO458" s="100"/>
      <c r="CP458" s="100"/>
      <c r="CQ458" s="100"/>
    </row>
    <row r="459" spans="1:137" ht="15" hidden="1" customHeight="1" x14ac:dyDescent="0.25">
      <c r="BI459" s="102" t="s">
        <v>232</v>
      </c>
      <c r="BK459" s="178" t="s">
        <v>607</v>
      </c>
      <c r="BM459" s="169" t="s">
        <v>233</v>
      </c>
      <c r="BN459" s="169" t="s">
        <v>233</v>
      </c>
      <c r="BO459" s="169" t="s">
        <v>240</v>
      </c>
      <c r="BP459" s="178" t="s">
        <v>645</v>
      </c>
      <c r="CR459" s="98"/>
      <c r="CS459" s="98"/>
      <c r="CT459" s="98"/>
      <c r="CU459" s="98"/>
      <c r="CV459" s="98"/>
      <c r="CW459" s="98"/>
      <c r="CX459" s="98"/>
      <c r="CY459" s="98"/>
      <c r="CZ459" s="98"/>
      <c r="DA459" s="98"/>
      <c r="DB459" s="98"/>
      <c r="DC459" s="98"/>
      <c r="DD459" s="98"/>
      <c r="DE459" s="98"/>
      <c r="DF459" s="98"/>
      <c r="DG459" s="98"/>
      <c r="DH459" s="98"/>
      <c r="DI459" s="98"/>
      <c r="DJ459" s="98"/>
      <c r="DK459" s="98"/>
      <c r="DL459" s="98"/>
      <c r="DM459" s="98"/>
      <c r="DN459" s="98"/>
      <c r="DO459" s="98"/>
      <c r="DP459" s="98"/>
      <c r="DQ459" s="98"/>
      <c r="DR459" s="98"/>
      <c r="DS459" s="98"/>
      <c r="DT459" s="98"/>
      <c r="DU459" s="98"/>
      <c r="DV459" s="98"/>
      <c r="DW459" s="98"/>
      <c r="DX459" s="98"/>
      <c r="DY459" s="98"/>
      <c r="DZ459" s="98"/>
      <c r="EA459" s="98"/>
      <c r="EB459" s="98"/>
      <c r="EC459" s="98"/>
      <c r="ED459" s="98"/>
      <c r="EE459" s="98"/>
      <c r="EF459" s="98"/>
      <c r="EG459" s="98"/>
    </row>
    <row r="460" spans="1:137" hidden="1" x14ac:dyDescent="0.25">
      <c r="BJ460" s="178" t="s">
        <v>253</v>
      </c>
      <c r="BL460" s="178" t="s">
        <v>251</v>
      </c>
      <c r="CR460" s="98"/>
      <c r="CS460" s="98"/>
      <c r="CT460" s="98"/>
      <c r="CU460" s="98"/>
      <c r="CV460" s="98"/>
      <c r="CW460" s="98"/>
      <c r="CX460" s="98"/>
      <c r="CY460" s="98"/>
      <c r="CZ460" s="98"/>
      <c r="DA460" s="98"/>
      <c r="DB460" s="98"/>
      <c r="DC460" s="98"/>
      <c r="DD460" s="98"/>
      <c r="DE460" s="98"/>
      <c r="DF460" s="98"/>
      <c r="DG460" s="98"/>
      <c r="DH460" s="98"/>
      <c r="DI460" s="98"/>
      <c r="DJ460" s="98"/>
      <c r="DK460" s="98"/>
      <c r="DL460" s="98"/>
      <c r="DM460" s="98"/>
      <c r="DN460" s="98"/>
      <c r="DO460" s="98"/>
      <c r="DP460" s="98"/>
      <c r="DQ460" s="98"/>
      <c r="DR460" s="98"/>
      <c r="DS460" s="98"/>
      <c r="DT460" s="98"/>
      <c r="DU460" s="98"/>
      <c r="DV460" s="98"/>
      <c r="DW460" s="98"/>
      <c r="DX460" s="98"/>
      <c r="DY460" s="98"/>
      <c r="DZ460" s="98"/>
      <c r="EA460" s="98"/>
      <c r="EB460" s="98"/>
      <c r="EC460" s="98"/>
      <c r="ED460" s="98"/>
      <c r="EE460" s="98"/>
      <c r="EF460" s="98"/>
      <c r="EG460" s="98"/>
    </row>
    <row r="461" spans="1:137" hidden="1" x14ac:dyDescent="0.25">
      <c r="BI461" s="102" t="s">
        <v>1</v>
      </c>
      <c r="BJ461" s="178" t="s">
        <v>615</v>
      </c>
      <c r="BK461" s="178">
        <v>1664.9169999999999</v>
      </c>
      <c r="BL461" s="178" t="s">
        <v>641</v>
      </c>
      <c r="BM461" s="169">
        <v>4.3E-3</v>
      </c>
      <c r="BN461" s="169">
        <v>4.3E-3</v>
      </c>
      <c r="BO461" s="169" t="s">
        <v>241</v>
      </c>
      <c r="BP461" s="263">
        <v>1</v>
      </c>
      <c r="CR461" s="98"/>
      <c r="CS461" s="98"/>
      <c r="CT461" s="98"/>
      <c r="CU461" s="98"/>
      <c r="CV461" s="98"/>
      <c r="CW461" s="98"/>
      <c r="CX461" s="98"/>
      <c r="CY461" s="98"/>
      <c r="CZ461" s="98"/>
      <c r="DA461" s="98"/>
      <c r="DB461" s="98"/>
      <c r="DC461" s="98"/>
      <c r="DD461" s="98"/>
      <c r="DE461" s="98"/>
      <c r="DF461" s="98"/>
      <c r="DG461" s="98"/>
      <c r="DH461" s="98"/>
      <c r="DI461" s="98"/>
      <c r="DJ461" s="98"/>
      <c r="DK461" s="98"/>
      <c r="DL461" s="98"/>
      <c r="DM461" s="98"/>
      <c r="DN461" s="98"/>
      <c r="DO461" s="98"/>
      <c r="DP461" s="98"/>
      <c r="DQ461" s="98"/>
      <c r="DR461" s="98"/>
      <c r="DS461" s="98"/>
      <c r="DT461" s="98"/>
      <c r="DU461" s="98"/>
      <c r="DV461" s="98"/>
      <c r="DW461" s="98"/>
      <c r="DX461" s="98"/>
      <c r="DY461" s="98"/>
      <c r="DZ461" s="98"/>
      <c r="EA461" s="98"/>
      <c r="EB461" s="98"/>
      <c r="EC461" s="98"/>
      <c r="ED461" s="98"/>
      <c r="EE461" s="98"/>
      <c r="EF461" s="98"/>
      <c r="EG461" s="98"/>
    </row>
    <row r="462" spans="1:137" hidden="1" x14ac:dyDescent="0.25">
      <c r="BI462" s="102" t="s">
        <v>221</v>
      </c>
      <c r="BJ462" s="178" t="s">
        <v>615</v>
      </c>
      <c r="BK462" s="178">
        <v>1869.837</v>
      </c>
      <c r="BL462" s="178" t="s">
        <v>641</v>
      </c>
      <c r="BM462" s="169">
        <v>3.82E-3</v>
      </c>
      <c r="BN462" s="169">
        <v>3.82E-3</v>
      </c>
      <c r="BO462" s="169" t="s">
        <v>241</v>
      </c>
      <c r="BP462" s="263">
        <v>1</v>
      </c>
      <c r="CR462" s="98"/>
      <c r="CS462" s="98"/>
      <c r="CT462" s="98"/>
      <c r="CU462" s="98"/>
      <c r="CV462" s="98"/>
      <c r="CW462" s="98"/>
      <c r="CX462" s="98"/>
      <c r="CY462" s="98"/>
      <c r="CZ462" s="98"/>
      <c r="DA462" s="98"/>
      <c r="DB462" s="98"/>
      <c r="DC462" s="98"/>
      <c r="DD462" s="98"/>
      <c r="DE462" s="98"/>
      <c r="DF462" s="98"/>
      <c r="DG462" s="98"/>
      <c r="DH462" s="98"/>
      <c r="DI462" s="98"/>
      <c r="DJ462" s="98"/>
      <c r="DK462" s="98"/>
      <c r="DL462" s="98"/>
      <c r="DM462" s="98"/>
      <c r="DN462" s="98"/>
      <c r="DO462" s="98"/>
      <c r="DP462" s="98"/>
      <c r="DQ462" s="98"/>
      <c r="DR462" s="98"/>
      <c r="DS462" s="98"/>
      <c r="DT462" s="98"/>
      <c r="DU462" s="98"/>
      <c r="DV462" s="98"/>
      <c r="DW462" s="98"/>
      <c r="DX462" s="98"/>
      <c r="DY462" s="98"/>
      <c r="DZ462" s="98"/>
      <c r="EA462" s="98"/>
      <c r="EB462" s="98"/>
      <c r="EC462" s="98"/>
      <c r="ED462" s="98"/>
      <c r="EE462" s="98"/>
      <c r="EF462" s="98"/>
      <c r="EG462" s="98"/>
    </row>
    <row r="463" spans="1:137" hidden="1" x14ac:dyDescent="0.25">
      <c r="BI463" s="102" t="s">
        <v>222</v>
      </c>
      <c r="BJ463" s="178" t="s">
        <v>615</v>
      </c>
      <c r="BK463" s="178">
        <v>1758.4449999999999</v>
      </c>
      <c r="BL463" s="178" t="s">
        <v>641</v>
      </c>
      <c r="BM463" s="169">
        <v>3.98E-3</v>
      </c>
      <c r="BN463" s="169">
        <v>3.98E-3</v>
      </c>
      <c r="BO463" s="169" t="s">
        <v>241</v>
      </c>
      <c r="BP463" s="263">
        <v>1</v>
      </c>
      <c r="CR463" s="98"/>
      <c r="CS463" s="98"/>
      <c r="CT463" s="98"/>
      <c r="CU463" s="98"/>
      <c r="CV463" s="98"/>
      <c r="CW463" s="98"/>
      <c r="CX463" s="98"/>
      <c r="CY463" s="98"/>
      <c r="CZ463" s="98"/>
      <c r="DA463" s="98"/>
      <c r="DB463" s="98"/>
      <c r="DC463" s="98"/>
      <c r="DD463" s="98"/>
      <c r="DE463" s="98"/>
      <c r="DF463" s="98"/>
      <c r="DG463" s="98"/>
      <c r="DH463" s="98"/>
      <c r="DI463" s="98"/>
      <c r="DJ463" s="98"/>
      <c r="DK463" s="98"/>
      <c r="DL463" s="98"/>
      <c r="DM463" s="98"/>
      <c r="DN463" s="98"/>
      <c r="DO463" s="98"/>
      <c r="DP463" s="98"/>
      <c r="DQ463" s="98"/>
      <c r="DR463" s="98"/>
      <c r="DS463" s="98"/>
      <c r="DT463" s="98"/>
      <c r="DU463" s="98"/>
      <c r="DV463" s="98"/>
      <c r="DW463" s="98"/>
      <c r="DX463" s="98"/>
      <c r="DY463" s="98"/>
      <c r="DZ463" s="98"/>
      <c r="EA463" s="98"/>
      <c r="EB463" s="98"/>
      <c r="EC463" s="98"/>
      <c r="ED463" s="98"/>
      <c r="EE463" s="98"/>
      <c r="EF463" s="98"/>
      <c r="EG463" s="98"/>
    </row>
    <row r="464" spans="1:137" hidden="1" x14ac:dyDescent="0.25">
      <c r="BI464" s="102" t="s">
        <v>223</v>
      </c>
      <c r="BJ464" s="178" t="s">
        <v>615</v>
      </c>
      <c r="BK464" s="178" t="s">
        <v>403</v>
      </c>
      <c r="BL464" s="178" t="s">
        <v>641</v>
      </c>
      <c r="BM464" s="169">
        <v>3.5799999999999998E-3</v>
      </c>
      <c r="BN464" s="169">
        <v>3.5799999999999998E-3</v>
      </c>
      <c r="BO464" s="169" t="s">
        <v>241</v>
      </c>
      <c r="BP464" s="263">
        <v>1</v>
      </c>
      <c r="CR464" s="98"/>
      <c r="CS464" s="98"/>
      <c r="CT464" s="98"/>
      <c r="CU464" s="98"/>
      <c r="CV464" s="98"/>
      <c r="CW464" s="98"/>
      <c r="CX464" s="98"/>
      <c r="CY464" s="98"/>
      <c r="CZ464" s="98"/>
      <c r="DA464" s="98"/>
      <c r="DB464" s="98"/>
      <c r="DC464" s="98"/>
      <c r="DD464" s="98"/>
      <c r="DE464" s="98"/>
      <c r="DF464" s="98"/>
      <c r="DG464" s="98"/>
      <c r="DH464" s="98"/>
      <c r="DI464" s="98"/>
      <c r="DJ464" s="98"/>
      <c r="DK464" s="98"/>
      <c r="DL464" s="98"/>
      <c r="DM464" s="98"/>
      <c r="DN464" s="98"/>
      <c r="DO464" s="98"/>
      <c r="DP464" s="98"/>
      <c r="DQ464" s="98"/>
      <c r="DR464" s="98"/>
      <c r="DS464" s="98"/>
      <c r="DT464" s="98"/>
      <c r="DU464" s="98"/>
      <c r="DV464" s="98"/>
      <c r="DW464" s="98"/>
      <c r="DX464" s="98"/>
      <c r="DY464" s="98"/>
      <c r="DZ464" s="98"/>
      <c r="EA464" s="98"/>
      <c r="EB464" s="98"/>
      <c r="EC464" s="98"/>
      <c r="ED464" s="98"/>
      <c r="EE464" s="98"/>
      <c r="EF464" s="98"/>
      <c r="EG464" s="98"/>
    </row>
    <row r="465" spans="1:137" hidden="1" x14ac:dyDescent="0.25">
      <c r="BI465" s="102" t="s">
        <v>224</v>
      </c>
      <c r="BJ465" s="178" t="s">
        <v>615</v>
      </c>
      <c r="BK465" s="178">
        <v>1553.251</v>
      </c>
      <c r="BL465" s="178" t="s">
        <v>641</v>
      </c>
      <c r="BM465" s="169">
        <v>4.4900000000000001E-3</v>
      </c>
      <c r="BN465" s="169">
        <v>4.4900000000000001E-3</v>
      </c>
      <c r="BO465" s="169" t="s">
        <v>241</v>
      </c>
      <c r="BP465" s="263">
        <v>1</v>
      </c>
      <c r="CR465" s="98"/>
      <c r="CS465" s="98"/>
      <c r="CT465" s="98"/>
      <c r="CU465" s="98"/>
      <c r="CV465" s="98"/>
      <c r="CW465" s="98"/>
      <c r="CX465" s="98"/>
      <c r="CY465" s="98"/>
      <c r="CZ465" s="98"/>
      <c r="DA465" s="98"/>
      <c r="DB465" s="98"/>
      <c r="DC465" s="98"/>
      <c r="DD465" s="98"/>
      <c r="DE465" s="98"/>
      <c r="DF465" s="98"/>
      <c r="DG465" s="98"/>
      <c r="DH465" s="98"/>
      <c r="DI465" s="98"/>
      <c r="DJ465" s="98"/>
      <c r="DK465" s="98"/>
      <c r="DL465" s="98"/>
      <c r="DM465" s="98"/>
      <c r="DN465" s="98"/>
      <c r="DO465" s="98"/>
      <c r="DP465" s="98"/>
      <c r="DQ465" s="98"/>
      <c r="DR465" s="98"/>
      <c r="DS465" s="98"/>
      <c r="DT465" s="98"/>
      <c r="DU465" s="98"/>
      <c r="DV465" s="98"/>
      <c r="DW465" s="98"/>
      <c r="DX465" s="98"/>
      <c r="DY465" s="98"/>
      <c r="DZ465" s="98"/>
      <c r="EA465" s="98"/>
      <c r="EB465" s="98"/>
      <c r="EC465" s="98"/>
      <c r="ED465" s="98"/>
      <c r="EE465" s="98"/>
      <c r="EF465" s="98"/>
      <c r="EG465" s="98"/>
    </row>
    <row r="466" spans="1:137" hidden="1" x14ac:dyDescent="0.25">
      <c r="BI466" s="102" t="s">
        <v>225</v>
      </c>
      <c r="BJ466" s="178" t="s">
        <v>615</v>
      </c>
      <c r="BK466" s="178">
        <v>2222.1489999999999</v>
      </c>
      <c r="BL466" s="178" t="s">
        <v>641</v>
      </c>
      <c r="BM466" s="169">
        <v>3.0299999999999997E-3</v>
      </c>
      <c r="BN466" s="169">
        <v>3.0299999999999997E-3</v>
      </c>
      <c r="BO466" s="169" t="s">
        <v>241</v>
      </c>
      <c r="BP466" s="263">
        <v>1</v>
      </c>
      <c r="CR466" s="98"/>
      <c r="CS466" s="98"/>
      <c r="CT466" s="98"/>
      <c r="CU466" s="98"/>
      <c r="CV466" s="98"/>
      <c r="CW466" s="98"/>
      <c r="CX466" s="98"/>
      <c r="CY466" s="98"/>
      <c r="CZ466" s="98"/>
      <c r="DA466" s="98"/>
      <c r="DB466" s="98"/>
      <c r="DC466" s="98"/>
      <c r="DD466" s="98"/>
      <c r="DE466" s="98"/>
      <c r="DF466" s="98"/>
      <c r="DG466" s="98"/>
      <c r="DH466" s="98"/>
      <c r="DI466" s="98"/>
      <c r="DJ466" s="98"/>
      <c r="DK466" s="98"/>
      <c r="DL466" s="98"/>
      <c r="DM466" s="98"/>
      <c r="DN466" s="98"/>
      <c r="DO466" s="98"/>
      <c r="DP466" s="98"/>
      <c r="DQ466" s="98"/>
      <c r="DR466" s="98"/>
      <c r="DS466" s="98"/>
      <c r="DT466" s="98"/>
      <c r="DU466" s="98"/>
      <c r="DV466" s="98"/>
      <c r="DW466" s="98"/>
      <c r="DX466" s="98"/>
      <c r="DY466" s="98"/>
      <c r="DZ466" s="98"/>
      <c r="EA466" s="98"/>
      <c r="EB466" s="98"/>
      <c r="EC466" s="98"/>
      <c r="ED466" s="98"/>
      <c r="EE466" s="98"/>
      <c r="EF466" s="98"/>
      <c r="EG466" s="98"/>
    </row>
    <row r="467" spans="1:137" hidden="1" x14ac:dyDescent="0.25">
      <c r="BI467" s="102" t="s">
        <v>226</v>
      </c>
      <c r="BJ467" s="178" t="s">
        <v>615</v>
      </c>
      <c r="BK467" s="178">
        <v>1871.6690000000001</v>
      </c>
      <c r="BL467" s="178" t="s">
        <v>641</v>
      </c>
      <c r="BM467" s="169">
        <v>3.7299999999999998E-3</v>
      </c>
      <c r="BN467" s="169">
        <v>3.7299999999999998E-3</v>
      </c>
      <c r="BO467" s="169" t="s">
        <v>241</v>
      </c>
      <c r="BP467" s="263">
        <v>1</v>
      </c>
      <c r="CR467" s="98"/>
      <c r="CS467" s="98"/>
      <c r="CT467" s="98"/>
      <c r="CU467" s="98"/>
      <c r="CV467" s="98"/>
      <c r="CW467" s="98"/>
      <c r="CX467" s="98"/>
      <c r="CY467" s="98"/>
      <c r="CZ467" s="98"/>
      <c r="DA467" s="98"/>
      <c r="DB467" s="98"/>
      <c r="DC467" s="98"/>
      <c r="DD467" s="98"/>
      <c r="DE467" s="98"/>
      <c r="DF467" s="98"/>
      <c r="DG467" s="98"/>
      <c r="DH467" s="98"/>
      <c r="DI467" s="98"/>
      <c r="DJ467" s="98"/>
      <c r="DK467" s="98"/>
      <c r="DL467" s="98"/>
      <c r="DM467" s="98"/>
      <c r="DN467" s="98"/>
      <c r="DO467" s="98"/>
      <c r="DP467" s="98"/>
      <c r="DQ467" s="98"/>
      <c r="DR467" s="98"/>
      <c r="DS467" s="98"/>
      <c r="DT467" s="98"/>
      <c r="DU467" s="98"/>
      <c r="DV467" s="98"/>
      <c r="DW467" s="98"/>
      <c r="DX467" s="98"/>
      <c r="DY467" s="98"/>
      <c r="DZ467" s="98"/>
      <c r="EA467" s="98"/>
      <c r="EB467" s="98"/>
      <c r="EC467" s="98"/>
      <c r="ED467" s="98"/>
      <c r="EE467" s="98"/>
      <c r="EF467" s="98"/>
      <c r="EG467" s="98"/>
    </row>
    <row r="468" spans="1:137" hidden="1" x14ac:dyDescent="0.25">
      <c r="BI468" s="102" t="s">
        <v>3</v>
      </c>
      <c r="BJ468" s="178" t="s">
        <v>615</v>
      </c>
      <c r="BK468" s="178">
        <v>1521.3389999999999</v>
      </c>
      <c r="BL468" s="178" t="s">
        <v>641</v>
      </c>
      <c r="BM468" s="169">
        <v>4.4099999999999999E-3</v>
      </c>
      <c r="BN468" s="169">
        <v>4.4099999999999999E-3</v>
      </c>
      <c r="BO468" s="169" t="s">
        <v>241</v>
      </c>
      <c r="BP468" s="263">
        <v>1</v>
      </c>
      <c r="CR468" s="98"/>
      <c r="CS468" s="98"/>
      <c r="CT468" s="98"/>
      <c r="CU468" s="98"/>
      <c r="CV468" s="98"/>
      <c r="CW468" s="98"/>
      <c r="CX468" s="98"/>
      <c r="CY468" s="98"/>
      <c r="CZ468" s="98"/>
      <c r="DA468" s="98"/>
      <c r="DB468" s="98"/>
      <c r="DC468" s="98"/>
      <c r="DD468" s="98"/>
      <c r="DE468" s="98"/>
      <c r="DF468" s="98"/>
      <c r="DG468" s="98"/>
      <c r="DH468" s="98"/>
      <c r="DI468" s="98"/>
      <c r="DJ468" s="98"/>
      <c r="DK468" s="98"/>
      <c r="DL468" s="98"/>
      <c r="DM468" s="98"/>
      <c r="DN468" s="98"/>
      <c r="DO468" s="98"/>
      <c r="DP468" s="98"/>
      <c r="DQ468" s="98"/>
      <c r="DR468" s="98"/>
      <c r="DS468" s="98"/>
      <c r="DT468" s="98"/>
      <c r="DU468" s="98"/>
      <c r="DV468" s="98"/>
      <c r="DW468" s="98"/>
      <c r="DX468" s="98"/>
      <c r="DY468" s="98"/>
      <c r="DZ468" s="98"/>
      <c r="EA468" s="98"/>
      <c r="EB468" s="98"/>
      <c r="EC468" s="98"/>
      <c r="ED468" s="98"/>
      <c r="EE468" s="98"/>
      <c r="EF468" s="98"/>
      <c r="EG468" s="98"/>
    </row>
    <row r="469" spans="1:137" hidden="1" x14ac:dyDescent="0.25">
      <c r="BI469" s="102" t="s">
        <v>227</v>
      </c>
      <c r="BJ469" s="178" t="s">
        <v>615</v>
      </c>
      <c r="BK469" s="178">
        <v>1958.4190000000001</v>
      </c>
      <c r="BL469" s="178" t="s">
        <v>641</v>
      </c>
      <c r="BM469" s="169">
        <v>3.6800000000000001E-3</v>
      </c>
      <c r="BN469" s="169">
        <v>3.6800000000000001E-3</v>
      </c>
      <c r="BO469" s="169" t="s">
        <v>241</v>
      </c>
      <c r="BP469" s="263">
        <v>1</v>
      </c>
      <c r="CR469" s="98"/>
      <c r="CS469" s="98"/>
      <c r="CT469" s="98"/>
      <c r="CU469" s="98"/>
      <c r="CV469" s="98"/>
      <c r="CW469" s="98"/>
      <c r="CX469" s="98"/>
      <c r="CY469" s="98"/>
      <c r="CZ469" s="98"/>
      <c r="DA469" s="98"/>
      <c r="DB469" s="98"/>
      <c r="DC469" s="98"/>
      <c r="DD469" s="98"/>
      <c r="DE469" s="98"/>
      <c r="DF469" s="98"/>
      <c r="DG469" s="98"/>
      <c r="DH469" s="98"/>
      <c r="DI469" s="98"/>
      <c r="DJ469" s="98"/>
      <c r="DK469" s="98"/>
      <c r="DL469" s="98"/>
      <c r="DM469" s="98"/>
      <c r="DN469" s="98"/>
      <c r="DO469" s="98"/>
      <c r="DP469" s="98"/>
      <c r="DQ469" s="98"/>
      <c r="DR469" s="98"/>
      <c r="DS469" s="98"/>
      <c r="DT469" s="98"/>
      <c r="DU469" s="98"/>
      <c r="DV469" s="98"/>
      <c r="DW469" s="98"/>
      <c r="DX469" s="98"/>
      <c r="DY469" s="98"/>
      <c r="DZ469" s="98"/>
      <c r="EA469" s="98"/>
      <c r="EB469" s="98"/>
      <c r="EC469" s="98"/>
      <c r="ED469" s="98"/>
      <c r="EE469" s="98"/>
      <c r="EF469" s="98"/>
      <c r="EG469" s="98"/>
    </row>
    <row r="470" spans="1:137" hidden="1" x14ac:dyDescent="0.25">
      <c r="BI470" s="102" t="s">
        <v>228</v>
      </c>
      <c r="BJ470" s="178" t="s">
        <v>615</v>
      </c>
      <c r="BK470" s="178">
        <v>1953.38</v>
      </c>
      <c r="BL470" s="178" t="s">
        <v>641</v>
      </c>
      <c r="BM470" s="169">
        <v>3.5899999999999999E-3</v>
      </c>
      <c r="BN470" s="169">
        <v>3.5899999999999999E-3</v>
      </c>
      <c r="BO470" s="169" t="s">
        <v>241</v>
      </c>
      <c r="BP470" s="263">
        <v>1</v>
      </c>
      <c r="CR470" s="98"/>
      <c r="CS470" s="98"/>
      <c r="CT470" s="98"/>
      <c r="CU470" s="98"/>
      <c r="CV470" s="98"/>
      <c r="CW470" s="98"/>
      <c r="CX470" s="98"/>
      <c r="CY470" s="98"/>
      <c r="CZ470" s="98"/>
      <c r="DA470" s="98"/>
      <c r="DB470" s="98"/>
      <c r="DC470" s="98"/>
      <c r="DD470" s="98"/>
      <c r="DE470" s="98"/>
      <c r="DF470" s="98"/>
      <c r="DG470" s="98"/>
      <c r="DH470" s="98"/>
      <c r="DI470" s="98"/>
      <c r="DJ470" s="98"/>
      <c r="DK470" s="98"/>
      <c r="DL470" s="98"/>
      <c r="DM470" s="98"/>
      <c r="DN470" s="98"/>
      <c r="DO470" s="98"/>
      <c r="DP470" s="98"/>
      <c r="DQ470" s="98"/>
      <c r="DR470" s="98"/>
      <c r="DS470" s="98"/>
      <c r="DT470" s="98"/>
      <c r="DU470" s="98"/>
      <c r="DV470" s="98"/>
      <c r="DW470" s="98"/>
      <c r="DX470" s="98"/>
      <c r="DY470" s="98"/>
      <c r="DZ470" s="98"/>
      <c r="EA470" s="98"/>
      <c r="EB470" s="98"/>
      <c r="EC470" s="98"/>
      <c r="ED470" s="98"/>
      <c r="EE470" s="98"/>
      <c r="EF470" s="98"/>
      <c r="EG470" s="98"/>
    </row>
    <row r="471" spans="1:137" hidden="1" x14ac:dyDescent="0.25">
      <c r="BI471" s="102" t="s">
        <v>229</v>
      </c>
      <c r="BJ471" s="178" t="s">
        <v>615</v>
      </c>
      <c r="BK471" s="178">
        <v>2005.412</v>
      </c>
      <c r="BL471" s="178" t="s">
        <v>641</v>
      </c>
      <c r="BM471" s="169">
        <v>3.4999999999999996E-3</v>
      </c>
      <c r="BN471" s="169">
        <v>3.4999999999999996E-3</v>
      </c>
      <c r="BO471" s="169" t="s">
        <v>241</v>
      </c>
      <c r="BP471" s="263">
        <v>1</v>
      </c>
      <c r="CR471" s="98"/>
      <c r="CS471" s="98"/>
      <c r="CT471" s="98"/>
      <c r="CU471" s="98"/>
      <c r="CV471" s="98"/>
      <c r="CW471" s="98"/>
      <c r="CX471" s="98"/>
      <c r="CY471" s="98"/>
      <c r="CZ471" s="98"/>
      <c r="DA471" s="98"/>
      <c r="DB471" s="98"/>
      <c r="DC471" s="98"/>
      <c r="DD471" s="98"/>
      <c r="DE471" s="98"/>
      <c r="DF471" s="98"/>
      <c r="DG471" s="98"/>
      <c r="DH471" s="98"/>
      <c r="DI471" s="98"/>
      <c r="DJ471" s="98"/>
      <c r="DK471" s="98"/>
      <c r="DL471" s="98"/>
      <c r="DM471" s="98"/>
      <c r="DN471" s="98"/>
      <c r="DO471" s="98"/>
      <c r="DP471" s="98"/>
      <c r="DQ471" s="98"/>
      <c r="DR471" s="98"/>
      <c r="DS471" s="98"/>
      <c r="DT471" s="98"/>
      <c r="DU471" s="98"/>
      <c r="DV471" s="98"/>
      <c r="DW471" s="98"/>
      <c r="DX471" s="98"/>
      <c r="DY471" s="98"/>
      <c r="DZ471" s="98"/>
      <c r="EA471" s="98"/>
      <c r="EB471" s="98"/>
      <c r="EC471" s="98"/>
      <c r="ED471" s="98"/>
      <c r="EE471" s="98"/>
      <c r="EF471" s="98"/>
      <c r="EG471" s="98"/>
    </row>
    <row r="472" spans="1:137" hidden="1" x14ac:dyDescent="0.25">
      <c r="BI472" s="102" t="s">
        <v>230</v>
      </c>
      <c r="BJ472" s="178" t="s">
        <v>615</v>
      </c>
      <c r="BK472" s="178">
        <v>1942.7539999999999</v>
      </c>
      <c r="BL472" s="178" t="s">
        <v>641</v>
      </c>
      <c r="BM472" s="169">
        <v>3.5899999999999999E-3</v>
      </c>
      <c r="BN472" s="169">
        <v>3.5899999999999999E-3</v>
      </c>
      <c r="BO472" s="169" t="s">
        <v>241</v>
      </c>
      <c r="BP472" s="263">
        <v>1</v>
      </c>
      <c r="CR472" s="98"/>
      <c r="CS472" s="98"/>
      <c r="CT472" s="98"/>
      <c r="CU472" s="98"/>
      <c r="CV472" s="98"/>
      <c r="CW472" s="98"/>
      <c r="CX472" s="98"/>
      <c r="CY472" s="98"/>
      <c r="CZ472" s="98"/>
      <c r="DA472" s="98"/>
      <c r="DB472" s="98"/>
      <c r="DC472" s="98"/>
      <c r="DD472" s="98"/>
      <c r="DE472" s="98"/>
      <c r="DF472" s="98"/>
      <c r="DG472" s="98"/>
      <c r="DH472" s="98"/>
      <c r="DI472" s="98"/>
      <c r="DJ472" s="98"/>
      <c r="DK472" s="98"/>
      <c r="DL472" s="98"/>
      <c r="DM472" s="98"/>
      <c r="DN472" s="98"/>
      <c r="DO472" s="98"/>
      <c r="DP472" s="98"/>
      <c r="DQ472" s="98"/>
      <c r="DR472" s="98"/>
      <c r="DS472" s="98"/>
      <c r="DT472" s="98"/>
      <c r="DU472" s="98"/>
      <c r="DV472" s="98"/>
      <c r="DW472" s="98"/>
      <c r="DX472" s="98"/>
      <c r="DY472" s="98"/>
      <c r="DZ472" s="98"/>
      <c r="EA472" s="98"/>
      <c r="EB472" s="98"/>
      <c r="EC472" s="98"/>
      <c r="ED472" s="98"/>
      <c r="EE472" s="98"/>
      <c r="EF472" s="98"/>
      <c r="EG472" s="98"/>
    </row>
    <row r="473" spans="1:137" hidden="1" x14ac:dyDescent="0.25">
      <c r="BI473" s="102" t="s">
        <v>231</v>
      </c>
      <c r="BJ473" s="178" t="s">
        <v>615</v>
      </c>
      <c r="BK473" s="178">
        <v>1932.1279999999999</v>
      </c>
      <c r="BL473" s="178" t="s">
        <v>641</v>
      </c>
      <c r="BM473" s="169">
        <v>3.6099999999999999E-3</v>
      </c>
      <c r="BN473" s="169">
        <v>3.6099999999999999E-3</v>
      </c>
      <c r="BO473" s="169" t="s">
        <v>241</v>
      </c>
      <c r="BP473" s="263">
        <v>1</v>
      </c>
      <c r="CR473" s="98"/>
      <c r="CS473" s="98"/>
      <c r="CT473" s="98"/>
      <c r="CU473" s="98"/>
      <c r="CV473" s="98"/>
      <c r="CW473" s="98"/>
      <c r="CX473" s="98"/>
      <c r="CY473" s="98"/>
      <c r="CZ473" s="98"/>
      <c r="DA473" s="98"/>
      <c r="DB473" s="98"/>
      <c r="DC473" s="98"/>
      <c r="DD473" s="98"/>
      <c r="DE473" s="98"/>
      <c r="DF473" s="98"/>
      <c r="DG473" s="98"/>
      <c r="DH473" s="98"/>
      <c r="DI473" s="98"/>
      <c r="DJ473" s="98"/>
      <c r="DK473" s="98"/>
      <c r="DL473" s="98"/>
      <c r="DM473" s="98"/>
      <c r="DN473" s="98"/>
      <c r="DO473" s="98"/>
      <c r="DP473" s="98"/>
      <c r="DQ473" s="98"/>
      <c r="DR473" s="98"/>
      <c r="DS473" s="98"/>
      <c r="DT473" s="98"/>
      <c r="DU473" s="98"/>
      <c r="DV473" s="98"/>
      <c r="DW473" s="98"/>
      <c r="DX473" s="98"/>
      <c r="DY473" s="98"/>
      <c r="DZ473" s="98"/>
      <c r="EA473" s="98"/>
      <c r="EB473" s="98"/>
      <c r="EC473" s="98"/>
      <c r="ED473" s="98"/>
      <c r="EE473" s="98"/>
      <c r="EF473" s="98"/>
      <c r="EG473" s="98"/>
    </row>
    <row r="474" spans="1:137" hidden="1" x14ac:dyDescent="0.25">
      <c r="A474" s="98"/>
      <c r="V474" s="98"/>
      <c r="AA474" s="98"/>
      <c r="AB474" s="98"/>
      <c r="AD474" s="98"/>
      <c r="AE474" s="98"/>
      <c r="AH474" s="98"/>
      <c r="AI474" s="98"/>
      <c r="AK474" s="98"/>
      <c r="AR474" s="98"/>
      <c r="AV474" s="98"/>
      <c r="AX474" s="98"/>
      <c r="BB474" s="98"/>
      <c r="BC474" s="98"/>
      <c r="BE474" s="98"/>
      <c r="BH474" s="98"/>
      <c r="BI474" s="102" t="s">
        <v>602</v>
      </c>
      <c r="BJ474" s="178" t="s">
        <v>49</v>
      </c>
      <c r="BK474" s="178">
        <v>1.521339</v>
      </c>
      <c r="BL474" s="178" t="s">
        <v>259</v>
      </c>
      <c r="BM474" s="169">
        <v>4.4099999999999999E-3</v>
      </c>
      <c r="BN474" s="169">
        <v>4.4099999999999999E-3</v>
      </c>
      <c r="BO474" s="169" t="s">
        <v>241</v>
      </c>
      <c r="BP474" s="263">
        <v>1</v>
      </c>
      <c r="BQ474" s="98"/>
      <c r="BR474" s="98"/>
      <c r="BS474" s="98"/>
      <c r="BT474" s="98"/>
      <c r="BU474" s="98"/>
      <c r="BV474" s="98"/>
      <c r="BW474" s="98"/>
      <c r="BX474" s="98"/>
      <c r="BY474" s="98"/>
      <c r="BZ474" s="98"/>
      <c r="CA474" s="98"/>
      <c r="CB474" s="98"/>
      <c r="CC474" s="98"/>
      <c r="CD474" s="98"/>
      <c r="CE474" s="98"/>
      <c r="CF474" s="98"/>
      <c r="CG474" s="98"/>
      <c r="CH474" s="98"/>
      <c r="CI474" s="98"/>
      <c r="CJ474" s="98"/>
      <c r="CK474" s="98"/>
      <c r="CL474" s="98"/>
      <c r="CM474" s="98"/>
      <c r="CN474" s="98"/>
      <c r="CR474" s="98"/>
      <c r="CS474" s="98"/>
      <c r="CT474" s="98"/>
      <c r="CU474" s="98"/>
      <c r="CV474" s="98"/>
      <c r="CW474" s="98"/>
      <c r="CX474" s="98"/>
      <c r="CY474" s="98"/>
      <c r="CZ474" s="98"/>
      <c r="DA474" s="98"/>
      <c r="DB474" s="98"/>
      <c r="DC474" s="98"/>
      <c r="DD474" s="98"/>
      <c r="DE474" s="98"/>
      <c r="DF474" s="98"/>
      <c r="DG474" s="98"/>
      <c r="DH474" s="98"/>
      <c r="DI474" s="98"/>
      <c r="DJ474" s="98"/>
      <c r="DK474" s="98"/>
      <c r="DL474" s="98"/>
      <c r="DM474" s="98"/>
      <c r="DN474" s="98"/>
      <c r="DO474" s="98"/>
      <c r="DP474" s="98"/>
      <c r="DQ474" s="98"/>
      <c r="DR474" s="98"/>
      <c r="DS474" s="98"/>
      <c r="DT474" s="98"/>
      <c r="DU474" s="98"/>
      <c r="DV474" s="98"/>
      <c r="DW474" s="98"/>
      <c r="DX474" s="98"/>
      <c r="DY474" s="98"/>
      <c r="DZ474" s="98"/>
      <c r="EA474" s="98"/>
      <c r="EB474" s="98"/>
      <c r="EC474" s="98"/>
      <c r="ED474" s="98"/>
      <c r="EE474" s="98"/>
      <c r="EF474" s="98"/>
      <c r="EG474" s="98"/>
    </row>
    <row r="475" spans="1:137" hidden="1" x14ac:dyDescent="0.25">
      <c r="A475" s="98"/>
      <c r="V475" s="98"/>
      <c r="AA475" s="98"/>
      <c r="AB475" s="98"/>
      <c r="AD475" s="98"/>
      <c r="AE475" s="98"/>
      <c r="AH475" s="98"/>
      <c r="AI475" s="98"/>
      <c r="AK475" s="98"/>
      <c r="AR475" s="98"/>
      <c r="AV475" s="98"/>
      <c r="AX475" s="98"/>
      <c r="BB475" s="98"/>
      <c r="BC475" s="98"/>
      <c r="BE475" s="98"/>
      <c r="BH475" s="98"/>
      <c r="BI475" s="102" t="s">
        <v>603</v>
      </c>
      <c r="BJ475" s="178" t="s">
        <v>49</v>
      </c>
      <c r="BK475" s="178">
        <v>1.521339</v>
      </c>
      <c r="BL475" s="178" t="s">
        <v>259</v>
      </c>
      <c r="BM475" s="169">
        <v>4.4099999999999999E-3</v>
      </c>
      <c r="BN475" s="169">
        <v>4.4099999999999999E-3</v>
      </c>
      <c r="BO475" s="169" t="s">
        <v>241</v>
      </c>
      <c r="BP475" s="263">
        <v>1</v>
      </c>
      <c r="BQ475" s="98"/>
      <c r="BR475" s="98"/>
      <c r="BS475" s="98"/>
      <c r="BT475" s="98"/>
      <c r="BU475" s="98"/>
      <c r="BV475" s="98"/>
      <c r="BW475" s="98"/>
      <c r="BX475" s="98"/>
      <c r="BY475" s="98"/>
      <c r="BZ475" s="98"/>
      <c r="CA475" s="98"/>
      <c r="CB475" s="98"/>
      <c r="CC475" s="98"/>
      <c r="CD475" s="98"/>
      <c r="CE475" s="98"/>
      <c r="CF475" s="98"/>
      <c r="CG475" s="98"/>
      <c r="CH475" s="98"/>
      <c r="CI475" s="98"/>
      <c r="CJ475" s="98"/>
      <c r="CK475" s="98"/>
      <c r="CL475" s="98"/>
      <c r="CM475" s="98"/>
      <c r="CN475" s="98"/>
      <c r="CR475" s="98"/>
      <c r="CS475" s="98"/>
      <c r="CT475" s="98"/>
      <c r="CU475" s="98"/>
      <c r="CV475" s="98"/>
      <c r="CW475" s="98"/>
      <c r="CX475" s="98"/>
      <c r="CY475" s="98"/>
      <c r="CZ475" s="98"/>
      <c r="DA475" s="98"/>
      <c r="DB475" s="98"/>
      <c r="DC475" s="98"/>
      <c r="DD475" s="98"/>
      <c r="DE475" s="98"/>
      <c r="DF475" s="98"/>
      <c r="DG475" s="98"/>
      <c r="DH475" s="98"/>
      <c r="DI475" s="98"/>
      <c r="DJ475" s="98"/>
      <c r="DK475" s="98"/>
      <c r="DL475" s="98"/>
      <c r="DM475" s="98"/>
      <c r="DN475" s="98"/>
      <c r="DO475" s="98"/>
      <c r="DP475" s="98"/>
      <c r="DQ475" s="98"/>
      <c r="DR475" s="98"/>
      <c r="DS475" s="98"/>
      <c r="DT475" s="98"/>
      <c r="DU475" s="98"/>
      <c r="DV475" s="98"/>
      <c r="DW475" s="98"/>
      <c r="DX475" s="98"/>
      <c r="DY475" s="98"/>
      <c r="DZ475" s="98"/>
      <c r="EA475" s="98"/>
      <c r="EB475" s="98"/>
      <c r="EC475" s="98"/>
      <c r="ED475" s="98"/>
      <c r="EE475" s="98"/>
      <c r="EF475" s="98"/>
      <c r="EG475" s="98"/>
    </row>
    <row r="476" spans="1:137" hidden="1" x14ac:dyDescent="0.25">
      <c r="A476" s="98"/>
      <c r="V476" s="98"/>
      <c r="AA476" s="98"/>
      <c r="AB476" s="98"/>
      <c r="AD476" s="98"/>
      <c r="AE476" s="98"/>
      <c r="AH476" s="98"/>
      <c r="AI476" s="98"/>
      <c r="AK476" s="98"/>
      <c r="AR476" s="98"/>
      <c r="AV476" s="98"/>
      <c r="AX476" s="98"/>
      <c r="BB476" s="98"/>
      <c r="BC476" s="98"/>
      <c r="BE476" s="98"/>
      <c r="BH476" s="98"/>
      <c r="BI476" s="102">
        <v>0</v>
      </c>
      <c r="BJ476" s="178">
        <v>0</v>
      </c>
      <c r="BK476" s="178">
        <v>0</v>
      </c>
      <c r="BL476" s="178">
        <v>0</v>
      </c>
      <c r="BM476" s="169">
        <v>0</v>
      </c>
      <c r="BN476" s="169">
        <v>0</v>
      </c>
      <c r="BO476" s="169">
        <v>0</v>
      </c>
      <c r="BQ476" s="98"/>
      <c r="BR476" s="98"/>
      <c r="BS476" s="98"/>
      <c r="BT476" s="98"/>
      <c r="BU476" s="98"/>
      <c r="BV476" s="98"/>
      <c r="BW476" s="98"/>
      <c r="BX476" s="98"/>
      <c r="BY476" s="98"/>
      <c r="BZ476" s="98"/>
      <c r="CA476" s="98"/>
      <c r="CB476" s="98"/>
      <c r="CC476" s="98"/>
      <c r="CD476" s="98"/>
      <c r="CE476" s="98"/>
      <c r="CF476" s="98"/>
      <c r="CG476" s="98"/>
      <c r="CH476" s="98"/>
      <c r="CI476" s="98"/>
      <c r="CJ476" s="98"/>
      <c r="CK476" s="98"/>
      <c r="CL476" s="98"/>
      <c r="CM476" s="98"/>
      <c r="CN476" s="98"/>
      <c r="CR476" s="98"/>
      <c r="CS476" s="98"/>
      <c r="CT476" s="98"/>
      <c r="CU476" s="98"/>
      <c r="CV476" s="98"/>
      <c r="CW476" s="98"/>
      <c r="CX476" s="98"/>
      <c r="CY476" s="98"/>
      <c r="CZ476" s="98"/>
      <c r="DA476" s="98"/>
      <c r="DB476" s="98"/>
      <c r="DC476" s="98"/>
      <c r="DD476" s="98"/>
      <c r="DE476" s="98"/>
      <c r="DF476" s="98"/>
      <c r="DG476" s="98"/>
      <c r="DH476" s="98"/>
      <c r="DI476" s="98"/>
      <c r="DJ476" s="98"/>
      <c r="DK476" s="98"/>
      <c r="DL476" s="98"/>
      <c r="DM476" s="98"/>
      <c r="DN476" s="98"/>
      <c r="DO476" s="98"/>
      <c r="DP476" s="98"/>
      <c r="DQ476" s="98"/>
      <c r="DR476" s="98"/>
      <c r="DS476" s="98"/>
      <c r="DT476" s="98"/>
      <c r="DU476" s="98"/>
      <c r="DV476" s="98"/>
      <c r="DW476" s="98"/>
      <c r="DX476" s="98"/>
      <c r="DY476" s="98"/>
      <c r="DZ476" s="98"/>
      <c r="EA476" s="98"/>
      <c r="EB476" s="98"/>
      <c r="EC476" s="98"/>
      <c r="ED476" s="98"/>
      <c r="EE476" s="98"/>
      <c r="EF476" s="98"/>
      <c r="EG476" s="98"/>
    </row>
    <row r="477" spans="1:137" hidden="1" x14ac:dyDescent="0.25">
      <c r="A477" s="98"/>
      <c r="V477" s="98"/>
      <c r="AA477" s="98"/>
      <c r="AB477" s="98"/>
      <c r="AD477" s="98"/>
      <c r="AE477" s="98"/>
      <c r="AH477" s="98"/>
      <c r="AI477" s="98"/>
      <c r="AK477" s="98"/>
      <c r="AR477" s="98"/>
      <c r="AV477" s="98"/>
      <c r="AX477" s="98"/>
      <c r="BB477" s="98"/>
      <c r="BC477" s="98"/>
      <c r="BE477" s="98"/>
      <c r="BH477" s="98"/>
      <c r="BQ477" s="98"/>
      <c r="BR477" s="98"/>
      <c r="BS477" s="98"/>
      <c r="BT477" s="98"/>
      <c r="BU477" s="98"/>
      <c r="BV477" s="98"/>
      <c r="BW477" s="98"/>
      <c r="BX477" s="98"/>
      <c r="BY477" s="98"/>
      <c r="BZ477" s="98"/>
      <c r="CA477" s="98"/>
      <c r="CB477" s="98"/>
      <c r="CC477" s="98"/>
      <c r="CD477" s="98"/>
      <c r="CE477" s="98"/>
      <c r="CF477" s="98"/>
      <c r="CG477" s="98"/>
      <c r="CH477" s="98"/>
      <c r="CI477" s="98"/>
      <c r="CJ477" s="98"/>
      <c r="CK477" s="98"/>
      <c r="CL477" s="98"/>
      <c r="CM477" s="98"/>
      <c r="CN477" s="98"/>
      <c r="CR477" s="98"/>
      <c r="CS477" s="98"/>
      <c r="CT477" s="98"/>
      <c r="CU477" s="98"/>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row>
    <row r="478" spans="1:137" ht="15" hidden="1" customHeight="1" x14ac:dyDescent="0.25">
      <c r="A478" s="98"/>
      <c r="V478" s="98"/>
      <c r="AA478" s="98"/>
      <c r="AB478" s="98"/>
      <c r="AD478" s="98"/>
      <c r="AE478" s="98"/>
      <c r="AH478" s="98"/>
      <c r="AI478" s="98"/>
      <c r="AK478" s="98"/>
      <c r="AR478" s="98"/>
      <c r="AV478" s="98"/>
      <c r="AX478" s="98"/>
      <c r="BB478" s="98"/>
      <c r="BC478" s="98"/>
      <c r="BE478" s="98"/>
      <c r="BH478" s="98"/>
      <c r="BI478" s="102" t="s">
        <v>232</v>
      </c>
      <c r="BK478" s="178" t="s">
        <v>267</v>
      </c>
      <c r="BM478" s="169" t="s">
        <v>233</v>
      </c>
      <c r="BN478" s="169" t="s">
        <v>233</v>
      </c>
      <c r="BO478" s="169" t="s">
        <v>240</v>
      </c>
      <c r="BQ478" s="98"/>
      <c r="BR478" s="98"/>
      <c r="BS478" s="98"/>
      <c r="BT478" s="98"/>
      <c r="BU478" s="98"/>
      <c r="BV478" s="98"/>
      <c r="BW478" s="98"/>
      <c r="BX478" s="98"/>
      <c r="BY478" s="98"/>
      <c r="BZ478" s="98"/>
      <c r="CA478" s="98"/>
      <c r="CB478" s="98"/>
      <c r="CC478" s="98"/>
      <c r="CD478" s="98"/>
      <c r="CE478" s="98"/>
      <c r="CF478" s="98"/>
      <c r="CG478" s="98"/>
      <c r="CH478" s="98"/>
      <c r="CI478" s="98"/>
      <c r="CJ478" s="98"/>
      <c r="CK478" s="98"/>
      <c r="CL478" s="98"/>
      <c r="CM478" s="98"/>
      <c r="CN478" s="98"/>
      <c r="CR478" s="98"/>
      <c r="CS478" s="98"/>
      <c r="CT478" s="98"/>
      <c r="CU478" s="98"/>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row>
    <row r="479" spans="1:137" hidden="1" x14ac:dyDescent="0.25">
      <c r="A479" s="98"/>
      <c r="V479" s="98"/>
      <c r="AA479" s="98"/>
      <c r="AB479" s="98"/>
      <c r="AD479" s="98"/>
      <c r="AE479" s="98"/>
      <c r="AH479" s="98"/>
      <c r="AI479" s="98"/>
      <c r="AK479" s="98"/>
      <c r="AR479" s="98"/>
      <c r="AV479" s="98"/>
      <c r="AX479" s="98"/>
      <c r="BB479" s="98"/>
      <c r="BC479" s="98"/>
      <c r="BE479" s="98"/>
      <c r="BH479" s="98"/>
      <c r="BJ479" s="178" t="s">
        <v>253</v>
      </c>
      <c r="BL479" s="178" t="s">
        <v>251</v>
      </c>
      <c r="BQ479" s="98"/>
      <c r="BR479" s="98"/>
      <c r="BS479" s="98"/>
      <c r="BT479" s="98"/>
      <c r="BU479" s="98"/>
      <c r="BV479" s="98"/>
      <c r="BW479" s="98"/>
      <c r="BX479" s="98"/>
      <c r="BY479" s="98"/>
      <c r="BZ479" s="98"/>
      <c r="CA479" s="98"/>
      <c r="CB479" s="98"/>
      <c r="CC479" s="98"/>
      <c r="CD479" s="98"/>
      <c r="CE479" s="98"/>
      <c r="CF479" s="98"/>
      <c r="CG479" s="98"/>
      <c r="CH479" s="98"/>
      <c r="CI479" s="98"/>
      <c r="CJ479" s="98"/>
      <c r="CK479" s="98"/>
      <c r="CL479" s="98"/>
      <c r="CM479" s="98"/>
      <c r="CN479" s="98"/>
      <c r="CR479" s="98"/>
      <c r="CS479" s="98"/>
      <c r="CT479" s="98"/>
      <c r="CU479" s="98"/>
      <c r="CV479" s="98"/>
      <c r="CW479" s="98"/>
      <c r="CX479" s="98"/>
      <c r="CY479" s="98"/>
      <c r="CZ479" s="98"/>
      <c r="DA479" s="98"/>
      <c r="DB479" s="98"/>
      <c r="DC479" s="98"/>
      <c r="DD479" s="98"/>
      <c r="DE479" s="98"/>
      <c r="DF479" s="98"/>
      <c r="DG479" s="98"/>
      <c r="DH479" s="98"/>
      <c r="DI479" s="98"/>
      <c r="DJ479" s="98"/>
      <c r="DK479" s="98"/>
      <c r="DL479" s="98"/>
      <c r="DM479" s="98"/>
      <c r="DN479" s="98"/>
      <c r="DO479" s="98"/>
      <c r="DP479" s="98"/>
      <c r="DQ479" s="98"/>
      <c r="DR479" s="98"/>
      <c r="DS479" s="98"/>
      <c r="DT479" s="98"/>
      <c r="DU479" s="98"/>
      <c r="DV479" s="98"/>
      <c r="DW479" s="98"/>
      <c r="DX479" s="98"/>
      <c r="DY479" s="98"/>
      <c r="DZ479" s="98"/>
      <c r="EA479" s="98"/>
      <c r="EB479" s="98"/>
      <c r="EC479" s="98"/>
      <c r="ED479" s="98"/>
      <c r="EE479" s="98"/>
      <c r="EF479" s="98"/>
      <c r="EG479" s="98"/>
    </row>
    <row r="480" spans="1:137" hidden="1" x14ac:dyDescent="0.25">
      <c r="A480" s="98"/>
      <c r="V480" s="98"/>
      <c r="AA480" s="98"/>
      <c r="AB480" s="98"/>
      <c r="AD480" s="98"/>
      <c r="AE480" s="98"/>
      <c r="AH480" s="98"/>
      <c r="AI480" s="98"/>
      <c r="AK480" s="98"/>
      <c r="AR480" s="98"/>
      <c r="AV480" s="98"/>
      <c r="AX480" s="98"/>
      <c r="BB480" s="98"/>
      <c r="BC480" s="98"/>
      <c r="BE480" s="98"/>
      <c r="BH480" s="98"/>
      <c r="BI480" s="102" t="s">
        <v>237</v>
      </c>
      <c r="BJ480" s="178" t="s">
        <v>252</v>
      </c>
      <c r="BK480" s="178">
        <v>6.8822999999999999</v>
      </c>
      <c r="BL480" s="178" t="s">
        <v>642</v>
      </c>
      <c r="BM480" s="169">
        <v>2.98E-3</v>
      </c>
      <c r="BN480" s="169">
        <v>2.98E-3</v>
      </c>
      <c r="BO480" s="169" t="s">
        <v>241</v>
      </c>
      <c r="BP480" s="263">
        <v>1</v>
      </c>
      <c r="BQ480" s="98"/>
      <c r="BR480" s="98"/>
      <c r="BS480" s="98"/>
      <c r="BT480" s="98"/>
      <c r="BU480" s="98"/>
      <c r="BV480" s="98"/>
      <c r="BW480" s="98"/>
      <c r="BX480" s="98"/>
      <c r="BY480" s="98"/>
      <c r="BZ480" s="98"/>
      <c r="CA480" s="98"/>
      <c r="CB480" s="98"/>
      <c r="CC480" s="98"/>
      <c r="CD480" s="98"/>
      <c r="CE480" s="98"/>
      <c r="CF480" s="98"/>
      <c r="CG480" s="98"/>
      <c r="CH480" s="98"/>
      <c r="CI480" s="98"/>
      <c r="CJ480" s="98"/>
      <c r="CK480" s="98"/>
      <c r="CL480" s="98"/>
      <c r="CM480" s="98"/>
      <c r="CN480" s="98"/>
      <c r="CR480" s="98"/>
      <c r="CS480" s="98"/>
      <c r="CT480" s="98"/>
      <c r="CU480" s="98"/>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row>
    <row r="481" spans="1:137" hidden="1" x14ac:dyDescent="0.25">
      <c r="A481" s="98"/>
      <c r="V481" s="98"/>
      <c r="AA481" s="98"/>
      <c r="AB481" s="98"/>
      <c r="AD481" s="98"/>
      <c r="AE481" s="98"/>
      <c r="AH481" s="98"/>
      <c r="AI481" s="98"/>
      <c r="AK481" s="98"/>
      <c r="AR481" s="98"/>
      <c r="AV481" s="98"/>
      <c r="AX481" s="98"/>
      <c r="BB481" s="98"/>
      <c r="BC481" s="98"/>
      <c r="BE481" s="98"/>
      <c r="BH481" s="98"/>
      <c r="BI481" s="102" t="s">
        <v>368</v>
      </c>
      <c r="BJ481" s="178" t="s">
        <v>252</v>
      </c>
      <c r="BK481" s="178">
        <v>5.9200999999999997</v>
      </c>
      <c r="BL481" s="178" t="s">
        <v>642</v>
      </c>
      <c r="BM481" s="169">
        <v>3.4799999999999996E-3</v>
      </c>
      <c r="BN481" s="169">
        <v>3.4799999999999996E-3</v>
      </c>
      <c r="BO481" s="169" t="s">
        <v>241</v>
      </c>
      <c r="BP481" s="263">
        <v>1</v>
      </c>
      <c r="BQ481" s="98"/>
      <c r="BR481" s="98"/>
      <c r="BS481" s="98"/>
      <c r="BT481" s="98"/>
      <c r="BU481" s="98"/>
      <c r="BV481" s="98"/>
      <c r="BW481" s="98"/>
      <c r="BX481" s="98"/>
      <c r="BY481" s="98"/>
      <c r="BZ481" s="98"/>
      <c r="CA481" s="98"/>
      <c r="CB481" s="98"/>
      <c r="CC481" s="98"/>
      <c r="CD481" s="98"/>
      <c r="CE481" s="98"/>
      <c r="CF481" s="98"/>
      <c r="CG481" s="98"/>
      <c r="CH481" s="98"/>
      <c r="CI481" s="98"/>
      <c r="CJ481" s="98"/>
      <c r="CK481" s="98"/>
      <c r="CL481" s="98"/>
      <c r="CM481" s="98"/>
      <c r="CN481" s="98"/>
      <c r="CR481" s="98"/>
      <c r="CS481" s="98"/>
      <c r="CT481" s="98"/>
      <c r="CU481" s="98"/>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row>
    <row r="482" spans="1:137" hidden="1" x14ac:dyDescent="0.25">
      <c r="A482" s="98"/>
      <c r="V482" s="98"/>
      <c r="AA482" s="98"/>
      <c r="AB482" s="98"/>
      <c r="AD482" s="98"/>
      <c r="AE482" s="98"/>
      <c r="AH482" s="98"/>
      <c r="AI482" s="98"/>
      <c r="AK482" s="98"/>
      <c r="AR482" s="98"/>
      <c r="AV482" s="98"/>
      <c r="AX482" s="98"/>
      <c r="BB482" s="98"/>
      <c r="BC482" s="98"/>
      <c r="BE482" s="98"/>
      <c r="BH482" s="98"/>
      <c r="BQ482" s="98"/>
      <c r="BR482" s="98"/>
      <c r="BS482" s="98"/>
      <c r="BT482" s="98"/>
      <c r="BU482" s="98"/>
      <c r="BV482" s="98"/>
      <c r="BW482" s="98"/>
      <c r="BX482" s="98"/>
      <c r="BY482" s="98"/>
      <c r="BZ482" s="98"/>
      <c r="CA482" s="98"/>
      <c r="CB482" s="98"/>
      <c r="CC482" s="98"/>
      <c r="CD482" s="98"/>
      <c r="CE482" s="98"/>
      <c r="CF482" s="98"/>
      <c r="CG482" s="98"/>
      <c r="CH482" s="98"/>
      <c r="CI482" s="98"/>
      <c r="CJ482" s="98"/>
      <c r="CK482" s="98"/>
      <c r="CL482" s="98"/>
      <c r="CM482" s="98"/>
      <c r="CN482" s="98"/>
      <c r="CR482" s="98"/>
      <c r="CS482" s="98"/>
      <c r="CT482" s="98"/>
      <c r="CU482" s="98"/>
      <c r="CV482" s="98"/>
      <c r="CW482" s="98"/>
      <c r="CX482" s="98"/>
      <c r="CY482" s="98"/>
      <c r="CZ482" s="98"/>
      <c r="DA482" s="98"/>
      <c r="DB482" s="98"/>
      <c r="DC482" s="98"/>
      <c r="DD482" s="98"/>
      <c r="DE482" s="98"/>
      <c r="DF482" s="98"/>
      <c r="DG482" s="98"/>
      <c r="DH482" s="98"/>
      <c r="DI482" s="98"/>
      <c r="DJ482" s="98"/>
      <c r="DK482" s="98"/>
      <c r="DL482" s="98"/>
      <c r="DM482" s="98"/>
      <c r="DN482" s="98"/>
      <c r="DO482" s="98"/>
      <c r="DP482" s="98"/>
      <c r="DQ482" s="98"/>
      <c r="DR482" s="98"/>
      <c r="DS482" s="98"/>
      <c r="DT482" s="98"/>
      <c r="DU482" s="98"/>
      <c r="DV482" s="98"/>
      <c r="DW482" s="98"/>
      <c r="DX482" s="98"/>
      <c r="DY482" s="98"/>
      <c r="DZ482" s="98"/>
      <c r="EA482" s="98"/>
      <c r="EB482" s="98"/>
      <c r="EC482" s="98"/>
      <c r="ED482" s="98"/>
      <c r="EE482" s="98"/>
      <c r="EF482" s="98"/>
      <c r="EG482" s="98"/>
    </row>
    <row r="483" spans="1:137" hidden="1" x14ac:dyDescent="0.25">
      <c r="A483" s="98"/>
      <c r="V483" s="98"/>
      <c r="AA483" s="98"/>
      <c r="AB483" s="98"/>
      <c r="AD483" s="98"/>
      <c r="AE483" s="98"/>
      <c r="AH483" s="98"/>
      <c r="AI483" s="98"/>
      <c r="AK483" s="98"/>
      <c r="AR483" s="98"/>
      <c r="AV483" s="98"/>
      <c r="AX483" s="98"/>
      <c r="BB483" s="98"/>
      <c r="BC483" s="98"/>
      <c r="BE483" s="98"/>
      <c r="BH483" s="98"/>
      <c r="BQ483" s="98"/>
      <c r="BR483" s="98"/>
      <c r="BS483" s="98"/>
      <c r="BT483" s="98"/>
      <c r="BU483" s="98"/>
      <c r="BV483" s="98"/>
      <c r="BW483" s="98"/>
      <c r="BX483" s="98"/>
      <c r="BY483" s="98"/>
      <c r="BZ483" s="98"/>
      <c r="CA483" s="98"/>
      <c r="CB483" s="98"/>
      <c r="CC483" s="98"/>
      <c r="CD483" s="98"/>
      <c r="CE483" s="98"/>
      <c r="CF483" s="98"/>
      <c r="CG483" s="98"/>
      <c r="CH483" s="98"/>
      <c r="CI483" s="98"/>
      <c r="CJ483" s="98"/>
      <c r="CK483" s="98"/>
      <c r="CL483" s="98"/>
      <c r="CM483" s="98"/>
      <c r="CN483" s="98"/>
      <c r="CR483" s="98"/>
      <c r="CS483" s="98"/>
      <c r="CT483" s="98"/>
      <c r="CU483" s="98"/>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row>
    <row r="484" spans="1:137" ht="15" hidden="1" customHeight="1" x14ac:dyDescent="0.25">
      <c r="A484" s="98"/>
      <c r="V484" s="98"/>
      <c r="AA484" s="98"/>
      <c r="AB484" s="98"/>
      <c r="AD484" s="98"/>
      <c r="AE484" s="98"/>
      <c r="AH484" s="98"/>
      <c r="AI484" s="98"/>
      <c r="AK484" s="98"/>
      <c r="AR484" s="98"/>
      <c r="AV484" s="98"/>
      <c r="AX484" s="98"/>
      <c r="BB484" s="98"/>
      <c r="BC484" s="98"/>
      <c r="BE484" s="98"/>
      <c r="BH484" s="98"/>
      <c r="BI484" s="102" t="s">
        <v>232</v>
      </c>
      <c r="BK484" s="178" t="s">
        <v>267</v>
      </c>
      <c r="BM484" s="169" t="s">
        <v>233</v>
      </c>
      <c r="BN484" s="169" t="s">
        <v>233</v>
      </c>
      <c r="BO484" s="169" t="s">
        <v>240</v>
      </c>
      <c r="BQ484" s="98"/>
      <c r="BR484" s="98"/>
      <c r="BS484" s="98"/>
      <c r="BT484" s="98"/>
      <c r="BU484" s="98"/>
      <c r="BV484" s="98"/>
      <c r="BW484" s="98"/>
      <c r="BX484" s="98"/>
      <c r="BY484" s="98"/>
      <c r="BZ484" s="98"/>
      <c r="CA484" s="98"/>
      <c r="CB484" s="98"/>
      <c r="CC484" s="98"/>
      <c r="CD484" s="98"/>
      <c r="CE484" s="98"/>
      <c r="CF484" s="98"/>
      <c r="CG484" s="98"/>
      <c r="CH484" s="98"/>
      <c r="CI484" s="98"/>
      <c r="CJ484" s="98"/>
      <c r="CK484" s="98"/>
      <c r="CL484" s="98"/>
      <c r="CM484" s="98"/>
      <c r="CN484" s="98"/>
      <c r="CR484" s="98"/>
      <c r="CS484" s="98"/>
      <c r="CT484" s="98"/>
      <c r="CU484" s="98"/>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row>
    <row r="485" spans="1:137" hidden="1" x14ac:dyDescent="0.25">
      <c r="A485" s="98"/>
      <c r="V485" s="98"/>
      <c r="AA485" s="98"/>
      <c r="AB485" s="98"/>
      <c r="AD485" s="98"/>
      <c r="AE485" s="98"/>
      <c r="AH485" s="98"/>
      <c r="AI485" s="98"/>
      <c r="AK485" s="98"/>
      <c r="AR485" s="98"/>
      <c r="AV485" s="98"/>
      <c r="AX485" s="98"/>
      <c r="BB485" s="98"/>
      <c r="BC485" s="98"/>
      <c r="BE485" s="98"/>
      <c r="BH485" s="98"/>
      <c r="BJ485" s="178" t="s">
        <v>253</v>
      </c>
      <c r="BL485" s="178" t="s">
        <v>251</v>
      </c>
      <c r="BQ485" s="98"/>
      <c r="BR485" s="98"/>
      <c r="BS485" s="98"/>
      <c r="BT485" s="98"/>
      <c r="BU485" s="98"/>
      <c r="BV485" s="98"/>
      <c r="BW485" s="98"/>
      <c r="BX485" s="98"/>
      <c r="BY485" s="98"/>
      <c r="BZ485" s="98"/>
      <c r="CA485" s="98"/>
      <c r="CB485" s="98"/>
      <c r="CC485" s="98"/>
      <c r="CD485" s="98"/>
      <c r="CE485" s="98"/>
      <c r="CF485" s="98"/>
      <c r="CG485" s="98"/>
      <c r="CH485" s="98"/>
      <c r="CI485" s="98"/>
      <c r="CJ485" s="98"/>
      <c r="CK485" s="98"/>
      <c r="CL485" s="98"/>
      <c r="CM485" s="98"/>
      <c r="CN485" s="98"/>
      <c r="CR485" s="98"/>
      <c r="CS485" s="98"/>
      <c r="CT485" s="98"/>
      <c r="CU485" s="98"/>
      <c r="CV485" s="98"/>
      <c r="CW485" s="98"/>
      <c r="CX485" s="98"/>
      <c r="CY485" s="98"/>
      <c r="CZ485" s="98"/>
      <c r="DA485" s="98"/>
      <c r="DB485" s="98"/>
      <c r="DC485" s="98"/>
      <c r="DD485" s="98"/>
      <c r="DE485" s="98"/>
      <c r="DF485" s="98"/>
      <c r="DG485" s="98"/>
      <c r="DH485" s="98"/>
      <c r="DI485" s="98"/>
      <c r="DJ485" s="98"/>
      <c r="DK485" s="98"/>
      <c r="DL485" s="98"/>
      <c r="DM485" s="98"/>
      <c r="DN485" s="98"/>
      <c r="DO485" s="98"/>
      <c r="DP485" s="98"/>
      <c r="DQ485" s="98"/>
      <c r="DR485" s="98"/>
      <c r="DS485" s="98"/>
      <c r="DT485" s="98"/>
      <c r="DU485" s="98"/>
      <c r="DV485" s="98"/>
      <c r="DW485" s="98"/>
      <c r="DX485" s="98"/>
      <c r="DY485" s="98"/>
      <c r="DZ485" s="98"/>
      <c r="EA485" s="98"/>
      <c r="EB485" s="98"/>
      <c r="EC485" s="98"/>
      <c r="ED485" s="98"/>
      <c r="EE485" s="98"/>
      <c r="EF485" s="98"/>
      <c r="EG485" s="98"/>
    </row>
    <row r="486" spans="1:137" hidden="1" x14ac:dyDescent="0.25">
      <c r="A486" s="98"/>
      <c r="V486" s="98"/>
      <c r="AA486" s="98"/>
      <c r="AB486" s="98"/>
      <c r="AD486" s="98"/>
      <c r="AE486" s="98"/>
      <c r="AH486" s="98"/>
      <c r="AI486" s="98"/>
      <c r="AK486" s="98"/>
      <c r="AR486" s="98"/>
      <c r="AV486" s="98"/>
      <c r="AX486" s="98"/>
      <c r="BB486" s="98"/>
      <c r="BC486" s="98"/>
      <c r="BE486" s="98"/>
      <c r="BH486" s="98"/>
      <c r="BI486" s="102" t="s">
        <v>274</v>
      </c>
      <c r="BJ486" s="178" t="s">
        <v>643</v>
      </c>
      <c r="BK486" s="178">
        <v>1.8565</v>
      </c>
      <c r="BL486" s="178" t="s">
        <v>644</v>
      </c>
      <c r="BM486" s="169">
        <v>8.8870000000000005E-2</v>
      </c>
      <c r="BN486" s="169">
        <v>8.8870000000000005E-2</v>
      </c>
      <c r="BO486" s="169" t="s">
        <v>241</v>
      </c>
      <c r="BP486" s="263">
        <v>1</v>
      </c>
      <c r="BQ486" s="98"/>
      <c r="BR486" s="98"/>
      <c r="BS486" s="98"/>
      <c r="BT486" s="98"/>
      <c r="BU486" s="98"/>
      <c r="BV486" s="98"/>
      <c r="BW486" s="98"/>
      <c r="BX486" s="98"/>
      <c r="BY486" s="98"/>
      <c r="BZ486" s="98"/>
      <c r="CA486" s="98"/>
      <c r="CB486" s="98"/>
      <c r="CC486" s="98"/>
      <c r="CD486" s="98"/>
      <c r="CE486" s="98"/>
      <c r="CF486" s="98"/>
      <c r="CG486" s="98"/>
      <c r="CH486" s="98"/>
      <c r="CI486" s="98"/>
      <c r="CJ486" s="98"/>
      <c r="CK486" s="98"/>
      <c r="CL486" s="98"/>
      <c r="CM486" s="98"/>
      <c r="CN486" s="98"/>
      <c r="CR486" s="98"/>
      <c r="CS486" s="98"/>
      <c r="CT486" s="98"/>
      <c r="CU486" s="98"/>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row>
    <row r="487" spans="1:137" hidden="1" x14ac:dyDescent="0.25">
      <c r="A487" s="98"/>
      <c r="V487" s="98"/>
      <c r="AA487" s="98"/>
      <c r="AB487" s="98"/>
      <c r="AD487" s="98"/>
      <c r="AE487" s="98"/>
      <c r="AH487" s="98"/>
      <c r="AI487" s="98"/>
      <c r="AK487" s="98"/>
      <c r="AR487" s="98"/>
      <c r="AV487" s="98"/>
      <c r="AX487" s="98"/>
      <c r="BB487" s="98"/>
      <c r="BC487" s="98"/>
      <c r="BE487" s="98"/>
      <c r="BH487" s="98"/>
      <c r="BQ487" s="98"/>
      <c r="BR487" s="98"/>
      <c r="BS487" s="98"/>
      <c r="BT487" s="98"/>
      <c r="BU487" s="98"/>
      <c r="BV487" s="98"/>
      <c r="BW487" s="98"/>
      <c r="BX487" s="98"/>
      <c r="BY487" s="98"/>
      <c r="BZ487" s="98"/>
      <c r="CA487" s="98"/>
      <c r="CB487" s="98"/>
      <c r="CC487" s="98"/>
      <c r="CD487" s="98"/>
      <c r="CE487" s="98"/>
      <c r="CF487" s="98"/>
      <c r="CG487" s="98"/>
      <c r="CH487" s="98"/>
      <c r="CI487" s="98"/>
      <c r="CJ487" s="98"/>
      <c r="CK487" s="98"/>
      <c r="CL487" s="98"/>
      <c r="CM487" s="98"/>
      <c r="CN487" s="98"/>
      <c r="CR487" s="98"/>
      <c r="CS487" s="98"/>
      <c r="CT487" s="98"/>
      <c r="CU487" s="98"/>
      <c r="CV487" s="98"/>
      <c r="CW487" s="98"/>
      <c r="CX487" s="98"/>
      <c r="CY487" s="98"/>
      <c r="CZ487" s="98"/>
      <c r="DA487" s="98"/>
      <c r="DB487" s="98"/>
      <c r="DC487" s="98"/>
      <c r="DD487" s="98"/>
      <c r="DE487" s="98"/>
      <c r="DF487" s="98"/>
      <c r="DG487" s="98"/>
      <c r="DH487" s="98"/>
      <c r="DI487" s="98"/>
      <c r="DJ487" s="98"/>
      <c r="DK487" s="98"/>
      <c r="DL487" s="98"/>
      <c r="DM487" s="98"/>
      <c r="DN487" s="98"/>
      <c r="DO487" s="98"/>
      <c r="DP487" s="98"/>
      <c r="DQ487" s="98"/>
      <c r="DR487" s="98"/>
      <c r="DS487" s="98"/>
      <c r="DT487" s="98"/>
      <c r="DU487" s="98"/>
      <c r="DV487" s="98"/>
      <c r="DW487" s="98"/>
      <c r="DX487" s="98"/>
      <c r="DY487" s="98"/>
      <c r="DZ487" s="98"/>
      <c r="EA487" s="98"/>
      <c r="EB487" s="98"/>
      <c r="EC487" s="98"/>
      <c r="ED487" s="98"/>
      <c r="EE487" s="98"/>
      <c r="EF487" s="98"/>
      <c r="EG487" s="98"/>
    </row>
    <row r="488" spans="1:137" hidden="1" x14ac:dyDescent="0.25">
      <c r="A488" s="98"/>
      <c r="V488" s="98"/>
      <c r="AA488" s="98"/>
      <c r="AB488" s="98"/>
      <c r="AD488" s="98"/>
      <c r="AE488" s="98"/>
      <c r="AH488" s="98"/>
      <c r="AI488" s="98"/>
      <c r="AK488" s="98"/>
      <c r="AR488" s="98"/>
      <c r="AV488" s="98"/>
      <c r="AX488" s="98"/>
      <c r="BB488" s="98"/>
      <c r="BC488" s="98"/>
      <c r="BE488" s="98"/>
      <c r="BH488" s="98"/>
      <c r="BQ488" s="98"/>
      <c r="BR488" s="98"/>
      <c r="BS488" s="98"/>
      <c r="BT488" s="98"/>
      <c r="BU488" s="98"/>
      <c r="BV488" s="98"/>
      <c r="BW488" s="98"/>
      <c r="BX488" s="98"/>
      <c r="BY488" s="98"/>
      <c r="BZ488" s="98"/>
      <c r="CA488" s="98"/>
      <c r="CB488" s="98"/>
      <c r="CC488" s="98"/>
      <c r="CD488" s="98"/>
      <c r="CE488" s="98"/>
      <c r="CF488" s="98"/>
      <c r="CG488" s="98"/>
      <c r="CH488" s="98"/>
      <c r="CI488" s="98"/>
      <c r="CJ488" s="98"/>
      <c r="CK488" s="98"/>
      <c r="CL488" s="98"/>
      <c r="CM488" s="98"/>
      <c r="CN488" s="98"/>
      <c r="CR488" s="98"/>
      <c r="CS488" s="98"/>
      <c r="CT488" s="98"/>
      <c r="CU488" s="98"/>
      <c r="CV488" s="98"/>
      <c r="CW488" s="98"/>
      <c r="CX488" s="98"/>
      <c r="CY488" s="98"/>
      <c r="CZ488" s="98"/>
      <c r="DA488" s="98"/>
      <c r="DB488" s="98"/>
      <c r="DC488" s="98"/>
      <c r="DD488" s="98"/>
      <c r="DE488" s="98"/>
      <c r="DF488" s="98"/>
      <c r="DG488" s="98"/>
      <c r="DH488" s="98"/>
      <c r="DI488" s="98"/>
      <c r="DJ488" s="98"/>
      <c r="DK488" s="98"/>
      <c r="DL488" s="98"/>
      <c r="DM488" s="98"/>
      <c r="DN488" s="98"/>
      <c r="DO488" s="98"/>
      <c r="DP488" s="98"/>
      <c r="DQ488" s="98"/>
      <c r="DR488" s="98"/>
      <c r="DS488" s="98"/>
      <c r="DT488" s="98"/>
      <c r="DU488" s="98"/>
      <c r="DV488" s="98"/>
      <c r="DW488" s="98"/>
      <c r="DX488" s="98"/>
      <c r="DY488" s="98"/>
      <c r="DZ488" s="98"/>
      <c r="EA488" s="98"/>
      <c r="EB488" s="98"/>
      <c r="EC488" s="98"/>
      <c r="ED488" s="98"/>
      <c r="EE488" s="98"/>
      <c r="EF488" s="98"/>
      <c r="EG488" s="98"/>
    </row>
  </sheetData>
  <sheetProtection password="C935" sheet="1" objects="1" scenarios="1" formatCells="0" formatColumns="0" formatRows="0" insertRows="0"/>
  <protectedRanges>
    <protectedRange algorithmName="SHA-512" hashValue="JkwGMkyN6uDZy9K3UnLYKHbONkTneyvcBkZbw832pf3/OvzPn47/tOjWWFkoHruJFqsDNzL3ZtFhUW1rxpiesQ==" saltValue="hiIEQ6ppq6xjmWFZjcvCAg==" spinCount="100000" sqref="BP122:BS123 BP107:BP121 BP139:BS140 BW122:BX123 BW139:BX140 CC122:CD123 CC139:CD140 CI122:CJ123 CI139:CJ140 BU122:BU123 BU139:BU140 BS121 BT121:BT123 BS108:BT120 BS126:BT137 BT138:BT140 BS138 CI126:CI138 CC126:CC138 BW126:BW138 BP126:BQ138" name="Rango1_10"/>
  </protectedRanges>
  <mergeCells count="182">
    <mergeCell ref="BI375:BI376"/>
    <mergeCell ref="BK375:BK376"/>
    <mergeCell ref="BM375:BM376"/>
    <mergeCell ref="BN375:BN376"/>
    <mergeCell ref="BO375:BO376"/>
    <mergeCell ref="BI410:BI411"/>
    <mergeCell ref="BK410:BK411"/>
    <mergeCell ref="BM410:BM411"/>
    <mergeCell ref="BN410:BN411"/>
    <mergeCell ref="BO410:BO411"/>
    <mergeCell ref="BI347:BI348"/>
    <mergeCell ref="BK347:BK348"/>
    <mergeCell ref="BM347:BM348"/>
    <mergeCell ref="BN347:BN348"/>
    <mergeCell ref="BO347:BO348"/>
    <mergeCell ref="BI360:BI361"/>
    <mergeCell ref="BK360:BK361"/>
    <mergeCell ref="BM360:BM361"/>
    <mergeCell ref="BN360:BN361"/>
    <mergeCell ref="BO360:BO361"/>
    <mergeCell ref="BI336:BI337"/>
    <mergeCell ref="BK336:BK337"/>
    <mergeCell ref="BM336:BM337"/>
    <mergeCell ref="BN336:BN337"/>
    <mergeCell ref="BO336:BO337"/>
    <mergeCell ref="BP336:BP337"/>
    <mergeCell ref="BR336:BR337"/>
    <mergeCell ref="BS336:BS337"/>
    <mergeCell ref="BT336:BT337"/>
    <mergeCell ref="DG300:DG301"/>
    <mergeCell ref="DH300:DH301"/>
    <mergeCell ref="DI300:DI301"/>
    <mergeCell ref="DJ300:DK300"/>
    <mergeCell ref="DL300:DM300"/>
    <mergeCell ref="AI301:AM301"/>
    <mergeCell ref="BI301:BI302"/>
    <mergeCell ref="BK301:BK302"/>
    <mergeCell ref="BM301:BM302"/>
    <mergeCell ref="BN301:BN302"/>
    <mergeCell ref="BK300:BO300"/>
    <mergeCell ref="BP300:BT300"/>
    <mergeCell ref="DB300:DB301"/>
    <mergeCell ref="DC300:DD300"/>
    <mergeCell ref="DE300:DE301"/>
    <mergeCell ref="DF300:DF301"/>
    <mergeCell ref="BO301:BO302"/>
    <mergeCell ref="BP301:BP302"/>
    <mergeCell ref="BR301:BR302"/>
    <mergeCell ref="BS301:BS302"/>
    <mergeCell ref="BT301:BT302"/>
    <mergeCell ref="BI279:BI280"/>
    <mergeCell ref="BJ279:BJ280"/>
    <mergeCell ref="BK279:BK280"/>
    <mergeCell ref="BM279:BM280"/>
    <mergeCell ref="BN279:BN280"/>
    <mergeCell ref="BO279:BO280"/>
    <mergeCell ref="BQ205:BQ206"/>
    <mergeCell ref="BS205:BS206"/>
    <mergeCell ref="BT205:BT206"/>
    <mergeCell ref="BU205:BU206"/>
    <mergeCell ref="BI212:BI213"/>
    <mergeCell ref="BK212:BK213"/>
    <mergeCell ref="BM212:BM213"/>
    <mergeCell ref="BN212:BN213"/>
    <mergeCell ref="BO212:BO213"/>
    <mergeCell ref="BI200:BI201"/>
    <mergeCell ref="BK200:BK201"/>
    <mergeCell ref="BM200:BM201"/>
    <mergeCell ref="BN200:BN201"/>
    <mergeCell ref="BO200:BO201"/>
    <mergeCell ref="BI205:BI206"/>
    <mergeCell ref="BK205:BK206"/>
    <mergeCell ref="BM205:BM206"/>
    <mergeCell ref="BN205:BN206"/>
    <mergeCell ref="BO205:BO206"/>
    <mergeCell ref="BT188:BT189"/>
    <mergeCell ref="BU188:BU189"/>
    <mergeCell ref="BI194:BI195"/>
    <mergeCell ref="BK194:BK195"/>
    <mergeCell ref="BM194:BM195"/>
    <mergeCell ref="BN194:BN195"/>
    <mergeCell ref="BO194:BO195"/>
    <mergeCell ref="BS162:BS163"/>
    <mergeCell ref="BT162:BT163"/>
    <mergeCell ref="BU162:BU163"/>
    <mergeCell ref="BI188:BI189"/>
    <mergeCell ref="BK188:BK189"/>
    <mergeCell ref="BM188:BM189"/>
    <mergeCell ref="BN188:BN189"/>
    <mergeCell ref="BO188:BO189"/>
    <mergeCell ref="BQ188:BQ189"/>
    <mergeCell ref="BS188:BS189"/>
    <mergeCell ref="BI162:BI163"/>
    <mergeCell ref="BK162:BK163"/>
    <mergeCell ref="BM162:BM163"/>
    <mergeCell ref="BN162:BN163"/>
    <mergeCell ref="BO162:BO163"/>
    <mergeCell ref="BQ162:BQ163"/>
    <mergeCell ref="B81:AA81"/>
    <mergeCell ref="BK95:BK96"/>
    <mergeCell ref="BM95:BM96"/>
    <mergeCell ref="CB124:CM124"/>
    <mergeCell ref="BI141:BI142"/>
    <mergeCell ref="BK141:BK142"/>
    <mergeCell ref="BM141:BM142"/>
    <mergeCell ref="BN141:BN142"/>
    <mergeCell ref="BO141:BO142"/>
    <mergeCell ref="BP141:CA141"/>
    <mergeCell ref="CB141:CM141"/>
    <mergeCell ref="BN95:BN96"/>
    <mergeCell ref="BO95:BO96"/>
    <mergeCell ref="BP95:CA95"/>
    <mergeCell ref="CB95:CM95"/>
    <mergeCell ref="BI124:BI125"/>
    <mergeCell ref="BK124:BK125"/>
    <mergeCell ref="BM124:BM125"/>
    <mergeCell ref="BN124:BN125"/>
    <mergeCell ref="BO124:BO125"/>
    <mergeCell ref="BP124:CA124"/>
    <mergeCell ref="B71:B74"/>
    <mergeCell ref="B75:B76"/>
    <mergeCell ref="B77:B78"/>
    <mergeCell ref="B79:AA79"/>
    <mergeCell ref="B69:B70"/>
    <mergeCell ref="C69:C70"/>
    <mergeCell ref="D69:R69"/>
    <mergeCell ref="S69:W69"/>
    <mergeCell ref="X69:AD69"/>
    <mergeCell ref="B47:B48"/>
    <mergeCell ref="B49:B51"/>
    <mergeCell ref="AS45:AX45"/>
    <mergeCell ref="AY45:BE45"/>
    <mergeCell ref="BF45:BF46"/>
    <mergeCell ref="BG45:BG46"/>
    <mergeCell ref="X46:Y46"/>
    <mergeCell ref="AE46:AF46"/>
    <mergeCell ref="AL46:AM46"/>
    <mergeCell ref="AS46:AT46"/>
    <mergeCell ref="AY46:AZ46"/>
    <mergeCell ref="B2:AL3"/>
    <mergeCell ref="B14:BG14"/>
    <mergeCell ref="B15:B16"/>
    <mergeCell ref="C15:C16"/>
    <mergeCell ref="D15:R15"/>
    <mergeCell ref="S15:W15"/>
    <mergeCell ref="X15:AD15"/>
    <mergeCell ref="AE15:AK15"/>
    <mergeCell ref="AL15:AR15"/>
    <mergeCell ref="B12:BG12"/>
    <mergeCell ref="AS15:AX15"/>
    <mergeCell ref="AY15:BE15"/>
    <mergeCell ref="BF15:BF16"/>
    <mergeCell ref="BG15:BG16"/>
    <mergeCell ref="X16:Y16"/>
    <mergeCell ref="AE16:AF16"/>
    <mergeCell ref="AL16:AM16"/>
    <mergeCell ref="AS16:AT16"/>
    <mergeCell ref="AY16:AZ16"/>
    <mergeCell ref="AE69:AE70"/>
    <mergeCell ref="AF69:AF70"/>
    <mergeCell ref="C8:K8"/>
    <mergeCell ref="Y8:AL8"/>
    <mergeCell ref="C9:K9"/>
    <mergeCell ref="Y9:AL9"/>
    <mergeCell ref="C10:K10"/>
    <mergeCell ref="Y10:AL10"/>
    <mergeCell ref="B5:AL5"/>
    <mergeCell ref="C6:K6"/>
    <mergeCell ref="Y6:AL6"/>
    <mergeCell ref="C7:K7"/>
    <mergeCell ref="Y7:AL7"/>
    <mergeCell ref="B35:B36"/>
    <mergeCell ref="B37:B38"/>
    <mergeCell ref="B44:BG44"/>
    <mergeCell ref="B45:B46"/>
    <mergeCell ref="C45:C46"/>
    <mergeCell ref="D45:R45"/>
    <mergeCell ref="S45:W45"/>
    <mergeCell ref="X45:AD45"/>
    <mergeCell ref="AE45:AK45"/>
    <mergeCell ref="AL45:AR45"/>
    <mergeCell ref="B56:BG56"/>
  </mergeCells>
  <dataValidations count="17">
    <dataValidation type="list" allowBlank="1" showInputMessage="1" showErrorMessage="1" sqref="C77:C78">
      <formula1>$BI$486:$BI$487</formula1>
    </dataValidation>
    <dataValidation type="list" allowBlank="1" showInputMessage="1" showErrorMessage="1" sqref="C75:C76">
      <formula1>$BI$480:$BI$481</formula1>
    </dataValidation>
    <dataValidation type="list" allowBlank="1" showInputMessage="1" showErrorMessage="1" sqref="C29:C34">
      <formula1>$BI$164:$BI$185</formula1>
    </dataValidation>
    <dataValidation type="list" allowBlank="1" showInputMessage="1" showErrorMessage="1" sqref="C57">
      <formula1>$BI$362:$BI$371</formula1>
    </dataValidation>
    <dataValidation type="list" allowBlank="1" showInputMessage="1" showErrorMessage="1" sqref="C51">
      <formula1>$BI$219:$BI$235</formula1>
    </dataValidation>
    <dataValidation type="list" allowBlank="1" showInputMessage="1" showErrorMessage="1" sqref="C25:C27">
      <formula1>$BI$143:$BI$160</formula1>
    </dataValidation>
    <dataValidation type="list" allowBlank="1" showInputMessage="1" showErrorMessage="1" sqref="C21:C24">
      <formula1>$BI$126:$BI$138</formula1>
    </dataValidation>
    <dataValidation type="list" allowBlank="1" showInputMessage="1" showErrorMessage="1" sqref="C49">
      <formula1>$BI$217:$BI$218</formula1>
    </dataValidation>
    <dataValidation type="list" allowBlank="1" showInputMessage="1" showErrorMessage="1" sqref="C47:C48">
      <formula1>$BI$214:$BI$215</formula1>
    </dataValidation>
    <dataValidation type="list" allowBlank="1" showInputMessage="1" showErrorMessage="1" sqref="C50">
      <formula1>$BI$236</formula1>
    </dataValidation>
    <dataValidation type="list" allowBlank="1" showInputMessage="1" showErrorMessage="1" sqref="C36">
      <formula1>$BI$191</formula1>
    </dataValidation>
    <dataValidation type="list" allowBlank="1" showInputMessage="1" showErrorMessage="1" sqref="C35">
      <formula1>$BI$190</formula1>
    </dataValidation>
    <dataValidation type="list" allowBlank="1" showInputMessage="1" showErrorMessage="1" sqref="C40">
      <formula1>$BI$207</formula1>
    </dataValidation>
    <dataValidation type="list" allowBlank="1" showInputMessage="1" showErrorMessage="1" sqref="C39">
      <formula1>$BI$202</formula1>
    </dataValidation>
    <dataValidation type="list" allowBlank="1" showInputMessage="1" showErrorMessage="1" sqref="C37:C38">
      <formula1>$BI$196:$BI$197</formula1>
    </dataValidation>
    <dataValidation type="list" allowBlank="1" showInputMessage="1" showErrorMessage="1" sqref="C17:C20">
      <formula1>$BI$97:$BI$121</formula1>
    </dataValidation>
    <dataValidation type="list" allowBlank="1" showInputMessage="1" showErrorMessage="1" sqref="C71:C74">
      <formula1>$BI$461:$BI$473</formula1>
    </dataValidation>
  </dataValidations>
  <hyperlinks>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F15:BF16" location="'INSTRUCCIONES INCERTIDUMBRE'!C32" display="'INSTRUCCIONES INCERTIDUMBRE'!C32"/>
    <hyperlink ref="BG15:BG16" location="'INSTRUCCIONES INCERTIDUMBRE'!C34" display="INCERTIDUMBRE DE LA FUENTE"/>
    <hyperlink ref="D16" location="'INSTRUCCIONES INCERTIDUMBRE'!C19" display="UNIDAD"/>
    <hyperlink ref="E16" location="'HC CORPORATIVA-INCERTIDUMBRE'!C20" display="DATO 1"/>
    <hyperlink ref="Q46" location="'INSTRUCCIONES INCERTIDUMBRE'!C21" display="TOTAL"/>
    <hyperlink ref="R46" location="'INSTRUCCIONES INCERTIDUMBRE'!C22" display="No. DATOS"/>
    <hyperlink ref="S46" location="'INSTRUCCIONES INCERTIDUMBRE'!C23" display="PROMEDIO"/>
    <hyperlink ref="T46" location="'INSTRUCCIONES INCERTIDUMBRE'!C24" display="DESVIACION ESTÁNDAR"/>
    <hyperlink ref="U46" location="'INSTRUCCIONES INCERTIDUMBRE'!C25" display="FACTOR T"/>
    <hyperlink ref="W46" location="'INSTRUCCIONES INCERTIDUMBRE'!C26" display="INCERTIDUMBRE"/>
    <hyperlink ref="BF45:BF46" location="'INSTRUCCIONES INCERTIDUMBRE'!C32" display="'INSTRUCCIONES INCERTIDUMBRE'!C32"/>
    <hyperlink ref="BG45:BG46" location="'INSTRUCCIONES INCERTIDUMBRE'!C34" display="INCERTIDUMBRE DE LA FUENTE"/>
    <hyperlink ref="D46" location="'INSTRUCCIONES INCERTIDUMBRE'!C19" display="UNIDAD"/>
    <hyperlink ref="E46" location="'HC CORPORATIVA-INCERTIDUMBRE'!C20" display="DATO 1"/>
    <hyperlink ref="BU176" r:id="rId1"/>
    <hyperlink ref="BO182" r:id="rId2"/>
    <hyperlink ref="Q70" location="'INSTRUCCIONES INCERTIDUMBRE'!C21" display="TOTAL"/>
    <hyperlink ref="R70" location="'INSTRUCCIONES INCERTIDUMBRE'!C22" display="No. DATOS"/>
    <hyperlink ref="S70" location="'INSTRUCCIONES INCERTIDUMBRE'!C23" display="PROMEDIO"/>
    <hyperlink ref="T70" location="'INSTRUCCIONES INCERTIDUMBRE'!C24" display="DESVIACION ESTÁNDAR"/>
    <hyperlink ref="U70" location="'INSTRUCCIONES INCERTIDUMBRE'!C25" display="FACTOR T"/>
    <hyperlink ref="W70" location="'INSTRUCCIONES INCERTIDUMBRE'!C26" display="INCERTIDUMBRE"/>
    <hyperlink ref="D70" location="'INSTRUCCIONES INCERTIDUMBRE'!C19" display="UNIDAD"/>
    <hyperlink ref="E70" location="'HC CORPORATIVA-INCERTIDUMBRE'!C20" display="DATO 1"/>
    <hyperlink ref="AE69:AE70" location="'INSTRUCCIONES INCERTIDUMBRE'!C32" display="'INSTRUCCIONES INCERTIDUMBRE'!C32"/>
    <hyperlink ref="AF69:AF70" location="'INSTRUCCIONES INCERTIDUMBRE'!C34" display="INCERTIDUMBRE DE LA FUENTE"/>
  </hyperlinks>
  <pageMargins left="0.7" right="0.7" top="0.75" bottom="0.75" header="0.3" footer="0.3"/>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2:EG517"/>
  <sheetViews>
    <sheetView topLeftCell="B1" zoomScale="70" zoomScaleNormal="70" workbookViewId="0">
      <selection activeCell="C17" sqref="C17"/>
    </sheetView>
  </sheetViews>
  <sheetFormatPr baseColWidth="10" defaultColWidth="11.42578125" defaultRowHeight="15" x14ac:dyDescent="0.25"/>
  <cols>
    <col min="1" max="1" width="5.5703125" style="97" customWidth="1"/>
    <col min="2" max="2" width="37.85546875" style="98" customWidth="1"/>
    <col min="3" max="3" width="59.42578125" style="98" customWidth="1"/>
    <col min="4" max="4" width="16.42578125" style="98" customWidth="1"/>
    <col min="5" max="5" width="20.7109375" style="98" customWidth="1"/>
    <col min="6" max="16" width="14.42578125" style="98" hidden="1" customWidth="1"/>
    <col min="17" max="17" width="16.7109375" style="98" hidden="1" customWidth="1"/>
    <col min="18" max="18" width="10" style="98" hidden="1" customWidth="1"/>
    <col min="19" max="19" width="13.42578125" style="98" hidden="1" customWidth="1"/>
    <col min="20" max="20" width="13" style="98" hidden="1" customWidth="1"/>
    <col min="21" max="21" width="11.42578125" style="98" hidden="1" customWidth="1"/>
    <col min="22" max="22" width="16.140625" style="93" hidden="1" customWidth="1"/>
    <col min="23" max="23" width="17" style="98" hidden="1" customWidth="1"/>
    <col min="24" max="24" width="13.85546875" style="98" customWidth="1"/>
    <col min="25" max="25" width="15.7109375" style="98" customWidth="1"/>
    <col min="26" max="26" width="16.140625" style="98" hidden="1" customWidth="1"/>
    <col min="27" max="27" width="13.85546875" style="94" customWidth="1"/>
    <col min="28" max="28" width="14" style="94" customWidth="1"/>
    <col min="29" max="29" width="15.85546875" style="98" hidden="1" customWidth="1"/>
    <col min="30" max="30" width="12.85546875" style="94" hidden="1" customWidth="1"/>
    <col min="31" max="31" width="11.42578125" style="95" customWidth="1"/>
    <col min="32" max="32" width="20.5703125" style="98" customWidth="1"/>
    <col min="33" max="33" width="17.140625" style="98" hidden="1" customWidth="1"/>
    <col min="34" max="35" width="12.85546875" style="96" customWidth="1"/>
    <col min="36" max="36" width="16.7109375" style="98" hidden="1" customWidth="1"/>
    <col min="37" max="37" width="12.85546875" style="94" hidden="1" customWidth="1"/>
    <col min="38" max="38" width="11.42578125" style="98" customWidth="1"/>
    <col min="39" max="39" width="20.5703125" style="98" customWidth="1"/>
    <col min="40" max="40" width="17" style="98" hidden="1" customWidth="1"/>
    <col min="41" max="42" width="12.85546875" style="98" customWidth="1"/>
    <col min="43" max="43" width="16.140625" style="98" hidden="1" customWidth="1"/>
    <col min="44" max="44" width="15.140625" style="94" hidden="1" customWidth="1"/>
    <col min="45" max="45" width="11.42578125" style="98" customWidth="1"/>
    <col min="46" max="46" width="20.5703125" style="98" customWidth="1"/>
    <col min="47" max="47" width="16.140625" style="98" hidden="1" customWidth="1"/>
    <col min="48" max="48" width="12.85546875" style="94" customWidth="1"/>
    <col min="49" max="49" width="17.28515625" style="98" hidden="1" customWidth="1"/>
    <col min="50" max="50" width="12.85546875" style="94" hidden="1" customWidth="1"/>
    <col min="51" max="51" width="11.42578125" style="98" customWidth="1"/>
    <col min="52" max="52" width="20.5703125" style="98" customWidth="1"/>
    <col min="53" max="53" width="16.5703125" style="98" hidden="1" customWidth="1"/>
    <col min="54" max="54" width="12.85546875" style="94" customWidth="1"/>
    <col min="55" max="55" width="16" style="94" customWidth="1"/>
    <col min="56" max="56" width="17" style="98" hidden="1" customWidth="1"/>
    <col min="57" max="57" width="12.85546875" style="94" hidden="1" customWidth="1"/>
    <col min="58" max="58" width="21.5703125" style="98" customWidth="1"/>
    <col min="59" max="59" width="20" style="98" customWidth="1"/>
    <col min="60" max="60" width="16.5703125" style="99" customWidth="1"/>
    <col min="61" max="61" width="52.85546875" style="102" customWidth="1"/>
    <col min="62" max="62" width="18.5703125" style="178" customWidth="1"/>
    <col min="63" max="64" width="16.7109375" style="178" customWidth="1"/>
    <col min="65" max="66" width="11.7109375" style="169" customWidth="1"/>
    <col min="67" max="67" width="18.42578125" style="169" customWidth="1"/>
    <col min="68" max="68" width="16.28515625" style="178" customWidth="1"/>
    <col min="69" max="69" width="16" style="178" customWidth="1"/>
    <col min="70" max="70" width="13.42578125" style="178" customWidth="1"/>
    <col min="71" max="72" width="11.7109375" style="178" customWidth="1"/>
    <col min="73" max="73" width="14.85546875" style="178" bestFit="1" customWidth="1"/>
    <col min="74" max="78" width="11.7109375" style="178" customWidth="1"/>
    <col min="79" max="79" width="14.85546875" style="178" bestFit="1" customWidth="1"/>
    <col min="80" max="80" width="11.7109375" style="180" customWidth="1"/>
    <col min="81" max="82" width="11.7109375" style="178" customWidth="1"/>
    <col min="83" max="84" width="11.7109375" style="180" customWidth="1"/>
    <col min="85" max="85" width="14.85546875" style="180" bestFit="1" customWidth="1"/>
    <col min="86" max="86" width="11.7109375" style="180" customWidth="1"/>
    <col min="87" max="88" width="11.7109375" style="178" customWidth="1"/>
    <col min="89" max="90" width="11.7109375" style="180" customWidth="1"/>
    <col min="91" max="91" width="14.85546875" style="180" bestFit="1" customWidth="1"/>
    <col min="92" max="92" width="11.7109375" style="116" customWidth="1"/>
    <col min="93" max="95" width="11.7109375" style="100" customWidth="1"/>
    <col min="96" max="99" width="11.7109375" style="101" customWidth="1"/>
    <col min="100" max="100" width="11.42578125" style="101" customWidth="1"/>
    <col min="101" max="101" width="13.42578125" style="101" customWidth="1"/>
    <col min="102" max="102" width="14.85546875" style="101" customWidth="1"/>
    <col min="103" max="103" width="11.5703125" style="101" customWidth="1"/>
    <col min="104" max="111" width="11.42578125" style="101" customWidth="1"/>
    <col min="112" max="126" width="11.42578125" style="101"/>
    <col min="127" max="134" width="11.42578125" style="100"/>
    <col min="135" max="16384" width="11.42578125" style="98"/>
  </cols>
  <sheetData>
    <row r="2" spans="1:137" s="27" customFormat="1" ht="18.75" customHeight="1" x14ac:dyDescent="0.25">
      <c r="A2" s="26"/>
      <c r="B2" s="1748" t="s">
        <v>1344</v>
      </c>
      <c r="C2" s="1748"/>
      <c r="D2" s="1748"/>
      <c r="E2" s="1748"/>
      <c r="F2" s="1748"/>
      <c r="G2" s="1748"/>
      <c r="H2" s="1748"/>
      <c r="I2" s="1748"/>
      <c r="J2" s="1748"/>
      <c r="K2" s="1748"/>
      <c r="L2" s="1748"/>
      <c r="M2" s="1748"/>
      <c r="N2" s="1748"/>
      <c r="O2" s="1748"/>
      <c r="P2" s="1748"/>
      <c r="Q2" s="1748"/>
      <c r="R2" s="1748"/>
      <c r="S2" s="1748"/>
      <c r="T2" s="1748"/>
      <c r="U2" s="1748"/>
      <c r="V2" s="1748"/>
      <c r="W2" s="1748"/>
      <c r="X2" s="1748"/>
      <c r="Y2" s="1748"/>
      <c r="Z2" s="1748"/>
      <c r="AA2" s="1748"/>
      <c r="AB2" s="1748"/>
      <c r="AC2" s="1748"/>
      <c r="AD2" s="1748"/>
      <c r="AE2" s="1748"/>
      <c r="AF2" s="1748"/>
      <c r="AG2" s="1748"/>
      <c r="AH2" s="1748"/>
      <c r="AI2" s="1748"/>
      <c r="AJ2" s="1748"/>
      <c r="AK2" s="1748"/>
      <c r="AL2" s="1748"/>
      <c r="AM2" s="31"/>
      <c r="AN2" s="32"/>
      <c r="AO2" s="32"/>
      <c r="AP2" s="32"/>
      <c r="AQ2" s="32"/>
      <c r="AR2" s="33"/>
      <c r="AS2" s="30"/>
      <c r="AT2" s="31"/>
      <c r="AU2" s="32"/>
      <c r="AV2" s="33"/>
      <c r="AW2" s="32"/>
      <c r="AX2" s="33"/>
      <c r="AY2" s="30"/>
      <c r="AZ2" s="31"/>
      <c r="BA2" s="32"/>
      <c r="BB2" s="33"/>
      <c r="BC2" s="33"/>
      <c r="BD2" s="32"/>
      <c r="BE2" s="33"/>
      <c r="BF2" s="34"/>
      <c r="BG2" s="35"/>
      <c r="BH2" s="28"/>
      <c r="BI2" s="64"/>
      <c r="BJ2" s="168"/>
      <c r="BK2" s="168"/>
      <c r="BL2" s="168"/>
      <c r="BM2" s="169"/>
      <c r="BN2" s="169"/>
      <c r="BO2" s="169"/>
      <c r="BP2" s="168"/>
      <c r="BQ2" s="168"/>
      <c r="BR2" s="168"/>
      <c r="BS2" s="168"/>
      <c r="BT2" s="168"/>
      <c r="BU2" s="168"/>
      <c r="BV2" s="168"/>
      <c r="BW2" s="168"/>
      <c r="BX2" s="168"/>
      <c r="BY2" s="168"/>
      <c r="BZ2" s="168"/>
      <c r="CA2" s="168"/>
      <c r="CB2" s="170"/>
      <c r="CC2" s="168"/>
      <c r="CD2" s="168"/>
      <c r="CE2" s="170"/>
      <c r="CF2" s="170"/>
      <c r="CG2" s="170"/>
      <c r="CH2" s="170"/>
      <c r="CI2" s="168"/>
      <c r="CJ2" s="168"/>
      <c r="CK2" s="170"/>
      <c r="CL2" s="170"/>
      <c r="CM2" s="170"/>
      <c r="CN2" s="113"/>
      <c r="CO2" s="36"/>
      <c r="CP2" s="36"/>
      <c r="CQ2" s="36"/>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6"/>
      <c r="DX2" s="36"/>
      <c r="DY2" s="36"/>
      <c r="DZ2" s="36"/>
      <c r="EA2" s="36"/>
      <c r="EB2" s="36"/>
      <c r="EC2" s="36"/>
      <c r="ED2" s="36"/>
    </row>
    <row r="3" spans="1:137" s="27" customFormat="1" ht="45.75" customHeight="1" x14ac:dyDescent="0.25">
      <c r="A3" s="26"/>
      <c r="B3" s="1748"/>
      <c r="C3" s="1748"/>
      <c r="D3" s="1748"/>
      <c r="E3" s="1748"/>
      <c r="F3" s="1748"/>
      <c r="G3" s="1748"/>
      <c r="H3" s="1748"/>
      <c r="I3" s="1748"/>
      <c r="J3" s="1748"/>
      <c r="K3" s="1748"/>
      <c r="L3" s="1748"/>
      <c r="M3" s="1748"/>
      <c r="N3" s="1748"/>
      <c r="O3" s="1748"/>
      <c r="P3" s="1748"/>
      <c r="Q3" s="1748"/>
      <c r="R3" s="1748"/>
      <c r="S3" s="1748"/>
      <c r="T3" s="1748"/>
      <c r="U3" s="1748"/>
      <c r="V3" s="1748"/>
      <c r="W3" s="1748"/>
      <c r="X3" s="1748"/>
      <c r="Y3" s="1748"/>
      <c r="Z3" s="1748"/>
      <c r="AA3" s="1748"/>
      <c r="AB3" s="1748"/>
      <c r="AC3" s="1748"/>
      <c r="AD3" s="1748"/>
      <c r="AE3" s="1748"/>
      <c r="AF3" s="1748"/>
      <c r="AG3" s="1748"/>
      <c r="AH3" s="1748"/>
      <c r="AI3" s="1748"/>
      <c r="AJ3" s="1748"/>
      <c r="AK3" s="1748"/>
      <c r="AL3" s="1748"/>
      <c r="AM3" s="39"/>
      <c r="AN3" s="40"/>
      <c r="AO3" s="40"/>
      <c r="AP3" s="40"/>
      <c r="AQ3" s="40"/>
      <c r="AR3" s="41"/>
      <c r="AS3" s="38"/>
      <c r="AT3" s="39"/>
      <c r="AU3" s="40"/>
      <c r="AV3" s="41"/>
      <c r="AW3" s="40"/>
      <c r="AX3" s="41"/>
      <c r="AY3" s="38"/>
      <c r="AZ3" s="39"/>
      <c r="BA3" s="40"/>
      <c r="BB3" s="41"/>
      <c r="BC3" s="41"/>
      <c r="BD3" s="40"/>
      <c r="BE3" s="41"/>
      <c r="BF3" s="42"/>
      <c r="BG3" s="32"/>
      <c r="BH3" s="28"/>
      <c r="BI3" s="64"/>
      <c r="BJ3" s="168"/>
      <c r="BK3" s="168"/>
      <c r="BL3" s="168"/>
      <c r="BM3" s="169"/>
      <c r="BN3" s="169"/>
      <c r="BO3" s="169"/>
      <c r="BP3" s="168"/>
      <c r="BQ3" s="168"/>
      <c r="BR3" s="168"/>
      <c r="BS3" s="168"/>
      <c r="BT3" s="168"/>
      <c r="BU3" s="168"/>
      <c r="BV3" s="168"/>
      <c r="BW3" s="168"/>
      <c r="BX3" s="168"/>
      <c r="BY3" s="168"/>
      <c r="BZ3" s="168"/>
      <c r="CA3" s="168"/>
      <c r="CB3" s="170"/>
      <c r="CC3" s="168"/>
      <c r="CD3" s="168"/>
      <c r="CE3" s="170"/>
      <c r="CF3" s="170"/>
      <c r="CG3" s="170"/>
      <c r="CH3" s="170"/>
      <c r="CI3" s="168"/>
      <c r="CJ3" s="168"/>
      <c r="CK3" s="170"/>
      <c r="CL3" s="170"/>
      <c r="CM3" s="170"/>
      <c r="CN3" s="113"/>
      <c r="CO3" s="36"/>
      <c r="CP3" s="36"/>
      <c r="CQ3" s="36"/>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6"/>
      <c r="DX3" s="36"/>
      <c r="DY3" s="36"/>
      <c r="DZ3" s="36"/>
      <c r="EA3" s="36"/>
      <c r="EB3" s="36"/>
      <c r="EC3" s="36"/>
      <c r="ED3" s="36"/>
    </row>
    <row r="4" spans="1:137" s="26" customFormat="1" ht="18.75" customHeight="1" x14ac:dyDescent="0.25">
      <c r="A4" s="43"/>
      <c r="B4" s="31"/>
      <c r="C4" s="267"/>
      <c r="D4" s="43"/>
      <c r="E4" s="44"/>
      <c r="F4" s="44"/>
      <c r="G4" s="44"/>
      <c r="H4" s="44"/>
      <c r="I4" s="44"/>
      <c r="J4" s="44"/>
      <c r="K4" s="44"/>
      <c r="L4" s="44"/>
      <c r="M4" s="44"/>
      <c r="N4" s="44"/>
      <c r="O4" s="44"/>
      <c r="P4" s="44"/>
      <c r="Q4" s="44"/>
      <c r="R4" s="45"/>
      <c r="S4" s="44"/>
      <c r="T4" s="44"/>
      <c r="U4" s="44"/>
      <c r="V4" s="46"/>
      <c r="W4" s="46"/>
      <c r="X4" s="43"/>
      <c r="Y4" s="43"/>
      <c r="Z4" s="46"/>
      <c r="AA4" s="47"/>
      <c r="AB4" s="47"/>
      <c r="AC4" s="46"/>
      <c r="AD4" s="47"/>
      <c r="AE4" s="48"/>
      <c r="AF4" s="43"/>
      <c r="AG4" s="46"/>
      <c r="AH4" s="49"/>
      <c r="AI4" s="49"/>
      <c r="AJ4" s="46"/>
      <c r="AK4" s="47"/>
      <c r="AL4" s="43"/>
      <c r="AM4" s="43"/>
      <c r="AN4" s="46"/>
      <c r="AO4" s="46"/>
      <c r="AP4" s="46"/>
      <c r="AQ4" s="46"/>
      <c r="AR4" s="47"/>
      <c r="AS4" s="43"/>
      <c r="AT4" s="43"/>
      <c r="AU4" s="46"/>
      <c r="AV4" s="47"/>
      <c r="AW4" s="46"/>
      <c r="AX4" s="47"/>
      <c r="AY4" s="43"/>
      <c r="AZ4" s="43"/>
      <c r="BA4" s="46"/>
      <c r="BB4" s="47"/>
      <c r="BC4" s="47"/>
      <c r="BD4" s="46"/>
      <c r="BE4" s="47"/>
      <c r="BF4" s="50"/>
      <c r="BG4" s="51"/>
      <c r="BH4" s="28"/>
      <c r="BI4" s="164"/>
      <c r="BJ4" s="165"/>
      <c r="BK4" s="165"/>
      <c r="BL4" s="165"/>
      <c r="BM4" s="166"/>
      <c r="BN4" s="166"/>
      <c r="BO4" s="166"/>
      <c r="BP4" s="165"/>
      <c r="BQ4" s="165"/>
      <c r="BR4" s="165"/>
      <c r="BS4" s="165"/>
      <c r="BT4" s="165"/>
      <c r="BU4" s="165"/>
      <c r="BV4" s="165"/>
      <c r="BW4" s="165"/>
      <c r="BX4" s="165"/>
      <c r="BY4" s="165"/>
      <c r="BZ4" s="165"/>
      <c r="CA4" s="165"/>
      <c r="CB4" s="167"/>
      <c r="CC4" s="165"/>
      <c r="CD4" s="165"/>
      <c r="CE4" s="167"/>
      <c r="CF4" s="167"/>
      <c r="CG4" s="167"/>
      <c r="CH4" s="167"/>
      <c r="CI4" s="165"/>
      <c r="CJ4" s="165"/>
      <c r="CK4" s="167"/>
      <c r="CL4" s="167"/>
      <c r="CM4" s="167"/>
      <c r="CN4" s="112"/>
      <c r="CO4" s="29"/>
      <c r="CP4" s="29"/>
      <c r="CQ4" s="29"/>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9"/>
      <c r="DX4" s="29"/>
      <c r="DY4" s="29"/>
      <c r="DZ4" s="29"/>
      <c r="EA4" s="29"/>
      <c r="EB4" s="29"/>
      <c r="EC4" s="29"/>
      <c r="ED4" s="29"/>
    </row>
    <row r="5" spans="1:137" s="27" customFormat="1" ht="18.75" customHeight="1" x14ac:dyDescent="0.25">
      <c r="A5" s="26"/>
      <c r="B5" s="1757" t="s">
        <v>647</v>
      </c>
      <c r="C5" s="1757"/>
      <c r="D5" s="1757"/>
      <c r="E5" s="1757"/>
      <c r="F5" s="1757"/>
      <c r="G5" s="1757"/>
      <c r="H5" s="1757"/>
      <c r="I5" s="1757"/>
      <c r="J5" s="1757"/>
      <c r="K5" s="1757"/>
      <c r="L5" s="1757"/>
      <c r="M5" s="1757"/>
      <c r="N5" s="1757"/>
      <c r="O5" s="1757"/>
      <c r="P5" s="1757"/>
      <c r="Q5" s="1757"/>
      <c r="R5" s="1757"/>
      <c r="S5" s="1757"/>
      <c r="T5" s="1757"/>
      <c r="U5" s="1757"/>
      <c r="V5" s="1757"/>
      <c r="W5" s="1757"/>
      <c r="X5" s="1757"/>
      <c r="Y5" s="1757"/>
      <c r="Z5" s="1757"/>
      <c r="AA5" s="1757"/>
      <c r="AB5" s="1757"/>
      <c r="AC5" s="1757"/>
      <c r="AD5" s="1757"/>
      <c r="AE5" s="1757"/>
      <c r="AF5" s="1757"/>
      <c r="AG5" s="1757"/>
      <c r="AH5" s="1757"/>
      <c r="AI5" s="1757"/>
      <c r="AJ5" s="1757"/>
      <c r="AK5" s="1757"/>
      <c r="AL5" s="1757"/>
      <c r="BH5" s="28"/>
      <c r="BI5" s="64"/>
      <c r="BJ5" s="168"/>
      <c r="BK5" s="168"/>
      <c r="BL5" s="168"/>
      <c r="BM5" s="169"/>
      <c r="BN5" s="169"/>
      <c r="BO5" s="169"/>
      <c r="BP5" s="168"/>
      <c r="BQ5" s="168"/>
      <c r="BR5" s="168"/>
      <c r="BS5" s="168"/>
      <c r="BT5" s="168"/>
      <c r="BU5" s="168"/>
      <c r="BV5" s="168"/>
      <c r="BW5" s="168"/>
      <c r="BX5" s="168"/>
      <c r="BY5" s="168"/>
      <c r="BZ5" s="168"/>
      <c r="CA5" s="168"/>
      <c r="CB5" s="170"/>
      <c r="CC5" s="168"/>
      <c r="CD5" s="168"/>
      <c r="CE5" s="170"/>
      <c r="CF5" s="170"/>
      <c r="CG5" s="170"/>
      <c r="CH5" s="170"/>
      <c r="CI5" s="168"/>
      <c r="CJ5" s="168"/>
      <c r="CK5" s="170"/>
      <c r="CL5" s="170"/>
      <c r="CM5" s="170"/>
      <c r="CN5" s="113"/>
      <c r="CO5" s="36"/>
      <c r="CP5" s="36"/>
      <c r="CQ5" s="36"/>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6"/>
      <c r="DX5" s="36"/>
      <c r="DY5" s="36"/>
      <c r="DZ5" s="36"/>
      <c r="EA5" s="36"/>
      <c r="EB5" s="36"/>
      <c r="EC5" s="36"/>
      <c r="ED5" s="36"/>
    </row>
    <row r="6" spans="1:137" s="27" customFormat="1" x14ac:dyDescent="0.25">
      <c r="A6" s="26"/>
      <c r="B6" s="878" t="s">
        <v>17</v>
      </c>
      <c r="C6" s="1677" t="str">
        <f>INDUSTRIA!C6</f>
        <v>Chía</v>
      </c>
      <c r="D6" s="1677"/>
      <c r="E6" s="1677"/>
      <c r="F6" s="1677"/>
      <c r="G6" s="1677"/>
      <c r="H6" s="1677"/>
      <c r="I6" s="1677"/>
      <c r="J6" s="1677"/>
      <c r="K6" s="1677"/>
      <c r="L6" s="1338" t="s">
        <v>16</v>
      </c>
      <c r="M6" s="265"/>
      <c r="N6" s="265"/>
      <c r="O6" s="265"/>
      <c r="P6" s="265"/>
      <c r="Q6" s="265"/>
      <c r="R6" s="265"/>
      <c r="S6" s="265"/>
      <c r="T6" s="265"/>
      <c r="U6" s="265"/>
      <c r="V6" s="265"/>
      <c r="W6" s="265"/>
      <c r="X6" s="878" t="s">
        <v>649</v>
      </c>
      <c r="Y6" s="1653" t="str">
        <f>INDUSTRIA!Y6</f>
        <v>Cra 11 # 17 - 50</v>
      </c>
      <c r="Z6" s="1653"/>
      <c r="AA6" s="1653"/>
      <c r="AB6" s="1653"/>
      <c r="AC6" s="1653"/>
      <c r="AD6" s="1653"/>
      <c r="AE6" s="1653"/>
      <c r="AF6" s="1653"/>
      <c r="AG6" s="1653"/>
      <c r="AH6" s="1653"/>
      <c r="AI6" s="1653"/>
      <c r="AJ6" s="1653"/>
      <c r="AK6" s="1653"/>
      <c r="AL6" s="1653"/>
      <c r="BH6" s="28"/>
      <c r="BI6" s="64"/>
      <c r="BJ6" s="168"/>
      <c r="BK6" s="168"/>
      <c r="BL6" s="168"/>
      <c r="BM6" s="169"/>
      <c r="BN6" s="169"/>
      <c r="BO6" s="169"/>
      <c r="BP6" s="168"/>
      <c r="BQ6" s="168"/>
      <c r="BR6" s="168"/>
      <c r="BS6" s="168"/>
      <c r="BT6" s="168"/>
      <c r="BU6" s="168"/>
      <c r="BV6" s="168"/>
      <c r="BW6" s="168"/>
      <c r="BX6" s="168"/>
      <c r="BY6" s="168"/>
      <c r="BZ6" s="168"/>
      <c r="CA6" s="168"/>
      <c r="CB6" s="170"/>
      <c r="CC6" s="168"/>
      <c r="CD6" s="168"/>
      <c r="CE6" s="170"/>
      <c r="CF6" s="170"/>
      <c r="CG6" s="170"/>
      <c r="CH6" s="170"/>
      <c r="CI6" s="168"/>
      <c r="CJ6" s="168"/>
      <c r="CK6" s="170"/>
      <c r="CL6" s="170"/>
      <c r="CM6" s="170"/>
      <c r="CN6" s="113"/>
      <c r="CO6" s="36"/>
      <c r="CP6" s="36"/>
      <c r="CQ6" s="36"/>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6"/>
      <c r="DX6" s="36"/>
      <c r="DY6" s="36"/>
      <c r="DZ6" s="36"/>
      <c r="EA6" s="36"/>
      <c r="EB6" s="36"/>
      <c r="EC6" s="36"/>
      <c r="ED6" s="36"/>
    </row>
    <row r="7" spans="1:137" s="27" customFormat="1" x14ac:dyDescent="0.25">
      <c r="A7" s="26"/>
      <c r="B7" s="878" t="s">
        <v>648</v>
      </c>
      <c r="C7" s="1677" t="str">
        <f>INDUSTRIA!C7</f>
        <v>Secretaría de Medio Ambiente</v>
      </c>
      <c r="D7" s="1677"/>
      <c r="E7" s="1677"/>
      <c r="F7" s="1677"/>
      <c r="G7" s="1677"/>
      <c r="H7" s="1677"/>
      <c r="I7" s="1677"/>
      <c r="J7" s="1677"/>
      <c r="K7" s="1677"/>
      <c r="L7" s="1338" t="s">
        <v>17</v>
      </c>
      <c r="M7" s="265"/>
      <c r="N7" s="265"/>
      <c r="O7" s="265"/>
      <c r="P7" s="265"/>
      <c r="Q7" s="265"/>
      <c r="R7" s="265"/>
      <c r="S7" s="265"/>
      <c r="T7" s="265"/>
      <c r="U7" s="265"/>
      <c r="V7" s="265"/>
      <c r="W7" s="265"/>
      <c r="X7" s="878" t="s">
        <v>16</v>
      </c>
      <c r="Y7" s="1653" t="str">
        <f>INDUSTRIA!Y7</f>
        <v>8844444 - 3200</v>
      </c>
      <c r="Z7" s="1653"/>
      <c r="AA7" s="1653"/>
      <c r="AB7" s="1653"/>
      <c r="AC7" s="1653"/>
      <c r="AD7" s="1653"/>
      <c r="AE7" s="1653"/>
      <c r="AF7" s="1653"/>
      <c r="AG7" s="1653"/>
      <c r="AH7" s="1653"/>
      <c r="AI7" s="1653"/>
      <c r="AJ7" s="1653"/>
      <c r="AK7" s="1653"/>
      <c r="AL7" s="1653"/>
      <c r="BH7" s="28"/>
      <c r="BI7" s="64"/>
      <c r="BJ7" s="168"/>
      <c r="BK7" s="168"/>
      <c r="BL7" s="168"/>
      <c r="BM7" s="169"/>
      <c r="BN7" s="169"/>
      <c r="BO7" s="169"/>
      <c r="BP7" s="168"/>
      <c r="BQ7" s="168"/>
      <c r="BR7" s="168"/>
      <c r="BS7" s="168"/>
      <c r="BT7" s="168"/>
      <c r="BU7" s="168"/>
      <c r="BV7" s="168"/>
      <c r="BW7" s="168"/>
      <c r="BX7" s="168"/>
      <c r="BY7" s="168"/>
      <c r="BZ7" s="168"/>
      <c r="CA7" s="168"/>
      <c r="CB7" s="170"/>
      <c r="CC7" s="168"/>
      <c r="CD7" s="168"/>
      <c r="CE7" s="170"/>
      <c r="CF7" s="170"/>
      <c r="CG7" s="170"/>
      <c r="CH7" s="170"/>
      <c r="CI7" s="168"/>
      <c r="CJ7" s="168"/>
      <c r="CK7" s="170"/>
      <c r="CL7" s="170"/>
      <c r="CM7" s="170"/>
      <c r="CN7" s="113"/>
      <c r="CO7" s="36"/>
      <c r="CP7" s="36"/>
      <c r="CQ7" s="36"/>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6"/>
      <c r="DX7" s="36"/>
      <c r="DY7" s="36"/>
      <c r="DZ7" s="36"/>
      <c r="EA7" s="36"/>
      <c r="EB7" s="36"/>
      <c r="EC7" s="36"/>
      <c r="ED7" s="36"/>
    </row>
    <row r="8" spans="1:137" s="27" customFormat="1" x14ac:dyDescent="0.25">
      <c r="A8" s="26"/>
      <c r="B8" s="878" t="s">
        <v>18</v>
      </c>
      <c r="C8" s="1677" t="str">
        <f>INDUSTRIA!C8</f>
        <v>David Ricardo Murcia Cortés - Viviana Elisa Garzón</v>
      </c>
      <c r="D8" s="1677"/>
      <c r="E8" s="1677"/>
      <c r="F8" s="1677"/>
      <c r="G8" s="1677"/>
      <c r="H8" s="1677"/>
      <c r="I8" s="1677"/>
      <c r="J8" s="1677"/>
      <c r="K8" s="1677"/>
      <c r="L8" s="1338" t="s">
        <v>19</v>
      </c>
      <c r="M8" s="265"/>
      <c r="N8" s="265"/>
      <c r="O8" s="265"/>
      <c r="P8" s="265"/>
      <c r="Q8" s="265"/>
      <c r="R8" s="265"/>
      <c r="S8" s="265"/>
      <c r="T8" s="265"/>
      <c r="U8" s="265"/>
      <c r="V8" s="265"/>
      <c r="W8" s="265"/>
      <c r="X8" s="878" t="s">
        <v>19</v>
      </c>
      <c r="Y8" s="1653">
        <f>INDUSTRIA!Y8</f>
        <v>3174291112</v>
      </c>
      <c r="Z8" s="1653"/>
      <c r="AA8" s="1653"/>
      <c r="AB8" s="1653"/>
      <c r="AC8" s="1653"/>
      <c r="AD8" s="1653"/>
      <c r="AE8" s="1653"/>
      <c r="AF8" s="1653"/>
      <c r="AG8" s="1653"/>
      <c r="AH8" s="1653"/>
      <c r="AI8" s="1653"/>
      <c r="AJ8" s="1653"/>
      <c r="AK8" s="1653"/>
      <c r="AL8" s="1653"/>
      <c r="BH8" s="28"/>
      <c r="BI8" s="64"/>
      <c r="BJ8" s="168"/>
      <c r="BK8" s="168"/>
      <c r="BL8" s="168"/>
      <c r="BM8" s="169"/>
      <c r="BN8" s="169"/>
      <c r="BO8" s="169"/>
      <c r="BP8" s="168"/>
      <c r="BQ8" s="168"/>
      <c r="BR8" s="168"/>
      <c r="BS8" s="168"/>
      <c r="BT8" s="168"/>
      <c r="BU8" s="168"/>
      <c r="BV8" s="168"/>
      <c r="BW8" s="168"/>
      <c r="BX8" s="168"/>
      <c r="BY8" s="168"/>
      <c r="BZ8" s="168"/>
      <c r="CA8" s="168"/>
      <c r="CB8" s="170"/>
      <c r="CC8" s="168"/>
      <c r="CD8" s="168"/>
      <c r="CE8" s="170"/>
      <c r="CF8" s="170"/>
      <c r="CG8" s="170"/>
      <c r="CH8" s="170"/>
      <c r="CI8" s="168"/>
      <c r="CJ8" s="168"/>
      <c r="CK8" s="170"/>
      <c r="CL8" s="170"/>
      <c r="CM8" s="170"/>
      <c r="CN8" s="113"/>
      <c r="CO8" s="36"/>
      <c r="CP8" s="36"/>
      <c r="CQ8" s="36"/>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6"/>
      <c r="DX8" s="36"/>
      <c r="DY8" s="36"/>
      <c r="DZ8" s="36"/>
      <c r="EA8" s="36"/>
      <c r="EB8" s="36"/>
      <c r="EC8" s="36"/>
      <c r="ED8" s="36"/>
    </row>
    <row r="9" spans="1:137" s="27" customFormat="1" x14ac:dyDescent="0.25">
      <c r="A9" s="26"/>
      <c r="B9" s="878" t="s">
        <v>20</v>
      </c>
      <c r="C9" s="1677" t="str">
        <f>INDUSTRIA!C9</f>
        <v>Profesional Universitario - Profesional Universitario</v>
      </c>
      <c r="D9" s="1677"/>
      <c r="E9" s="1677"/>
      <c r="F9" s="1677"/>
      <c r="G9" s="1677"/>
      <c r="H9" s="1677"/>
      <c r="I9" s="1677"/>
      <c r="J9" s="1677"/>
      <c r="K9" s="1677"/>
      <c r="L9" s="1338" t="s">
        <v>21</v>
      </c>
      <c r="M9" s="265"/>
      <c r="N9" s="265"/>
      <c r="O9" s="265"/>
      <c r="P9" s="265"/>
      <c r="Q9" s="265"/>
      <c r="R9" s="265"/>
      <c r="S9" s="265"/>
      <c r="T9" s="265"/>
      <c r="U9" s="265"/>
      <c r="V9" s="265"/>
      <c r="W9" s="265"/>
      <c r="X9" s="878" t="s">
        <v>21</v>
      </c>
      <c r="Y9" s="1653">
        <f>INDUSTRIA!Y9</f>
        <v>2019</v>
      </c>
      <c r="Z9" s="1653"/>
      <c r="AA9" s="1653"/>
      <c r="AB9" s="1653"/>
      <c r="AC9" s="1653"/>
      <c r="AD9" s="1653"/>
      <c r="AE9" s="1653"/>
      <c r="AF9" s="1653"/>
      <c r="AG9" s="1653"/>
      <c r="AH9" s="1653"/>
      <c r="AI9" s="1653"/>
      <c r="AJ9" s="1653"/>
      <c r="AK9" s="1653"/>
      <c r="AL9" s="1653"/>
      <c r="BH9" s="28"/>
      <c r="BI9" s="64"/>
      <c r="BJ9" s="168"/>
      <c r="BK9" s="168"/>
      <c r="BL9" s="168"/>
      <c r="BM9" s="169"/>
      <c r="BN9" s="169"/>
      <c r="BO9" s="169"/>
      <c r="BP9" s="168"/>
      <c r="BQ9" s="168"/>
      <c r="BR9" s="168"/>
      <c r="BS9" s="168"/>
      <c r="BT9" s="168"/>
      <c r="BU9" s="168"/>
      <c r="BV9" s="168"/>
      <c r="BW9" s="168"/>
      <c r="BX9" s="168"/>
      <c r="BY9" s="168"/>
      <c r="BZ9" s="168"/>
      <c r="CA9" s="168"/>
      <c r="CB9" s="170"/>
      <c r="CC9" s="168"/>
      <c r="CD9" s="168"/>
      <c r="CE9" s="170"/>
      <c r="CF9" s="170"/>
      <c r="CG9" s="170"/>
      <c r="CH9" s="170"/>
      <c r="CI9" s="168"/>
      <c r="CJ9" s="168"/>
      <c r="CK9" s="170"/>
      <c r="CL9" s="170"/>
      <c r="CM9" s="170"/>
      <c r="CN9" s="113"/>
      <c r="CO9" s="36"/>
      <c r="CP9" s="36"/>
      <c r="CQ9" s="36"/>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6"/>
      <c r="DX9" s="36"/>
      <c r="DY9" s="36"/>
      <c r="DZ9" s="36"/>
      <c r="EA9" s="36"/>
      <c r="EB9" s="36"/>
      <c r="EC9" s="36"/>
      <c r="ED9" s="36"/>
    </row>
    <row r="10" spans="1:137" s="27" customFormat="1" x14ac:dyDescent="0.25">
      <c r="A10" s="26"/>
      <c r="B10" s="878" t="s">
        <v>121</v>
      </c>
      <c r="C10" s="1677" t="str">
        <f>INDUSTRIA!C10</f>
        <v>david.murcia@chia.gov.co, viviana.garzon@chia.gov.co</v>
      </c>
      <c r="D10" s="1677"/>
      <c r="E10" s="1677"/>
      <c r="F10" s="1677"/>
      <c r="G10" s="1677"/>
      <c r="H10" s="1677"/>
      <c r="I10" s="1677"/>
      <c r="J10" s="1677"/>
      <c r="K10" s="1677"/>
      <c r="L10" s="1338" t="s">
        <v>22</v>
      </c>
      <c r="M10" s="266"/>
      <c r="N10" s="265"/>
      <c r="O10" s="265"/>
      <c r="P10" s="265"/>
      <c r="Q10" s="265"/>
      <c r="R10" s="265"/>
      <c r="S10" s="265"/>
      <c r="T10" s="265"/>
      <c r="U10" s="265"/>
      <c r="V10" s="265"/>
      <c r="W10" s="265"/>
      <c r="X10" s="878" t="s">
        <v>22</v>
      </c>
      <c r="Y10" s="1654">
        <f>INDUSTRIA!Y10</f>
        <v>44386</v>
      </c>
      <c r="Z10" s="1654"/>
      <c r="AA10" s="1654"/>
      <c r="AB10" s="1654"/>
      <c r="AC10" s="1654"/>
      <c r="AD10" s="1654"/>
      <c r="AE10" s="1654"/>
      <c r="AF10" s="1654"/>
      <c r="AG10" s="1654"/>
      <c r="AH10" s="1654"/>
      <c r="AI10" s="1654"/>
      <c r="AJ10" s="1654"/>
      <c r="AK10" s="1654"/>
      <c r="AL10" s="1654"/>
      <c r="BH10" s="28"/>
      <c r="BI10" s="64"/>
      <c r="BJ10" s="168"/>
      <c r="BK10" s="168"/>
      <c r="BL10" s="168"/>
      <c r="BM10" s="169"/>
      <c r="BN10" s="169"/>
      <c r="BO10" s="169"/>
      <c r="BP10" s="171"/>
      <c r="BQ10" s="171"/>
      <c r="BR10" s="171"/>
      <c r="BS10" s="171"/>
      <c r="BT10" s="171"/>
      <c r="BU10" s="171"/>
      <c r="BV10" s="168"/>
      <c r="BW10" s="171"/>
      <c r="BX10" s="171"/>
      <c r="BY10" s="168"/>
      <c r="BZ10" s="168"/>
      <c r="CA10" s="168"/>
      <c r="CB10" s="170"/>
      <c r="CC10" s="171"/>
      <c r="CD10" s="171"/>
      <c r="CE10" s="170"/>
      <c r="CF10" s="170"/>
      <c r="CG10" s="170"/>
      <c r="CH10" s="170"/>
      <c r="CI10" s="171"/>
      <c r="CJ10" s="171"/>
      <c r="CK10" s="170"/>
      <c r="CL10" s="170"/>
      <c r="CM10" s="170"/>
      <c r="CN10" s="113"/>
      <c r="CO10" s="36"/>
      <c r="CP10" s="36"/>
      <c r="CQ10" s="36"/>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6"/>
      <c r="DX10" s="36"/>
      <c r="DY10" s="36"/>
      <c r="DZ10" s="36"/>
      <c r="EA10" s="36"/>
      <c r="EB10" s="36"/>
      <c r="EC10" s="36"/>
      <c r="ED10" s="36"/>
    </row>
    <row r="11" spans="1:137" s="26" customFormat="1" ht="15.75" thickBot="1" x14ac:dyDescent="0.3">
      <c r="B11" s="52"/>
      <c r="C11" s="53"/>
      <c r="D11" s="53"/>
      <c r="E11" s="54"/>
      <c r="F11" s="54"/>
      <c r="G11" s="54"/>
      <c r="H11" s="54"/>
      <c r="I11" s="54"/>
      <c r="J11" s="54"/>
      <c r="K11" s="54"/>
      <c r="L11" s="54"/>
      <c r="M11" s="54"/>
      <c r="N11" s="54"/>
      <c r="O11" s="54"/>
      <c r="P11" s="54"/>
      <c r="Q11" s="54"/>
      <c r="R11" s="55"/>
      <c r="S11" s="54"/>
      <c r="T11" s="54"/>
      <c r="U11" s="54"/>
      <c r="V11" s="56"/>
      <c r="W11" s="56"/>
      <c r="X11" s="53"/>
      <c r="Y11" s="57"/>
      <c r="Z11" s="58"/>
      <c r="AA11" s="59"/>
      <c r="AB11" s="59"/>
      <c r="AC11" s="58"/>
      <c r="AD11" s="59"/>
      <c r="AE11" s="60"/>
      <c r="AF11" s="57"/>
      <c r="AG11" s="58"/>
      <c r="AH11" s="61"/>
      <c r="AI11" s="61"/>
      <c r="AJ11" s="58"/>
      <c r="AK11" s="59"/>
      <c r="AL11" s="53"/>
      <c r="AM11" s="57"/>
      <c r="AN11" s="58"/>
      <c r="AO11" s="58"/>
      <c r="AP11" s="58"/>
      <c r="AQ11" s="58"/>
      <c r="AR11" s="59"/>
      <c r="AS11" s="53"/>
      <c r="AT11" s="57"/>
      <c r="AU11" s="58"/>
      <c r="AV11" s="59"/>
      <c r="AW11" s="58"/>
      <c r="AX11" s="59"/>
      <c r="AY11" s="53"/>
      <c r="AZ11" s="57"/>
      <c r="BA11" s="58"/>
      <c r="BB11" s="59"/>
      <c r="BC11" s="59"/>
      <c r="BD11" s="58"/>
      <c r="BE11" s="59"/>
      <c r="BF11" s="62"/>
      <c r="BG11" s="63"/>
      <c r="BH11" s="28"/>
      <c r="BI11" s="164"/>
      <c r="BJ11" s="165"/>
      <c r="BK11" s="165"/>
      <c r="BL11" s="165"/>
      <c r="BM11" s="166"/>
      <c r="BN11" s="166"/>
      <c r="BO11" s="166"/>
      <c r="BP11" s="172"/>
      <c r="BQ11" s="172"/>
      <c r="BR11" s="172"/>
      <c r="BS11" s="172"/>
      <c r="BT11" s="172"/>
      <c r="BU11" s="172"/>
      <c r="BV11" s="165"/>
      <c r="BW11" s="172"/>
      <c r="BX11" s="172"/>
      <c r="BY11" s="165"/>
      <c r="BZ11" s="165"/>
      <c r="CA11" s="165"/>
      <c r="CB11" s="167"/>
      <c r="CC11" s="172"/>
      <c r="CD11" s="172"/>
      <c r="CE11" s="167"/>
      <c r="CF11" s="167"/>
      <c r="CG11" s="167"/>
      <c r="CH11" s="167"/>
      <c r="CI11" s="172"/>
      <c r="CJ11" s="172"/>
      <c r="CK11" s="167"/>
      <c r="CL11" s="167"/>
      <c r="CM11" s="167"/>
      <c r="CN11" s="112"/>
      <c r="CO11" s="29"/>
      <c r="CP11" s="29"/>
      <c r="CQ11" s="29"/>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9"/>
      <c r="DX11" s="29"/>
      <c r="DY11" s="29"/>
      <c r="DZ11" s="29"/>
      <c r="EA11" s="29"/>
      <c r="EB11" s="29"/>
      <c r="EC11" s="29"/>
      <c r="ED11" s="29"/>
    </row>
    <row r="12" spans="1:137" s="64" customFormat="1" ht="30.75" customHeight="1" x14ac:dyDescent="0.25">
      <c r="A12" s="26"/>
      <c r="B12" s="1749" t="s">
        <v>23</v>
      </c>
      <c r="C12" s="1750"/>
      <c r="D12" s="1750"/>
      <c r="E12" s="1750"/>
      <c r="F12" s="1750"/>
      <c r="G12" s="1750"/>
      <c r="H12" s="1750"/>
      <c r="I12" s="1750"/>
      <c r="J12" s="1750"/>
      <c r="K12" s="1750"/>
      <c r="L12" s="1750"/>
      <c r="M12" s="1750"/>
      <c r="N12" s="1750"/>
      <c r="O12" s="1750"/>
      <c r="P12" s="1750"/>
      <c r="Q12" s="1750"/>
      <c r="R12" s="1750"/>
      <c r="S12" s="1750"/>
      <c r="T12" s="1750"/>
      <c r="U12" s="1750"/>
      <c r="V12" s="1750"/>
      <c r="W12" s="1750"/>
      <c r="X12" s="1750"/>
      <c r="Y12" s="1750"/>
      <c r="Z12" s="1750"/>
      <c r="AA12" s="1750"/>
      <c r="AB12" s="1750"/>
      <c r="AC12" s="1750"/>
      <c r="AD12" s="1750"/>
      <c r="AE12" s="1750"/>
      <c r="AF12" s="1750"/>
      <c r="AG12" s="1750"/>
      <c r="AH12" s="1750"/>
      <c r="AI12" s="1750"/>
      <c r="AJ12" s="1750"/>
      <c r="AK12" s="1750"/>
      <c r="AL12" s="1750"/>
      <c r="AM12" s="1750"/>
      <c r="AN12" s="1750"/>
      <c r="AO12" s="1750"/>
      <c r="AP12" s="1750"/>
      <c r="AQ12" s="1750"/>
      <c r="AR12" s="1750"/>
      <c r="AS12" s="1750"/>
      <c r="AT12" s="1750"/>
      <c r="AU12" s="1750"/>
      <c r="AV12" s="1750"/>
      <c r="AW12" s="1750"/>
      <c r="AX12" s="1750"/>
      <c r="AY12" s="1750"/>
      <c r="AZ12" s="1750"/>
      <c r="BA12" s="1750"/>
      <c r="BB12" s="1750"/>
      <c r="BC12" s="1750"/>
      <c r="BD12" s="1750"/>
      <c r="BE12" s="1750"/>
      <c r="BF12" s="1750"/>
      <c r="BG12" s="1751"/>
      <c r="BH12" s="28"/>
      <c r="BJ12" s="168"/>
      <c r="BK12" s="168"/>
      <c r="BL12" s="168"/>
      <c r="BM12" s="169"/>
      <c r="BN12" s="169"/>
      <c r="BO12" s="169"/>
      <c r="BP12" s="168"/>
      <c r="BQ12" s="168"/>
      <c r="BR12" s="168"/>
      <c r="BS12" s="168"/>
      <c r="BT12" s="168"/>
      <c r="BU12" s="168"/>
      <c r="BV12" s="168"/>
      <c r="BW12" s="168"/>
      <c r="BX12" s="168"/>
      <c r="BY12" s="168"/>
      <c r="BZ12" s="168"/>
      <c r="CA12" s="168"/>
      <c r="CB12" s="170"/>
      <c r="CC12" s="168"/>
      <c r="CD12" s="168"/>
      <c r="CE12" s="170"/>
      <c r="CF12" s="170"/>
      <c r="CG12" s="170"/>
      <c r="CH12" s="170"/>
      <c r="CI12" s="168"/>
      <c r="CJ12" s="168"/>
      <c r="CK12" s="170"/>
      <c r="CL12" s="170"/>
      <c r="CM12" s="170"/>
      <c r="CN12" s="113"/>
      <c r="CO12" s="36"/>
      <c r="CP12" s="36"/>
      <c r="CQ12" s="36"/>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6"/>
      <c r="DX12" s="36"/>
      <c r="DY12" s="36"/>
      <c r="DZ12" s="36"/>
      <c r="EA12" s="36"/>
      <c r="EB12" s="36"/>
      <c r="EC12" s="36"/>
      <c r="ED12" s="36"/>
    </row>
    <row r="13" spans="1:137" s="27" customFormat="1" ht="15.75" x14ac:dyDescent="0.25">
      <c r="A13" s="26"/>
      <c r="B13" s="856"/>
      <c r="C13" s="857"/>
      <c r="D13" s="857"/>
      <c r="E13" s="857"/>
      <c r="F13" s="857"/>
      <c r="G13" s="857"/>
      <c r="H13" s="857"/>
      <c r="I13" s="857"/>
      <c r="J13" s="857"/>
      <c r="K13" s="857"/>
      <c r="L13" s="857"/>
      <c r="M13" s="857"/>
      <c r="N13" s="857"/>
      <c r="O13" s="857"/>
      <c r="P13" s="857"/>
      <c r="Q13" s="857"/>
      <c r="R13" s="857"/>
      <c r="S13" s="857"/>
      <c r="T13" s="857"/>
      <c r="U13" s="857"/>
      <c r="V13" s="857"/>
      <c r="W13" s="857"/>
      <c r="X13" s="857"/>
      <c r="Y13" s="857"/>
      <c r="Z13" s="857"/>
      <c r="AA13" s="858"/>
      <c r="AB13" s="859"/>
      <c r="AC13" s="860"/>
      <c r="AD13" s="859"/>
      <c r="AE13" s="861"/>
      <c r="AF13" s="857"/>
      <c r="AG13" s="857"/>
      <c r="AH13" s="862"/>
      <c r="AI13" s="859"/>
      <c r="AJ13" s="860"/>
      <c r="AK13" s="859"/>
      <c r="AL13" s="857"/>
      <c r="AM13" s="857"/>
      <c r="AN13" s="857"/>
      <c r="AO13" s="857"/>
      <c r="AP13" s="859"/>
      <c r="AQ13" s="860"/>
      <c r="AR13" s="859"/>
      <c r="AS13" s="857"/>
      <c r="AT13" s="857"/>
      <c r="AU13" s="857"/>
      <c r="AV13" s="859"/>
      <c r="AW13" s="860"/>
      <c r="AX13" s="859"/>
      <c r="AY13" s="857"/>
      <c r="AZ13" s="857"/>
      <c r="BA13" s="863"/>
      <c r="BB13" s="864"/>
      <c r="BC13" s="859"/>
      <c r="BD13" s="860"/>
      <c r="BE13" s="859"/>
      <c r="BF13" s="859"/>
      <c r="BG13" s="865"/>
      <c r="BH13" s="28"/>
      <c r="BI13" s="64"/>
      <c r="BJ13" s="168"/>
      <c r="BK13" s="168"/>
      <c r="BL13" s="168"/>
      <c r="BM13" s="169"/>
      <c r="BN13" s="169"/>
      <c r="BO13" s="169"/>
      <c r="BP13" s="168"/>
      <c r="BQ13" s="168"/>
      <c r="BR13" s="168"/>
      <c r="BS13" s="168"/>
      <c r="BT13" s="168"/>
      <c r="BU13" s="168"/>
      <c r="BV13" s="168"/>
      <c r="BW13" s="168"/>
      <c r="BX13" s="168"/>
      <c r="BY13" s="168"/>
      <c r="BZ13" s="168"/>
      <c r="CA13" s="168"/>
      <c r="CB13" s="170"/>
      <c r="CC13" s="168"/>
      <c r="CD13" s="168"/>
      <c r="CE13" s="170"/>
      <c r="CF13" s="170"/>
      <c r="CG13" s="170"/>
      <c r="CH13" s="170"/>
      <c r="CI13" s="168"/>
      <c r="CJ13" s="168"/>
      <c r="CK13" s="170"/>
      <c r="CL13" s="170"/>
      <c r="CM13" s="170"/>
      <c r="CN13" s="113"/>
      <c r="CO13" s="36"/>
      <c r="CP13" s="36"/>
      <c r="CQ13" s="36"/>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6"/>
      <c r="DX13" s="36"/>
      <c r="DY13" s="36"/>
      <c r="DZ13" s="36"/>
      <c r="EA13" s="36"/>
      <c r="EB13" s="36"/>
      <c r="EC13" s="36"/>
      <c r="ED13" s="36"/>
    </row>
    <row r="14" spans="1:137" s="64" customFormat="1" ht="21.75" customHeight="1" x14ac:dyDescent="0.25">
      <c r="A14" s="26"/>
      <c r="B14" s="1752" t="s">
        <v>48</v>
      </c>
      <c r="C14" s="1753"/>
      <c r="D14" s="1753"/>
      <c r="E14" s="1753"/>
      <c r="F14" s="1753"/>
      <c r="G14" s="1753"/>
      <c r="H14" s="1753"/>
      <c r="I14" s="1753"/>
      <c r="J14" s="1753"/>
      <c r="K14" s="1753"/>
      <c r="L14" s="1753"/>
      <c r="M14" s="1753"/>
      <c r="N14" s="1753"/>
      <c r="O14" s="1753"/>
      <c r="P14" s="1753"/>
      <c r="Q14" s="1753"/>
      <c r="R14" s="1753"/>
      <c r="S14" s="1753"/>
      <c r="T14" s="1753"/>
      <c r="U14" s="1753"/>
      <c r="V14" s="1753"/>
      <c r="W14" s="1753"/>
      <c r="X14" s="1753"/>
      <c r="Y14" s="1753"/>
      <c r="Z14" s="1753"/>
      <c r="AA14" s="1753"/>
      <c r="AB14" s="1753"/>
      <c r="AC14" s="1753"/>
      <c r="AD14" s="1753"/>
      <c r="AE14" s="1753"/>
      <c r="AF14" s="1753"/>
      <c r="AG14" s="1753"/>
      <c r="AH14" s="1753"/>
      <c r="AI14" s="1753"/>
      <c r="AJ14" s="1753"/>
      <c r="AK14" s="1753"/>
      <c r="AL14" s="1753"/>
      <c r="AM14" s="1753"/>
      <c r="AN14" s="1753"/>
      <c r="AO14" s="1753"/>
      <c r="AP14" s="1753"/>
      <c r="AQ14" s="1753"/>
      <c r="AR14" s="1753"/>
      <c r="AS14" s="1753"/>
      <c r="AT14" s="1753"/>
      <c r="AU14" s="1753"/>
      <c r="AV14" s="1753"/>
      <c r="AW14" s="1753"/>
      <c r="AX14" s="1753"/>
      <c r="AY14" s="1753"/>
      <c r="AZ14" s="1753"/>
      <c r="BA14" s="1753"/>
      <c r="BB14" s="1753"/>
      <c r="BC14" s="1753"/>
      <c r="BD14" s="1753"/>
      <c r="BE14" s="1753"/>
      <c r="BF14" s="1753"/>
      <c r="BG14" s="1754"/>
      <c r="BH14" s="28"/>
      <c r="BJ14" s="168"/>
      <c r="BK14" s="168"/>
      <c r="BL14" s="168"/>
      <c r="BM14" s="169"/>
      <c r="BN14" s="169"/>
      <c r="BO14" s="169"/>
      <c r="BP14" s="168"/>
      <c r="BQ14" s="168"/>
      <c r="BR14" s="168"/>
      <c r="BS14" s="168"/>
      <c r="BT14" s="168"/>
      <c r="BU14" s="168"/>
      <c r="BV14" s="168"/>
      <c r="BW14" s="168"/>
      <c r="BX14" s="168"/>
      <c r="BY14" s="168"/>
      <c r="BZ14" s="168"/>
      <c r="CA14" s="168"/>
      <c r="CB14" s="170"/>
      <c r="CC14" s="168"/>
      <c r="CD14" s="168"/>
      <c r="CE14" s="170"/>
      <c r="CF14" s="170"/>
      <c r="CG14" s="170"/>
      <c r="CH14" s="170"/>
      <c r="CI14" s="168"/>
      <c r="CJ14" s="168"/>
      <c r="CK14" s="170"/>
      <c r="CL14" s="170"/>
      <c r="CM14" s="170"/>
      <c r="CN14" s="113"/>
      <c r="CO14" s="36"/>
      <c r="CP14" s="36"/>
      <c r="CQ14" s="36"/>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6"/>
      <c r="EA14" s="36"/>
      <c r="EB14" s="36"/>
      <c r="EC14" s="36"/>
      <c r="ED14" s="36"/>
      <c r="EE14" s="36"/>
      <c r="EF14" s="36"/>
      <c r="EG14" s="36"/>
    </row>
    <row r="15" spans="1:137" s="64" customFormat="1" ht="15" customHeight="1" x14ac:dyDescent="0.25">
      <c r="A15" s="26"/>
      <c r="B15" s="1755" t="s">
        <v>283</v>
      </c>
      <c r="C15" s="1742" t="s">
        <v>287</v>
      </c>
      <c r="D15" s="1742" t="s">
        <v>25</v>
      </c>
      <c r="E15" s="1742"/>
      <c r="F15" s="1742"/>
      <c r="G15" s="1742"/>
      <c r="H15" s="1742"/>
      <c r="I15" s="1742"/>
      <c r="J15" s="1742"/>
      <c r="K15" s="1742"/>
      <c r="L15" s="1742"/>
      <c r="M15" s="1742"/>
      <c r="N15" s="1742"/>
      <c r="O15" s="1742"/>
      <c r="P15" s="1742"/>
      <c r="Q15" s="1742"/>
      <c r="R15" s="1742"/>
      <c r="S15" s="1742" t="s">
        <v>193</v>
      </c>
      <c r="T15" s="1742"/>
      <c r="U15" s="1742"/>
      <c r="V15" s="1742"/>
      <c r="W15" s="1742"/>
      <c r="X15" s="1743" t="s">
        <v>201</v>
      </c>
      <c r="Y15" s="1743"/>
      <c r="Z15" s="1743"/>
      <c r="AA15" s="1743"/>
      <c r="AB15" s="1743"/>
      <c r="AC15" s="1743"/>
      <c r="AD15" s="1743"/>
      <c r="AE15" s="1743" t="s">
        <v>200</v>
      </c>
      <c r="AF15" s="1743"/>
      <c r="AG15" s="1743"/>
      <c r="AH15" s="1743"/>
      <c r="AI15" s="1743"/>
      <c r="AJ15" s="1743"/>
      <c r="AK15" s="1743"/>
      <c r="AL15" s="1743" t="s">
        <v>199</v>
      </c>
      <c r="AM15" s="1743"/>
      <c r="AN15" s="1743"/>
      <c r="AO15" s="1743"/>
      <c r="AP15" s="1743"/>
      <c r="AQ15" s="1743"/>
      <c r="AR15" s="1743"/>
      <c r="AS15" s="1743" t="s">
        <v>363</v>
      </c>
      <c r="AT15" s="1743"/>
      <c r="AU15" s="1743"/>
      <c r="AV15" s="1743"/>
      <c r="AW15" s="1743"/>
      <c r="AX15" s="1743"/>
      <c r="AY15" s="1743" t="s">
        <v>198</v>
      </c>
      <c r="AZ15" s="1743"/>
      <c r="BA15" s="1743"/>
      <c r="BB15" s="1743"/>
      <c r="BC15" s="1743"/>
      <c r="BD15" s="1743"/>
      <c r="BE15" s="1743"/>
      <c r="BF15" s="1744" t="s">
        <v>606</v>
      </c>
      <c r="BG15" s="1745" t="s">
        <v>26</v>
      </c>
      <c r="BH15" s="28"/>
      <c r="BJ15" s="168"/>
      <c r="BK15" s="168"/>
      <c r="BL15" s="168"/>
      <c r="BM15" s="169"/>
      <c r="BN15" s="169"/>
      <c r="BO15" s="169"/>
      <c r="BP15" s="168"/>
      <c r="BQ15" s="168"/>
      <c r="BR15" s="168"/>
      <c r="BS15" s="168"/>
      <c r="BT15" s="168"/>
      <c r="BU15" s="168"/>
      <c r="BV15" s="168"/>
      <c r="BW15" s="168"/>
      <c r="BX15" s="168"/>
      <c r="BY15" s="168"/>
      <c r="BZ15" s="168"/>
      <c r="CA15" s="168"/>
      <c r="CB15" s="170"/>
      <c r="CC15" s="168"/>
      <c r="CD15" s="168"/>
      <c r="CE15" s="170"/>
      <c r="CF15" s="170"/>
      <c r="CG15" s="170"/>
      <c r="CH15" s="170"/>
      <c r="CI15" s="168"/>
      <c r="CJ15" s="168"/>
      <c r="CK15" s="170"/>
      <c r="CL15" s="170"/>
      <c r="CM15" s="170"/>
      <c r="CN15" s="113"/>
      <c r="CO15" s="36"/>
      <c r="CP15" s="36"/>
      <c r="CQ15" s="36"/>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6"/>
      <c r="EA15" s="36"/>
      <c r="EB15" s="36"/>
      <c r="EC15" s="36"/>
      <c r="ED15" s="36"/>
      <c r="EE15" s="36"/>
      <c r="EF15" s="36"/>
      <c r="EG15" s="36"/>
    </row>
    <row r="16" spans="1:137" s="64" customFormat="1" ht="60" x14ac:dyDescent="0.25">
      <c r="A16" s="26"/>
      <c r="B16" s="1756"/>
      <c r="C16" s="1742"/>
      <c r="D16" s="896" t="s">
        <v>27</v>
      </c>
      <c r="E16" s="896" t="s">
        <v>28</v>
      </c>
      <c r="F16" s="896" t="s">
        <v>29</v>
      </c>
      <c r="G16" s="896" t="s">
        <v>30</v>
      </c>
      <c r="H16" s="896" t="s">
        <v>31</v>
      </c>
      <c r="I16" s="896" t="s">
        <v>32</v>
      </c>
      <c r="J16" s="896" t="s">
        <v>33</v>
      </c>
      <c r="K16" s="896" t="s">
        <v>34</v>
      </c>
      <c r="L16" s="896" t="s">
        <v>35</v>
      </c>
      <c r="M16" s="896" t="s">
        <v>36</v>
      </c>
      <c r="N16" s="896" t="s">
        <v>37</v>
      </c>
      <c r="O16" s="896" t="s">
        <v>38</v>
      </c>
      <c r="P16" s="896" t="s">
        <v>39</v>
      </c>
      <c r="Q16" s="896" t="s">
        <v>40</v>
      </c>
      <c r="R16" s="896" t="s">
        <v>41</v>
      </c>
      <c r="S16" s="896" t="s">
        <v>42</v>
      </c>
      <c r="T16" s="896" t="s">
        <v>43</v>
      </c>
      <c r="U16" s="896" t="s">
        <v>44</v>
      </c>
      <c r="V16" s="897" t="s">
        <v>210</v>
      </c>
      <c r="W16" s="898" t="s">
        <v>193</v>
      </c>
      <c r="X16" s="1744" t="s">
        <v>194</v>
      </c>
      <c r="Y16" s="1744"/>
      <c r="Z16" s="896" t="s">
        <v>202</v>
      </c>
      <c r="AA16" s="899" t="s">
        <v>605</v>
      </c>
      <c r="AB16" s="899" t="s">
        <v>617</v>
      </c>
      <c r="AC16" s="898" t="s">
        <v>203</v>
      </c>
      <c r="AD16" s="899" t="s">
        <v>294</v>
      </c>
      <c r="AE16" s="1744" t="s">
        <v>195</v>
      </c>
      <c r="AF16" s="1744"/>
      <c r="AG16" s="898" t="s">
        <v>204</v>
      </c>
      <c r="AH16" s="900" t="s">
        <v>618</v>
      </c>
      <c r="AI16" s="900" t="s">
        <v>619</v>
      </c>
      <c r="AJ16" s="898" t="s">
        <v>205</v>
      </c>
      <c r="AK16" s="899" t="s">
        <v>294</v>
      </c>
      <c r="AL16" s="1744" t="s">
        <v>196</v>
      </c>
      <c r="AM16" s="1744"/>
      <c r="AN16" s="896" t="s">
        <v>206</v>
      </c>
      <c r="AO16" s="896" t="s">
        <v>620</v>
      </c>
      <c r="AP16" s="896" t="s">
        <v>621</v>
      </c>
      <c r="AQ16" s="898" t="s">
        <v>207</v>
      </c>
      <c r="AR16" s="899" t="s">
        <v>294</v>
      </c>
      <c r="AS16" s="1744" t="s">
        <v>622</v>
      </c>
      <c r="AT16" s="1744"/>
      <c r="AU16" s="898" t="s">
        <v>365</v>
      </c>
      <c r="AV16" s="899" t="s">
        <v>623</v>
      </c>
      <c r="AW16" s="898" t="s">
        <v>364</v>
      </c>
      <c r="AX16" s="899" t="s">
        <v>294</v>
      </c>
      <c r="AY16" s="1744" t="s">
        <v>197</v>
      </c>
      <c r="AZ16" s="1744"/>
      <c r="BA16" s="898" t="s">
        <v>208</v>
      </c>
      <c r="BB16" s="899" t="s">
        <v>624</v>
      </c>
      <c r="BC16" s="899" t="s">
        <v>625</v>
      </c>
      <c r="BD16" s="898" t="s">
        <v>209</v>
      </c>
      <c r="BE16" s="899" t="s">
        <v>294</v>
      </c>
      <c r="BF16" s="1744"/>
      <c r="BG16" s="1745"/>
      <c r="BH16" s="28"/>
      <c r="BJ16" s="168"/>
      <c r="BK16" s="168"/>
      <c r="BL16" s="168"/>
      <c r="BM16" s="169"/>
      <c r="BN16" s="169"/>
      <c r="BO16" s="169"/>
      <c r="BP16" s="168"/>
      <c r="BQ16" s="168"/>
      <c r="BR16" s="168"/>
      <c r="BS16" s="168"/>
      <c r="BT16" s="168"/>
      <c r="BU16" s="168"/>
      <c r="BV16" s="168"/>
      <c r="BW16" s="168"/>
      <c r="BX16" s="168"/>
      <c r="BY16" s="168"/>
      <c r="BZ16" s="168"/>
      <c r="CA16" s="168"/>
      <c r="CB16" s="170"/>
      <c r="CC16" s="168"/>
      <c r="CD16" s="168"/>
      <c r="CE16" s="170"/>
      <c r="CF16" s="170"/>
      <c r="CG16" s="170"/>
      <c r="CH16" s="170"/>
      <c r="CI16" s="168"/>
      <c r="CJ16" s="168"/>
      <c r="CK16" s="170"/>
      <c r="CL16" s="170"/>
      <c r="CM16" s="170"/>
      <c r="CN16" s="113"/>
      <c r="CO16" s="36"/>
      <c r="CP16" s="36"/>
      <c r="CQ16" s="36"/>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6"/>
      <c r="EA16" s="36"/>
      <c r="EB16" s="36"/>
      <c r="EC16" s="36"/>
      <c r="ED16" s="36"/>
      <c r="EE16" s="36"/>
      <c r="EF16" s="36"/>
      <c r="EG16" s="36"/>
    </row>
    <row r="17" spans="1:137" s="27" customFormat="1" ht="15" customHeight="1" x14ac:dyDescent="0.25">
      <c r="A17" s="26"/>
      <c r="B17" s="755" t="s">
        <v>397</v>
      </c>
      <c r="C17" s="553"/>
      <c r="D17" s="912">
        <f t="shared" ref="D17:D27" si="0">VLOOKUP($C17,$BI$106:$CM$491,2,FALSE)</f>
        <v>0</v>
      </c>
      <c r="E17" s="1393"/>
      <c r="F17" s="421"/>
      <c r="G17" s="421"/>
      <c r="H17" s="421"/>
      <c r="I17" s="421"/>
      <c r="J17" s="421"/>
      <c r="K17" s="421"/>
      <c r="L17" s="421"/>
      <c r="M17" s="421"/>
      <c r="N17" s="421"/>
      <c r="O17" s="421"/>
      <c r="P17" s="421"/>
      <c r="Q17" s="422">
        <f t="shared" ref="Q17:Q27" si="1">SUM(E17:P17)</f>
        <v>0</v>
      </c>
      <c r="R17" s="423">
        <f t="shared" ref="R17:R27" si="2">COUNT(E17:P17)</f>
        <v>0</v>
      </c>
      <c r="S17" s="422">
        <f t="shared" ref="S17:S27" si="3">IF(R17&gt;1,AVERAGE(E17:P17),0)</f>
        <v>0</v>
      </c>
      <c r="T17" s="422">
        <f t="shared" ref="T17:T27" si="4">IF(R17&gt;1,STDEV(E17:P17),0)</f>
        <v>0</v>
      </c>
      <c r="U17" s="422">
        <f t="shared" ref="U17:U27" si="5">IF(R17&gt;1,VLOOKUP($R17,$BI$443:$BJ$455,2,FALSE),0)</f>
        <v>0</v>
      </c>
      <c r="V17" s="424"/>
      <c r="W17" s="425">
        <f t="shared" ref="W17:W27" si="6">IF(R17&gt;1,1-((S17-((T17*U17)/(SQRT(R17))))/S17),VLOOKUP($C17,$BI$106:$CS$491,34,FALSE))</f>
        <v>0</v>
      </c>
      <c r="X17" s="913">
        <f t="shared" ref="X17:X27" si="7">VLOOKUP($C17,$BI$106:$CM$491,3,FALSE)</f>
        <v>0</v>
      </c>
      <c r="Y17" s="914">
        <f t="shared" ref="Y17:Y27" si="8">VLOOKUP($C17,$BI$106:$CM$491,4,FALSE)</f>
        <v>0</v>
      </c>
      <c r="Z17" s="915">
        <f t="shared" ref="Z17:Z27" si="9">IF($Q17&gt;0,VLOOKUP($C17,$BI$106:$CM$491,6,FALSE),0)</f>
        <v>0</v>
      </c>
      <c r="AA17" s="916">
        <f t="shared" ref="AA17:AA27" si="10">($Q17*X17)/1000</f>
        <v>0</v>
      </c>
      <c r="AB17" s="916">
        <f t="shared" ref="AB17:AB27" si="11">AA17*$BJ$461</f>
        <v>0</v>
      </c>
      <c r="AC17" s="915">
        <f t="shared" ref="AC17:AC27" si="12">IF(AA17&gt;0,SQRT(($W17*$W17)+(Z17*Z17)+($V17*$V17)),0)</f>
        <v>0</v>
      </c>
      <c r="AD17" s="916">
        <f t="shared" ref="AD17:AD27" si="13">(AB17*AC17)^2</f>
        <v>0</v>
      </c>
      <c r="AE17" s="917">
        <f t="shared" ref="AE17:AE27" si="14">VLOOKUP($C17,$BI$106:$CM$491,9,FALSE)</f>
        <v>0</v>
      </c>
      <c r="AF17" s="914">
        <f t="shared" ref="AF17:AF27" si="15">VLOOKUP($C17,$BI$106:$CM$491,10,FALSE)</f>
        <v>0</v>
      </c>
      <c r="AG17" s="915">
        <f t="shared" ref="AG17:AG27" si="16">IF($Q17&gt;0,VLOOKUP($C17,$BI$106:$CM$491,24,FALSE),0)</f>
        <v>0</v>
      </c>
      <c r="AH17" s="918">
        <f t="shared" ref="AH17:AH27" si="17">($Q17*AE17)/1000</f>
        <v>0</v>
      </c>
      <c r="AI17" s="918">
        <f t="shared" ref="AI17:AI27" si="18">AH17*$BJ$462</f>
        <v>0</v>
      </c>
      <c r="AJ17" s="915">
        <f t="shared" ref="AJ17:AJ27" si="19">IF(AH17&gt;0,SQRT(($W17*$W17)+(AG17*AG17)+($V17*$V17)),0)</f>
        <v>0</v>
      </c>
      <c r="AK17" s="916">
        <f t="shared" ref="AK17:AK27" si="20">(AI17*AJ17)^2</f>
        <v>0</v>
      </c>
      <c r="AL17" s="917">
        <f t="shared" ref="AL17:AL27" si="21">VLOOKUP($C17,$BI$106:$CM$491,15,FALSE)</f>
        <v>0</v>
      </c>
      <c r="AM17" s="914">
        <f t="shared" ref="AM17:AM27" si="22">VLOOKUP($C17,$BI$106:$CM$491,16,FALSE)</f>
        <v>0</v>
      </c>
      <c r="AN17" s="915">
        <f t="shared" ref="AN17:AN27" si="23">IF($Q17&gt;0,VLOOKUP($C17,$BI$106:$CM$491,30,FALSE),0)</f>
        <v>0</v>
      </c>
      <c r="AO17" s="918">
        <f t="shared" ref="AO17:AO27" si="24">($Q17*AL17)/1000</f>
        <v>0</v>
      </c>
      <c r="AP17" s="918">
        <f t="shared" ref="AP17:AP27" si="25">AO17*$BJ$463</f>
        <v>0</v>
      </c>
      <c r="AQ17" s="915">
        <f t="shared" ref="AQ17:AQ27" si="26">IF(AO17&gt;0,SQRT(($W17*$W17)+(AN17*AN17)+($V17*$V17)),0)</f>
        <v>0</v>
      </c>
      <c r="AR17" s="916">
        <f t="shared" ref="AR17:AR27" si="27">(AP17*AQ17)^2</f>
        <v>0</v>
      </c>
      <c r="AS17" s="919">
        <v>0</v>
      </c>
      <c r="AT17" s="914">
        <v>0</v>
      </c>
      <c r="AU17" s="915">
        <v>0</v>
      </c>
      <c r="AV17" s="918">
        <f t="shared" ref="AV17:AV27" si="28">($Q17*AS17)/1000</f>
        <v>0</v>
      </c>
      <c r="AW17" s="915">
        <f t="shared" ref="AW17:AW27" si="29">IF(AV17&gt;0,SQRT(($W17*$W17)+(AU17*AU17)+($V17*$V17)),0)</f>
        <v>0</v>
      </c>
      <c r="AX17" s="916">
        <f t="shared" ref="AX17:AX27" si="30">(AV17*AW17)^2</f>
        <v>0</v>
      </c>
      <c r="AY17" s="919">
        <v>0</v>
      </c>
      <c r="AZ17" s="914">
        <v>0</v>
      </c>
      <c r="BA17" s="915">
        <v>0</v>
      </c>
      <c r="BB17" s="918">
        <f t="shared" ref="BB17:BB27" si="31">($Q17*AY17)/1000</f>
        <v>0</v>
      </c>
      <c r="BC17" s="918">
        <f t="shared" ref="BC17:BC27" si="32">BB17*$BJ$464</f>
        <v>0</v>
      </c>
      <c r="BD17" s="915">
        <f t="shared" ref="BD17:BD27" si="33">IF(BB17&gt;0,SQRT(($W17*$W17)+(BA17*BA17)+($V17*$V17)),0)</f>
        <v>0</v>
      </c>
      <c r="BE17" s="916">
        <f t="shared" ref="BE17:BE27" si="34">(BC17*BD17)^2</f>
        <v>0</v>
      </c>
      <c r="BF17" s="920">
        <f t="shared" ref="BF17:BF27" si="35">AB17+AI17+AP17+AV17+BC17</f>
        <v>0</v>
      </c>
      <c r="BG17" s="921">
        <f t="shared" ref="BG17:BG27" si="36">IF(BF17&gt;0,SQRT(AD17+AK17+AR17+AX17+BE17)/BF17,0)</f>
        <v>0</v>
      </c>
      <c r="BH17" s="28">
        <f t="shared" ref="BH17:BH40" si="37">(BF17*BG17)^2</f>
        <v>0</v>
      </c>
      <c r="BI17" s="64"/>
      <c r="BJ17" s="168"/>
      <c r="BK17" s="168"/>
      <c r="BL17" s="168"/>
      <c r="BM17" s="169"/>
      <c r="BN17" s="169"/>
      <c r="BO17" s="169"/>
      <c r="BP17" s="168"/>
      <c r="BQ17" s="168"/>
      <c r="BR17" s="168"/>
      <c r="BS17" s="168"/>
      <c r="BT17" s="168"/>
      <c r="BU17" s="168"/>
      <c r="BV17" s="168"/>
      <c r="BW17" s="168"/>
      <c r="BX17" s="168"/>
      <c r="BY17" s="168"/>
      <c r="BZ17" s="168"/>
      <c r="CA17" s="168"/>
      <c r="CB17" s="170"/>
      <c r="CC17" s="168"/>
      <c r="CD17" s="168"/>
      <c r="CE17" s="170"/>
      <c r="CF17" s="170"/>
      <c r="CG17" s="170"/>
      <c r="CH17" s="170"/>
      <c r="CI17" s="168"/>
      <c r="CJ17" s="168"/>
      <c r="CK17" s="170"/>
      <c r="CL17" s="170"/>
      <c r="CM17" s="170"/>
      <c r="CN17" s="113"/>
      <c r="CO17" s="36"/>
      <c r="CP17" s="36"/>
      <c r="CQ17" s="36"/>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6"/>
      <c r="EA17" s="36"/>
      <c r="EB17" s="36"/>
      <c r="EC17" s="36"/>
      <c r="ED17" s="36"/>
      <c r="EE17" s="36"/>
      <c r="EF17" s="36"/>
      <c r="EG17" s="36"/>
    </row>
    <row r="18" spans="1:137" s="27" customFormat="1" x14ac:dyDescent="0.25">
      <c r="A18" s="26"/>
      <c r="B18" s="756" t="s">
        <v>396</v>
      </c>
      <c r="C18" s="553"/>
      <c r="D18" s="912">
        <f t="shared" si="0"/>
        <v>0</v>
      </c>
      <c r="E18" s="1393"/>
      <c r="F18" s="421"/>
      <c r="G18" s="421"/>
      <c r="H18" s="421"/>
      <c r="I18" s="421"/>
      <c r="J18" s="421"/>
      <c r="K18" s="421"/>
      <c r="L18" s="421"/>
      <c r="M18" s="421"/>
      <c r="N18" s="421"/>
      <c r="O18" s="421"/>
      <c r="P18" s="421"/>
      <c r="Q18" s="422">
        <f t="shared" si="1"/>
        <v>0</v>
      </c>
      <c r="R18" s="423">
        <f t="shared" si="2"/>
        <v>0</v>
      </c>
      <c r="S18" s="422">
        <f t="shared" si="3"/>
        <v>0</v>
      </c>
      <c r="T18" s="422">
        <f t="shared" si="4"/>
        <v>0</v>
      </c>
      <c r="U18" s="422">
        <f t="shared" si="5"/>
        <v>0</v>
      </c>
      <c r="V18" s="424"/>
      <c r="W18" s="425">
        <f t="shared" si="6"/>
        <v>0</v>
      </c>
      <c r="X18" s="913">
        <f t="shared" si="7"/>
        <v>0</v>
      </c>
      <c r="Y18" s="914">
        <f t="shared" si="8"/>
        <v>0</v>
      </c>
      <c r="Z18" s="915">
        <f t="shared" si="9"/>
        <v>0</v>
      </c>
      <c r="AA18" s="916">
        <f t="shared" si="10"/>
        <v>0</v>
      </c>
      <c r="AB18" s="916">
        <f t="shared" si="11"/>
        <v>0</v>
      </c>
      <c r="AC18" s="915">
        <f t="shared" si="12"/>
        <v>0</v>
      </c>
      <c r="AD18" s="916">
        <f t="shared" si="13"/>
        <v>0</v>
      </c>
      <c r="AE18" s="917">
        <f t="shared" si="14"/>
        <v>0</v>
      </c>
      <c r="AF18" s="914">
        <f t="shared" si="15"/>
        <v>0</v>
      </c>
      <c r="AG18" s="915">
        <f t="shared" si="16"/>
        <v>0</v>
      </c>
      <c r="AH18" s="918">
        <f t="shared" si="17"/>
        <v>0</v>
      </c>
      <c r="AI18" s="918">
        <f t="shared" si="18"/>
        <v>0</v>
      </c>
      <c r="AJ18" s="915">
        <f t="shared" si="19"/>
        <v>0</v>
      </c>
      <c r="AK18" s="916">
        <f t="shared" si="20"/>
        <v>0</v>
      </c>
      <c r="AL18" s="917">
        <f t="shared" si="21"/>
        <v>0</v>
      </c>
      <c r="AM18" s="914">
        <f t="shared" si="22"/>
        <v>0</v>
      </c>
      <c r="AN18" s="915">
        <f t="shared" si="23"/>
        <v>0</v>
      </c>
      <c r="AO18" s="918">
        <f t="shared" si="24"/>
        <v>0</v>
      </c>
      <c r="AP18" s="918">
        <f t="shared" si="25"/>
        <v>0</v>
      </c>
      <c r="AQ18" s="915">
        <f t="shared" si="26"/>
        <v>0</v>
      </c>
      <c r="AR18" s="916">
        <f t="shared" si="27"/>
        <v>0</v>
      </c>
      <c r="AS18" s="919">
        <v>0</v>
      </c>
      <c r="AT18" s="914">
        <v>0</v>
      </c>
      <c r="AU18" s="915">
        <v>0</v>
      </c>
      <c r="AV18" s="918">
        <f t="shared" si="28"/>
        <v>0</v>
      </c>
      <c r="AW18" s="915">
        <f t="shared" si="29"/>
        <v>0</v>
      </c>
      <c r="AX18" s="916">
        <f t="shared" si="30"/>
        <v>0</v>
      </c>
      <c r="AY18" s="919">
        <v>0</v>
      </c>
      <c r="AZ18" s="914">
        <v>0</v>
      </c>
      <c r="BA18" s="915">
        <v>0</v>
      </c>
      <c r="BB18" s="918">
        <f t="shared" si="31"/>
        <v>0</v>
      </c>
      <c r="BC18" s="918">
        <f t="shared" si="32"/>
        <v>0</v>
      </c>
      <c r="BD18" s="915">
        <f t="shared" si="33"/>
        <v>0</v>
      </c>
      <c r="BE18" s="916">
        <f t="shared" si="34"/>
        <v>0</v>
      </c>
      <c r="BF18" s="920">
        <f t="shared" si="35"/>
        <v>0</v>
      </c>
      <c r="BG18" s="921">
        <f t="shared" si="36"/>
        <v>0</v>
      </c>
      <c r="BH18" s="28">
        <f t="shared" si="37"/>
        <v>0</v>
      </c>
      <c r="BI18" s="64"/>
      <c r="BJ18" s="168"/>
      <c r="BK18" s="168"/>
      <c r="BL18" s="168"/>
      <c r="BM18" s="169"/>
      <c r="BN18" s="169"/>
      <c r="BO18" s="169"/>
      <c r="BP18" s="168"/>
      <c r="BQ18" s="168"/>
      <c r="BR18" s="168"/>
      <c r="BS18" s="168"/>
      <c r="BT18" s="168"/>
      <c r="BU18" s="168"/>
      <c r="BV18" s="168"/>
      <c r="BW18" s="168"/>
      <c r="BX18" s="168"/>
      <c r="BY18" s="168"/>
      <c r="BZ18" s="168"/>
      <c r="CA18" s="168"/>
      <c r="CB18" s="170"/>
      <c r="CC18" s="168"/>
      <c r="CD18" s="168"/>
      <c r="CE18" s="170"/>
      <c r="CF18" s="170"/>
      <c r="CG18" s="170"/>
      <c r="CH18" s="170"/>
      <c r="CI18" s="168"/>
      <c r="CJ18" s="168"/>
      <c r="CK18" s="170"/>
      <c r="CL18" s="170"/>
      <c r="CM18" s="170"/>
      <c r="CN18" s="113"/>
      <c r="CO18" s="36"/>
      <c r="CP18" s="36"/>
      <c r="CQ18" s="36"/>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6"/>
      <c r="EA18" s="36"/>
      <c r="EB18" s="36"/>
      <c r="EC18" s="36"/>
      <c r="ED18" s="36"/>
      <c r="EE18" s="36"/>
      <c r="EF18" s="36"/>
      <c r="EG18" s="36"/>
    </row>
    <row r="19" spans="1:137" s="27" customFormat="1" x14ac:dyDescent="0.25">
      <c r="A19" s="26"/>
      <c r="B19" s="756"/>
      <c r="C19" s="553"/>
      <c r="D19" s="912">
        <f t="shared" si="0"/>
        <v>0</v>
      </c>
      <c r="E19" s="1393"/>
      <c r="F19" s="421"/>
      <c r="G19" s="421"/>
      <c r="H19" s="421"/>
      <c r="I19" s="421"/>
      <c r="J19" s="421"/>
      <c r="K19" s="421"/>
      <c r="L19" s="421"/>
      <c r="M19" s="421"/>
      <c r="N19" s="421"/>
      <c r="O19" s="421"/>
      <c r="P19" s="421"/>
      <c r="Q19" s="422">
        <f t="shared" si="1"/>
        <v>0</v>
      </c>
      <c r="R19" s="423">
        <f t="shared" si="2"/>
        <v>0</v>
      </c>
      <c r="S19" s="422">
        <f t="shared" si="3"/>
        <v>0</v>
      </c>
      <c r="T19" s="422">
        <f t="shared" si="4"/>
        <v>0</v>
      </c>
      <c r="U19" s="422">
        <f t="shared" si="5"/>
        <v>0</v>
      </c>
      <c r="V19" s="424"/>
      <c r="W19" s="425">
        <f t="shared" si="6"/>
        <v>0</v>
      </c>
      <c r="X19" s="913">
        <f t="shared" si="7"/>
        <v>0</v>
      </c>
      <c r="Y19" s="914">
        <f t="shared" si="8"/>
        <v>0</v>
      </c>
      <c r="Z19" s="915">
        <f t="shared" si="9"/>
        <v>0</v>
      </c>
      <c r="AA19" s="916">
        <f t="shared" si="10"/>
        <v>0</v>
      </c>
      <c r="AB19" s="916">
        <f t="shared" si="11"/>
        <v>0</v>
      </c>
      <c r="AC19" s="915">
        <f t="shared" si="12"/>
        <v>0</v>
      </c>
      <c r="AD19" s="916">
        <f t="shared" si="13"/>
        <v>0</v>
      </c>
      <c r="AE19" s="917">
        <f t="shared" si="14"/>
        <v>0</v>
      </c>
      <c r="AF19" s="914">
        <f t="shared" si="15"/>
        <v>0</v>
      </c>
      <c r="AG19" s="915">
        <f t="shared" si="16"/>
        <v>0</v>
      </c>
      <c r="AH19" s="918">
        <f t="shared" si="17"/>
        <v>0</v>
      </c>
      <c r="AI19" s="918">
        <f t="shared" si="18"/>
        <v>0</v>
      </c>
      <c r="AJ19" s="915">
        <f t="shared" si="19"/>
        <v>0</v>
      </c>
      <c r="AK19" s="916">
        <f t="shared" si="20"/>
        <v>0</v>
      </c>
      <c r="AL19" s="917">
        <f t="shared" si="21"/>
        <v>0</v>
      </c>
      <c r="AM19" s="914">
        <f t="shared" si="22"/>
        <v>0</v>
      </c>
      <c r="AN19" s="915">
        <f t="shared" si="23"/>
        <v>0</v>
      </c>
      <c r="AO19" s="918">
        <f t="shared" si="24"/>
        <v>0</v>
      </c>
      <c r="AP19" s="918">
        <f t="shared" si="25"/>
        <v>0</v>
      </c>
      <c r="AQ19" s="915">
        <f t="shared" si="26"/>
        <v>0</v>
      </c>
      <c r="AR19" s="916">
        <f t="shared" si="27"/>
        <v>0</v>
      </c>
      <c r="AS19" s="919">
        <v>0</v>
      </c>
      <c r="AT19" s="914">
        <v>0</v>
      </c>
      <c r="AU19" s="915">
        <v>0</v>
      </c>
      <c r="AV19" s="918">
        <f t="shared" si="28"/>
        <v>0</v>
      </c>
      <c r="AW19" s="915">
        <f t="shared" si="29"/>
        <v>0</v>
      </c>
      <c r="AX19" s="916">
        <f t="shared" si="30"/>
        <v>0</v>
      </c>
      <c r="AY19" s="919">
        <v>0</v>
      </c>
      <c r="AZ19" s="914">
        <v>0</v>
      </c>
      <c r="BA19" s="915">
        <v>0</v>
      </c>
      <c r="BB19" s="918">
        <f t="shared" si="31"/>
        <v>0</v>
      </c>
      <c r="BC19" s="918">
        <f t="shared" si="32"/>
        <v>0</v>
      </c>
      <c r="BD19" s="915">
        <f t="shared" si="33"/>
        <v>0</v>
      </c>
      <c r="BE19" s="916">
        <f t="shared" si="34"/>
        <v>0</v>
      </c>
      <c r="BF19" s="920">
        <f t="shared" si="35"/>
        <v>0</v>
      </c>
      <c r="BG19" s="921">
        <f t="shared" si="36"/>
        <v>0</v>
      </c>
      <c r="BH19" s="28">
        <f t="shared" si="37"/>
        <v>0</v>
      </c>
      <c r="BI19" s="64"/>
      <c r="BJ19" s="168"/>
      <c r="BK19" s="168"/>
      <c r="BL19" s="168"/>
      <c r="BM19" s="169"/>
      <c r="BN19" s="169"/>
      <c r="BO19" s="169"/>
      <c r="BP19" s="168"/>
      <c r="BQ19" s="168"/>
      <c r="BR19" s="168"/>
      <c r="BS19" s="168"/>
      <c r="BT19" s="168"/>
      <c r="BU19" s="168"/>
      <c r="BV19" s="168"/>
      <c r="BW19" s="168"/>
      <c r="BX19" s="168"/>
      <c r="BY19" s="168"/>
      <c r="BZ19" s="168"/>
      <c r="CA19" s="168"/>
      <c r="CB19" s="170"/>
      <c r="CC19" s="168"/>
      <c r="CD19" s="168"/>
      <c r="CE19" s="170"/>
      <c r="CF19" s="170"/>
      <c r="CG19" s="170"/>
      <c r="CH19" s="170"/>
      <c r="CI19" s="168"/>
      <c r="CJ19" s="168"/>
      <c r="CK19" s="170"/>
      <c r="CL19" s="170"/>
      <c r="CM19" s="170"/>
      <c r="CN19" s="113"/>
      <c r="CO19" s="36"/>
      <c r="CP19" s="36"/>
      <c r="CQ19" s="36"/>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6"/>
      <c r="EA19" s="36"/>
      <c r="EB19" s="36"/>
      <c r="EC19" s="36"/>
      <c r="ED19" s="36"/>
      <c r="EE19" s="36"/>
      <c r="EF19" s="36"/>
      <c r="EG19" s="36"/>
    </row>
    <row r="20" spans="1:137" s="27" customFormat="1" x14ac:dyDescent="0.25">
      <c r="A20" s="26"/>
      <c r="B20" s="757"/>
      <c r="C20" s="553"/>
      <c r="D20" s="912">
        <f t="shared" si="0"/>
        <v>0</v>
      </c>
      <c r="E20" s="1393"/>
      <c r="F20" s="421"/>
      <c r="G20" s="421"/>
      <c r="H20" s="421"/>
      <c r="I20" s="421"/>
      <c r="J20" s="421"/>
      <c r="K20" s="421"/>
      <c r="L20" s="421"/>
      <c r="M20" s="421"/>
      <c r="N20" s="421"/>
      <c r="O20" s="421"/>
      <c r="P20" s="421"/>
      <c r="Q20" s="422">
        <f t="shared" si="1"/>
        <v>0</v>
      </c>
      <c r="R20" s="423">
        <f t="shared" si="2"/>
        <v>0</v>
      </c>
      <c r="S20" s="422">
        <f t="shared" si="3"/>
        <v>0</v>
      </c>
      <c r="T20" s="422">
        <f t="shared" si="4"/>
        <v>0</v>
      </c>
      <c r="U20" s="422">
        <f t="shared" si="5"/>
        <v>0</v>
      </c>
      <c r="V20" s="424"/>
      <c r="W20" s="425">
        <f t="shared" si="6"/>
        <v>0</v>
      </c>
      <c r="X20" s="913">
        <f t="shared" si="7"/>
        <v>0</v>
      </c>
      <c r="Y20" s="914">
        <f t="shared" si="8"/>
        <v>0</v>
      </c>
      <c r="Z20" s="915">
        <f t="shared" si="9"/>
        <v>0</v>
      </c>
      <c r="AA20" s="916">
        <f t="shared" si="10"/>
        <v>0</v>
      </c>
      <c r="AB20" s="916">
        <f t="shared" si="11"/>
        <v>0</v>
      </c>
      <c r="AC20" s="915">
        <f t="shared" si="12"/>
        <v>0</v>
      </c>
      <c r="AD20" s="916">
        <f t="shared" si="13"/>
        <v>0</v>
      </c>
      <c r="AE20" s="917">
        <f t="shared" si="14"/>
        <v>0</v>
      </c>
      <c r="AF20" s="914">
        <f t="shared" si="15"/>
        <v>0</v>
      </c>
      <c r="AG20" s="915">
        <f t="shared" si="16"/>
        <v>0</v>
      </c>
      <c r="AH20" s="918">
        <f t="shared" si="17"/>
        <v>0</v>
      </c>
      <c r="AI20" s="918">
        <f t="shared" si="18"/>
        <v>0</v>
      </c>
      <c r="AJ20" s="915">
        <f t="shared" si="19"/>
        <v>0</v>
      </c>
      <c r="AK20" s="916">
        <f t="shared" si="20"/>
        <v>0</v>
      </c>
      <c r="AL20" s="917">
        <f t="shared" si="21"/>
        <v>0</v>
      </c>
      <c r="AM20" s="914">
        <f t="shared" si="22"/>
        <v>0</v>
      </c>
      <c r="AN20" s="915">
        <f t="shared" si="23"/>
        <v>0</v>
      </c>
      <c r="AO20" s="918">
        <f t="shared" si="24"/>
        <v>0</v>
      </c>
      <c r="AP20" s="918">
        <f t="shared" si="25"/>
        <v>0</v>
      </c>
      <c r="AQ20" s="915">
        <f t="shared" si="26"/>
        <v>0</v>
      </c>
      <c r="AR20" s="916">
        <f t="shared" si="27"/>
        <v>0</v>
      </c>
      <c r="AS20" s="919">
        <v>0</v>
      </c>
      <c r="AT20" s="914">
        <v>0</v>
      </c>
      <c r="AU20" s="915">
        <v>0</v>
      </c>
      <c r="AV20" s="918">
        <f t="shared" si="28"/>
        <v>0</v>
      </c>
      <c r="AW20" s="915">
        <f t="shared" si="29"/>
        <v>0</v>
      </c>
      <c r="AX20" s="916">
        <f t="shared" si="30"/>
        <v>0</v>
      </c>
      <c r="AY20" s="919">
        <v>0</v>
      </c>
      <c r="AZ20" s="914">
        <v>0</v>
      </c>
      <c r="BA20" s="915">
        <v>0</v>
      </c>
      <c r="BB20" s="918">
        <f t="shared" si="31"/>
        <v>0</v>
      </c>
      <c r="BC20" s="918">
        <f t="shared" si="32"/>
        <v>0</v>
      </c>
      <c r="BD20" s="915">
        <f t="shared" si="33"/>
        <v>0</v>
      </c>
      <c r="BE20" s="916">
        <f t="shared" si="34"/>
        <v>0</v>
      </c>
      <c r="BF20" s="920">
        <f t="shared" si="35"/>
        <v>0</v>
      </c>
      <c r="BG20" s="921">
        <f t="shared" si="36"/>
        <v>0</v>
      </c>
      <c r="BH20" s="28">
        <f t="shared" si="37"/>
        <v>0</v>
      </c>
      <c r="BI20" s="64"/>
      <c r="BJ20" s="168"/>
      <c r="BK20" s="168"/>
      <c r="BL20" s="168"/>
      <c r="BM20" s="169"/>
      <c r="BN20" s="169"/>
      <c r="BO20" s="169"/>
      <c r="BP20" s="168"/>
      <c r="BQ20" s="168"/>
      <c r="BR20" s="168"/>
      <c r="BS20" s="168"/>
      <c r="BT20" s="168"/>
      <c r="BU20" s="168"/>
      <c r="BV20" s="168"/>
      <c r="BW20" s="168"/>
      <c r="BX20" s="168"/>
      <c r="BY20" s="168"/>
      <c r="BZ20" s="168"/>
      <c r="CA20" s="168"/>
      <c r="CB20" s="170"/>
      <c r="CC20" s="168"/>
      <c r="CD20" s="168"/>
      <c r="CE20" s="170"/>
      <c r="CF20" s="170"/>
      <c r="CG20" s="170"/>
      <c r="CH20" s="170"/>
      <c r="CI20" s="168"/>
      <c r="CJ20" s="168"/>
      <c r="CK20" s="170"/>
      <c r="CL20" s="170"/>
      <c r="CM20" s="170"/>
      <c r="CN20" s="113"/>
      <c r="CO20" s="36"/>
      <c r="CP20" s="36"/>
      <c r="CQ20" s="36"/>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6"/>
      <c r="EA20" s="36"/>
      <c r="EB20" s="36"/>
      <c r="EC20" s="36"/>
      <c r="ED20" s="36"/>
      <c r="EE20" s="36"/>
      <c r="EF20" s="36"/>
      <c r="EG20" s="36"/>
    </row>
    <row r="21" spans="1:137" s="27" customFormat="1" ht="15" customHeight="1" x14ac:dyDescent="0.25">
      <c r="A21" s="26"/>
      <c r="B21" s="755" t="s">
        <v>402</v>
      </c>
      <c r="C21" s="553"/>
      <c r="D21" s="912">
        <f t="shared" si="0"/>
        <v>0</v>
      </c>
      <c r="E21" s="144"/>
      <c r="F21" s="144"/>
      <c r="G21" s="421"/>
      <c r="H21" s="421"/>
      <c r="I21" s="421"/>
      <c r="J21" s="421"/>
      <c r="K21" s="421"/>
      <c r="L21" s="421"/>
      <c r="M21" s="421"/>
      <c r="N21" s="421"/>
      <c r="O21" s="421"/>
      <c r="P21" s="421"/>
      <c r="Q21" s="422">
        <f t="shared" si="1"/>
        <v>0</v>
      </c>
      <c r="R21" s="423">
        <f t="shared" si="2"/>
        <v>0</v>
      </c>
      <c r="S21" s="422">
        <f t="shared" si="3"/>
        <v>0</v>
      </c>
      <c r="T21" s="422">
        <f t="shared" si="4"/>
        <v>0</v>
      </c>
      <c r="U21" s="422">
        <f t="shared" si="5"/>
        <v>0</v>
      </c>
      <c r="V21" s="424"/>
      <c r="W21" s="425">
        <f t="shared" si="6"/>
        <v>0</v>
      </c>
      <c r="X21" s="913">
        <f t="shared" si="7"/>
        <v>0</v>
      </c>
      <c r="Y21" s="914">
        <f t="shared" si="8"/>
        <v>0</v>
      </c>
      <c r="Z21" s="915">
        <f t="shared" si="9"/>
        <v>0</v>
      </c>
      <c r="AA21" s="922">
        <f t="shared" si="10"/>
        <v>0</v>
      </c>
      <c r="AB21" s="916">
        <f t="shared" si="11"/>
        <v>0</v>
      </c>
      <c r="AC21" s="915">
        <f t="shared" si="12"/>
        <v>0</v>
      </c>
      <c r="AD21" s="916">
        <f t="shared" si="13"/>
        <v>0</v>
      </c>
      <c r="AE21" s="923">
        <f t="shared" si="14"/>
        <v>0</v>
      </c>
      <c r="AF21" s="914">
        <f t="shared" si="15"/>
        <v>0</v>
      </c>
      <c r="AG21" s="915">
        <f t="shared" si="16"/>
        <v>0</v>
      </c>
      <c r="AH21" s="918">
        <f t="shared" si="17"/>
        <v>0</v>
      </c>
      <c r="AI21" s="918">
        <f t="shared" si="18"/>
        <v>0</v>
      </c>
      <c r="AJ21" s="915">
        <f t="shared" si="19"/>
        <v>0</v>
      </c>
      <c r="AK21" s="916">
        <f t="shared" si="20"/>
        <v>0</v>
      </c>
      <c r="AL21" s="917">
        <f t="shared" si="21"/>
        <v>0</v>
      </c>
      <c r="AM21" s="914">
        <f t="shared" si="22"/>
        <v>0</v>
      </c>
      <c r="AN21" s="915">
        <f t="shared" si="23"/>
        <v>0</v>
      </c>
      <c r="AO21" s="924">
        <f t="shared" si="24"/>
        <v>0</v>
      </c>
      <c r="AP21" s="918">
        <f t="shared" si="25"/>
        <v>0</v>
      </c>
      <c r="AQ21" s="915">
        <f t="shared" si="26"/>
        <v>0</v>
      </c>
      <c r="AR21" s="916">
        <f t="shared" si="27"/>
        <v>0</v>
      </c>
      <c r="AS21" s="919">
        <v>0</v>
      </c>
      <c r="AT21" s="914">
        <v>0</v>
      </c>
      <c r="AU21" s="915">
        <v>0</v>
      </c>
      <c r="AV21" s="918">
        <f t="shared" si="28"/>
        <v>0</v>
      </c>
      <c r="AW21" s="915">
        <f t="shared" si="29"/>
        <v>0</v>
      </c>
      <c r="AX21" s="916">
        <f t="shared" si="30"/>
        <v>0</v>
      </c>
      <c r="AY21" s="919">
        <v>0</v>
      </c>
      <c r="AZ21" s="914">
        <v>0</v>
      </c>
      <c r="BA21" s="915">
        <v>0</v>
      </c>
      <c r="BB21" s="918">
        <f t="shared" si="31"/>
        <v>0</v>
      </c>
      <c r="BC21" s="918">
        <f t="shared" si="32"/>
        <v>0</v>
      </c>
      <c r="BD21" s="915">
        <f t="shared" si="33"/>
        <v>0</v>
      </c>
      <c r="BE21" s="916">
        <f t="shared" si="34"/>
        <v>0</v>
      </c>
      <c r="BF21" s="920">
        <f t="shared" si="35"/>
        <v>0</v>
      </c>
      <c r="BG21" s="921">
        <f t="shared" si="36"/>
        <v>0</v>
      </c>
      <c r="BH21" s="28">
        <f t="shared" si="37"/>
        <v>0</v>
      </c>
      <c r="BI21" s="64"/>
      <c r="BJ21" s="168"/>
      <c r="BK21" s="168"/>
      <c r="BL21" s="168"/>
      <c r="BM21" s="169"/>
      <c r="BN21" s="169"/>
      <c r="BO21" s="169"/>
      <c r="BP21" s="168"/>
      <c r="BQ21" s="168"/>
      <c r="BR21" s="168"/>
      <c r="BS21" s="168"/>
      <c r="BT21" s="168"/>
      <c r="BU21" s="168"/>
      <c r="BV21" s="168"/>
      <c r="BW21" s="168"/>
      <c r="BX21" s="168"/>
      <c r="BY21" s="168"/>
      <c r="BZ21" s="168"/>
      <c r="CA21" s="168"/>
      <c r="CB21" s="170"/>
      <c r="CC21" s="168"/>
      <c r="CD21" s="168"/>
      <c r="CE21" s="170"/>
      <c r="CF21" s="170"/>
      <c r="CG21" s="170"/>
      <c r="CH21" s="170"/>
      <c r="CI21" s="168"/>
      <c r="CJ21" s="168"/>
      <c r="CK21" s="170"/>
      <c r="CL21" s="170"/>
      <c r="CM21" s="170"/>
      <c r="CN21" s="113"/>
      <c r="CO21" s="36"/>
      <c r="CP21" s="36"/>
      <c r="CQ21" s="36"/>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6"/>
      <c r="EA21" s="36"/>
      <c r="EB21" s="36"/>
      <c r="EC21" s="36"/>
      <c r="ED21" s="36"/>
      <c r="EE21" s="36"/>
      <c r="EF21" s="36"/>
      <c r="EG21" s="36"/>
    </row>
    <row r="22" spans="1:137" s="27" customFormat="1" x14ac:dyDescent="0.25">
      <c r="A22" s="26"/>
      <c r="B22" s="756" t="s">
        <v>396</v>
      </c>
      <c r="C22" s="553"/>
      <c r="D22" s="912">
        <f t="shared" si="0"/>
        <v>0</v>
      </c>
      <c r="E22" s="1393"/>
      <c r="F22" s="421"/>
      <c r="G22" s="421"/>
      <c r="H22" s="421"/>
      <c r="I22" s="421"/>
      <c r="J22" s="421"/>
      <c r="K22" s="421"/>
      <c r="L22" s="421"/>
      <c r="M22" s="421"/>
      <c r="N22" s="421"/>
      <c r="O22" s="421"/>
      <c r="P22" s="421"/>
      <c r="Q22" s="422">
        <f>SUM(E22:P22)</f>
        <v>0</v>
      </c>
      <c r="R22" s="423">
        <f>COUNT(E22:P22)</f>
        <v>0</v>
      </c>
      <c r="S22" s="422">
        <f>IF(R22&gt;1,AVERAGE(E22:P22),0)</f>
        <v>0</v>
      </c>
      <c r="T22" s="422">
        <f>IF(R22&gt;1,STDEV(E22:P22),0)</f>
        <v>0</v>
      </c>
      <c r="U22" s="422">
        <f t="shared" si="5"/>
        <v>0</v>
      </c>
      <c r="V22" s="424"/>
      <c r="W22" s="425">
        <f t="shared" si="6"/>
        <v>0</v>
      </c>
      <c r="X22" s="913">
        <f t="shared" si="7"/>
        <v>0</v>
      </c>
      <c r="Y22" s="914">
        <f t="shared" si="8"/>
        <v>0</v>
      </c>
      <c r="Z22" s="915">
        <f t="shared" si="9"/>
        <v>0</v>
      </c>
      <c r="AA22" s="922">
        <f>($Q22*X22)/1000</f>
        <v>0</v>
      </c>
      <c r="AB22" s="918">
        <f t="shared" si="11"/>
        <v>0</v>
      </c>
      <c r="AC22" s="915">
        <f>IF(AA22&gt;0,SQRT(($W22*$W22)+(Z22*Z22)+($V22*$V22)),0)</f>
        <v>0</v>
      </c>
      <c r="AD22" s="916">
        <f>(AB22*AC22)^2</f>
        <v>0</v>
      </c>
      <c r="AE22" s="925">
        <f t="shared" si="14"/>
        <v>0</v>
      </c>
      <c r="AF22" s="914">
        <f t="shared" si="15"/>
        <v>0</v>
      </c>
      <c r="AG22" s="915">
        <f t="shared" si="16"/>
        <v>0</v>
      </c>
      <c r="AH22" s="918">
        <f>($Q22*AE22)/1000</f>
        <v>0</v>
      </c>
      <c r="AI22" s="918">
        <f t="shared" si="18"/>
        <v>0</v>
      </c>
      <c r="AJ22" s="915">
        <f>IF(AH22&gt;0,SQRT(($W22*$W22)+(AG22*AG22)+($V22*$V22)),0)</f>
        <v>0</v>
      </c>
      <c r="AK22" s="916">
        <f>(AI22*AJ22)^2</f>
        <v>0</v>
      </c>
      <c r="AL22" s="923">
        <f t="shared" si="21"/>
        <v>0</v>
      </c>
      <c r="AM22" s="914">
        <f t="shared" si="22"/>
        <v>0</v>
      </c>
      <c r="AN22" s="915">
        <f t="shared" si="23"/>
        <v>0</v>
      </c>
      <c r="AO22" s="918">
        <f>($Q22*AL22)/1000</f>
        <v>0</v>
      </c>
      <c r="AP22" s="918">
        <f t="shared" si="25"/>
        <v>0</v>
      </c>
      <c r="AQ22" s="915">
        <f>IF(AO22&gt;0,SQRT(($W22*$W22)+(AN22*AN22)+($V22*$V22)),0)</f>
        <v>0</v>
      </c>
      <c r="AR22" s="916">
        <f>(AP22*AQ22)^2</f>
        <v>0</v>
      </c>
      <c r="AS22" s="919">
        <v>0</v>
      </c>
      <c r="AT22" s="914">
        <v>0</v>
      </c>
      <c r="AU22" s="915">
        <v>0</v>
      </c>
      <c r="AV22" s="918">
        <f t="shared" si="28"/>
        <v>0</v>
      </c>
      <c r="AW22" s="915">
        <f>IF(AV22&gt;0,SQRT(($W22*$W22)+(AU22*AU22)+($V22*$V22)),0)</f>
        <v>0</v>
      </c>
      <c r="AX22" s="916">
        <f>(AV22*AW22)^2</f>
        <v>0</v>
      </c>
      <c r="AY22" s="919">
        <v>0</v>
      </c>
      <c r="AZ22" s="914">
        <v>0</v>
      </c>
      <c r="BA22" s="915">
        <v>0</v>
      </c>
      <c r="BB22" s="918">
        <f>($Q22*AY22)/1000</f>
        <v>0</v>
      </c>
      <c r="BC22" s="918">
        <f t="shared" si="32"/>
        <v>0</v>
      </c>
      <c r="BD22" s="915">
        <f>IF(BB22&gt;0,SQRT(($W22*$W22)+(BA22*BA22)+($V22*$V22)),0)</f>
        <v>0</v>
      </c>
      <c r="BE22" s="916">
        <f>(BC22*BD22)^2</f>
        <v>0</v>
      </c>
      <c r="BF22" s="920">
        <f t="shared" si="35"/>
        <v>0</v>
      </c>
      <c r="BG22" s="921">
        <f t="shared" si="36"/>
        <v>0</v>
      </c>
      <c r="BH22" s="28">
        <f>(BF22*BG22)^2</f>
        <v>0</v>
      </c>
      <c r="BI22" s="64"/>
      <c r="BJ22" s="168"/>
      <c r="BK22" s="168"/>
      <c r="BL22" s="168"/>
      <c r="BM22" s="169"/>
      <c r="BN22" s="169"/>
      <c r="BO22" s="169"/>
      <c r="BP22" s="168"/>
      <c r="BQ22" s="168"/>
      <c r="BR22" s="168"/>
      <c r="BS22" s="168"/>
      <c r="BT22" s="168"/>
      <c r="BU22" s="168"/>
      <c r="BV22" s="168"/>
      <c r="BW22" s="168"/>
      <c r="BX22" s="168"/>
      <c r="BY22" s="168"/>
      <c r="BZ22" s="168"/>
      <c r="CA22" s="168"/>
      <c r="CB22" s="170"/>
      <c r="CC22" s="168"/>
      <c r="CD22" s="168"/>
      <c r="CE22" s="170"/>
      <c r="CF22" s="170"/>
      <c r="CG22" s="170"/>
      <c r="CH22" s="170"/>
      <c r="CI22" s="168"/>
      <c r="CJ22" s="168"/>
      <c r="CK22" s="170"/>
      <c r="CL22" s="170"/>
      <c r="CM22" s="170"/>
      <c r="CN22" s="113"/>
      <c r="CO22" s="36"/>
      <c r="CP22" s="36"/>
      <c r="CQ22" s="36"/>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6"/>
      <c r="EA22" s="36"/>
      <c r="EB22" s="36"/>
      <c r="EC22" s="36"/>
      <c r="ED22" s="36"/>
      <c r="EE22" s="36"/>
      <c r="EF22" s="36"/>
      <c r="EG22" s="36"/>
    </row>
    <row r="23" spans="1:137" s="27" customFormat="1" x14ac:dyDescent="0.25">
      <c r="A23" s="26"/>
      <c r="B23" s="756"/>
      <c r="C23" s="553"/>
      <c r="D23" s="912">
        <f t="shared" si="0"/>
        <v>0</v>
      </c>
      <c r="E23" s="1393"/>
      <c r="F23" s="421"/>
      <c r="G23" s="421"/>
      <c r="H23" s="421"/>
      <c r="I23" s="421"/>
      <c r="J23" s="421"/>
      <c r="K23" s="421"/>
      <c r="L23" s="421"/>
      <c r="M23" s="421"/>
      <c r="N23" s="421"/>
      <c r="O23" s="421"/>
      <c r="P23" s="421"/>
      <c r="Q23" s="422">
        <f t="shared" si="1"/>
        <v>0</v>
      </c>
      <c r="R23" s="423">
        <f t="shared" si="2"/>
        <v>0</v>
      </c>
      <c r="S23" s="422">
        <f t="shared" si="3"/>
        <v>0</v>
      </c>
      <c r="T23" s="422">
        <f t="shared" si="4"/>
        <v>0</v>
      </c>
      <c r="U23" s="422">
        <f t="shared" si="5"/>
        <v>0</v>
      </c>
      <c r="V23" s="424"/>
      <c r="W23" s="425">
        <f t="shared" si="6"/>
        <v>0</v>
      </c>
      <c r="X23" s="913">
        <f t="shared" si="7"/>
        <v>0</v>
      </c>
      <c r="Y23" s="914">
        <f t="shared" si="8"/>
        <v>0</v>
      </c>
      <c r="Z23" s="915">
        <f t="shared" si="9"/>
        <v>0</v>
      </c>
      <c r="AA23" s="916">
        <f t="shared" si="10"/>
        <v>0</v>
      </c>
      <c r="AB23" s="916">
        <f t="shared" si="11"/>
        <v>0</v>
      </c>
      <c r="AC23" s="915">
        <f t="shared" si="12"/>
        <v>0</v>
      </c>
      <c r="AD23" s="916">
        <f t="shared" si="13"/>
        <v>0</v>
      </c>
      <c r="AE23" s="917">
        <f t="shared" si="14"/>
        <v>0</v>
      </c>
      <c r="AF23" s="914">
        <f t="shared" si="15"/>
        <v>0</v>
      </c>
      <c r="AG23" s="915">
        <f t="shared" si="16"/>
        <v>0</v>
      </c>
      <c r="AH23" s="918">
        <f t="shared" si="17"/>
        <v>0</v>
      </c>
      <c r="AI23" s="918">
        <f t="shared" si="18"/>
        <v>0</v>
      </c>
      <c r="AJ23" s="915">
        <f t="shared" si="19"/>
        <v>0</v>
      </c>
      <c r="AK23" s="916">
        <f t="shared" si="20"/>
        <v>0</v>
      </c>
      <c r="AL23" s="917">
        <f t="shared" si="21"/>
        <v>0</v>
      </c>
      <c r="AM23" s="914">
        <f t="shared" si="22"/>
        <v>0</v>
      </c>
      <c r="AN23" s="915">
        <f t="shared" si="23"/>
        <v>0</v>
      </c>
      <c r="AO23" s="918">
        <f t="shared" si="24"/>
        <v>0</v>
      </c>
      <c r="AP23" s="918">
        <f t="shared" si="25"/>
        <v>0</v>
      </c>
      <c r="AQ23" s="915">
        <f t="shared" si="26"/>
        <v>0</v>
      </c>
      <c r="AR23" s="916">
        <f t="shared" si="27"/>
        <v>0</v>
      </c>
      <c r="AS23" s="919">
        <v>0</v>
      </c>
      <c r="AT23" s="914">
        <v>0</v>
      </c>
      <c r="AU23" s="915">
        <v>0</v>
      </c>
      <c r="AV23" s="918">
        <f t="shared" si="28"/>
        <v>0</v>
      </c>
      <c r="AW23" s="915">
        <f t="shared" si="29"/>
        <v>0</v>
      </c>
      <c r="AX23" s="916">
        <f t="shared" si="30"/>
        <v>0</v>
      </c>
      <c r="AY23" s="919">
        <v>0</v>
      </c>
      <c r="AZ23" s="914">
        <v>0</v>
      </c>
      <c r="BA23" s="915">
        <v>0</v>
      </c>
      <c r="BB23" s="918">
        <f t="shared" si="31"/>
        <v>0</v>
      </c>
      <c r="BC23" s="918">
        <f t="shared" si="32"/>
        <v>0</v>
      </c>
      <c r="BD23" s="915">
        <f t="shared" si="33"/>
        <v>0</v>
      </c>
      <c r="BE23" s="916">
        <f t="shared" si="34"/>
        <v>0</v>
      </c>
      <c r="BF23" s="920">
        <f t="shared" si="35"/>
        <v>0</v>
      </c>
      <c r="BG23" s="921">
        <f t="shared" si="36"/>
        <v>0</v>
      </c>
      <c r="BH23" s="28">
        <f t="shared" si="37"/>
        <v>0</v>
      </c>
      <c r="BI23" s="64"/>
      <c r="BJ23" s="168"/>
      <c r="BK23" s="168"/>
      <c r="BL23" s="168"/>
      <c r="BM23" s="169"/>
      <c r="BN23" s="169"/>
      <c r="BO23" s="169"/>
      <c r="BP23" s="168"/>
      <c r="BQ23" s="168"/>
      <c r="BR23" s="168"/>
      <c r="BS23" s="168"/>
      <c r="BT23" s="168"/>
      <c r="BU23" s="168"/>
      <c r="BV23" s="168"/>
      <c r="BW23" s="168"/>
      <c r="BX23" s="168"/>
      <c r="BY23" s="168"/>
      <c r="BZ23" s="168"/>
      <c r="CA23" s="168"/>
      <c r="CB23" s="170"/>
      <c r="CC23" s="168"/>
      <c r="CD23" s="168"/>
      <c r="CE23" s="170"/>
      <c r="CF23" s="170"/>
      <c r="CG23" s="170"/>
      <c r="CH23" s="170"/>
      <c r="CI23" s="168"/>
      <c r="CJ23" s="168"/>
      <c r="CK23" s="170"/>
      <c r="CL23" s="170"/>
      <c r="CM23" s="170"/>
      <c r="CN23" s="113"/>
      <c r="CO23" s="36"/>
      <c r="CP23" s="36"/>
      <c r="CQ23" s="36"/>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6"/>
      <c r="EA23" s="36"/>
      <c r="EB23" s="36"/>
      <c r="EC23" s="36"/>
      <c r="ED23" s="36"/>
      <c r="EE23" s="36"/>
      <c r="EF23" s="36"/>
      <c r="EG23" s="36"/>
    </row>
    <row r="24" spans="1:137" s="27" customFormat="1" x14ac:dyDescent="0.25">
      <c r="A24" s="26"/>
      <c r="B24" s="757"/>
      <c r="C24" s="553"/>
      <c r="D24" s="912">
        <f t="shared" si="0"/>
        <v>0</v>
      </c>
      <c r="E24" s="1393"/>
      <c r="F24" s="421"/>
      <c r="G24" s="421"/>
      <c r="H24" s="421"/>
      <c r="I24" s="421"/>
      <c r="J24" s="421"/>
      <c r="K24" s="421"/>
      <c r="L24" s="421"/>
      <c r="M24" s="421"/>
      <c r="N24" s="421"/>
      <c r="O24" s="421"/>
      <c r="P24" s="421"/>
      <c r="Q24" s="422">
        <f t="shared" si="1"/>
        <v>0</v>
      </c>
      <c r="R24" s="423">
        <f t="shared" si="2"/>
        <v>0</v>
      </c>
      <c r="S24" s="422">
        <f t="shared" si="3"/>
        <v>0</v>
      </c>
      <c r="T24" s="422">
        <f t="shared" si="4"/>
        <v>0</v>
      </c>
      <c r="U24" s="422">
        <f t="shared" si="5"/>
        <v>0</v>
      </c>
      <c r="V24" s="424"/>
      <c r="W24" s="425">
        <f t="shared" si="6"/>
        <v>0</v>
      </c>
      <c r="X24" s="913">
        <f t="shared" si="7"/>
        <v>0</v>
      </c>
      <c r="Y24" s="914">
        <f t="shared" si="8"/>
        <v>0</v>
      </c>
      <c r="Z24" s="915">
        <f t="shared" si="9"/>
        <v>0</v>
      </c>
      <c r="AA24" s="916">
        <f t="shared" si="10"/>
        <v>0</v>
      </c>
      <c r="AB24" s="916">
        <f t="shared" si="11"/>
        <v>0</v>
      </c>
      <c r="AC24" s="915">
        <f t="shared" si="12"/>
        <v>0</v>
      </c>
      <c r="AD24" s="916">
        <f t="shared" si="13"/>
        <v>0</v>
      </c>
      <c r="AE24" s="917">
        <f t="shared" si="14"/>
        <v>0</v>
      </c>
      <c r="AF24" s="914">
        <f t="shared" si="15"/>
        <v>0</v>
      </c>
      <c r="AG24" s="915">
        <f t="shared" si="16"/>
        <v>0</v>
      </c>
      <c r="AH24" s="918">
        <f t="shared" si="17"/>
        <v>0</v>
      </c>
      <c r="AI24" s="918">
        <f t="shared" si="18"/>
        <v>0</v>
      </c>
      <c r="AJ24" s="915">
        <f t="shared" si="19"/>
        <v>0</v>
      </c>
      <c r="AK24" s="916">
        <f t="shared" si="20"/>
        <v>0</v>
      </c>
      <c r="AL24" s="917">
        <f t="shared" si="21"/>
        <v>0</v>
      </c>
      <c r="AM24" s="914">
        <f t="shared" si="22"/>
        <v>0</v>
      </c>
      <c r="AN24" s="915">
        <f t="shared" si="23"/>
        <v>0</v>
      </c>
      <c r="AO24" s="918">
        <f t="shared" si="24"/>
        <v>0</v>
      </c>
      <c r="AP24" s="918">
        <f t="shared" si="25"/>
        <v>0</v>
      </c>
      <c r="AQ24" s="915">
        <f t="shared" si="26"/>
        <v>0</v>
      </c>
      <c r="AR24" s="916">
        <f t="shared" si="27"/>
        <v>0</v>
      </c>
      <c r="AS24" s="919">
        <v>0</v>
      </c>
      <c r="AT24" s="914">
        <v>0</v>
      </c>
      <c r="AU24" s="915">
        <v>0</v>
      </c>
      <c r="AV24" s="918">
        <f t="shared" si="28"/>
        <v>0</v>
      </c>
      <c r="AW24" s="915">
        <f t="shared" si="29"/>
        <v>0</v>
      </c>
      <c r="AX24" s="916">
        <f t="shared" si="30"/>
        <v>0</v>
      </c>
      <c r="AY24" s="919">
        <v>0</v>
      </c>
      <c r="AZ24" s="914">
        <v>0</v>
      </c>
      <c r="BA24" s="915">
        <v>0</v>
      </c>
      <c r="BB24" s="918">
        <f t="shared" si="31"/>
        <v>0</v>
      </c>
      <c r="BC24" s="918">
        <f t="shared" si="32"/>
        <v>0</v>
      </c>
      <c r="BD24" s="915">
        <f t="shared" si="33"/>
        <v>0</v>
      </c>
      <c r="BE24" s="916">
        <f t="shared" si="34"/>
        <v>0</v>
      </c>
      <c r="BF24" s="920">
        <f t="shared" si="35"/>
        <v>0</v>
      </c>
      <c r="BG24" s="921">
        <f t="shared" si="36"/>
        <v>0</v>
      </c>
      <c r="BH24" s="28">
        <f t="shared" si="37"/>
        <v>0</v>
      </c>
      <c r="BI24" s="64"/>
      <c r="BJ24" s="168"/>
      <c r="BK24" s="168"/>
      <c r="BL24" s="168"/>
      <c r="BM24" s="169"/>
      <c r="BN24" s="169"/>
      <c r="BO24" s="169"/>
      <c r="BP24" s="168"/>
      <c r="BQ24" s="168"/>
      <c r="BR24" s="168"/>
      <c r="BS24" s="168"/>
      <c r="BT24" s="168"/>
      <c r="BU24" s="168"/>
      <c r="BV24" s="168"/>
      <c r="BW24" s="168"/>
      <c r="BX24" s="168"/>
      <c r="BY24" s="168"/>
      <c r="BZ24" s="168"/>
      <c r="CA24" s="168"/>
      <c r="CB24" s="170"/>
      <c r="CC24" s="168"/>
      <c r="CD24" s="168"/>
      <c r="CE24" s="170"/>
      <c r="CF24" s="170"/>
      <c r="CG24" s="170"/>
      <c r="CH24" s="170"/>
      <c r="CI24" s="168"/>
      <c r="CJ24" s="168"/>
      <c r="CK24" s="170"/>
      <c r="CL24" s="170"/>
      <c r="CM24" s="170"/>
      <c r="CN24" s="113"/>
      <c r="CO24" s="36"/>
      <c r="CP24" s="36"/>
      <c r="CQ24" s="36"/>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6"/>
      <c r="EA24" s="36"/>
      <c r="EB24" s="36"/>
      <c r="EC24" s="36"/>
      <c r="ED24" s="36"/>
      <c r="EE24" s="36"/>
      <c r="EF24" s="36"/>
      <c r="EG24" s="36"/>
    </row>
    <row r="25" spans="1:137" s="27" customFormat="1" x14ac:dyDescent="0.25">
      <c r="A25" s="26"/>
      <c r="B25" s="755" t="s">
        <v>398</v>
      </c>
      <c r="C25" s="553"/>
      <c r="D25" s="912">
        <f t="shared" si="0"/>
        <v>0</v>
      </c>
      <c r="E25" s="143"/>
      <c r="F25" s="143"/>
      <c r="G25" s="143"/>
      <c r="H25" s="144"/>
      <c r="I25" s="144"/>
      <c r="J25" s="144"/>
      <c r="K25" s="144"/>
      <c r="L25" s="421"/>
      <c r="M25" s="421"/>
      <c r="N25" s="421"/>
      <c r="O25" s="421"/>
      <c r="P25" s="421"/>
      <c r="Q25" s="422">
        <f t="shared" si="1"/>
        <v>0</v>
      </c>
      <c r="R25" s="423">
        <f t="shared" si="2"/>
        <v>0</v>
      </c>
      <c r="S25" s="422">
        <f t="shared" si="3"/>
        <v>0</v>
      </c>
      <c r="T25" s="422">
        <f t="shared" si="4"/>
        <v>0</v>
      </c>
      <c r="U25" s="422">
        <f t="shared" si="5"/>
        <v>0</v>
      </c>
      <c r="V25" s="424"/>
      <c r="W25" s="425">
        <f t="shared" si="6"/>
        <v>0</v>
      </c>
      <c r="X25" s="913">
        <f t="shared" si="7"/>
        <v>0</v>
      </c>
      <c r="Y25" s="914">
        <f t="shared" si="8"/>
        <v>0</v>
      </c>
      <c r="Z25" s="915">
        <f t="shared" si="9"/>
        <v>0</v>
      </c>
      <c r="AA25" s="916">
        <f t="shared" si="10"/>
        <v>0</v>
      </c>
      <c r="AB25" s="922">
        <f t="shared" si="11"/>
        <v>0</v>
      </c>
      <c r="AC25" s="915">
        <f t="shared" si="12"/>
        <v>0</v>
      </c>
      <c r="AD25" s="916">
        <f t="shared" si="13"/>
        <v>0</v>
      </c>
      <c r="AE25" s="923">
        <f t="shared" si="14"/>
        <v>0</v>
      </c>
      <c r="AF25" s="914">
        <f t="shared" si="15"/>
        <v>0</v>
      </c>
      <c r="AG25" s="915">
        <f t="shared" si="16"/>
        <v>0</v>
      </c>
      <c r="AH25" s="926">
        <f t="shared" si="17"/>
        <v>0</v>
      </c>
      <c r="AI25" s="918">
        <f t="shared" si="18"/>
        <v>0</v>
      </c>
      <c r="AJ25" s="915">
        <f t="shared" si="19"/>
        <v>0</v>
      </c>
      <c r="AK25" s="916">
        <f t="shared" si="20"/>
        <v>0</v>
      </c>
      <c r="AL25" s="917">
        <f t="shared" si="21"/>
        <v>0</v>
      </c>
      <c r="AM25" s="914">
        <f t="shared" si="22"/>
        <v>0</v>
      </c>
      <c r="AN25" s="915">
        <f t="shared" si="23"/>
        <v>0</v>
      </c>
      <c r="AO25" s="918">
        <f t="shared" si="24"/>
        <v>0</v>
      </c>
      <c r="AP25" s="918">
        <f t="shared" si="25"/>
        <v>0</v>
      </c>
      <c r="AQ25" s="915">
        <f t="shared" si="26"/>
        <v>0</v>
      </c>
      <c r="AR25" s="916">
        <f t="shared" si="27"/>
        <v>0</v>
      </c>
      <c r="AS25" s="919">
        <v>0</v>
      </c>
      <c r="AT25" s="914">
        <v>0</v>
      </c>
      <c r="AU25" s="915">
        <v>0</v>
      </c>
      <c r="AV25" s="918">
        <f t="shared" si="28"/>
        <v>0</v>
      </c>
      <c r="AW25" s="915">
        <f t="shared" si="29"/>
        <v>0</v>
      </c>
      <c r="AX25" s="916">
        <f t="shared" si="30"/>
        <v>0</v>
      </c>
      <c r="AY25" s="919">
        <v>0</v>
      </c>
      <c r="AZ25" s="914">
        <v>0</v>
      </c>
      <c r="BA25" s="915">
        <v>0</v>
      </c>
      <c r="BB25" s="918">
        <f t="shared" si="31"/>
        <v>0</v>
      </c>
      <c r="BC25" s="918">
        <f t="shared" si="32"/>
        <v>0</v>
      </c>
      <c r="BD25" s="915">
        <f t="shared" si="33"/>
        <v>0</v>
      </c>
      <c r="BE25" s="916">
        <f t="shared" si="34"/>
        <v>0</v>
      </c>
      <c r="BF25" s="920">
        <f t="shared" si="35"/>
        <v>0</v>
      </c>
      <c r="BG25" s="921">
        <f t="shared" si="36"/>
        <v>0</v>
      </c>
      <c r="BH25" s="28">
        <f t="shared" si="37"/>
        <v>0</v>
      </c>
      <c r="BI25" s="64"/>
      <c r="BJ25" s="168"/>
      <c r="BK25" s="168"/>
      <c r="BL25" s="168"/>
      <c r="BM25" s="169"/>
      <c r="BN25" s="169"/>
      <c r="BO25" s="169"/>
      <c r="BP25" s="168"/>
      <c r="BQ25" s="168"/>
      <c r="BR25" s="168"/>
      <c r="BS25" s="168"/>
      <c r="BT25" s="168"/>
      <c r="BU25" s="168"/>
      <c r="BV25" s="168"/>
      <c r="BW25" s="168"/>
      <c r="BX25" s="168"/>
      <c r="BY25" s="168"/>
      <c r="BZ25" s="168"/>
      <c r="CA25" s="168"/>
      <c r="CB25" s="170"/>
      <c r="CC25" s="168"/>
      <c r="CD25" s="168"/>
      <c r="CE25" s="170"/>
      <c r="CF25" s="170"/>
      <c r="CG25" s="170"/>
      <c r="CH25" s="170"/>
      <c r="CI25" s="168"/>
      <c r="CJ25" s="168"/>
      <c r="CK25" s="170"/>
      <c r="CL25" s="170"/>
      <c r="CM25" s="170"/>
      <c r="CN25" s="113"/>
      <c r="CO25" s="36"/>
      <c r="CP25" s="36"/>
      <c r="CQ25" s="36"/>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6"/>
      <c r="EA25" s="36"/>
      <c r="EB25" s="36"/>
      <c r="EC25" s="36"/>
      <c r="ED25" s="36"/>
      <c r="EE25" s="36"/>
      <c r="EF25" s="36"/>
      <c r="EG25" s="36"/>
    </row>
    <row r="26" spans="1:137" s="27" customFormat="1" x14ac:dyDescent="0.25">
      <c r="A26" s="26"/>
      <c r="B26" s="756" t="s">
        <v>396</v>
      </c>
      <c r="C26" s="553"/>
      <c r="D26" s="912">
        <f t="shared" si="0"/>
        <v>0</v>
      </c>
      <c r="E26" s="1395"/>
      <c r="F26" s="153"/>
      <c r="G26" s="153"/>
      <c r="H26" s="154"/>
      <c r="I26" s="154"/>
      <c r="J26" s="154"/>
      <c r="K26" s="154"/>
      <c r="L26" s="153"/>
      <c r="M26" s="155"/>
      <c r="N26" s="156"/>
      <c r="O26" s="156"/>
      <c r="P26" s="156"/>
      <c r="Q26" s="422">
        <f t="shared" si="1"/>
        <v>0</v>
      </c>
      <c r="R26" s="423">
        <f t="shared" si="2"/>
        <v>0</v>
      </c>
      <c r="S26" s="422">
        <f t="shared" si="3"/>
        <v>0</v>
      </c>
      <c r="T26" s="422">
        <f t="shared" si="4"/>
        <v>0</v>
      </c>
      <c r="U26" s="422">
        <f t="shared" si="5"/>
        <v>0</v>
      </c>
      <c r="V26" s="424"/>
      <c r="W26" s="425">
        <f t="shared" si="6"/>
        <v>0</v>
      </c>
      <c r="X26" s="913">
        <f t="shared" si="7"/>
        <v>0</v>
      </c>
      <c r="Y26" s="914">
        <f t="shared" si="8"/>
        <v>0</v>
      </c>
      <c r="Z26" s="915">
        <f t="shared" si="9"/>
        <v>0</v>
      </c>
      <c r="AA26" s="916">
        <f t="shared" si="10"/>
        <v>0</v>
      </c>
      <c r="AB26" s="922">
        <f t="shared" si="11"/>
        <v>0</v>
      </c>
      <c r="AC26" s="915">
        <f t="shared" si="12"/>
        <v>0</v>
      </c>
      <c r="AD26" s="916">
        <f t="shared" si="13"/>
        <v>0</v>
      </c>
      <c r="AE26" s="917">
        <f t="shared" si="14"/>
        <v>0</v>
      </c>
      <c r="AF26" s="914">
        <f t="shared" si="15"/>
        <v>0</v>
      </c>
      <c r="AG26" s="915">
        <f t="shared" si="16"/>
        <v>0</v>
      </c>
      <c r="AH26" s="918">
        <f t="shared" si="17"/>
        <v>0</v>
      </c>
      <c r="AI26" s="918">
        <f t="shared" si="18"/>
        <v>0</v>
      </c>
      <c r="AJ26" s="915">
        <f t="shared" si="19"/>
        <v>0</v>
      </c>
      <c r="AK26" s="916">
        <f t="shared" si="20"/>
        <v>0</v>
      </c>
      <c r="AL26" s="925">
        <f t="shared" si="21"/>
        <v>0</v>
      </c>
      <c r="AM26" s="914">
        <f t="shared" si="22"/>
        <v>0</v>
      </c>
      <c r="AN26" s="915">
        <f t="shared" si="23"/>
        <v>0</v>
      </c>
      <c r="AO26" s="918">
        <f t="shared" si="24"/>
        <v>0</v>
      </c>
      <c r="AP26" s="918">
        <f t="shared" si="25"/>
        <v>0</v>
      </c>
      <c r="AQ26" s="915">
        <f t="shared" si="26"/>
        <v>0</v>
      </c>
      <c r="AR26" s="916">
        <f t="shared" si="27"/>
        <v>0</v>
      </c>
      <c r="AS26" s="919">
        <v>0</v>
      </c>
      <c r="AT26" s="914">
        <v>0</v>
      </c>
      <c r="AU26" s="915">
        <v>0</v>
      </c>
      <c r="AV26" s="918">
        <f t="shared" si="28"/>
        <v>0</v>
      </c>
      <c r="AW26" s="915">
        <f t="shared" si="29"/>
        <v>0</v>
      </c>
      <c r="AX26" s="916">
        <f t="shared" si="30"/>
        <v>0</v>
      </c>
      <c r="AY26" s="919">
        <v>0</v>
      </c>
      <c r="AZ26" s="914">
        <v>0</v>
      </c>
      <c r="BA26" s="915">
        <v>0</v>
      </c>
      <c r="BB26" s="918">
        <f t="shared" si="31"/>
        <v>0</v>
      </c>
      <c r="BC26" s="918">
        <f t="shared" si="32"/>
        <v>0</v>
      </c>
      <c r="BD26" s="915">
        <f t="shared" si="33"/>
        <v>0</v>
      </c>
      <c r="BE26" s="916">
        <f t="shared" si="34"/>
        <v>0</v>
      </c>
      <c r="BF26" s="920">
        <f t="shared" si="35"/>
        <v>0</v>
      </c>
      <c r="BG26" s="921">
        <f t="shared" si="36"/>
        <v>0</v>
      </c>
      <c r="BH26" s="28">
        <f t="shared" si="37"/>
        <v>0</v>
      </c>
      <c r="BI26" s="64"/>
      <c r="BJ26" s="168"/>
      <c r="BK26" s="168"/>
      <c r="BL26" s="168"/>
      <c r="BM26" s="169"/>
      <c r="BN26" s="169"/>
      <c r="BO26" s="169"/>
      <c r="BP26" s="168"/>
      <c r="BQ26" s="168"/>
      <c r="BR26" s="168"/>
      <c r="BS26" s="168"/>
      <c r="BT26" s="168"/>
      <c r="BU26" s="168"/>
      <c r="BV26" s="168"/>
      <c r="BW26" s="168"/>
      <c r="BX26" s="168"/>
      <c r="BY26" s="168"/>
      <c r="BZ26" s="168"/>
      <c r="CA26" s="168"/>
      <c r="CB26" s="170"/>
      <c r="CC26" s="168"/>
      <c r="CD26" s="168"/>
      <c r="CE26" s="170"/>
      <c r="CF26" s="170"/>
      <c r="CG26" s="170"/>
      <c r="CH26" s="170"/>
      <c r="CI26" s="168"/>
      <c r="CJ26" s="168"/>
      <c r="CK26" s="170"/>
      <c r="CL26" s="170"/>
      <c r="CM26" s="170"/>
      <c r="CN26" s="113"/>
      <c r="CO26" s="36"/>
      <c r="CP26" s="36"/>
      <c r="CQ26" s="36"/>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6"/>
      <c r="EA26" s="36"/>
      <c r="EB26" s="36"/>
      <c r="EC26" s="36"/>
      <c r="ED26" s="36"/>
      <c r="EE26" s="36"/>
      <c r="EF26" s="36"/>
      <c r="EG26" s="36"/>
    </row>
    <row r="27" spans="1:137" s="27" customFormat="1" x14ac:dyDescent="0.25">
      <c r="A27" s="26"/>
      <c r="B27" s="757"/>
      <c r="C27" s="553"/>
      <c r="D27" s="912">
        <f t="shared" si="0"/>
        <v>0</v>
      </c>
      <c r="E27" s="1393"/>
      <c r="F27" s="421"/>
      <c r="G27" s="421"/>
      <c r="H27" s="421"/>
      <c r="I27" s="421"/>
      <c r="J27" s="421"/>
      <c r="K27" s="421"/>
      <c r="L27" s="421"/>
      <c r="M27" s="421"/>
      <c r="N27" s="421"/>
      <c r="O27" s="421"/>
      <c r="P27" s="421"/>
      <c r="Q27" s="422">
        <f t="shared" si="1"/>
        <v>0</v>
      </c>
      <c r="R27" s="423">
        <f t="shared" si="2"/>
        <v>0</v>
      </c>
      <c r="S27" s="422">
        <f t="shared" si="3"/>
        <v>0</v>
      </c>
      <c r="T27" s="422">
        <f t="shared" si="4"/>
        <v>0</v>
      </c>
      <c r="U27" s="422">
        <f t="shared" si="5"/>
        <v>0</v>
      </c>
      <c r="V27" s="424"/>
      <c r="W27" s="425">
        <f t="shared" si="6"/>
        <v>0</v>
      </c>
      <c r="X27" s="913">
        <f t="shared" si="7"/>
        <v>0</v>
      </c>
      <c r="Y27" s="914">
        <f t="shared" si="8"/>
        <v>0</v>
      </c>
      <c r="Z27" s="915">
        <f t="shared" si="9"/>
        <v>0</v>
      </c>
      <c r="AA27" s="916">
        <f t="shared" si="10"/>
        <v>0</v>
      </c>
      <c r="AB27" s="916">
        <f t="shared" si="11"/>
        <v>0</v>
      </c>
      <c r="AC27" s="915">
        <f t="shared" si="12"/>
        <v>0</v>
      </c>
      <c r="AD27" s="916">
        <f t="shared" si="13"/>
        <v>0</v>
      </c>
      <c r="AE27" s="917">
        <f t="shared" si="14"/>
        <v>0</v>
      </c>
      <c r="AF27" s="914">
        <f t="shared" si="15"/>
        <v>0</v>
      </c>
      <c r="AG27" s="915">
        <f t="shared" si="16"/>
        <v>0</v>
      </c>
      <c r="AH27" s="918">
        <f t="shared" si="17"/>
        <v>0</v>
      </c>
      <c r="AI27" s="918">
        <f t="shared" si="18"/>
        <v>0</v>
      </c>
      <c r="AJ27" s="915">
        <f t="shared" si="19"/>
        <v>0</v>
      </c>
      <c r="AK27" s="916">
        <f t="shared" si="20"/>
        <v>0</v>
      </c>
      <c r="AL27" s="917">
        <f t="shared" si="21"/>
        <v>0</v>
      </c>
      <c r="AM27" s="914">
        <f t="shared" si="22"/>
        <v>0</v>
      </c>
      <c r="AN27" s="915">
        <f t="shared" si="23"/>
        <v>0</v>
      </c>
      <c r="AO27" s="918">
        <f t="shared" si="24"/>
        <v>0</v>
      </c>
      <c r="AP27" s="918">
        <f t="shared" si="25"/>
        <v>0</v>
      </c>
      <c r="AQ27" s="915">
        <f t="shared" si="26"/>
        <v>0</v>
      </c>
      <c r="AR27" s="916">
        <f t="shared" si="27"/>
        <v>0</v>
      </c>
      <c r="AS27" s="919">
        <v>0</v>
      </c>
      <c r="AT27" s="914">
        <v>0</v>
      </c>
      <c r="AU27" s="915">
        <v>0</v>
      </c>
      <c r="AV27" s="918">
        <f t="shared" si="28"/>
        <v>0</v>
      </c>
      <c r="AW27" s="915">
        <f t="shared" si="29"/>
        <v>0</v>
      </c>
      <c r="AX27" s="916">
        <f t="shared" si="30"/>
        <v>0</v>
      </c>
      <c r="AY27" s="919">
        <v>0</v>
      </c>
      <c r="AZ27" s="914">
        <v>0</v>
      </c>
      <c r="BA27" s="915">
        <v>0</v>
      </c>
      <c r="BB27" s="918">
        <f t="shared" si="31"/>
        <v>0</v>
      </c>
      <c r="BC27" s="918">
        <f t="shared" si="32"/>
        <v>0</v>
      </c>
      <c r="BD27" s="915">
        <f t="shared" si="33"/>
        <v>0</v>
      </c>
      <c r="BE27" s="916">
        <f t="shared" si="34"/>
        <v>0</v>
      </c>
      <c r="BF27" s="920">
        <f t="shared" si="35"/>
        <v>0</v>
      </c>
      <c r="BG27" s="921">
        <f t="shared" si="36"/>
        <v>0</v>
      </c>
      <c r="BH27" s="28">
        <f t="shared" si="37"/>
        <v>0</v>
      </c>
      <c r="BI27" s="64"/>
      <c r="BJ27" s="168"/>
      <c r="BK27" s="168"/>
      <c r="BL27" s="168"/>
      <c r="BM27" s="169"/>
      <c r="BN27" s="169"/>
      <c r="BO27" s="169"/>
      <c r="BP27" s="168"/>
      <c r="BQ27" s="168"/>
      <c r="BR27" s="168"/>
      <c r="BS27" s="168"/>
      <c r="BT27" s="168"/>
      <c r="BU27" s="168"/>
      <c r="BV27" s="168"/>
      <c r="BW27" s="168"/>
      <c r="BX27" s="168"/>
      <c r="BY27" s="168"/>
      <c r="BZ27" s="168"/>
      <c r="CA27" s="168"/>
      <c r="CB27" s="170"/>
      <c r="CC27" s="168"/>
      <c r="CD27" s="168"/>
      <c r="CE27" s="170"/>
      <c r="CF27" s="170"/>
      <c r="CG27" s="170"/>
      <c r="CH27" s="170"/>
      <c r="CI27" s="168"/>
      <c r="CJ27" s="168"/>
      <c r="CK27" s="170"/>
      <c r="CL27" s="170"/>
      <c r="CM27" s="170"/>
      <c r="CN27" s="113"/>
      <c r="CO27" s="36"/>
      <c r="CP27" s="36"/>
      <c r="CQ27" s="36"/>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6"/>
      <c r="EA27" s="36"/>
      <c r="EB27" s="36"/>
      <c r="EC27" s="36"/>
      <c r="ED27" s="36"/>
      <c r="EE27" s="36"/>
      <c r="EF27" s="36"/>
      <c r="EG27" s="36"/>
    </row>
    <row r="28" spans="1:137" s="27" customFormat="1" x14ac:dyDescent="0.25">
      <c r="A28" s="26"/>
      <c r="B28" s="901" t="s">
        <v>46</v>
      </c>
      <c r="C28" s="902"/>
      <c r="D28" s="902"/>
      <c r="E28" s="902"/>
      <c r="F28" s="902"/>
      <c r="G28" s="902"/>
      <c r="H28" s="902"/>
      <c r="I28" s="902"/>
      <c r="J28" s="902"/>
      <c r="K28" s="902"/>
      <c r="L28" s="902"/>
      <c r="M28" s="902"/>
      <c r="N28" s="902"/>
      <c r="O28" s="902"/>
      <c r="P28" s="902"/>
      <c r="Q28" s="902"/>
      <c r="R28" s="902"/>
      <c r="S28" s="902"/>
      <c r="T28" s="902"/>
      <c r="U28" s="902"/>
      <c r="V28" s="902"/>
      <c r="W28" s="902"/>
      <c r="X28" s="902"/>
      <c r="Y28" s="902"/>
      <c r="Z28" s="902"/>
      <c r="AA28" s="903"/>
      <c r="AB28" s="904">
        <f>SUM(AB17:AB27)</f>
        <v>0</v>
      </c>
      <c r="AC28" s="905">
        <f>IF(AB28&gt;0,SQRT(SUM(AD17:AD27))/AB28,0)</f>
        <v>0</v>
      </c>
      <c r="AD28" s="906"/>
      <c r="AE28" s="907"/>
      <c r="AF28" s="902"/>
      <c r="AG28" s="902"/>
      <c r="AH28" s="908"/>
      <c r="AI28" s="904">
        <f>SUM(AI17:AI27)</f>
        <v>0</v>
      </c>
      <c r="AJ28" s="905">
        <f>IF(AI28&gt;0,SQRT(SUM(AK17:AK27))/AI28,0)</f>
        <v>0</v>
      </c>
      <c r="AK28" s="906"/>
      <c r="AL28" s="902"/>
      <c r="AM28" s="902"/>
      <c r="AN28" s="902"/>
      <c r="AO28" s="902"/>
      <c r="AP28" s="904">
        <f>SUM(AP17:AP27)</f>
        <v>0</v>
      </c>
      <c r="AQ28" s="905">
        <f>IF(AP28&gt;0,SQRT(SUM(AR17:AR27))/AP28,0)</f>
        <v>0</v>
      </c>
      <c r="AR28" s="906"/>
      <c r="AS28" s="902"/>
      <c r="AT28" s="902"/>
      <c r="AU28" s="902"/>
      <c r="AV28" s="904">
        <f>SUM(AV17:AV27)</f>
        <v>0</v>
      </c>
      <c r="AW28" s="905">
        <f>IF(AV28&gt;0,SQRT(SUM(AX17:AX27))/AV28,0)</f>
        <v>0</v>
      </c>
      <c r="AX28" s="906"/>
      <c r="AY28" s="902"/>
      <c r="AZ28" s="902"/>
      <c r="BA28" s="909"/>
      <c r="BB28" s="906"/>
      <c r="BC28" s="904">
        <f>SUM(BC17:BC27)</f>
        <v>0</v>
      </c>
      <c r="BD28" s="905">
        <f>IF(BC28&gt;0,SQRT(SUM(BE17:BE27))/BC28,0)</f>
        <v>0</v>
      </c>
      <c r="BE28" s="906"/>
      <c r="BF28" s="904">
        <f>SUM(BF17:BF27)</f>
        <v>0</v>
      </c>
      <c r="BG28" s="910">
        <f>IF(BF28&gt;0,SQRT(SUM(BH17:BH27))/BF28,0)</f>
        <v>0</v>
      </c>
      <c r="BH28" s="28">
        <f t="shared" si="37"/>
        <v>0</v>
      </c>
      <c r="BI28" s="64"/>
      <c r="BJ28" s="168"/>
      <c r="BK28" s="168"/>
      <c r="BL28" s="168"/>
      <c r="BM28" s="169"/>
      <c r="BN28" s="169"/>
      <c r="BO28" s="169"/>
      <c r="BP28" s="168"/>
      <c r="BQ28" s="168"/>
      <c r="BR28" s="168"/>
      <c r="BS28" s="168"/>
      <c r="BT28" s="168"/>
      <c r="BU28" s="168"/>
      <c r="BV28" s="168"/>
      <c r="BW28" s="168"/>
      <c r="BX28" s="168"/>
      <c r="BY28" s="168"/>
      <c r="BZ28" s="168"/>
      <c r="CA28" s="168"/>
      <c r="CB28" s="170"/>
      <c r="CC28" s="168"/>
      <c r="CD28" s="168"/>
      <c r="CE28" s="170"/>
      <c r="CF28" s="170"/>
      <c r="CG28" s="170"/>
      <c r="CH28" s="170"/>
      <c r="CI28" s="168"/>
      <c r="CJ28" s="168"/>
      <c r="CK28" s="170"/>
      <c r="CL28" s="170"/>
      <c r="CM28" s="170"/>
      <c r="CN28" s="113"/>
      <c r="CO28" s="36"/>
      <c r="CP28" s="36"/>
      <c r="CQ28" s="36"/>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6"/>
      <c r="EA28" s="36"/>
      <c r="EB28" s="36"/>
      <c r="EC28" s="36"/>
      <c r="ED28" s="36"/>
      <c r="EE28" s="36"/>
      <c r="EF28" s="36"/>
      <c r="EG28" s="36"/>
    </row>
    <row r="29" spans="1:137" s="27" customFormat="1" ht="15" customHeight="1" x14ac:dyDescent="0.25">
      <c r="A29" s="26"/>
      <c r="B29" s="755" t="s">
        <v>399</v>
      </c>
      <c r="C29" s="553"/>
      <c r="D29" s="912">
        <f t="shared" ref="D29:D38" si="38">VLOOKUP($C29,$BI$106:$CM$491,2,FALSE)</f>
        <v>0</v>
      </c>
      <c r="E29" s="144"/>
      <c r="F29" s="145"/>
      <c r="G29" s="145"/>
      <c r="H29" s="145"/>
      <c r="I29" s="145"/>
      <c r="J29" s="145"/>
      <c r="K29" s="421"/>
      <c r="L29" s="421"/>
      <c r="M29" s="421"/>
      <c r="N29" s="421"/>
      <c r="O29" s="421"/>
      <c r="P29" s="421"/>
      <c r="Q29" s="422">
        <f t="shared" ref="Q29:Q38" si="39">SUM(E29:P29)</f>
        <v>0</v>
      </c>
      <c r="R29" s="423">
        <f t="shared" ref="R29:R38" si="40">COUNT(E29:P29)</f>
        <v>0</v>
      </c>
      <c r="S29" s="422">
        <f t="shared" ref="S29:S38" si="41">IF(R29&gt;1,AVERAGE(E29:P29),0)</f>
        <v>0</v>
      </c>
      <c r="T29" s="422">
        <f t="shared" ref="T29:T38" si="42">IF(R29&gt;1,STDEV(E29:P29),0)</f>
        <v>0</v>
      </c>
      <c r="U29" s="422">
        <f t="shared" ref="U29:U38" si="43">IF(R29&gt;1,VLOOKUP($R29,$BI$443:$BJ$455,2,FALSE),0)</f>
        <v>0</v>
      </c>
      <c r="V29" s="424"/>
      <c r="W29" s="425">
        <f t="shared" ref="W29:W38" si="44">IF(R29&gt;1,1-((S29-((T29*U29)/(SQRT(R29))))/S29),VLOOKUP($C29,$BI$106:$CS$491,34,FALSE))</f>
        <v>0</v>
      </c>
      <c r="X29" s="913">
        <v>0</v>
      </c>
      <c r="Y29" s="914">
        <v>0</v>
      </c>
      <c r="Z29" s="915">
        <v>0</v>
      </c>
      <c r="AA29" s="916">
        <f t="shared" ref="AA29:AA38" si="45">($Q29*X29)/1000</f>
        <v>0</v>
      </c>
      <c r="AB29" s="916">
        <f t="shared" ref="AB29:AB38" si="46">AA29*$BJ$461</f>
        <v>0</v>
      </c>
      <c r="AC29" s="915">
        <f t="shared" ref="AC29:AC38" si="47">IF(AA29&gt;0,SQRT(($W29*$W29)+(Z29*Z29)+($V29*$V29)),0)</f>
        <v>0</v>
      </c>
      <c r="AD29" s="916">
        <f t="shared" ref="AD29:AD38" si="48">(AB29*AC29)^2</f>
        <v>0</v>
      </c>
      <c r="AE29" s="917">
        <v>0</v>
      </c>
      <c r="AF29" s="914">
        <v>0</v>
      </c>
      <c r="AG29" s="915">
        <v>0</v>
      </c>
      <c r="AH29" s="918">
        <f t="shared" ref="AH29:AH38" si="49">($Q29*AE29)/1000</f>
        <v>0</v>
      </c>
      <c r="AI29" s="918">
        <f t="shared" ref="AI29:AI38" si="50">AH29*$BJ$462</f>
        <v>0</v>
      </c>
      <c r="AJ29" s="915">
        <f t="shared" ref="AJ29:AJ38" si="51">IF(AH29&gt;0,SQRT(($W29*$W29)+(AG29*AG29)+($V29*$V29)),0)</f>
        <v>0</v>
      </c>
      <c r="AK29" s="916">
        <f t="shared" ref="AK29:AK38" si="52">(AI29*AJ29)^2</f>
        <v>0</v>
      </c>
      <c r="AL29" s="917">
        <v>0</v>
      </c>
      <c r="AM29" s="914">
        <f>VLOOKUP($C29,$BI$106:$CM$491,28,FALSE)</f>
        <v>0</v>
      </c>
      <c r="AN29" s="915">
        <v>0</v>
      </c>
      <c r="AO29" s="918">
        <f t="shared" ref="AO29:AO34" si="53">(W29*AL29)/1000</f>
        <v>0</v>
      </c>
      <c r="AP29" s="918">
        <f t="shared" ref="AP29:AP38" si="54">AO29*$BJ$463</f>
        <v>0</v>
      </c>
      <c r="AQ29" s="915">
        <f t="shared" ref="AQ29:AQ38" si="55">IF(AO29&gt;0,SQRT(($W29*$W29)+(AN29*AN29)+($V29*$V29)),0)</f>
        <v>0</v>
      </c>
      <c r="AR29" s="916">
        <f t="shared" ref="AR29:AR38" si="56">(AP29*AQ29)^2</f>
        <v>0</v>
      </c>
      <c r="AS29" s="919">
        <f t="shared" ref="AS29:AS34" si="57">VLOOKUP($C29,$BI$106:$CM$491,3,FALSE)</f>
        <v>0</v>
      </c>
      <c r="AT29" s="914">
        <f t="shared" ref="AT29:AT34" si="58">VLOOKUP($C29,$BI$106:$CM$491,4,FALSE)</f>
        <v>0</v>
      </c>
      <c r="AU29" s="915">
        <f t="shared" ref="AU29:AU34" si="59">IF($Q29&gt;0,VLOOKUP($C29,$BI$106:$CM$491,6,FALSE),0)</f>
        <v>0</v>
      </c>
      <c r="AV29" s="918">
        <f t="shared" ref="AV29:AV38" si="60">($Q29*AS29)/1000</f>
        <v>0</v>
      </c>
      <c r="AW29" s="915">
        <f t="shared" ref="AW29:AW38" si="61">IF(AV29&gt;0,SQRT(($W29*$W29)+(AU29*AU29)+($V29*$V29)),0)</f>
        <v>0</v>
      </c>
      <c r="AX29" s="916">
        <f>(AV29*AW29)^2</f>
        <v>0</v>
      </c>
      <c r="AY29" s="919">
        <v>0</v>
      </c>
      <c r="AZ29" s="914">
        <v>0</v>
      </c>
      <c r="BA29" s="915">
        <v>0</v>
      </c>
      <c r="BB29" s="918">
        <f>($Q29*AY29)/1000</f>
        <v>0</v>
      </c>
      <c r="BC29" s="918">
        <f t="shared" ref="BC29:BC38" si="62">BB29*$BJ$464</f>
        <v>0</v>
      </c>
      <c r="BD29" s="915">
        <v>0</v>
      </c>
      <c r="BE29" s="916">
        <f t="shared" ref="BE29:BE38" si="63">(BC29*BD29)^2</f>
        <v>0</v>
      </c>
      <c r="BF29" s="920">
        <f t="shared" ref="BF29:BF38" si="64">AB29+AI29+AP29+AV29+BC29</f>
        <v>0</v>
      </c>
      <c r="BG29" s="921">
        <f t="shared" ref="BG29:BG38" si="65">IF(BF29&gt;0,SQRT(AD29+AK29+AR29+AX29+BE29)/BF29,0)</f>
        <v>0</v>
      </c>
      <c r="BH29" s="28">
        <f t="shared" si="37"/>
        <v>0</v>
      </c>
      <c r="BI29" s="64"/>
      <c r="BJ29" s="168"/>
      <c r="BK29" s="168"/>
      <c r="BL29" s="168"/>
      <c r="BM29" s="169"/>
      <c r="BN29" s="169"/>
      <c r="BO29" s="169"/>
      <c r="BP29" s="168"/>
      <c r="BQ29" s="168"/>
      <c r="BR29" s="168"/>
      <c r="BS29" s="168"/>
      <c r="BT29" s="168"/>
      <c r="BU29" s="168"/>
      <c r="BV29" s="168"/>
      <c r="BW29" s="168"/>
      <c r="BX29" s="168"/>
      <c r="BY29" s="168"/>
      <c r="BZ29" s="168"/>
      <c r="CA29" s="168"/>
      <c r="CB29" s="170"/>
      <c r="CC29" s="168"/>
      <c r="CD29" s="168"/>
      <c r="CE29" s="170"/>
      <c r="CF29" s="170"/>
      <c r="CG29" s="170"/>
      <c r="CH29" s="170"/>
      <c r="CI29" s="168"/>
      <c r="CJ29" s="168"/>
      <c r="CK29" s="170"/>
      <c r="CL29" s="170"/>
      <c r="CM29" s="170"/>
      <c r="CN29" s="113"/>
      <c r="CO29" s="36"/>
      <c r="CP29" s="36"/>
      <c r="CQ29" s="36"/>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6"/>
      <c r="EA29" s="36"/>
      <c r="EB29" s="36"/>
      <c r="EC29" s="36"/>
      <c r="ED29" s="36"/>
      <c r="EE29" s="36"/>
      <c r="EF29" s="36"/>
      <c r="EG29" s="36"/>
    </row>
    <row r="30" spans="1:137" s="27" customFormat="1" x14ac:dyDescent="0.25">
      <c r="A30" s="26"/>
      <c r="B30" s="756" t="s">
        <v>400</v>
      </c>
      <c r="C30" s="553"/>
      <c r="D30" s="912">
        <f t="shared" si="38"/>
        <v>0</v>
      </c>
      <c r="E30" s="144"/>
      <c r="F30" s="421"/>
      <c r="G30" s="421"/>
      <c r="H30" s="421"/>
      <c r="I30" s="421"/>
      <c r="J30" s="421"/>
      <c r="K30" s="421"/>
      <c r="L30" s="421"/>
      <c r="M30" s="421"/>
      <c r="N30" s="421"/>
      <c r="O30" s="421"/>
      <c r="P30" s="421"/>
      <c r="Q30" s="422">
        <f>SUM(E30:P30)</f>
        <v>0</v>
      </c>
      <c r="R30" s="423">
        <f>COUNT(E30:P30)</f>
        <v>0</v>
      </c>
      <c r="S30" s="422">
        <f>IF(R30&gt;1,AVERAGE(E30:P30),0)</f>
        <v>0</v>
      </c>
      <c r="T30" s="422">
        <f>IF(R30&gt;1,STDEV(E30:P30),0)</f>
        <v>0</v>
      </c>
      <c r="U30" s="422">
        <f t="shared" si="43"/>
        <v>0</v>
      </c>
      <c r="V30" s="424"/>
      <c r="W30" s="425">
        <f t="shared" si="44"/>
        <v>0</v>
      </c>
      <c r="X30" s="913">
        <v>0</v>
      </c>
      <c r="Y30" s="914">
        <v>0</v>
      </c>
      <c r="Z30" s="915">
        <v>0</v>
      </c>
      <c r="AA30" s="916">
        <f>($Q30*X30)/1000</f>
        <v>0</v>
      </c>
      <c r="AB30" s="916">
        <f t="shared" si="46"/>
        <v>0</v>
      </c>
      <c r="AC30" s="915">
        <f>IF(AA30&gt;0,SQRT(($W30*$W30)+(Z30*Z30)+($V30*$V30)),0)</f>
        <v>0</v>
      </c>
      <c r="AD30" s="916">
        <f>(AB30*AC30)^2</f>
        <v>0</v>
      </c>
      <c r="AE30" s="917">
        <v>0</v>
      </c>
      <c r="AF30" s="914">
        <v>0</v>
      </c>
      <c r="AG30" s="915">
        <v>0</v>
      </c>
      <c r="AH30" s="918">
        <f>($Q30*AE30)/1000</f>
        <v>0</v>
      </c>
      <c r="AI30" s="918">
        <f t="shared" si="50"/>
        <v>0</v>
      </c>
      <c r="AJ30" s="915">
        <f>IF(AH30&gt;0,SQRT(($W30*$W30)+(AG30*AG30)+($V30*$V30)),0)</f>
        <v>0</v>
      </c>
      <c r="AK30" s="916">
        <f>(AI30*AJ30)^2</f>
        <v>0</v>
      </c>
      <c r="AL30" s="917">
        <v>0</v>
      </c>
      <c r="AM30" s="914">
        <v>0</v>
      </c>
      <c r="AN30" s="915">
        <v>0</v>
      </c>
      <c r="AO30" s="918">
        <f>(W30*AL30)/1000</f>
        <v>0</v>
      </c>
      <c r="AP30" s="918">
        <f t="shared" si="54"/>
        <v>0</v>
      </c>
      <c r="AQ30" s="915">
        <f>IF(AO30&gt;0,SQRT(($W30*$W30)+(AN30*AN30)+($V30*$V30)),0)</f>
        <v>0</v>
      </c>
      <c r="AR30" s="916">
        <f>(AP30*AQ30)^2</f>
        <v>0</v>
      </c>
      <c r="AS30" s="919">
        <f t="shared" si="57"/>
        <v>0</v>
      </c>
      <c r="AT30" s="914">
        <f t="shared" si="58"/>
        <v>0</v>
      </c>
      <c r="AU30" s="915">
        <f t="shared" si="59"/>
        <v>0</v>
      </c>
      <c r="AV30" s="918">
        <f t="shared" si="60"/>
        <v>0</v>
      </c>
      <c r="AW30" s="915">
        <f t="shared" si="61"/>
        <v>0</v>
      </c>
      <c r="AX30" s="916">
        <f>(AV30*AW30)^2</f>
        <v>0</v>
      </c>
      <c r="AY30" s="919">
        <v>0</v>
      </c>
      <c r="AZ30" s="914">
        <v>0</v>
      </c>
      <c r="BA30" s="915">
        <v>0</v>
      </c>
      <c r="BB30" s="918">
        <f>($Q30*AY30)/1000</f>
        <v>0</v>
      </c>
      <c r="BC30" s="918">
        <f t="shared" si="62"/>
        <v>0</v>
      </c>
      <c r="BD30" s="915">
        <v>0</v>
      </c>
      <c r="BE30" s="916">
        <f>(BC30*BD30)^2</f>
        <v>0</v>
      </c>
      <c r="BF30" s="920">
        <f t="shared" si="64"/>
        <v>0</v>
      </c>
      <c r="BG30" s="921">
        <f t="shared" si="65"/>
        <v>0</v>
      </c>
      <c r="BH30" s="28">
        <f>(BF30*BG30)^2</f>
        <v>0</v>
      </c>
      <c r="BI30" s="64"/>
      <c r="BJ30" s="168"/>
      <c r="BK30" s="168"/>
      <c r="BL30" s="168"/>
      <c r="BM30" s="169"/>
      <c r="BN30" s="169"/>
      <c r="BO30" s="169"/>
      <c r="BP30" s="168"/>
      <c r="BQ30" s="168"/>
      <c r="BR30" s="168"/>
      <c r="BS30" s="168"/>
      <c r="BT30" s="168"/>
      <c r="BU30" s="168"/>
      <c r="BV30" s="168"/>
      <c r="BW30" s="168"/>
      <c r="BX30" s="168"/>
      <c r="BY30" s="168"/>
      <c r="BZ30" s="168"/>
      <c r="CA30" s="168"/>
      <c r="CB30" s="170"/>
      <c r="CC30" s="168"/>
      <c r="CD30" s="168"/>
      <c r="CE30" s="170"/>
      <c r="CF30" s="170"/>
      <c r="CG30" s="170"/>
      <c r="CH30" s="170"/>
      <c r="CI30" s="168"/>
      <c r="CJ30" s="168"/>
      <c r="CK30" s="170"/>
      <c r="CL30" s="170"/>
      <c r="CM30" s="170"/>
      <c r="CN30" s="113"/>
      <c r="CO30" s="36"/>
      <c r="CP30" s="36"/>
      <c r="CQ30" s="36"/>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6"/>
      <c r="EA30" s="36"/>
      <c r="EB30" s="36"/>
      <c r="EC30" s="36"/>
      <c r="ED30" s="36"/>
      <c r="EE30" s="36"/>
      <c r="EF30" s="36"/>
      <c r="EG30" s="36"/>
    </row>
    <row r="31" spans="1:137" s="27" customFormat="1" x14ac:dyDescent="0.25">
      <c r="A31" s="26"/>
      <c r="B31" s="756"/>
      <c r="C31" s="553"/>
      <c r="D31" s="912">
        <f t="shared" si="38"/>
        <v>0</v>
      </c>
      <c r="E31" s="1393"/>
      <c r="F31" s="421"/>
      <c r="G31" s="421"/>
      <c r="H31" s="421"/>
      <c r="I31" s="421"/>
      <c r="J31" s="421"/>
      <c r="K31" s="421"/>
      <c r="L31" s="421"/>
      <c r="M31" s="421"/>
      <c r="N31" s="421"/>
      <c r="O31" s="421"/>
      <c r="P31" s="421"/>
      <c r="Q31" s="422">
        <f>SUM(E31:P31)</f>
        <v>0</v>
      </c>
      <c r="R31" s="423">
        <f>COUNT(E31:P31)</f>
        <v>0</v>
      </c>
      <c r="S31" s="422">
        <f>IF(R31&gt;1,AVERAGE(E31:P31),0)</f>
        <v>0</v>
      </c>
      <c r="T31" s="422">
        <f>IF(R31&gt;1,STDEV(E31:P31),0)</f>
        <v>0</v>
      </c>
      <c r="U31" s="422">
        <f t="shared" si="43"/>
        <v>0</v>
      </c>
      <c r="V31" s="424"/>
      <c r="W31" s="425">
        <f t="shared" si="44"/>
        <v>0</v>
      </c>
      <c r="X31" s="913">
        <v>0</v>
      </c>
      <c r="Y31" s="914">
        <v>0</v>
      </c>
      <c r="Z31" s="915">
        <v>0</v>
      </c>
      <c r="AA31" s="916">
        <f>($Q31*X31)/1000</f>
        <v>0</v>
      </c>
      <c r="AB31" s="916">
        <f t="shared" si="46"/>
        <v>0</v>
      </c>
      <c r="AC31" s="915">
        <f>IF(AA31&gt;0,SQRT(($W31*$W31)+(Z31*Z31)+($V31*$V31)),0)</f>
        <v>0</v>
      </c>
      <c r="AD31" s="916">
        <f>(AB31*AC31)^2</f>
        <v>0</v>
      </c>
      <c r="AE31" s="917">
        <v>0</v>
      </c>
      <c r="AF31" s="914">
        <v>0</v>
      </c>
      <c r="AG31" s="915">
        <v>0</v>
      </c>
      <c r="AH31" s="918">
        <f>($Q31*AE31)/1000</f>
        <v>0</v>
      </c>
      <c r="AI31" s="918">
        <f t="shared" si="50"/>
        <v>0</v>
      </c>
      <c r="AJ31" s="915">
        <f>IF(AH31&gt;0,SQRT(($W31*$W31)+(AG31*AG31)+($V31*$V31)),0)</f>
        <v>0</v>
      </c>
      <c r="AK31" s="916">
        <f>(AI31*AJ31)^2</f>
        <v>0</v>
      </c>
      <c r="AL31" s="917">
        <v>0</v>
      </c>
      <c r="AM31" s="914">
        <v>0</v>
      </c>
      <c r="AN31" s="915">
        <v>0</v>
      </c>
      <c r="AO31" s="918">
        <f>(W31*AL31)/1000</f>
        <v>0</v>
      </c>
      <c r="AP31" s="918">
        <f t="shared" si="54"/>
        <v>0</v>
      </c>
      <c r="AQ31" s="915">
        <f>IF(AO31&gt;0,SQRT(($W31*$W31)+(AN31*AN31)+($V31*$V31)),0)</f>
        <v>0</v>
      </c>
      <c r="AR31" s="916">
        <f>(AP31*AQ31)^2</f>
        <v>0</v>
      </c>
      <c r="AS31" s="919">
        <f t="shared" si="57"/>
        <v>0</v>
      </c>
      <c r="AT31" s="914">
        <f t="shared" si="58"/>
        <v>0</v>
      </c>
      <c r="AU31" s="915">
        <f t="shared" si="59"/>
        <v>0</v>
      </c>
      <c r="AV31" s="918">
        <f t="shared" si="60"/>
        <v>0</v>
      </c>
      <c r="AW31" s="915">
        <f t="shared" si="61"/>
        <v>0</v>
      </c>
      <c r="AX31" s="916">
        <f>(AV31*AW31)^2</f>
        <v>0</v>
      </c>
      <c r="AY31" s="919">
        <v>0</v>
      </c>
      <c r="AZ31" s="914">
        <v>0</v>
      </c>
      <c r="BA31" s="915">
        <v>0</v>
      </c>
      <c r="BB31" s="918">
        <f>($Q31*AY31)/1000</f>
        <v>0</v>
      </c>
      <c r="BC31" s="918">
        <f t="shared" si="62"/>
        <v>0</v>
      </c>
      <c r="BD31" s="915">
        <v>0</v>
      </c>
      <c r="BE31" s="916">
        <f>(BC31*BD31)^2</f>
        <v>0</v>
      </c>
      <c r="BF31" s="920">
        <f t="shared" si="64"/>
        <v>0</v>
      </c>
      <c r="BG31" s="921">
        <f t="shared" si="65"/>
        <v>0</v>
      </c>
      <c r="BH31" s="28">
        <f>(BF31*BG31)^2</f>
        <v>0</v>
      </c>
      <c r="BI31" s="64"/>
      <c r="BJ31" s="168"/>
      <c r="BK31" s="168"/>
      <c r="BL31" s="168"/>
      <c r="BM31" s="169"/>
      <c r="BN31" s="169"/>
      <c r="BO31" s="169"/>
      <c r="BP31" s="168"/>
      <c r="BQ31" s="168"/>
      <c r="BR31" s="168"/>
      <c r="BS31" s="168"/>
      <c r="BT31" s="168"/>
      <c r="BU31" s="168"/>
      <c r="BV31" s="168"/>
      <c r="BW31" s="168"/>
      <c r="BX31" s="168"/>
      <c r="BY31" s="168"/>
      <c r="BZ31" s="168"/>
      <c r="CA31" s="168"/>
      <c r="CB31" s="170"/>
      <c r="CC31" s="168"/>
      <c r="CD31" s="168"/>
      <c r="CE31" s="170"/>
      <c r="CF31" s="170"/>
      <c r="CG31" s="170"/>
      <c r="CH31" s="170"/>
      <c r="CI31" s="168"/>
      <c r="CJ31" s="168"/>
      <c r="CK31" s="170"/>
      <c r="CL31" s="170"/>
      <c r="CM31" s="170"/>
      <c r="CN31" s="113"/>
      <c r="CO31" s="36"/>
      <c r="CP31" s="36"/>
      <c r="CQ31" s="36"/>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6"/>
      <c r="EA31" s="36"/>
      <c r="EB31" s="36"/>
      <c r="EC31" s="36"/>
      <c r="ED31" s="36"/>
      <c r="EE31" s="36"/>
      <c r="EF31" s="36"/>
      <c r="EG31" s="36"/>
    </row>
    <row r="32" spans="1:137" s="27" customFormat="1" x14ac:dyDescent="0.25">
      <c r="A32" s="26"/>
      <c r="B32" s="756"/>
      <c r="C32" s="553"/>
      <c r="D32" s="912">
        <f t="shared" si="38"/>
        <v>0</v>
      </c>
      <c r="E32" s="152"/>
      <c r="F32" s="421"/>
      <c r="G32" s="421"/>
      <c r="H32" s="421"/>
      <c r="I32" s="421"/>
      <c r="J32" s="421"/>
      <c r="K32" s="421"/>
      <c r="L32" s="421"/>
      <c r="M32" s="421"/>
      <c r="N32" s="421"/>
      <c r="O32" s="421"/>
      <c r="P32" s="421"/>
      <c r="Q32" s="422">
        <f t="shared" si="39"/>
        <v>0</v>
      </c>
      <c r="R32" s="423">
        <f t="shared" si="40"/>
        <v>0</v>
      </c>
      <c r="S32" s="422">
        <f t="shared" si="41"/>
        <v>0</v>
      </c>
      <c r="T32" s="422">
        <f t="shared" si="42"/>
        <v>0</v>
      </c>
      <c r="U32" s="422">
        <f t="shared" si="43"/>
        <v>0</v>
      </c>
      <c r="V32" s="424"/>
      <c r="W32" s="425">
        <f t="shared" si="44"/>
        <v>0</v>
      </c>
      <c r="X32" s="913">
        <v>0</v>
      </c>
      <c r="Y32" s="914">
        <v>0</v>
      </c>
      <c r="Z32" s="915">
        <v>0</v>
      </c>
      <c r="AA32" s="916">
        <f t="shared" si="45"/>
        <v>0</v>
      </c>
      <c r="AB32" s="916">
        <f t="shared" si="46"/>
        <v>0</v>
      </c>
      <c r="AC32" s="915">
        <f t="shared" si="47"/>
        <v>0</v>
      </c>
      <c r="AD32" s="916">
        <f t="shared" si="48"/>
        <v>0</v>
      </c>
      <c r="AE32" s="917">
        <v>0</v>
      </c>
      <c r="AF32" s="914">
        <v>0</v>
      </c>
      <c r="AG32" s="915">
        <v>0</v>
      </c>
      <c r="AH32" s="918">
        <f t="shared" si="49"/>
        <v>0</v>
      </c>
      <c r="AI32" s="918">
        <f t="shared" si="50"/>
        <v>0</v>
      </c>
      <c r="AJ32" s="915">
        <f t="shared" si="51"/>
        <v>0</v>
      </c>
      <c r="AK32" s="916">
        <f t="shared" si="52"/>
        <v>0</v>
      </c>
      <c r="AL32" s="917">
        <v>0</v>
      </c>
      <c r="AM32" s="914">
        <v>0</v>
      </c>
      <c r="AN32" s="915">
        <v>0</v>
      </c>
      <c r="AO32" s="918">
        <f t="shared" si="53"/>
        <v>0</v>
      </c>
      <c r="AP32" s="918">
        <f t="shared" si="54"/>
        <v>0</v>
      </c>
      <c r="AQ32" s="915">
        <f t="shared" si="55"/>
        <v>0</v>
      </c>
      <c r="AR32" s="916">
        <f t="shared" si="56"/>
        <v>0</v>
      </c>
      <c r="AS32" s="919">
        <f t="shared" si="57"/>
        <v>0</v>
      </c>
      <c r="AT32" s="914">
        <f t="shared" si="58"/>
        <v>0</v>
      </c>
      <c r="AU32" s="915">
        <f t="shared" si="59"/>
        <v>0</v>
      </c>
      <c r="AV32" s="918">
        <f t="shared" si="60"/>
        <v>0</v>
      </c>
      <c r="AW32" s="915">
        <f t="shared" si="61"/>
        <v>0</v>
      </c>
      <c r="AX32" s="916">
        <f t="shared" ref="AX32:AX38" si="66">(AV32*AW32)^2</f>
        <v>0</v>
      </c>
      <c r="AY32" s="919">
        <v>0</v>
      </c>
      <c r="AZ32" s="914">
        <v>0</v>
      </c>
      <c r="BA32" s="915">
        <v>0</v>
      </c>
      <c r="BB32" s="918">
        <f t="shared" ref="BB32:BB38" si="67">($Q32*AY32)/1000</f>
        <v>0</v>
      </c>
      <c r="BC32" s="918">
        <f t="shared" si="62"/>
        <v>0</v>
      </c>
      <c r="BD32" s="915">
        <v>0</v>
      </c>
      <c r="BE32" s="916">
        <f t="shared" si="63"/>
        <v>0</v>
      </c>
      <c r="BF32" s="920">
        <f t="shared" si="64"/>
        <v>0</v>
      </c>
      <c r="BG32" s="921">
        <f t="shared" si="65"/>
        <v>0</v>
      </c>
      <c r="BH32" s="28">
        <f t="shared" si="37"/>
        <v>0</v>
      </c>
      <c r="BI32" s="64"/>
      <c r="BJ32" s="168"/>
      <c r="BK32" s="168"/>
      <c r="BL32" s="168"/>
      <c r="BM32" s="169"/>
      <c r="BN32" s="169"/>
      <c r="BO32" s="169"/>
      <c r="BP32" s="168"/>
      <c r="BQ32" s="168"/>
      <c r="BR32" s="168"/>
      <c r="BS32" s="168"/>
      <c r="BT32" s="168"/>
      <c r="BU32" s="168"/>
      <c r="BV32" s="168"/>
      <c r="BW32" s="168"/>
      <c r="BX32" s="168"/>
      <c r="BY32" s="168"/>
      <c r="BZ32" s="168"/>
      <c r="CA32" s="168"/>
      <c r="CB32" s="170"/>
      <c r="CC32" s="168"/>
      <c r="CD32" s="168"/>
      <c r="CE32" s="170"/>
      <c r="CF32" s="170"/>
      <c r="CG32" s="170"/>
      <c r="CH32" s="170"/>
      <c r="CI32" s="168"/>
      <c r="CJ32" s="168"/>
      <c r="CK32" s="170"/>
      <c r="CL32" s="170"/>
      <c r="CM32" s="170"/>
      <c r="CN32" s="113"/>
      <c r="CO32" s="36"/>
      <c r="CP32" s="36"/>
      <c r="CQ32" s="36"/>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6"/>
      <c r="EA32" s="36"/>
      <c r="EB32" s="36"/>
      <c r="EC32" s="36"/>
      <c r="ED32" s="36"/>
      <c r="EE32" s="36"/>
      <c r="EF32" s="36"/>
      <c r="EG32" s="36"/>
    </row>
    <row r="33" spans="1:137" s="27" customFormat="1" x14ac:dyDescent="0.25">
      <c r="A33" s="26"/>
      <c r="B33" s="756"/>
      <c r="C33" s="553"/>
      <c r="D33" s="912">
        <f t="shared" si="38"/>
        <v>0</v>
      </c>
      <c r="E33" s="1393"/>
      <c r="F33" s="421"/>
      <c r="G33" s="421"/>
      <c r="H33" s="421"/>
      <c r="I33" s="421"/>
      <c r="J33" s="421"/>
      <c r="K33" s="421"/>
      <c r="L33" s="421"/>
      <c r="M33" s="421"/>
      <c r="N33" s="421"/>
      <c r="O33" s="421"/>
      <c r="P33" s="421"/>
      <c r="Q33" s="422">
        <f t="shared" si="39"/>
        <v>0</v>
      </c>
      <c r="R33" s="423">
        <f t="shared" si="40"/>
        <v>0</v>
      </c>
      <c r="S33" s="422">
        <f t="shared" si="41"/>
        <v>0</v>
      </c>
      <c r="T33" s="422">
        <f t="shared" si="42"/>
        <v>0</v>
      </c>
      <c r="U33" s="422">
        <f t="shared" si="43"/>
        <v>0</v>
      </c>
      <c r="V33" s="424"/>
      <c r="W33" s="425">
        <f t="shared" si="44"/>
        <v>0</v>
      </c>
      <c r="X33" s="913">
        <v>0</v>
      </c>
      <c r="Y33" s="914">
        <v>0</v>
      </c>
      <c r="Z33" s="915">
        <v>0</v>
      </c>
      <c r="AA33" s="916">
        <f t="shared" si="45"/>
        <v>0</v>
      </c>
      <c r="AB33" s="916">
        <f t="shared" si="46"/>
        <v>0</v>
      </c>
      <c r="AC33" s="915">
        <f t="shared" si="47"/>
        <v>0</v>
      </c>
      <c r="AD33" s="916">
        <f t="shared" si="48"/>
        <v>0</v>
      </c>
      <c r="AE33" s="917">
        <v>0</v>
      </c>
      <c r="AF33" s="914">
        <v>0</v>
      </c>
      <c r="AG33" s="915">
        <v>0</v>
      </c>
      <c r="AH33" s="918">
        <f t="shared" si="49"/>
        <v>0</v>
      </c>
      <c r="AI33" s="918">
        <f t="shared" si="50"/>
        <v>0</v>
      </c>
      <c r="AJ33" s="915">
        <f t="shared" si="51"/>
        <v>0</v>
      </c>
      <c r="AK33" s="916">
        <f t="shared" si="52"/>
        <v>0</v>
      </c>
      <c r="AL33" s="917">
        <v>0</v>
      </c>
      <c r="AM33" s="914">
        <v>0</v>
      </c>
      <c r="AN33" s="915">
        <v>0</v>
      </c>
      <c r="AO33" s="918">
        <f t="shared" si="53"/>
        <v>0</v>
      </c>
      <c r="AP33" s="918">
        <f t="shared" si="54"/>
        <v>0</v>
      </c>
      <c r="AQ33" s="915">
        <f t="shared" si="55"/>
        <v>0</v>
      </c>
      <c r="AR33" s="916">
        <f t="shared" si="56"/>
        <v>0</v>
      </c>
      <c r="AS33" s="919">
        <f t="shared" si="57"/>
        <v>0</v>
      </c>
      <c r="AT33" s="914">
        <f t="shared" si="58"/>
        <v>0</v>
      </c>
      <c r="AU33" s="915">
        <f t="shared" si="59"/>
        <v>0</v>
      </c>
      <c r="AV33" s="918">
        <f t="shared" si="60"/>
        <v>0</v>
      </c>
      <c r="AW33" s="915">
        <f t="shared" si="61"/>
        <v>0</v>
      </c>
      <c r="AX33" s="916">
        <f t="shared" si="66"/>
        <v>0</v>
      </c>
      <c r="AY33" s="919">
        <v>0</v>
      </c>
      <c r="AZ33" s="914">
        <v>0</v>
      </c>
      <c r="BA33" s="915">
        <v>0</v>
      </c>
      <c r="BB33" s="918">
        <f t="shared" si="67"/>
        <v>0</v>
      </c>
      <c r="BC33" s="918">
        <f t="shared" si="62"/>
        <v>0</v>
      </c>
      <c r="BD33" s="915">
        <v>0</v>
      </c>
      <c r="BE33" s="916">
        <f t="shared" si="63"/>
        <v>0</v>
      </c>
      <c r="BF33" s="920">
        <f t="shared" si="64"/>
        <v>0</v>
      </c>
      <c r="BG33" s="921">
        <f t="shared" si="65"/>
        <v>0</v>
      </c>
      <c r="BH33" s="28">
        <f t="shared" si="37"/>
        <v>0</v>
      </c>
      <c r="BI33" s="64"/>
      <c r="BJ33" s="168"/>
      <c r="BK33" s="168"/>
      <c r="BL33" s="168"/>
      <c r="BM33" s="169"/>
      <c r="BN33" s="169"/>
      <c r="BO33" s="169"/>
      <c r="BP33" s="168"/>
      <c r="BQ33" s="168"/>
      <c r="BR33" s="168"/>
      <c r="BS33" s="168"/>
      <c r="BT33" s="168"/>
      <c r="BU33" s="168"/>
      <c r="BV33" s="168"/>
      <c r="BW33" s="168"/>
      <c r="BX33" s="168"/>
      <c r="BY33" s="168"/>
      <c r="BZ33" s="168"/>
      <c r="CA33" s="168"/>
      <c r="CB33" s="170"/>
      <c r="CC33" s="168"/>
      <c r="CD33" s="168"/>
      <c r="CE33" s="170"/>
      <c r="CF33" s="170"/>
      <c r="CG33" s="170"/>
      <c r="CH33" s="170"/>
      <c r="CI33" s="168"/>
      <c r="CJ33" s="168"/>
      <c r="CK33" s="170"/>
      <c r="CL33" s="170"/>
      <c r="CM33" s="170"/>
      <c r="CN33" s="113"/>
      <c r="CO33" s="36"/>
      <c r="CP33" s="36"/>
      <c r="CQ33" s="36"/>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6"/>
      <c r="EA33" s="36"/>
      <c r="EB33" s="36"/>
      <c r="EC33" s="36"/>
      <c r="ED33" s="36"/>
      <c r="EE33" s="36"/>
      <c r="EF33" s="36"/>
      <c r="EG33" s="36"/>
    </row>
    <row r="34" spans="1:137" s="27" customFormat="1" x14ac:dyDescent="0.25">
      <c r="A34" s="26"/>
      <c r="B34" s="757"/>
      <c r="C34" s="553"/>
      <c r="D34" s="912">
        <f t="shared" si="38"/>
        <v>0</v>
      </c>
      <c r="E34" s="1393"/>
      <c r="F34" s="421"/>
      <c r="G34" s="421"/>
      <c r="H34" s="421"/>
      <c r="I34" s="421"/>
      <c r="J34" s="421"/>
      <c r="K34" s="421"/>
      <c r="L34" s="421"/>
      <c r="M34" s="421"/>
      <c r="N34" s="421"/>
      <c r="O34" s="421"/>
      <c r="P34" s="421"/>
      <c r="Q34" s="422">
        <f t="shared" si="39"/>
        <v>0</v>
      </c>
      <c r="R34" s="423">
        <f t="shared" si="40"/>
        <v>0</v>
      </c>
      <c r="S34" s="422">
        <f t="shared" si="41"/>
        <v>0</v>
      </c>
      <c r="T34" s="422">
        <f t="shared" si="42"/>
        <v>0</v>
      </c>
      <c r="U34" s="422">
        <f t="shared" si="43"/>
        <v>0</v>
      </c>
      <c r="V34" s="424"/>
      <c r="W34" s="425">
        <f t="shared" si="44"/>
        <v>0</v>
      </c>
      <c r="X34" s="913">
        <v>0</v>
      </c>
      <c r="Y34" s="914">
        <v>0</v>
      </c>
      <c r="Z34" s="915">
        <v>0</v>
      </c>
      <c r="AA34" s="916">
        <f t="shared" si="45"/>
        <v>0</v>
      </c>
      <c r="AB34" s="916">
        <f t="shared" si="46"/>
        <v>0</v>
      </c>
      <c r="AC34" s="915">
        <f t="shared" si="47"/>
        <v>0</v>
      </c>
      <c r="AD34" s="916">
        <f t="shared" si="48"/>
        <v>0</v>
      </c>
      <c r="AE34" s="917">
        <v>0</v>
      </c>
      <c r="AF34" s="914">
        <v>0</v>
      </c>
      <c r="AG34" s="915">
        <v>0</v>
      </c>
      <c r="AH34" s="918">
        <f t="shared" si="49"/>
        <v>0</v>
      </c>
      <c r="AI34" s="918">
        <f t="shared" si="50"/>
        <v>0</v>
      </c>
      <c r="AJ34" s="915">
        <f t="shared" si="51"/>
        <v>0</v>
      </c>
      <c r="AK34" s="916">
        <f t="shared" si="52"/>
        <v>0</v>
      </c>
      <c r="AL34" s="917">
        <v>0</v>
      </c>
      <c r="AM34" s="914">
        <v>0</v>
      </c>
      <c r="AN34" s="915">
        <v>0</v>
      </c>
      <c r="AO34" s="918">
        <f t="shared" si="53"/>
        <v>0</v>
      </c>
      <c r="AP34" s="918">
        <f t="shared" si="54"/>
        <v>0</v>
      </c>
      <c r="AQ34" s="915">
        <f t="shared" si="55"/>
        <v>0</v>
      </c>
      <c r="AR34" s="916">
        <f t="shared" si="56"/>
        <v>0</v>
      </c>
      <c r="AS34" s="919">
        <f t="shared" si="57"/>
        <v>0</v>
      </c>
      <c r="AT34" s="914">
        <f t="shared" si="58"/>
        <v>0</v>
      </c>
      <c r="AU34" s="915">
        <f t="shared" si="59"/>
        <v>0</v>
      </c>
      <c r="AV34" s="918">
        <f t="shared" si="60"/>
        <v>0</v>
      </c>
      <c r="AW34" s="915">
        <f t="shared" si="61"/>
        <v>0</v>
      </c>
      <c r="AX34" s="916">
        <f t="shared" si="66"/>
        <v>0</v>
      </c>
      <c r="AY34" s="919">
        <v>0</v>
      </c>
      <c r="AZ34" s="914">
        <v>0</v>
      </c>
      <c r="BA34" s="915">
        <v>0</v>
      </c>
      <c r="BB34" s="918">
        <f t="shared" si="67"/>
        <v>0</v>
      </c>
      <c r="BC34" s="918">
        <f t="shared" si="62"/>
        <v>0</v>
      </c>
      <c r="BD34" s="915">
        <v>0</v>
      </c>
      <c r="BE34" s="916">
        <f t="shared" si="63"/>
        <v>0</v>
      </c>
      <c r="BF34" s="920">
        <f t="shared" si="64"/>
        <v>0</v>
      </c>
      <c r="BG34" s="921">
        <f t="shared" si="65"/>
        <v>0</v>
      </c>
      <c r="BH34" s="28">
        <f t="shared" si="37"/>
        <v>0</v>
      </c>
      <c r="BI34" s="64"/>
      <c r="BJ34" s="168"/>
      <c r="BK34" s="168"/>
      <c r="BL34" s="168"/>
      <c r="BM34" s="169"/>
      <c r="BN34" s="169"/>
      <c r="BO34" s="169"/>
      <c r="BP34" s="168"/>
      <c r="BQ34" s="168"/>
      <c r="BR34" s="168"/>
      <c r="BS34" s="168"/>
      <c r="BT34" s="168"/>
      <c r="BU34" s="168"/>
      <c r="BV34" s="168"/>
      <c r="BW34" s="168"/>
      <c r="BX34" s="168"/>
      <c r="BY34" s="168"/>
      <c r="BZ34" s="168"/>
      <c r="CA34" s="168"/>
      <c r="CB34" s="170"/>
      <c r="CC34" s="168"/>
      <c r="CD34" s="168"/>
      <c r="CE34" s="170"/>
      <c r="CF34" s="170"/>
      <c r="CG34" s="170"/>
      <c r="CH34" s="170"/>
      <c r="CI34" s="168"/>
      <c r="CJ34" s="168"/>
      <c r="CK34" s="170"/>
      <c r="CL34" s="170"/>
      <c r="CM34" s="170"/>
      <c r="CN34" s="113"/>
      <c r="CO34" s="36"/>
      <c r="CP34" s="36"/>
      <c r="CQ34" s="36"/>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6"/>
      <c r="EA34" s="36"/>
      <c r="EB34" s="36"/>
      <c r="EC34" s="36"/>
      <c r="ED34" s="36"/>
      <c r="EE34" s="36"/>
      <c r="EF34" s="36"/>
      <c r="EG34" s="36"/>
    </row>
    <row r="35" spans="1:137" s="27" customFormat="1" x14ac:dyDescent="0.25">
      <c r="A35" s="26"/>
      <c r="B35" s="1746" t="s">
        <v>288</v>
      </c>
      <c r="C35" s="553"/>
      <c r="D35" s="912">
        <f t="shared" si="38"/>
        <v>0</v>
      </c>
      <c r="E35" s="1393"/>
      <c r="F35" s="421"/>
      <c r="G35" s="421"/>
      <c r="H35" s="421"/>
      <c r="I35" s="421"/>
      <c r="J35" s="421"/>
      <c r="K35" s="421"/>
      <c r="L35" s="426"/>
      <c r="M35" s="426"/>
      <c r="N35" s="426"/>
      <c r="O35" s="426"/>
      <c r="P35" s="426"/>
      <c r="Q35" s="422">
        <f t="shared" si="39"/>
        <v>0</v>
      </c>
      <c r="R35" s="423">
        <f t="shared" si="40"/>
        <v>0</v>
      </c>
      <c r="S35" s="422">
        <f t="shared" si="41"/>
        <v>0</v>
      </c>
      <c r="T35" s="422">
        <f t="shared" si="42"/>
        <v>0</v>
      </c>
      <c r="U35" s="422">
        <f t="shared" si="43"/>
        <v>0</v>
      </c>
      <c r="V35" s="424"/>
      <c r="W35" s="425">
        <f t="shared" si="44"/>
        <v>0</v>
      </c>
      <c r="X35" s="913">
        <f>VLOOKUP($C35,$BI$106:$CM$491,3,FALSE)</f>
        <v>0</v>
      </c>
      <c r="Y35" s="914">
        <f>VLOOKUP($C35,$BI$106:$CM$491,4,FALSE)</f>
        <v>0</v>
      </c>
      <c r="Z35" s="915">
        <f>IF($Q35&gt;0,VLOOKUP($C35,$BI$106:$CM$491,6,FALSE),0)</f>
        <v>0</v>
      </c>
      <c r="AA35" s="916">
        <f t="shared" si="45"/>
        <v>0</v>
      </c>
      <c r="AB35" s="916">
        <f t="shared" si="46"/>
        <v>0</v>
      </c>
      <c r="AC35" s="915">
        <f t="shared" si="47"/>
        <v>0</v>
      </c>
      <c r="AD35" s="916">
        <f t="shared" si="48"/>
        <v>0</v>
      </c>
      <c r="AE35" s="917">
        <v>0</v>
      </c>
      <c r="AF35" s="914">
        <v>0</v>
      </c>
      <c r="AG35" s="915">
        <v>0</v>
      </c>
      <c r="AH35" s="918">
        <f t="shared" si="49"/>
        <v>0</v>
      </c>
      <c r="AI35" s="918">
        <f t="shared" si="50"/>
        <v>0</v>
      </c>
      <c r="AJ35" s="915">
        <f t="shared" si="51"/>
        <v>0</v>
      </c>
      <c r="AK35" s="916">
        <f t="shared" si="52"/>
        <v>0</v>
      </c>
      <c r="AL35" s="917">
        <v>0</v>
      </c>
      <c r="AM35" s="914">
        <v>0</v>
      </c>
      <c r="AN35" s="915">
        <v>0</v>
      </c>
      <c r="AO35" s="918">
        <f>($Q35*AL35)/1000</f>
        <v>0</v>
      </c>
      <c r="AP35" s="918">
        <f t="shared" si="54"/>
        <v>0</v>
      </c>
      <c r="AQ35" s="915">
        <f t="shared" si="55"/>
        <v>0</v>
      </c>
      <c r="AR35" s="916">
        <f t="shared" si="56"/>
        <v>0</v>
      </c>
      <c r="AS35" s="919">
        <v>0</v>
      </c>
      <c r="AT35" s="914">
        <v>0</v>
      </c>
      <c r="AU35" s="915">
        <v>0</v>
      </c>
      <c r="AV35" s="918">
        <f t="shared" si="60"/>
        <v>0</v>
      </c>
      <c r="AW35" s="915">
        <f t="shared" si="61"/>
        <v>0</v>
      </c>
      <c r="AX35" s="916">
        <f t="shared" si="66"/>
        <v>0</v>
      </c>
      <c r="AY35" s="919">
        <v>0</v>
      </c>
      <c r="AZ35" s="914">
        <v>0</v>
      </c>
      <c r="BA35" s="915">
        <v>0</v>
      </c>
      <c r="BB35" s="918">
        <f t="shared" si="67"/>
        <v>0</v>
      </c>
      <c r="BC35" s="918">
        <f t="shared" si="62"/>
        <v>0</v>
      </c>
      <c r="BD35" s="915">
        <f>IF(BB35&gt;0,SQRT(($W35*$W35)+(BA35*BA35)+($V35*$V35)),0)</f>
        <v>0</v>
      </c>
      <c r="BE35" s="916">
        <f t="shared" si="63"/>
        <v>0</v>
      </c>
      <c r="BF35" s="920">
        <f t="shared" si="64"/>
        <v>0</v>
      </c>
      <c r="BG35" s="921">
        <f t="shared" si="65"/>
        <v>0</v>
      </c>
      <c r="BH35" s="28">
        <f t="shared" si="37"/>
        <v>0</v>
      </c>
      <c r="BI35" s="64"/>
      <c r="BJ35" s="168"/>
      <c r="BK35" s="168"/>
      <c r="BL35" s="168"/>
      <c r="BM35" s="169"/>
      <c r="BN35" s="169"/>
      <c r="BO35" s="169"/>
      <c r="BP35" s="168"/>
      <c r="BQ35" s="168"/>
      <c r="BR35" s="168"/>
      <c r="BS35" s="168"/>
      <c r="BT35" s="168"/>
      <c r="BU35" s="168"/>
      <c r="BV35" s="168"/>
      <c r="BW35" s="168"/>
      <c r="BX35" s="168"/>
      <c r="BY35" s="168"/>
      <c r="BZ35" s="168"/>
      <c r="CA35" s="168"/>
      <c r="CB35" s="170"/>
      <c r="CC35" s="168"/>
      <c r="CD35" s="168"/>
      <c r="CE35" s="170"/>
      <c r="CF35" s="170"/>
      <c r="CG35" s="170"/>
      <c r="CH35" s="170"/>
      <c r="CI35" s="168"/>
      <c r="CJ35" s="168"/>
      <c r="CK35" s="170"/>
      <c r="CL35" s="170"/>
      <c r="CM35" s="170"/>
      <c r="CN35" s="113"/>
      <c r="CO35" s="36"/>
      <c r="CP35" s="36"/>
      <c r="CQ35" s="36"/>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6"/>
      <c r="EA35" s="36"/>
      <c r="EB35" s="36"/>
      <c r="EC35" s="36"/>
      <c r="ED35" s="36"/>
      <c r="EE35" s="36"/>
      <c r="EF35" s="36"/>
      <c r="EG35" s="36"/>
    </row>
    <row r="36" spans="1:137" s="27" customFormat="1" x14ac:dyDescent="0.25">
      <c r="A36" s="26"/>
      <c r="B36" s="1747"/>
      <c r="C36" s="553"/>
      <c r="D36" s="912">
        <f t="shared" si="38"/>
        <v>0</v>
      </c>
      <c r="E36" s="1393"/>
      <c r="F36" s="421"/>
      <c r="G36" s="421"/>
      <c r="H36" s="421"/>
      <c r="I36" s="421"/>
      <c r="J36" s="421"/>
      <c r="K36" s="421"/>
      <c r="L36" s="426"/>
      <c r="M36" s="426"/>
      <c r="N36" s="426"/>
      <c r="O36" s="426"/>
      <c r="P36" s="426"/>
      <c r="Q36" s="422">
        <f t="shared" si="39"/>
        <v>0</v>
      </c>
      <c r="R36" s="423">
        <f t="shared" si="40"/>
        <v>0</v>
      </c>
      <c r="S36" s="422">
        <f t="shared" si="41"/>
        <v>0</v>
      </c>
      <c r="T36" s="422">
        <f t="shared" si="42"/>
        <v>0</v>
      </c>
      <c r="U36" s="422">
        <f t="shared" si="43"/>
        <v>0</v>
      </c>
      <c r="V36" s="424"/>
      <c r="W36" s="425">
        <f t="shared" si="44"/>
        <v>0</v>
      </c>
      <c r="X36" s="913">
        <v>0</v>
      </c>
      <c r="Y36" s="914">
        <v>0</v>
      </c>
      <c r="Z36" s="915">
        <v>0</v>
      </c>
      <c r="AA36" s="916">
        <f t="shared" si="45"/>
        <v>0</v>
      </c>
      <c r="AB36" s="916">
        <f t="shared" si="46"/>
        <v>0</v>
      </c>
      <c r="AC36" s="915">
        <f t="shared" si="47"/>
        <v>0</v>
      </c>
      <c r="AD36" s="916">
        <f t="shared" si="48"/>
        <v>0</v>
      </c>
      <c r="AE36" s="917">
        <v>0</v>
      </c>
      <c r="AF36" s="914">
        <v>0</v>
      </c>
      <c r="AG36" s="915">
        <v>0</v>
      </c>
      <c r="AH36" s="918">
        <f t="shared" si="49"/>
        <v>0</v>
      </c>
      <c r="AI36" s="918">
        <f t="shared" si="50"/>
        <v>0</v>
      </c>
      <c r="AJ36" s="915">
        <f t="shared" si="51"/>
        <v>0</v>
      </c>
      <c r="AK36" s="916">
        <f t="shared" si="52"/>
        <v>0</v>
      </c>
      <c r="AL36" s="917">
        <v>0</v>
      </c>
      <c r="AM36" s="914">
        <v>0</v>
      </c>
      <c r="AN36" s="915">
        <v>0</v>
      </c>
      <c r="AO36" s="918">
        <f>(W36*AL36)/1000</f>
        <v>0</v>
      </c>
      <c r="AP36" s="918">
        <f t="shared" si="54"/>
        <v>0</v>
      </c>
      <c r="AQ36" s="915">
        <f t="shared" si="55"/>
        <v>0</v>
      </c>
      <c r="AR36" s="916">
        <f t="shared" si="56"/>
        <v>0</v>
      </c>
      <c r="AS36" s="919">
        <f>VLOOKUP($C36,$BI$106:$CM$491,3,FALSE)</f>
        <v>0</v>
      </c>
      <c r="AT36" s="914">
        <f>VLOOKUP($C36,$BI$106:$CM$491,4,FALSE)</f>
        <v>0</v>
      </c>
      <c r="AU36" s="915">
        <f>IF($Q36&gt;0,VLOOKUP($C36,$BI$106:$CM$491,6,FALSE),0)</f>
        <v>0</v>
      </c>
      <c r="AV36" s="918">
        <f t="shared" si="60"/>
        <v>0</v>
      </c>
      <c r="AW36" s="915">
        <f t="shared" si="61"/>
        <v>0</v>
      </c>
      <c r="AX36" s="916">
        <f t="shared" si="66"/>
        <v>0</v>
      </c>
      <c r="AY36" s="919">
        <v>0</v>
      </c>
      <c r="AZ36" s="914">
        <v>0</v>
      </c>
      <c r="BA36" s="915">
        <v>0</v>
      </c>
      <c r="BB36" s="918">
        <f t="shared" si="67"/>
        <v>0</v>
      </c>
      <c r="BC36" s="918">
        <f t="shared" si="62"/>
        <v>0</v>
      </c>
      <c r="BD36" s="915">
        <v>0</v>
      </c>
      <c r="BE36" s="916">
        <f t="shared" si="63"/>
        <v>0</v>
      </c>
      <c r="BF36" s="920">
        <f t="shared" si="64"/>
        <v>0</v>
      </c>
      <c r="BG36" s="921">
        <f t="shared" si="65"/>
        <v>0</v>
      </c>
      <c r="BH36" s="28">
        <f t="shared" si="37"/>
        <v>0</v>
      </c>
      <c r="BI36" s="64"/>
      <c r="BJ36" s="168"/>
      <c r="BK36" s="168"/>
      <c r="BL36" s="168"/>
      <c r="BM36" s="169"/>
      <c r="BN36" s="169"/>
      <c r="BO36" s="169"/>
      <c r="BP36" s="168"/>
      <c r="BQ36" s="168"/>
      <c r="BR36" s="168"/>
      <c r="BS36" s="168"/>
      <c r="BT36" s="168"/>
      <c r="BU36" s="168"/>
      <c r="BV36" s="168"/>
      <c r="BW36" s="168"/>
      <c r="BX36" s="168"/>
      <c r="BY36" s="168"/>
      <c r="BZ36" s="168"/>
      <c r="CA36" s="168"/>
      <c r="CB36" s="170"/>
      <c r="CC36" s="168"/>
      <c r="CD36" s="168"/>
      <c r="CE36" s="170"/>
      <c r="CF36" s="170"/>
      <c r="CG36" s="170"/>
      <c r="CH36" s="170"/>
      <c r="CI36" s="168"/>
      <c r="CJ36" s="168"/>
      <c r="CK36" s="170"/>
      <c r="CL36" s="170"/>
      <c r="CM36" s="170"/>
      <c r="CN36" s="113"/>
      <c r="CO36" s="36"/>
      <c r="CP36" s="36"/>
      <c r="CQ36" s="36"/>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6"/>
      <c r="EA36" s="36"/>
      <c r="EB36" s="36"/>
      <c r="EC36" s="36"/>
      <c r="ED36" s="36"/>
      <c r="EE36" s="36"/>
      <c r="EF36" s="36"/>
      <c r="EG36" s="36"/>
    </row>
    <row r="37" spans="1:137" s="27" customFormat="1" x14ac:dyDescent="0.25">
      <c r="A37" s="26"/>
      <c r="B37" s="1746" t="s">
        <v>330</v>
      </c>
      <c r="C37" s="553"/>
      <c r="D37" s="912">
        <f t="shared" si="38"/>
        <v>0</v>
      </c>
      <c r="E37" s="1393"/>
      <c r="F37" s="421"/>
      <c r="G37" s="421"/>
      <c r="H37" s="421"/>
      <c r="I37" s="421"/>
      <c r="J37" s="421"/>
      <c r="K37" s="421"/>
      <c r="L37" s="426"/>
      <c r="M37" s="426"/>
      <c r="N37" s="426"/>
      <c r="O37" s="426"/>
      <c r="P37" s="426"/>
      <c r="Q37" s="422">
        <f t="shared" si="39"/>
        <v>0</v>
      </c>
      <c r="R37" s="423">
        <f t="shared" si="40"/>
        <v>0</v>
      </c>
      <c r="S37" s="422">
        <f t="shared" si="41"/>
        <v>0</v>
      </c>
      <c r="T37" s="422">
        <f t="shared" si="42"/>
        <v>0</v>
      </c>
      <c r="U37" s="422">
        <f t="shared" si="43"/>
        <v>0</v>
      </c>
      <c r="V37" s="424"/>
      <c r="W37" s="425">
        <f t="shared" si="44"/>
        <v>0</v>
      </c>
      <c r="X37" s="913">
        <f>VLOOKUP($C37,$BI$106:$CM$491,3,FALSE)</f>
        <v>0</v>
      </c>
      <c r="Y37" s="914">
        <f>VLOOKUP($C37,$BI$106:$CM$491,4,FALSE)</f>
        <v>0</v>
      </c>
      <c r="Z37" s="915">
        <f>IF($Q37&gt;0,VLOOKUP($C37,$BI$106:$CM$491,6,FALSE),0)</f>
        <v>0</v>
      </c>
      <c r="AA37" s="916">
        <f t="shared" si="45"/>
        <v>0</v>
      </c>
      <c r="AB37" s="916">
        <f t="shared" si="46"/>
        <v>0</v>
      </c>
      <c r="AC37" s="915">
        <f t="shared" si="47"/>
        <v>0</v>
      </c>
      <c r="AD37" s="916">
        <f t="shared" si="48"/>
        <v>0</v>
      </c>
      <c r="AE37" s="917">
        <v>0</v>
      </c>
      <c r="AF37" s="914">
        <v>0</v>
      </c>
      <c r="AG37" s="915">
        <v>0</v>
      </c>
      <c r="AH37" s="918">
        <f t="shared" si="49"/>
        <v>0</v>
      </c>
      <c r="AI37" s="918">
        <f t="shared" si="50"/>
        <v>0</v>
      </c>
      <c r="AJ37" s="915">
        <f t="shared" si="51"/>
        <v>0</v>
      </c>
      <c r="AK37" s="916">
        <f t="shared" si="52"/>
        <v>0</v>
      </c>
      <c r="AL37" s="917">
        <v>0</v>
      </c>
      <c r="AM37" s="914">
        <v>0</v>
      </c>
      <c r="AN37" s="915">
        <v>0</v>
      </c>
      <c r="AO37" s="918">
        <f>($Q37*AL37)/1000</f>
        <v>0</v>
      </c>
      <c r="AP37" s="918">
        <f t="shared" si="54"/>
        <v>0</v>
      </c>
      <c r="AQ37" s="915">
        <f t="shared" si="55"/>
        <v>0</v>
      </c>
      <c r="AR37" s="916">
        <f t="shared" si="56"/>
        <v>0</v>
      </c>
      <c r="AS37" s="919">
        <v>0</v>
      </c>
      <c r="AT37" s="914">
        <v>0</v>
      </c>
      <c r="AU37" s="915">
        <v>0</v>
      </c>
      <c r="AV37" s="918">
        <f t="shared" si="60"/>
        <v>0</v>
      </c>
      <c r="AW37" s="915">
        <f t="shared" si="61"/>
        <v>0</v>
      </c>
      <c r="AX37" s="916">
        <f t="shared" si="66"/>
        <v>0</v>
      </c>
      <c r="AY37" s="919">
        <v>0</v>
      </c>
      <c r="AZ37" s="914">
        <v>0</v>
      </c>
      <c r="BA37" s="915">
        <v>0</v>
      </c>
      <c r="BB37" s="918">
        <f t="shared" si="67"/>
        <v>0</v>
      </c>
      <c r="BC37" s="918">
        <f t="shared" si="62"/>
        <v>0</v>
      </c>
      <c r="BD37" s="915">
        <f>IF(BB37&gt;0,SQRT(($W37*$W37)+(BA37*BA37)+($V37*$V37)),0)</f>
        <v>0</v>
      </c>
      <c r="BE37" s="916">
        <f t="shared" si="63"/>
        <v>0</v>
      </c>
      <c r="BF37" s="920">
        <f t="shared" si="64"/>
        <v>0</v>
      </c>
      <c r="BG37" s="921">
        <f t="shared" si="65"/>
        <v>0</v>
      </c>
      <c r="BH37" s="28">
        <f t="shared" si="37"/>
        <v>0</v>
      </c>
      <c r="BI37" s="64"/>
      <c r="BJ37" s="168"/>
      <c r="BK37" s="168"/>
      <c r="BL37" s="168"/>
      <c r="BM37" s="169"/>
      <c r="BN37" s="169"/>
      <c r="BO37" s="169"/>
      <c r="BP37" s="168"/>
      <c r="BQ37" s="168"/>
      <c r="BR37" s="168"/>
      <c r="BS37" s="168"/>
      <c r="BT37" s="168"/>
      <c r="BU37" s="168"/>
      <c r="BV37" s="168"/>
      <c r="BW37" s="168"/>
      <c r="BX37" s="168"/>
      <c r="BY37" s="168"/>
      <c r="BZ37" s="168"/>
      <c r="CA37" s="168"/>
      <c r="CB37" s="170"/>
      <c r="CC37" s="168"/>
      <c r="CD37" s="168"/>
      <c r="CE37" s="170"/>
      <c r="CF37" s="170"/>
      <c r="CG37" s="170"/>
      <c r="CH37" s="170"/>
      <c r="CI37" s="168"/>
      <c r="CJ37" s="168"/>
      <c r="CK37" s="170"/>
      <c r="CL37" s="170"/>
      <c r="CM37" s="170"/>
      <c r="CN37" s="113"/>
      <c r="CO37" s="36"/>
      <c r="CP37" s="36"/>
      <c r="CQ37" s="36"/>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6"/>
      <c r="EA37" s="36"/>
      <c r="EB37" s="36"/>
      <c r="EC37" s="36"/>
      <c r="ED37" s="36"/>
      <c r="EE37" s="36"/>
      <c r="EF37" s="36"/>
      <c r="EG37" s="36"/>
    </row>
    <row r="38" spans="1:137" s="27" customFormat="1" x14ac:dyDescent="0.25">
      <c r="A38" s="26"/>
      <c r="B38" s="1747"/>
      <c r="C38" s="553"/>
      <c r="D38" s="912">
        <f t="shared" si="38"/>
        <v>0</v>
      </c>
      <c r="E38" s="1393"/>
      <c r="F38" s="421"/>
      <c r="G38" s="421"/>
      <c r="H38" s="421"/>
      <c r="I38" s="421"/>
      <c r="J38" s="421"/>
      <c r="K38" s="426"/>
      <c r="L38" s="426"/>
      <c r="M38" s="426"/>
      <c r="N38" s="426"/>
      <c r="O38" s="426"/>
      <c r="P38" s="426"/>
      <c r="Q38" s="422">
        <f t="shared" si="39"/>
        <v>0</v>
      </c>
      <c r="R38" s="423">
        <f t="shared" si="40"/>
        <v>0</v>
      </c>
      <c r="S38" s="422">
        <f t="shared" si="41"/>
        <v>0</v>
      </c>
      <c r="T38" s="422">
        <f t="shared" si="42"/>
        <v>0</v>
      </c>
      <c r="U38" s="422">
        <f t="shared" si="43"/>
        <v>0</v>
      </c>
      <c r="V38" s="424"/>
      <c r="W38" s="425">
        <f t="shared" si="44"/>
        <v>0</v>
      </c>
      <c r="X38" s="913">
        <f>VLOOKUP($C38,$BI$106:$CM$491,3,FALSE)</f>
        <v>0</v>
      </c>
      <c r="Y38" s="914">
        <f>VLOOKUP($C38,$BI$106:$CM$491,4,FALSE)</f>
        <v>0</v>
      </c>
      <c r="Z38" s="915">
        <f>IF($Q38&gt;0,VLOOKUP($C38,$BI$106:$CM$491,6,FALSE),0)</f>
        <v>0</v>
      </c>
      <c r="AA38" s="916">
        <f t="shared" si="45"/>
        <v>0</v>
      </c>
      <c r="AB38" s="916">
        <f t="shared" si="46"/>
        <v>0</v>
      </c>
      <c r="AC38" s="915">
        <f t="shared" si="47"/>
        <v>0</v>
      </c>
      <c r="AD38" s="916">
        <f t="shared" si="48"/>
        <v>0</v>
      </c>
      <c r="AE38" s="917">
        <v>0</v>
      </c>
      <c r="AF38" s="914">
        <v>0</v>
      </c>
      <c r="AG38" s="915">
        <v>0</v>
      </c>
      <c r="AH38" s="918">
        <f t="shared" si="49"/>
        <v>0</v>
      </c>
      <c r="AI38" s="918">
        <f t="shared" si="50"/>
        <v>0</v>
      </c>
      <c r="AJ38" s="915">
        <f t="shared" si="51"/>
        <v>0</v>
      </c>
      <c r="AK38" s="916">
        <f t="shared" si="52"/>
        <v>0</v>
      </c>
      <c r="AL38" s="917">
        <v>0</v>
      </c>
      <c r="AM38" s="914">
        <v>0</v>
      </c>
      <c r="AN38" s="915">
        <v>0</v>
      </c>
      <c r="AO38" s="918">
        <f>($Q38*AL38)/1000</f>
        <v>0</v>
      </c>
      <c r="AP38" s="918">
        <f t="shared" si="54"/>
        <v>0</v>
      </c>
      <c r="AQ38" s="915">
        <f t="shared" si="55"/>
        <v>0</v>
      </c>
      <c r="AR38" s="916">
        <f t="shared" si="56"/>
        <v>0</v>
      </c>
      <c r="AS38" s="919">
        <v>0</v>
      </c>
      <c r="AT38" s="914">
        <v>0</v>
      </c>
      <c r="AU38" s="915">
        <v>0</v>
      </c>
      <c r="AV38" s="918">
        <f t="shared" si="60"/>
        <v>0</v>
      </c>
      <c r="AW38" s="915">
        <f t="shared" si="61"/>
        <v>0</v>
      </c>
      <c r="AX38" s="916">
        <f t="shared" si="66"/>
        <v>0</v>
      </c>
      <c r="AY38" s="919">
        <v>0</v>
      </c>
      <c r="AZ38" s="914">
        <v>0</v>
      </c>
      <c r="BA38" s="915">
        <v>0</v>
      </c>
      <c r="BB38" s="918">
        <f t="shared" si="67"/>
        <v>0</v>
      </c>
      <c r="BC38" s="918">
        <f t="shared" si="62"/>
        <v>0</v>
      </c>
      <c r="BD38" s="915">
        <f>IF(BB38&gt;0,SQRT(($W38*$W38)+(BA38*BA38)+($V38*$V38)),0)</f>
        <v>0</v>
      </c>
      <c r="BE38" s="916">
        <f t="shared" si="63"/>
        <v>0</v>
      </c>
      <c r="BF38" s="920">
        <f t="shared" si="64"/>
        <v>0</v>
      </c>
      <c r="BG38" s="921">
        <f t="shared" si="65"/>
        <v>0</v>
      </c>
      <c r="BH38" s="28">
        <f t="shared" si="37"/>
        <v>0</v>
      </c>
      <c r="BI38" s="64"/>
      <c r="BJ38" s="168"/>
      <c r="BK38" s="168"/>
      <c r="BL38" s="168"/>
      <c r="BM38" s="169"/>
      <c r="BN38" s="169"/>
      <c r="BO38" s="169"/>
      <c r="BP38" s="168"/>
      <c r="BQ38" s="168"/>
      <c r="BR38" s="168"/>
      <c r="BS38" s="168"/>
      <c r="BT38" s="168"/>
      <c r="BU38" s="168"/>
      <c r="BV38" s="168"/>
      <c r="BW38" s="168"/>
      <c r="BX38" s="168"/>
      <c r="BY38" s="168"/>
      <c r="BZ38" s="168"/>
      <c r="CA38" s="168"/>
      <c r="CB38" s="170"/>
      <c r="CC38" s="168"/>
      <c r="CD38" s="168"/>
      <c r="CE38" s="170"/>
      <c r="CF38" s="170"/>
      <c r="CG38" s="170"/>
      <c r="CH38" s="170"/>
      <c r="CI38" s="168"/>
      <c r="CJ38" s="168"/>
      <c r="CK38" s="170"/>
      <c r="CL38" s="170"/>
      <c r="CM38" s="170"/>
      <c r="CN38" s="113"/>
      <c r="CO38" s="36"/>
      <c r="CP38" s="36"/>
      <c r="CQ38" s="36"/>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6"/>
      <c r="EA38" s="36"/>
      <c r="EB38" s="36"/>
      <c r="EC38" s="36"/>
      <c r="ED38" s="36"/>
      <c r="EE38" s="36"/>
      <c r="EF38" s="36"/>
      <c r="EG38" s="36"/>
    </row>
    <row r="39" spans="1:137" s="27" customFormat="1" ht="15.75" x14ac:dyDescent="0.25">
      <c r="A39" s="26"/>
      <c r="B39" s="911" t="s">
        <v>286</v>
      </c>
      <c r="C39" s="902"/>
      <c r="D39" s="902"/>
      <c r="E39" s="902"/>
      <c r="F39" s="902"/>
      <c r="G39" s="902"/>
      <c r="H39" s="902"/>
      <c r="I39" s="902"/>
      <c r="J39" s="902"/>
      <c r="K39" s="902"/>
      <c r="L39" s="902"/>
      <c r="M39" s="902"/>
      <c r="N39" s="902"/>
      <c r="O39" s="902"/>
      <c r="P39" s="902"/>
      <c r="Q39" s="902"/>
      <c r="R39" s="902"/>
      <c r="S39" s="902"/>
      <c r="T39" s="902"/>
      <c r="U39" s="902"/>
      <c r="V39" s="902"/>
      <c r="W39" s="902"/>
      <c r="X39" s="902"/>
      <c r="Y39" s="902"/>
      <c r="Z39" s="902"/>
      <c r="AA39" s="903"/>
      <c r="AB39" s="904">
        <f>SUM(AB29:AB38)</f>
        <v>0</v>
      </c>
      <c r="AC39" s="905">
        <f>IF(AB39&gt;0,SQRT(SUM(AD29:AD38))/AB39,0)</f>
        <v>0</v>
      </c>
      <c r="AD39" s="904">
        <f>(AB39*AC39)^2</f>
        <v>0</v>
      </c>
      <c r="AE39" s="907"/>
      <c r="AF39" s="902"/>
      <c r="AG39" s="902"/>
      <c r="AH39" s="908"/>
      <c r="AI39" s="904">
        <f>SUM(AI29:AI38)</f>
        <v>0</v>
      </c>
      <c r="AJ39" s="905">
        <f>IF(AI39&gt;0,SQRT(SUM(AK29:AK38))/AI39,0)</f>
        <v>0</v>
      </c>
      <c r="AK39" s="904">
        <f>(AI39*AJ39)^2</f>
        <v>0</v>
      </c>
      <c r="AL39" s="902"/>
      <c r="AM39" s="902"/>
      <c r="AN39" s="902"/>
      <c r="AO39" s="902"/>
      <c r="AP39" s="904">
        <f>SUM(AP29:AP38)</f>
        <v>0</v>
      </c>
      <c r="AQ39" s="905">
        <f>IF(AP39&gt;0,SQRT(SUM(AR29:AR38))/AP39,0)</f>
        <v>0</v>
      </c>
      <c r="AR39" s="904">
        <f>(AP39*AQ39)^2</f>
        <v>0</v>
      </c>
      <c r="AS39" s="902"/>
      <c r="AT39" s="902"/>
      <c r="AU39" s="902"/>
      <c r="AV39" s="904">
        <f>SUM(AV29:AV38)</f>
        <v>0</v>
      </c>
      <c r="AW39" s="905">
        <f>IF(AV39&gt;0,SQRT(SUM(AX29:AX38))/AV39,0)</f>
        <v>0</v>
      </c>
      <c r="AX39" s="904">
        <f>(AV39*AW39)^2</f>
        <v>0</v>
      </c>
      <c r="AY39" s="902"/>
      <c r="AZ39" s="902"/>
      <c r="BA39" s="909"/>
      <c r="BB39" s="906"/>
      <c r="BC39" s="904">
        <f>SUM(BC29:BC38)</f>
        <v>0</v>
      </c>
      <c r="BD39" s="905">
        <f>IF(BC39&gt;0,SQRT(SUM(BE29:BE38))/BC39,0)</f>
        <v>0</v>
      </c>
      <c r="BE39" s="904">
        <f>(BC39*BD39)^2</f>
        <v>0</v>
      </c>
      <c r="BF39" s="904">
        <f>SUM(BF29:BF38)</f>
        <v>0</v>
      </c>
      <c r="BG39" s="910">
        <f>IF(BF39&gt;0,SQRT(SUM(BH29:BH38))/BF39,0)</f>
        <v>0</v>
      </c>
      <c r="BH39" s="28">
        <f t="shared" si="37"/>
        <v>0</v>
      </c>
      <c r="BI39" s="64"/>
      <c r="BJ39" s="168"/>
      <c r="BK39" s="168"/>
      <c r="BL39" s="168"/>
      <c r="BM39" s="169"/>
      <c r="BN39" s="169"/>
      <c r="BO39" s="169"/>
      <c r="BP39" s="168"/>
      <c r="BQ39" s="168"/>
      <c r="BR39" s="168"/>
      <c r="BS39" s="168"/>
      <c r="BT39" s="168"/>
      <c r="BU39" s="168"/>
      <c r="BV39" s="168"/>
      <c r="BW39" s="168"/>
      <c r="BX39" s="168"/>
      <c r="BY39" s="168"/>
      <c r="BZ39" s="168"/>
      <c r="CA39" s="168"/>
      <c r="CB39" s="170"/>
      <c r="CC39" s="168"/>
      <c r="CD39" s="168"/>
      <c r="CE39" s="170"/>
      <c r="CF39" s="170"/>
      <c r="CG39" s="170"/>
      <c r="CH39" s="170"/>
      <c r="CI39" s="168"/>
      <c r="CJ39" s="168"/>
      <c r="CK39" s="170"/>
      <c r="CL39" s="170"/>
      <c r="CM39" s="170"/>
      <c r="CN39" s="113"/>
      <c r="CO39" s="36"/>
      <c r="CP39" s="36"/>
      <c r="CQ39" s="36"/>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6"/>
      <c r="EA39" s="36"/>
      <c r="EB39" s="36"/>
      <c r="EC39" s="36"/>
      <c r="ED39" s="36"/>
      <c r="EE39" s="36"/>
      <c r="EF39" s="36"/>
      <c r="EG39" s="36"/>
    </row>
    <row r="40" spans="1:137" s="27" customFormat="1" ht="15.75" x14ac:dyDescent="0.25">
      <c r="A40" s="26"/>
      <c r="B40" s="879" t="s">
        <v>50</v>
      </c>
      <c r="C40" s="880"/>
      <c r="D40" s="880"/>
      <c r="E40" s="880"/>
      <c r="F40" s="880"/>
      <c r="G40" s="880"/>
      <c r="H40" s="880"/>
      <c r="I40" s="880"/>
      <c r="J40" s="880"/>
      <c r="K40" s="880"/>
      <c r="L40" s="880"/>
      <c r="M40" s="880"/>
      <c r="N40" s="880"/>
      <c r="O40" s="880"/>
      <c r="P40" s="880"/>
      <c r="Q40" s="880"/>
      <c r="R40" s="880"/>
      <c r="S40" s="880"/>
      <c r="T40" s="880"/>
      <c r="U40" s="880"/>
      <c r="V40" s="880"/>
      <c r="W40" s="880"/>
      <c r="X40" s="880"/>
      <c r="Y40" s="880"/>
      <c r="Z40" s="880"/>
      <c r="AA40" s="881"/>
      <c r="AB40" s="882">
        <f>+AB28+AB39</f>
        <v>0</v>
      </c>
      <c r="AC40" s="883">
        <f>IF(AB40&gt;0,(SQRT(AD28+AD39))/AB40,0)</f>
        <v>0</v>
      </c>
      <c r="AD40" s="882">
        <f>(AB40*AC40)^2</f>
        <v>0</v>
      </c>
      <c r="AE40" s="884"/>
      <c r="AF40" s="880"/>
      <c r="AG40" s="880"/>
      <c r="AH40" s="885"/>
      <c r="AI40" s="882">
        <f>+AI28+AI39</f>
        <v>0</v>
      </c>
      <c r="AJ40" s="883">
        <f>IF(AI40&gt;0,(SQRT(AK28+AK39))/AI40,0)</f>
        <v>0</v>
      </c>
      <c r="AK40" s="882">
        <f>(AI40*AJ40)^2</f>
        <v>0</v>
      </c>
      <c r="AL40" s="880"/>
      <c r="AM40" s="880"/>
      <c r="AN40" s="880"/>
      <c r="AO40" s="880"/>
      <c r="AP40" s="882">
        <f>+AP28+AP39</f>
        <v>0</v>
      </c>
      <c r="AQ40" s="883">
        <f>IF(AP40&gt;0,(SQRT(AR28+AR39))/AP40,0)</f>
        <v>0</v>
      </c>
      <c r="AR40" s="882">
        <f>(AP40*AQ40)^2</f>
        <v>0</v>
      </c>
      <c r="AS40" s="880"/>
      <c r="AT40" s="880"/>
      <c r="AU40" s="880"/>
      <c r="AV40" s="882">
        <f>+AV28+AV39</f>
        <v>0</v>
      </c>
      <c r="AW40" s="883">
        <f>IF(AV40&gt;0,(SQRT(AX28+AX39))/AV40,0)</f>
        <v>0</v>
      </c>
      <c r="AX40" s="882">
        <f>(AV40*AW40)^2</f>
        <v>0</v>
      </c>
      <c r="AY40" s="880"/>
      <c r="AZ40" s="880"/>
      <c r="BA40" s="886"/>
      <c r="BB40" s="887"/>
      <c r="BC40" s="882">
        <f>+BC28+BC39</f>
        <v>0</v>
      </c>
      <c r="BD40" s="883">
        <f>IF(BC40&gt;0,(SQRT(BE28+BE39))/BC40,0)</f>
        <v>0</v>
      </c>
      <c r="BE40" s="882">
        <f>(BC40*BD40)^2</f>
        <v>0</v>
      </c>
      <c r="BF40" s="882">
        <f>+BF28+BF39</f>
        <v>0</v>
      </c>
      <c r="BG40" s="888">
        <f>IF(BF40&gt;0,(SQRT(BH28+BH39))/BF40,0)</f>
        <v>0</v>
      </c>
      <c r="BH40" s="28">
        <f t="shared" si="37"/>
        <v>0</v>
      </c>
      <c r="BI40" s="64"/>
      <c r="BJ40" s="168"/>
      <c r="BK40" s="168"/>
      <c r="BL40" s="168"/>
      <c r="BM40" s="169"/>
      <c r="BN40" s="169"/>
      <c r="BO40" s="169"/>
      <c r="BP40" s="168"/>
      <c r="BQ40" s="168"/>
      <c r="BR40" s="168"/>
      <c r="BS40" s="168"/>
      <c r="BT40" s="168"/>
      <c r="BU40" s="168"/>
      <c r="BV40" s="168"/>
      <c r="BW40" s="168"/>
      <c r="BX40" s="168"/>
      <c r="BY40" s="168"/>
      <c r="BZ40" s="168"/>
      <c r="CA40" s="168"/>
      <c r="CB40" s="170"/>
      <c r="CC40" s="168"/>
      <c r="CD40" s="168"/>
      <c r="CE40" s="170"/>
      <c r="CF40" s="170"/>
      <c r="CG40" s="170"/>
      <c r="CH40" s="170"/>
      <c r="CI40" s="168"/>
      <c r="CJ40" s="168"/>
      <c r="CK40" s="170"/>
      <c r="CL40" s="170"/>
      <c r="CM40" s="170"/>
      <c r="CN40" s="113"/>
      <c r="CO40" s="36"/>
      <c r="CP40" s="36"/>
      <c r="CQ40" s="36"/>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6"/>
      <c r="EA40" s="36"/>
      <c r="EB40" s="36"/>
      <c r="EC40" s="36"/>
      <c r="ED40" s="36"/>
      <c r="EE40" s="36"/>
      <c r="EF40" s="36"/>
      <c r="EG40" s="36"/>
    </row>
    <row r="41" spans="1:137" s="26" customFormat="1" ht="15.75" x14ac:dyDescent="0.25">
      <c r="B41" s="927"/>
      <c r="C41" s="928"/>
      <c r="D41" s="928"/>
      <c r="E41" s="928"/>
      <c r="F41" s="928"/>
      <c r="G41" s="928"/>
      <c r="H41" s="928"/>
      <c r="I41" s="928"/>
      <c r="J41" s="928"/>
      <c r="K41" s="928"/>
      <c r="L41" s="928"/>
      <c r="M41" s="928"/>
      <c r="N41" s="928"/>
      <c r="O41" s="928"/>
      <c r="P41" s="928"/>
      <c r="Q41" s="928"/>
      <c r="R41" s="928"/>
      <c r="S41" s="928"/>
      <c r="T41" s="928"/>
      <c r="U41" s="928"/>
      <c r="V41" s="928"/>
      <c r="W41" s="928"/>
      <c r="X41" s="928"/>
      <c r="Y41" s="928"/>
      <c r="Z41" s="928"/>
      <c r="AA41" s="929"/>
      <c r="AB41" s="930"/>
      <c r="AC41" s="931"/>
      <c r="AD41" s="930"/>
      <c r="AE41" s="932"/>
      <c r="AF41" s="928"/>
      <c r="AG41" s="928"/>
      <c r="AH41" s="933"/>
      <c r="AI41" s="930"/>
      <c r="AJ41" s="931"/>
      <c r="AK41" s="930"/>
      <c r="AL41" s="928"/>
      <c r="AM41" s="928"/>
      <c r="AN41" s="928"/>
      <c r="AO41" s="928"/>
      <c r="AP41" s="930"/>
      <c r="AQ41" s="931"/>
      <c r="AR41" s="930"/>
      <c r="AS41" s="928"/>
      <c r="AT41" s="928"/>
      <c r="AU41" s="928"/>
      <c r="AV41" s="930"/>
      <c r="AW41" s="931"/>
      <c r="AX41" s="930"/>
      <c r="AY41" s="928"/>
      <c r="AZ41" s="928"/>
      <c r="BA41" s="934"/>
      <c r="BB41" s="935"/>
      <c r="BC41" s="930"/>
      <c r="BD41" s="931"/>
      <c r="BE41" s="930"/>
      <c r="BF41" s="930"/>
      <c r="BG41" s="936"/>
      <c r="BH41" s="28"/>
      <c r="BI41" s="164"/>
      <c r="BJ41" s="165"/>
      <c r="BK41" s="165"/>
      <c r="BL41" s="165"/>
      <c r="BM41" s="166"/>
      <c r="BN41" s="166"/>
      <c r="BO41" s="166"/>
      <c r="BP41" s="165"/>
      <c r="BQ41" s="165"/>
      <c r="BR41" s="165"/>
      <c r="BS41" s="165"/>
      <c r="BT41" s="165"/>
      <c r="BU41" s="165"/>
      <c r="BV41" s="165"/>
      <c r="BW41" s="165"/>
      <c r="BX41" s="165"/>
      <c r="BY41" s="165"/>
      <c r="BZ41" s="165"/>
      <c r="CA41" s="165"/>
      <c r="CB41" s="167"/>
      <c r="CC41" s="165"/>
      <c r="CD41" s="165"/>
      <c r="CE41" s="167"/>
      <c r="CF41" s="167"/>
      <c r="CG41" s="167"/>
      <c r="CH41" s="167"/>
      <c r="CI41" s="165"/>
      <c r="CJ41" s="165"/>
      <c r="CK41" s="167"/>
      <c r="CL41" s="167"/>
      <c r="CM41" s="167"/>
      <c r="CN41" s="112"/>
      <c r="CO41" s="29"/>
      <c r="CP41" s="29"/>
      <c r="CQ41" s="29"/>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9"/>
      <c r="EA41" s="29"/>
      <c r="EB41" s="29"/>
      <c r="EC41" s="29"/>
      <c r="ED41" s="29"/>
      <c r="EE41" s="29"/>
      <c r="EF41" s="29"/>
      <c r="EG41" s="29"/>
    </row>
    <row r="42" spans="1:137" s="27" customFormat="1" ht="24.75" customHeight="1" x14ac:dyDescent="0.25">
      <c r="A42" s="26"/>
      <c r="B42" s="1752" t="s">
        <v>51</v>
      </c>
      <c r="C42" s="1753"/>
      <c r="D42" s="1753"/>
      <c r="E42" s="1753"/>
      <c r="F42" s="1753"/>
      <c r="G42" s="1753"/>
      <c r="H42" s="1753"/>
      <c r="I42" s="1753"/>
      <c r="J42" s="1753"/>
      <c r="K42" s="1753"/>
      <c r="L42" s="1753"/>
      <c r="M42" s="1753"/>
      <c r="N42" s="1753"/>
      <c r="O42" s="1753"/>
      <c r="P42" s="1753"/>
      <c r="Q42" s="1753"/>
      <c r="R42" s="1753"/>
      <c r="S42" s="1753"/>
      <c r="T42" s="1753"/>
      <c r="U42" s="1753"/>
      <c r="V42" s="1753"/>
      <c r="W42" s="1753"/>
      <c r="X42" s="1753"/>
      <c r="Y42" s="1753"/>
      <c r="Z42" s="1753"/>
      <c r="AA42" s="1753"/>
      <c r="AB42" s="1753"/>
      <c r="AC42" s="1753"/>
      <c r="AD42" s="1753"/>
      <c r="AE42" s="1753"/>
      <c r="AF42" s="1753"/>
      <c r="AG42" s="1753"/>
      <c r="AH42" s="1753"/>
      <c r="AI42" s="1753"/>
      <c r="AJ42" s="1753"/>
      <c r="AK42" s="1753"/>
      <c r="AL42" s="1753"/>
      <c r="AM42" s="1753"/>
      <c r="AN42" s="1753"/>
      <c r="AO42" s="1753"/>
      <c r="AP42" s="1753"/>
      <c r="AQ42" s="1753"/>
      <c r="AR42" s="1753"/>
      <c r="AS42" s="1753"/>
      <c r="AT42" s="1753"/>
      <c r="AU42" s="1753"/>
      <c r="AV42" s="1753"/>
      <c r="AW42" s="1753"/>
      <c r="AX42" s="1753"/>
      <c r="AY42" s="1753"/>
      <c r="AZ42" s="1753"/>
      <c r="BA42" s="1753"/>
      <c r="BB42" s="1753"/>
      <c r="BC42" s="1753"/>
      <c r="BD42" s="1753"/>
      <c r="BE42" s="1753"/>
      <c r="BF42" s="1753"/>
      <c r="BG42" s="1754"/>
      <c r="BH42" s="28"/>
      <c r="BI42" s="64"/>
      <c r="BJ42" s="168"/>
      <c r="BK42" s="168"/>
      <c r="BL42" s="168"/>
      <c r="BM42" s="169"/>
      <c r="BN42" s="169"/>
      <c r="BO42" s="169"/>
      <c r="BP42" s="168"/>
      <c r="BQ42" s="168"/>
      <c r="BR42" s="168"/>
      <c r="BS42" s="168"/>
      <c r="BT42" s="168"/>
      <c r="BU42" s="168"/>
      <c r="BV42" s="168"/>
      <c r="BW42" s="168"/>
      <c r="BX42" s="168"/>
      <c r="BY42" s="168"/>
      <c r="BZ42" s="168"/>
      <c r="CA42" s="168"/>
      <c r="CB42" s="170"/>
      <c r="CC42" s="168"/>
      <c r="CD42" s="168"/>
      <c r="CE42" s="170"/>
      <c r="CF42" s="170"/>
      <c r="CG42" s="170"/>
      <c r="CH42" s="170"/>
      <c r="CI42" s="168"/>
      <c r="CJ42" s="168"/>
      <c r="CK42" s="170"/>
      <c r="CL42" s="170"/>
      <c r="CM42" s="170"/>
      <c r="CN42" s="113"/>
      <c r="CO42" s="36"/>
      <c r="CP42" s="36"/>
      <c r="CQ42" s="36"/>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6"/>
      <c r="DX42" s="36"/>
      <c r="DY42" s="36"/>
      <c r="DZ42" s="36"/>
      <c r="EA42" s="36"/>
      <c r="EB42" s="36"/>
      <c r="EC42" s="36"/>
      <c r="ED42" s="36"/>
    </row>
    <row r="43" spans="1:137" s="64" customFormat="1" ht="15" customHeight="1" x14ac:dyDescent="0.25">
      <c r="A43" s="26"/>
      <c r="B43" s="1740" t="s">
        <v>283</v>
      </c>
      <c r="C43" s="1742" t="s">
        <v>287</v>
      </c>
      <c r="D43" s="1742" t="s">
        <v>25</v>
      </c>
      <c r="E43" s="1742"/>
      <c r="F43" s="1742"/>
      <c r="G43" s="1742"/>
      <c r="H43" s="1742"/>
      <c r="I43" s="1742"/>
      <c r="J43" s="1742"/>
      <c r="K43" s="1742"/>
      <c r="L43" s="1742"/>
      <c r="M43" s="1742"/>
      <c r="N43" s="1742"/>
      <c r="O43" s="1742"/>
      <c r="P43" s="1742"/>
      <c r="Q43" s="1742"/>
      <c r="R43" s="1742"/>
      <c r="S43" s="1742" t="s">
        <v>193</v>
      </c>
      <c r="T43" s="1742"/>
      <c r="U43" s="1742"/>
      <c r="V43" s="1742"/>
      <c r="W43" s="1742"/>
      <c r="X43" s="1743" t="s">
        <v>201</v>
      </c>
      <c r="Y43" s="1743"/>
      <c r="Z43" s="1743"/>
      <c r="AA43" s="1743"/>
      <c r="AB43" s="1743"/>
      <c r="AC43" s="1743"/>
      <c r="AD43" s="1743"/>
      <c r="AE43" s="1743" t="s">
        <v>200</v>
      </c>
      <c r="AF43" s="1743"/>
      <c r="AG43" s="1743"/>
      <c r="AH43" s="1743"/>
      <c r="AI43" s="1743"/>
      <c r="AJ43" s="1743"/>
      <c r="AK43" s="1743"/>
      <c r="AL43" s="1743" t="s">
        <v>199</v>
      </c>
      <c r="AM43" s="1743"/>
      <c r="AN43" s="1743"/>
      <c r="AO43" s="1743"/>
      <c r="AP43" s="1743"/>
      <c r="AQ43" s="1743"/>
      <c r="AR43" s="1743"/>
      <c r="AS43" s="1743" t="s">
        <v>363</v>
      </c>
      <c r="AT43" s="1743"/>
      <c r="AU43" s="1743"/>
      <c r="AV43" s="1743"/>
      <c r="AW43" s="1743"/>
      <c r="AX43" s="1743"/>
      <c r="AY43" s="1743" t="s">
        <v>198</v>
      </c>
      <c r="AZ43" s="1743"/>
      <c r="BA43" s="1743"/>
      <c r="BB43" s="1743"/>
      <c r="BC43" s="1743"/>
      <c r="BD43" s="1743"/>
      <c r="BE43" s="1743"/>
      <c r="BF43" s="1744" t="s">
        <v>604</v>
      </c>
      <c r="BG43" s="1745" t="s">
        <v>26</v>
      </c>
      <c r="BH43" s="28"/>
      <c r="BJ43" s="168"/>
      <c r="BK43" s="168"/>
      <c r="BL43" s="168"/>
      <c r="BM43" s="169"/>
      <c r="BN43" s="169"/>
      <c r="BO43" s="169"/>
      <c r="BP43" s="168"/>
      <c r="BQ43" s="168"/>
      <c r="BR43" s="168"/>
      <c r="BS43" s="168"/>
      <c r="BT43" s="168"/>
      <c r="BU43" s="168"/>
      <c r="BV43" s="168"/>
      <c r="BW43" s="168"/>
      <c r="BX43" s="168"/>
      <c r="BY43" s="168"/>
      <c r="BZ43" s="168"/>
      <c r="CA43" s="168"/>
      <c r="CB43" s="170"/>
      <c r="CC43" s="168"/>
      <c r="CD43" s="168"/>
      <c r="CE43" s="170"/>
      <c r="CF43" s="170"/>
      <c r="CG43" s="170"/>
      <c r="CH43" s="170"/>
      <c r="CI43" s="168"/>
      <c r="CJ43" s="168"/>
      <c r="CK43" s="170"/>
      <c r="CL43" s="170"/>
      <c r="CM43" s="170"/>
      <c r="CN43" s="113"/>
      <c r="CO43" s="36"/>
      <c r="CP43" s="36"/>
      <c r="CQ43" s="36"/>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6"/>
      <c r="DX43" s="36"/>
      <c r="DY43" s="36"/>
      <c r="DZ43" s="36"/>
      <c r="EA43" s="36"/>
      <c r="EB43" s="36"/>
      <c r="EC43" s="36"/>
      <c r="ED43" s="36"/>
    </row>
    <row r="44" spans="1:137" s="64" customFormat="1" ht="60" x14ac:dyDescent="0.25">
      <c r="A44" s="26"/>
      <c r="B44" s="1741"/>
      <c r="C44" s="1742"/>
      <c r="D44" s="896" t="s">
        <v>27</v>
      </c>
      <c r="E44" s="896" t="s">
        <v>28</v>
      </c>
      <c r="F44" s="896" t="s">
        <v>29</v>
      </c>
      <c r="G44" s="896" t="s">
        <v>30</v>
      </c>
      <c r="H44" s="896" t="s">
        <v>31</v>
      </c>
      <c r="I44" s="896" t="s">
        <v>32</v>
      </c>
      <c r="J44" s="896" t="s">
        <v>33</v>
      </c>
      <c r="K44" s="896" t="s">
        <v>34</v>
      </c>
      <c r="L44" s="896" t="s">
        <v>35</v>
      </c>
      <c r="M44" s="896" t="s">
        <v>36</v>
      </c>
      <c r="N44" s="896" t="s">
        <v>37</v>
      </c>
      <c r="O44" s="896" t="s">
        <v>38</v>
      </c>
      <c r="P44" s="896" t="s">
        <v>39</v>
      </c>
      <c r="Q44" s="896" t="s">
        <v>40</v>
      </c>
      <c r="R44" s="896" t="s">
        <v>41</v>
      </c>
      <c r="S44" s="896" t="s">
        <v>42</v>
      </c>
      <c r="T44" s="896" t="s">
        <v>43</v>
      </c>
      <c r="U44" s="896" t="s">
        <v>44</v>
      </c>
      <c r="V44" s="897" t="s">
        <v>210</v>
      </c>
      <c r="W44" s="898" t="s">
        <v>193</v>
      </c>
      <c r="X44" s="1744" t="s">
        <v>194</v>
      </c>
      <c r="Y44" s="1744"/>
      <c r="Z44" s="896" t="s">
        <v>202</v>
      </c>
      <c r="AA44" s="899" t="s">
        <v>605</v>
      </c>
      <c r="AB44" s="899" t="s">
        <v>617</v>
      </c>
      <c r="AC44" s="896" t="s">
        <v>203</v>
      </c>
      <c r="AD44" s="899" t="s">
        <v>294</v>
      </c>
      <c r="AE44" s="1744" t="s">
        <v>195</v>
      </c>
      <c r="AF44" s="1744"/>
      <c r="AG44" s="898" t="s">
        <v>204</v>
      </c>
      <c r="AH44" s="900" t="s">
        <v>618</v>
      </c>
      <c r="AI44" s="900" t="s">
        <v>619</v>
      </c>
      <c r="AJ44" s="896" t="s">
        <v>205</v>
      </c>
      <c r="AK44" s="899" t="s">
        <v>294</v>
      </c>
      <c r="AL44" s="1744" t="s">
        <v>196</v>
      </c>
      <c r="AM44" s="1744"/>
      <c r="AN44" s="896" t="s">
        <v>206</v>
      </c>
      <c r="AO44" s="896" t="s">
        <v>620</v>
      </c>
      <c r="AP44" s="896" t="s">
        <v>621</v>
      </c>
      <c r="AQ44" s="896" t="s">
        <v>207</v>
      </c>
      <c r="AR44" s="899" t="s">
        <v>294</v>
      </c>
      <c r="AS44" s="1744" t="s">
        <v>622</v>
      </c>
      <c r="AT44" s="1744"/>
      <c r="AU44" s="898" t="s">
        <v>365</v>
      </c>
      <c r="AV44" s="899" t="s">
        <v>623</v>
      </c>
      <c r="AW44" s="896" t="s">
        <v>364</v>
      </c>
      <c r="AX44" s="899" t="s">
        <v>294</v>
      </c>
      <c r="AY44" s="1744" t="s">
        <v>197</v>
      </c>
      <c r="AZ44" s="1744"/>
      <c r="BA44" s="896" t="s">
        <v>208</v>
      </c>
      <c r="BB44" s="899" t="s">
        <v>624</v>
      </c>
      <c r="BC44" s="899" t="s">
        <v>625</v>
      </c>
      <c r="BD44" s="896" t="s">
        <v>209</v>
      </c>
      <c r="BE44" s="899" t="s">
        <v>294</v>
      </c>
      <c r="BF44" s="1744"/>
      <c r="BG44" s="1745"/>
      <c r="BH44" s="28"/>
      <c r="BJ44" s="168"/>
      <c r="BK44" s="168"/>
      <c r="BL44" s="168"/>
      <c r="BM44" s="169"/>
      <c r="BN44" s="169"/>
      <c r="BO44" s="169"/>
      <c r="BP44" s="168"/>
      <c r="BQ44" s="168"/>
      <c r="BR44" s="168"/>
      <c r="BS44" s="168"/>
      <c r="BT44" s="168"/>
      <c r="BU44" s="168"/>
      <c r="BV44" s="168"/>
      <c r="BW44" s="168"/>
      <c r="BX44" s="168"/>
      <c r="BY44" s="168"/>
      <c r="BZ44" s="168"/>
      <c r="CA44" s="168"/>
      <c r="CB44" s="170"/>
      <c r="CC44" s="168"/>
      <c r="CD44" s="168"/>
      <c r="CE44" s="170"/>
      <c r="CF44" s="170"/>
      <c r="CG44" s="170"/>
      <c r="CH44" s="170"/>
      <c r="CI44" s="168"/>
      <c r="CJ44" s="168"/>
      <c r="CK44" s="170"/>
      <c r="CL44" s="170"/>
      <c r="CM44" s="170"/>
      <c r="CN44" s="113"/>
      <c r="CO44" s="36"/>
      <c r="CP44" s="36"/>
      <c r="CQ44" s="36"/>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6"/>
      <c r="DX44" s="36"/>
      <c r="DY44" s="36"/>
      <c r="DZ44" s="36"/>
      <c r="EA44" s="36"/>
      <c r="EB44" s="36"/>
      <c r="EC44" s="36"/>
      <c r="ED44" s="36"/>
    </row>
    <row r="45" spans="1:137" s="27" customFormat="1" x14ac:dyDescent="0.25">
      <c r="A45" s="26"/>
      <c r="B45" s="755" t="s">
        <v>1450</v>
      </c>
      <c r="C45" s="553"/>
      <c r="D45" s="912">
        <f t="shared" ref="D45:D53" si="68">VLOOKUP($C45,$BI$121:$CM$506,2,FALSE)</f>
        <v>0</v>
      </c>
      <c r="E45" s="421"/>
      <c r="F45" s="421"/>
      <c r="G45" s="421"/>
      <c r="H45" s="421"/>
      <c r="I45" s="421"/>
      <c r="J45" s="421"/>
      <c r="K45" s="421"/>
      <c r="L45" s="421"/>
      <c r="M45" s="421"/>
      <c r="N45" s="421"/>
      <c r="O45" s="421"/>
      <c r="P45" s="421"/>
      <c r="Q45" s="422">
        <f t="shared" ref="Q45:Q53" si="69">SUM(E45:P45)</f>
        <v>0</v>
      </c>
      <c r="R45" s="423">
        <f t="shared" ref="R45:R53" si="70">COUNT(E45:P45)</f>
        <v>0</v>
      </c>
      <c r="S45" s="422">
        <f t="shared" ref="S45:S53" si="71">IF(R45&gt;1,AVERAGE(E45:P45),0)</f>
        <v>0</v>
      </c>
      <c r="T45" s="422">
        <f t="shared" ref="T45:T53" si="72">IF(R45&gt;1,STDEV(E45:P45),0)</f>
        <v>0</v>
      </c>
      <c r="U45" s="422">
        <f t="shared" ref="U45:U53" si="73">IF(R45&gt;1,VLOOKUP($R45,$BI$458:$BJ$470,2,FALSE),0)</f>
        <v>0</v>
      </c>
      <c r="V45" s="424"/>
      <c r="W45" s="425">
        <f t="shared" ref="W45:W53" si="74">IF(R45&gt;1,1-((S45-((T45*U45)/(SQRT(R45))))/S45),VLOOKUP($C45,$BI$121:$CP$506,34,FALSE))</f>
        <v>0</v>
      </c>
      <c r="X45" s="919">
        <v>0</v>
      </c>
      <c r="Y45" s="914">
        <v>0</v>
      </c>
      <c r="Z45" s="915">
        <v>0</v>
      </c>
      <c r="AA45" s="916">
        <f t="shared" ref="AA45:AA53" si="75">($Q45*X45)/1000</f>
        <v>0</v>
      </c>
      <c r="AB45" s="916">
        <f t="shared" ref="AB45:AB53" si="76">AA45*$BJ$476</f>
        <v>0</v>
      </c>
      <c r="AC45" s="915">
        <f t="shared" ref="AC45:AC53" si="77">IF(AA45&gt;0,SQRT(($W45*$W45)+(Z45*Z45)+($V45*$V45)),0)</f>
        <v>0</v>
      </c>
      <c r="AD45" s="916">
        <f t="shared" ref="AD45:AD53" si="78">(AB45*AC45)^2</f>
        <v>0</v>
      </c>
      <c r="AE45" s="917">
        <f>VLOOKUP($C45,$BI$121:$CM$506,3,FALSE)</f>
        <v>0</v>
      </c>
      <c r="AF45" s="914">
        <f t="shared" ref="AF45:AF53" si="79">VLOOKUP($C45,$BI$121:$CM$506,4,FALSE)</f>
        <v>0</v>
      </c>
      <c r="AG45" s="915">
        <f t="shared" ref="AG45:AG53" si="80">IF($Q45&gt;0,VLOOKUP($C45,$BI$121:$CM$506,6,FALSE),0)</f>
        <v>0</v>
      </c>
      <c r="AH45" s="916">
        <f t="shared" ref="AH45:AH53" si="81">($Q45*AE45)/1000</f>
        <v>0</v>
      </c>
      <c r="AI45" s="918">
        <f t="shared" ref="AI45:AI53" si="82">AH45*$BJ$477</f>
        <v>0</v>
      </c>
      <c r="AJ45" s="915">
        <f t="shared" ref="AJ45:AJ53" si="83">IF(AH45&gt;0,SQRT(($W45*$W45)+(AG45*AG45)+($V45*$V45)),0)</f>
        <v>0</v>
      </c>
      <c r="AK45" s="916">
        <f t="shared" ref="AK45:AK53" si="84">(AI45*AJ45)^2</f>
        <v>0</v>
      </c>
      <c r="AL45" s="917">
        <v>0</v>
      </c>
      <c r="AM45" s="914">
        <v>0</v>
      </c>
      <c r="AN45" s="915">
        <v>0</v>
      </c>
      <c r="AO45" s="918">
        <f t="shared" ref="AO45:AO53" si="85">(W45*AL45)/1000</f>
        <v>0</v>
      </c>
      <c r="AP45" s="918">
        <f t="shared" ref="AP45:AP53" si="86">AO45*$BJ$478</f>
        <v>0</v>
      </c>
      <c r="AQ45" s="915">
        <f t="shared" ref="AQ45:AQ62" si="87">IF(AO45&gt;0,SQRT(($W45*$W45)+(AN45*AN45)+($V45*$V45)),0)</f>
        <v>0</v>
      </c>
      <c r="AR45" s="916">
        <f t="shared" ref="AR45:AR62" si="88">(AP45*AQ45)^2</f>
        <v>0</v>
      </c>
      <c r="AS45" s="919">
        <v>0</v>
      </c>
      <c r="AT45" s="914">
        <v>0</v>
      </c>
      <c r="AU45" s="915">
        <v>0</v>
      </c>
      <c r="AV45" s="918">
        <v>0</v>
      </c>
      <c r="AW45" s="915">
        <v>0</v>
      </c>
      <c r="AX45" s="916">
        <f t="shared" ref="AX45:AX53" si="89">(AV45*AW45)^2</f>
        <v>0</v>
      </c>
      <c r="AY45" s="919">
        <v>0</v>
      </c>
      <c r="AZ45" s="914">
        <v>0</v>
      </c>
      <c r="BA45" s="915">
        <v>0</v>
      </c>
      <c r="BB45" s="918">
        <f t="shared" ref="BB45:BB53" si="90">($Q45*AY45)/1000</f>
        <v>0</v>
      </c>
      <c r="BC45" s="918">
        <f t="shared" ref="BC45:BC53" si="91">BB45*$BJ$479</f>
        <v>0</v>
      </c>
      <c r="BD45" s="915">
        <v>0</v>
      </c>
      <c r="BE45" s="916">
        <f t="shared" ref="BE45:BE53" si="92">(BC45*BD45)^2</f>
        <v>0</v>
      </c>
      <c r="BF45" s="920">
        <f t="shared" ref="BF45:BF62" si="93">AB45+AI45+AP45+AV45+BC45</f>
        <v>0</v>
      </c>
      <c r="BG45" s="921">
        <f t="shared" ref="BG45:BG62" si="94">IF(BF45&gt;0,SQRT(AD45+AK45+AR45+AX45+BE45)/BF45,0)</f>
        <v>0</v>
      </c>
      <c r="BH45" s="28">
        <f t="shared" ref="BH45:BH74" si="95">(BF45*BG45)^2</f>
        <v>0</v>
      </c>
      <c r="BI45" s="64"/>
      <c r="BJ45" s="168"/>
      <c r="BK45" s="168"/>
      <c r="BL45" s="168"/>
      <c r="BM45" s="169"/>
      <c r="BN45" s="169"/>
      <c r="BO45" s="169"/>
      <c r="BP45" s="168"/>
      <c r="BQ45" s="168"/>
      <c r="BR45" s="168"/>
      <c r="BS45" s="168"/>
      <c r="BT45" s="168"/>
      <c r="BU45" s="168"/>
      <c r="BV45" s="168"/>
      <c r="BW45" s="168"/>
      <c r="BX45" s="168"/>
      <c r="BY45" s="168"/>
      <c r="BZ45" s="168"/>
      <c r="CA45" s="168"/>
      <c r="CB45" s="170"/>
      <c r="CC45" s="168"/>
      <c r="CD45" s="168"/>
      <c r="CE45" s="170"/>
      <c r="CF45" s="170"/>
      <c r="CG45" s="170"/>
      <c r="CH45" s="170"/>
      <c r="CI45" s="168"/>
      <c r="CJ45" s="168"/>
      <c r="CK45" s="170"/>
      <c r="CL45" s="170"/>
      <c r="CM45" s="170"/>
      <c r="CN45" s="113"/>
      <c r="CO45" s="36"/>
      <c r="CP45" s="36"/>
      <c r="CQ45" s="36"/>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6"/>
      <c r="DX45" s="36"/>
      <c r="DY45" s="36"/>
      <c r="DZ45" s="36"/>
      <c r="EA45" s="36"/>
      <c r="EB45" s="36"/>
      <c r="EC45" s="36"/>
      <c r="ED45" s="36"/>
    </row>
    <row r="46" spans="1:137" s="27" customFormat="1" x14ac:dyDescent="0.25">
      <c r="A46" s="26"/>
      <c r="B46" s="1737" t="s">
        <v>54</v>
      </c>
      <c r="C46" s="560"/>
      <c r="D46" s="912">
        <f t="shared" si="68"/>
        <v>0</v>
      </c>
      <c r="E46" s="421"/>
      <c r="F46" s="421"/>
      <c r="G46" s="421"/>
      <c r="H46" s="421"/>
      <c r="I46" s="421"/>
      <c r="J46" s="421"/>
      <c r="K46" s="421"/>
      <c r="L46" s="421"/>
      <c r="M46" s="421"/>
      <c r="N46" s="421"/>
      <c r="O46" s="421"/>
      <c r="P46" s="421"/>
      <c r="Q46" s="422">
        <f t="shared" si="69"/>
        <v>0</v>
      </c>
      <c r="R46" s="423">
        <f t="shared" si="70"/>
        <v>0</v>
      </c>
      <c r="S46" s="422">
        <f t="shared" si="71"/>
        <v>0</v>
      </c>
      <c r="T46" s="422">
        <f t="shared" si="72"/>
        <v>0</v>
      </c>
      <c r="U46" s="422">
        <f t="shared" si="73"/>
        <v>0</v>
      </c>
      <c r="V46" s="424"/>
      <c r="W46" s="425">
        <f t="shared" si="74"/>
        <v>0</v>
      </c>
      <c r="X46" s="919">
        <v>0</v>
      </c>
      <c r="Y46" s="914">
        <v>0</v>
      </c>
      <c r="Z46" s="915">
        <v>0</v>
      </c>
      <c r="AA46" s="916">
        <f t="shared" si="75"/>
        <v>0</v>
      </c>
      <c r="AB46" s="916">
        <f t="shared" si="76"/>
        <v>0</v>
      </c>
      <c r="AC46" s="915">
        <f t="shared" si="77"/>
        <v>0</v>
      </c>
      <c r="AD46" s="916">
        <f t="shared" si="78"/>
        <v>0</v>
      </c>
      <c r="AE46" s="917">
        <f t="shared" ref="AE46:AE53" si="96">IF(R46&gt;0,VLOOKUP($C46,$BI$121:$CM$506,3,FALSE)/R46,0)</f>
        <v>0</v>
      </c>
      <c r="AF46" s="914">
        <f t="shared" si="79"/>
        <v>0</v>
      </c>
      <c r="AG46" s="915">
        <f t="shared" si="80"/>
        <v>0</v>
      </c>
      <c r="AH46" s="916">
        <f t="shared" si="81"/>
        <v>0</v>
      </c>
      <c r="AI46" s="918">
        <f t="shared" si="82"/>
        <v>0</v>
      </c>
      <c r="AJ46" s="915">
        <f t="shared" si="83"/>
        <v>0</v>
      </c>
      <c r="AK46" s="916">
        <f t="shared" si="84"/>
        <v>0</v>
      </c>
      <c r="AL46" s="917">
        <v>0</v>
      </c>
      <c r="AM46" s="914">
        <v>0</v>
      </c>
      <c r="AN46" s="915">
        <v>0</v>
      </c>
      <c r="AO46" s="918">
        <f t="shared" si="85"/>
        <v>0</v>
      </c>
      <c r="AP46" s="918">
        <f t="shared" si="86"/>
        <v>0</v>
      </c>
      <c r="AQ46" s="915">
        <f t="shared" si="87"/>
        <v>0</v>
      </c>
      <c r="AR46" s="916">
        <f t="shared" si="88"/>
        <v>0</v>
      </c>
      <c r="AS46" s="919">
        <v>0</v>
      </c>
      <c r="AT46" s="914">
        <v>0</v>
      </c>
      <c r="AU46" s="915">
        <v>0</v>
      </c>
      <c r="AV46" s="918">
        <v>0</v>
      </c>
      <c r="AW46" s="915">
        <v>0</v>
      </c>
      <c r="AX46" s="916">
        <f t="shared" si="89"/>
        <v>0</v>
      </c>
      <c r="AY46" s="919">
        <v>0</v>
      </c>
      <c r="AZ46" s="914">
        <v>0</v>
      </c>
      <c r="BA46" s="915">
        <v>0</v>
      </c>
      <c r="BB46" s="918">
        <f t="shared" si="90"/>
        <v>0</v>
      </c>
      <c r="BC46" s="918">
        <f t="shared" si="91"/>
        <v>0</v>
      </c>
      <c r="BD46" s="915">
        <v>0</v>
      </c>
      <c r="BE46" s="916">
        <f t="shared" si="92"/>
        <v>0</v>
      </c>
      <c r="BF46" s="920">
        <f t="shared" si="93"/>
        <v>0</v>
      </c>
      <c r="BG46" s="921">
        <f t="shared" si="94"/>
        <v>0</v>
      </c>
      <c r="BH46" s="28">
        <f t="shared" si="95"/>
        <v>0</v>
      </c>
      <c r="BI46" s="64"/>
      <c r="BJ46" s="168"/>
      <c r="BK46" s="168"/>
      <c r="BL46" s="168"/>
      <c r="BM46" s="169"/>
      <c r="BN46" s="169"/>
      <c r="BO46" s="169"/>
      <c r="BP46" s="168"/>
      <c r="BQ46" s="168"/>
      <c r="BR46" s="168"/>
      <c r="BS46" s="168"/>
      <c r="BT46" s="168"/>
      <c r="BU46" s="168"/>
      <c r="BV46" s="168"/>
      <c r="BW46" s="168"/>
      <c r="BX46" s="168"/>
      <c r="BY46" s="168"/>
      <c r="BZ46" s="168"/>
      <c r="CA46" s="168"/>
      <c r="CB46" s="170"/>
      <c r="CC46" s="168"/>
      <c r="CD46" s="168"/>
      <c r="CE46" s="170"/>
      <c r="CF46" s="170"/>
      <c r="CG46" s="170"/>
      <c r="CH46" s="170"/>
      <c r="CI46" s="168"/>
      <c r="CJ46" s="168"/>
      <c r="CK46" s="170"/>
      <c r="CL46" s="170"/>
      <c r="CM46" s="170"/>
      <c r="CN46" s="113"/>
      <c r="CO46" s="36"/>
      <c r="CP46" s="36"/>
      <c r="CQ46" s="36"/>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6"/>
      <c r="DX46" s="36"/>
      <c r="DY46" s="36"/>
      <c r="DZ46" s="36"/>
      <c r="EA46" s="36"/>
      <c r="EB46" s="36"/>
      <c r="EC46" s="36"/>
      <c r="ED46" s="36"/>
    </row>
    <row r="47" spans="1:137" s="27" customFormat="1" x14ac:dyDescent="0.25">
      <c r="A47" s="26"/>
      <c r="B47" s="1738"/>
      <c r="C47" s="560"/>
      <c r="D47" s="912">
        <f t="shared" si="68"/>
        <v>0</v>
      </c>
      <c r="E47" s="421"/>
      <c r="F47" s="421"/>
      <c r="G47" s="421"/>
      <c r="H47" s="421"/>
      <c r="I47" s="421"/>
      <c r="J47" s="421"/>
      <c r="K47" s="421"/>
      <c r="L47" s="421"/>
      <c r="M47" s="421"/>
      <c r="N47" s="421"/>
      <c r="O47" s="421"/>
      <c r="P47" s="421"/>
      <c r="Q47" s="422">
        <f t="shared" si="69"/>
        <v>0</v>
      </c>
      <c r="R47" s="423">
        <f t="shared" si="70"/>
        <v>0</v>
      </c>
      <c r="S47" s="422">
        <f t="shared" si="71"/>
        <v>0</v>
      </c>
      <c r="T47" s="422">
        <f t="shared" si="72"/>
        <v>0</v>
      </c>
      <c r="U47" s="422">
        <f t="shared" si="73"/>
        <v>0</v>
      </c>
      <c r="V47" s="424"/>
      <c r="W47" s="425">
        <f t="shared" si="74"/>
        <v>0</v>
      </c>
      <c r="X47" s="919">
        <v>0</v>
      </c>
      <c r="Y47" s="914">
        <v>0</v>
      </c>
      <c r="Z47" s="915">
        <v>0</v>
      </c>
      <c r="AA47" s="916">
        <f t="shared" si="75"/>
        <v>0</v>
      </c>
      <c r="AB47" s="916">
        <f t="shared" si="76"/>
        <v>0</v>
      </c>
      <c r="AC47" s="915">
        <f t="shared" si="77"/>
        <v>0</v>
      </c>
      <c r="AD47" s="916">
        <f t="shared" si="78"/>
        <v>0</v>
      </c>
      <c r="AE47" s="917">
        <f t="shared" si="96"/>
        <v>0</v>
      </c>
      <c r="AF47" s="914">
        <f t="shared" si="79"/>
        <v>0</v>
      </c>
      <c r="AG47" s="915">
        <f t="shared" si="80"/>
        <v>0</v>
      </c>
      <c r="AH47" s="916">
        <f t="shared" si="81"/>
        <v>0</v>
      </c>
      <c r="AI47" s="918">
        <f t="shared" si="82"/>
        <v>0</v>
      </c>
      <c r="AJ47" s="915">
        <f t="shared" si="83"/>
        <v>0</v>
      </c>
      <c r="AK47" s="916">
        <f t="shared" si="84"/>
        <v>0</v>
      </c>
      <c r="AL47" s="917">
        <v>0</v>
      </c>
      <c r="AM47" s="914">
        <v>0</v>
      </c>
      <c r="AN47" s="915">
        <v>0</v>
      </c>
      <c r="AO47" s="918">
        <f t="shared" si="85"/>
        <v>0</v>
      </c>
      <c r="AP47" s="918">
        <f t="shared" si="86"/>
        <v>0</v>
      </c>
      <c r="AQ47" s="915">
        <f>IF(AO47&gt;0,SQRT(($W47*$W47)+(AN47*AN47)+($V47*$V47)),0)</f>
        <v>0</v>
      </c>
      <c r="AR47" s="916">
        <f>(AP47*AQ47)^2</f>
        <v>0</v>
      </c>
      <c r="AS47" s="919">
        <v>0</v>
      </c>
      <c r="AT47" s="914">
        <v>0</v>
      </c>
      <c r="AU47" s="915">
        <v>0</v>
      </c>
      <c r="AV47" s="918">
        <v>0</v>
      </c>
      <c r="AW47" s="915">
        <v>0</v>
      </c>
      <c r="AX47" s="916">
        <f t="shared" si="89"/>
        <v>0</v>
      </c>
      <c r="AY47" s="919">
        <v>0</v>
      </c>
      <c r="AZ47" s="914">
        <v>0</v>
      </c>
      <c r="BA47" s="915">
        <v>0</v>
      </c>
      <c r="BB47" s="918">
        <f t="shared" si="90"/>
        <v>0</v>
      </c>
      <c r="BC47" s="918">
        <f t="shared" si="91"/>
        <v>0</v>
      </c>
      <c r="BD47" s="915">
        <v>0</v>
      </c>
      <c r="BE47" s="916">
        <f t="shared" si="92"/>
        <v>0</v>
      </c>
      <c r="BF47" s="920">
        <f>AB47+AI47+AP47+AV47+BC47</f>
        <v>0</v>
      </c>
      <c r="BG47" s="921">
        <f>IF(BF47&gt;0,SQRT(AD47+AK47+AR47+AX47+BE47)/BF47,0)</f>
        <v>0</v>
      </c>
      <c r="BH47" s="28">
        <f>(BF47*BG47)^2</f>
        <v>0</v>
      </c>
      <c r="BI47" s="64"/>
      <c r="BJ47" s="168"/>
      <c r="BK47" s="168"/>
      <c r="BL47" s="168"/>
      <c r="BM47" s="169"/>
      <c r="BN47" s="169"/>
      <c r="BO47" s="169"/>
      <c r="BP47" s="168"/>
      <c r="BQ47" s="168"/>
      <c r="BR47" s="168"/>
      <c r="BS47" s="168"/>
      <c r="BT47" s="168"/>
      <c r="BU47" s="168"/>
      <c r="BV47" s="168"/>
      <c r="BW47" s="168"/>
      <c r="BX47" s="168"/>
      <c r="BY47" s="168"/>
      <c r="BZ47" s="168"/>
      <c r="CA47" s="168"/>
      <c r="CB47" s="170"/>
      <c r="CC47" s="168"/>
      <c r="CD47" s="168"/>
      <c r="CE47" s="170"/>
      <c r="CF47" s="170"/>
      <c r="CG47" s="170"/>
      <c r="CH47" s="170"/>
      <c r="CI47" s="168"/>
      <c r="CJ47" s="168"/>
      <c r="CK47" s="170"/>
      <c r="CL47" s="170"/>
      <c r="CM47" s="170"/>
      <c r="CN47" s="113"/>
      <c r="CO47" s="36"/>
      <c r="CP47" s="36"/>
      <c r="CQ47" s="36"/>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6"/>
      <c r="DX47" s="36"/>
      <c r="DY47" s="36"/>
      <c r="DZ47" s="36"/>
      <c r="EA47" s="36"/>
      <c r="EB47" s="36"/>
      <c r="EC47" s="36"/>
      <c r="ED47" s="36"/>
    </row>
    <row r="48" spans="1:137" s="27" customFormat="1" x14ac:dyDescent="0.25">
      <c r="A48" s="26"/>
      <c r="B48" s="1738"/>
      <c r="C48" s="560"/>
      <c r="D48" s="912">
        <f t="shared" si="68"/>
        <v>0</v>
      </c>
      <c r="E48" s="421"/>
      <c r="F48" s="421"/>
      <c r="G48" s="421"/>
      <c r="H48" s="421"/>
      <c r="I48" s="421"/>
      <c r="J48" s="421"/>
      <c r="K48" s="421"/>
      <c r="L48" s="421"/>
      <c r="M48" s="421"/>
      <c r="N48" s="421"/>
      <c r="O48" s="421"/>
      <c r="P48" s="421"/>
      <c r="Q48" s="422">
        <f t="shared" si="69"/>
        <v>0</v>
      </c>
      <c r="R48" s="423">
        <f t="shared" si="70"/>
        <v>0</v>
      </c>
      <c r="S48" s="422">
        <f t="shared" si="71"/>
        <v>0</v>
      </c>
      <c r="T48" s="422">
        <f t="shared" si="72"/>
        <v>0</v>
      </c>
      <c r="U48" s="422">
        <f t="shared" si="73"/>
        <v>0</v>
      </c>
      <c r="V48" s="424"/>
      <c r="W48" s="425">
        <f t="shared" si="74"/>
        <v>0</v>
      </c>
      <c r="X48" s="919">
        <v>0</v>
      </c>
      <c r="Y48" s="914">
        <v>0</v>
      </c>
      <c r="Z48" s="915">
        <v>0</v>
      </c>
      <c r="AA48" s="916">
        <f t="shared" si="75"/>
        <v>0</v>
      </c>
      <c r="AB48" s="916">
        <f t="shared" si="76"/>
        <v>0</v>
      </c>
      <c r="AC48" s="915">
        <f t="shared" si="77"/>
        <v>0</v>
      </c>
      <c r="AD48" s="916">
        <f t="shared" si="78"/>
        <v>0</v>
      </c>
      <c r="AE48" s="917">
        <f t="shared" si="96"/>
        <v>0</v>
      </c>
      <c r="AF48" s="914">
        <f t="shared" si="79"/>
        <v>0</v>
      </c>
      <c r="AG48" s="915">
        <f t="shared" si="80"/>
        <v>0</v>
      </c>
      <c r="AH48" s="916">
        <f t="shared" si="81"/>
        <v>0</v>
      </c>
      <c r="AI48" s="918">
        <f t="shared" si="82"/>
        <v>0</v>
      </c>
      <c r="AJ48" s="915">
        <f t="shared" si="83"/>
        <v>0</v>
      </c>
      <c r="AK48" s="916">
        <f t="shared" si="84"/>
        <v>0</v>
      </c>
      <c r="AL48" s="917">
        <v>0</v>
      </c>
      <c r="AM48" s="914">
        <v>0</v>
      </c>
      <c r="AN48" s="915">
        <v>0</v>
      </c>
      <c r="AO48" s="918">
        <f t="shared" si="85"/>
        <v>0</v>
      </c>
      <c r="AP48" s="918">
        <f t="shared" si="86"/>
        <v>0</v>
      </c>
      <c r="AQ48" s="915">
        <f>IF(AO48&gt;0,SQRT(($W48*$W48)+(AN48*AN48)+($V48*$V48)),0)</f>
        <v>0</v>
      </c>
      <c r="AR48" s="916">
        <f>(AP48*AQ48)^2</f>
        <v>0</v>
      </c>
      <c r="AS48" s="919">
        <v>0</v>
      </c>
      <c r="AT48" s="914">
        <v>0</v>
      </c>
      <c r="AU48" s="915">
        <v>0</v>
      </c>
      <c r="AV48" s="918">
        <v>0</v>
      </c>
      <c r="AW48" s="915">
        <v>0</v>
      </c>
      <c r="AX48" s="916">
        <f t="shared" si="89"/>
        <v>0</v>
      </c>
      <c r="AY48" s="919">
        <v>0</v>
      </c>
      <c r="AZ48" s="914">
        <v>0</v>
      </c>
      <c r="BA48" s="915">
        <v>0</v>
      </c>
      <c r="BB48" s="918">
        <f t="shared" si="90"/>
        <v>0</v>
      </c>
      <c r="BC48" s="918">
        <f t="shared" si="91"/>
        <v>0</v>
      </c>
      <c r="BD48" s="915">
        <v>0</v>
      </c>
      <c r="BE48" s="916">
        <f t="shared" si="92"/>
        <v>0</v>
      </c>
      <c r="BF48" s="920">
        <f>AB48+AI48+AP48+AV48+BC48</f>
        <v>0</v>
      </c>
      <c r="BG48" s="921">
        <f>IF(BF48&gt;0,SQRT(AD48+AK48+AR48+AX48+BE48)/BF48,0)</f>
        <v>0</v>
      </c>
      <c r="BH48" s="28">
        <f>(BF48*BG48)^2</f>
        <v>0</v>
      </c>
      <c r="BI48" s="64"/>
      <c r="BJ48" s="168"/>
      <c r="BK48" s="168"/>
      <c r="BL48" s="168"/>
      <c r="BM48" s="169"/>
      <c r="BN48" s="169"/>
      <c r="BO48" s="169"/>
      <c r="BP48" s="168"/>
      <c r="BQ48" s="168"/>
      <c r="BR48" s="168"/>
      <c r="BS48" s="168"/>
      <c r="BT48" s="168"/>
      <c r="BU48" s="168"/>
      <c r="BV48" s="168"/>
      <c r="BW48" s="168"/>
      <c r="BX48" s="168"/>
      <c r="BY48" s="168"/>
      <c r="BZ48" s="168"/>
      <c r="CA48" s="168"/>
      <c r="CB48" s="170"/>
      <c r="CC48" s="168"/>
      <c r="CD48" s="168"/>
      <c r="CE48" s="170"/>
      <c r="CF48" s="170"/>
      <c r="CG48" s="170"/>
      <c r="CH48" s="170"/>
      <c r="CI48" s="168"/>
      <c r="CJ48" s="168"/>
      <c r="CK48" s="170"/>
      <c r="CL48" s="170"/>
      <c r="CM48" s="170"/>
      <c r="CN48" s="113"/>
      <c r="CO48" s="36"/>
      <c r="CP48" s="36"/>
      <c r="CQ48" s="36"/>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6"/>
      <c r="DX48" s="36"/>
      <c r="DY48" s="36"/>
      <c r="DZ48" s="36"/>
      <c r="EA48" s="36"/>
      <c r="EB48" s="36"/>
      <c r="EC48" s="36"/>
      <c r="ED48" s="36"/>
    </row>
    <row r="49" spans="1:134" s="27" customFormat="1" x14ac:dyDescent="0.25">
      <c r="A49" s="26"/>
      <c r="B49" s="1738"/>
      <c r="C49" s="560"/>
      <c r="D49" s="912">
        <f t="shared" si="68"/>
        <v>0</v>
      </c>
      <c r="E49" s="421"/>
      <c r="F49" s="421"/>
      <c r="G49" s="421"/>
      <c r="H49" s="421"/>
      <c r="I49" s="421"/>
      <c r="J49" s="421"/>
      <c r="K49" s="421"/>
      <c r="L49" s="421"/>
      <c r="M49" s="421"/>
      <c r="N49" s="421"/>
      <c r="O49" s="421"/>
      <c r="P49" s="421"/>
      <c r="Q49" s="422">
        <f t="shared" si="69"/>
        <v>0</v>
      </c>
      <c r="R49" s="423">
        <f t="shared" si="70"/>
        <v>0</v>
      </c>
      <c r="S49" s="422">
        <f t="shared" si="71"/>
        <v>0</v>
      </c>
      <c r="T49" s="422">
        <f t="shared" si="72"/>
        <v>0</v>
      </c>
      <c r="U49" s="422">
        <f t="shared" si="73"/>
        <v>0</v>
      </c>
      <c r="V49" s="424"/>
      <c r="W49" s="425">
        <f t="shared" si="74"/>
        <v>0</v>
      </c>
      <c r="X49" s="919">
        <v>0</v>
      </c>
      <c r="Y49" s="914">
        <v>0</v>
      </c>
      <c r="Z49" s="915">
        <v>0</v>
      </c>
      <c r="AA49" s="916">
        <f t="shared" si="75"/>
        <v>0</v>
      </c>
      <c r="AB49" s="916">
        <f t="shared" si="76"/>
        <v>0</v>
      </c>
      <c r="AC49" s="915">
        <f t="shared" si="77"/>
        <v>0</v>
      </c>
      <c r="AD49" s="916">
        <f t="shared" si="78"/>
        <v>0</v>
      </c>
      <c r="AE49" s="917">
        <f t="shared" si="96"/>
        <v>0</v>
      </c>
      <c r="AF49" s="914">
        <f t="shared" si="79"/>
        <v>0</v>
      </c>
      <c r="AG49" s="915">
        <f t="shared" si="80"/>
        <v>0</v>
      </c>
      <c r="AH49" s="916">
        <f t="shared" si="81"/>
        <v>0</v>
      </c>
      <c r="AI49" s="918">
        <f t="shared" si="82"/>
        <v>0</v>
      </c>
      <c r="AJ49" s="915">
        <f t="shared" si="83"/>
        <v>0</v>
      </c>
      <c r="AK49" s="916">
        <f t="shared" si="84"/>
        <v>0</v>
      </c>
      <c r="AL49" s="917">
        <v>0</v>
      </c>
      <c r="AM49" s="914">
        <v>0</v>
      </c>
      <c r="AN49" s="915">
        <v>0</v>
      </c>
      <c r="AO49" s="918">
        <f t="shared" si="85"/>
        <v>0</v>
      </c>
      <c r="AP49" s="918">
        <f t="shared" si="86"/>
        <v>0</v>
      </c>
      <c r="AQ49" s="915">
        <f t="shared" si="87"/>
        <v>0</v>
      </c>
      <c r="AR49" s="916">
        <f t="shared" si="88"/>
        <v>0</v>
      </c>
      <c r="AS49" s="919">
        <v>0</v>
      </c>
      <c r="AT49" s="914">
        <v>0</v>
      </c>
      <c r="AU49" s="915">
        <v>0</v>
      </c>
      <c r="AV49" s="918">
        <v>0</v>
      </c>
      <c r="AW49" s="915">
        <v>0</v>
      </c>
      <c r="AX49" s="916">
        <f t="shared" si="89"/>
        <v>0</v>
      </c>
      <c r="AY49" s="919">
        <v>0</v>
      </c>
      <c r="AZ49" s="914">
        <v>0</v>
      </c>
      <c r="BA49" s="915">
        <v>0</v>
      </c>
      <c r="BB49" s="918">
        <f t="shared" si="90"/>
        <v>0</v>
      </c>
      <c r="BC49" s="918">
        <f t="shared" si="91"/>
        <v>0</v>
      </c>
      <c r="BD49" s="915">
        <v>0</v>
      </c>
      <c r="BE49" s="916">
        <f t="shared" si="92"/>
        <v>0</v>
      </c>
      <c r="BF49" s="920">
        <f t="shared" si="93"/>
        <v>0</v>
      </c>
      <c r="BG49" s="921">
        <f t="shared" si="94"/>
        <v>0</v>
      </c>
      <c r="BH49" s="28">
        <f t="shared" si="95"/>
        <v>0</v>
      </c>
      <c r="BI49" s="64"/>
      <c r="BJ49" s="168"/>
      <c r="BK49" s="168"/>
      <c r="BL49" s="168"/>
      <c r="BM49" s="169"/>
      <c r="BN49" s="169"/>
      <c r="BO49" s="169"/>
      <c r="BP49" s="168"/>
      <c r="BQ49" s="168"/>
      <c r="BR49" s="168"/>
      <c r="BS49" s="168"/>
      <c r="BT49" s="168"/>
      <c r="BU49" s="168"/>
      <c r="BV49" s="168"/>
      <c r="BW49" s="168"/>
      <c r="BX49" s="168"/>
      <c r="BY49" s="168"/>
      <c r="BZ49" s="168"/>
      <c r="CA49" s="168"/>
      <c r="CB49" s="170"/>
      <c r="CC49" s="168"/>
      <c r="CD49" s="168"/>
      <c r="CE49" s="170"/>
      <c r="CF49" s="170"/>
      <c r="CG49" s="170"/>
      <c r="CH49" s="170"/>
      <c r="CI49" s="168"/>
      <c r="CJ49" s="168"/>
      <c r="CK49" s="170"/>
      <c r="CL49" s="170"/>
      <c r="CM49" s="170"/>
      <c r="CN49" s="113"/>
      <c r="CO49" s="36"/>
      <c r="CP49" s="36"/>
      <c r="CQ49" s="36"/>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6"/>
      <c r="DX49" s="36"/>
      <c r="DY49" s="36"/>
      <c r="DZ49" s="36"/>
      <c r="EA49" s="36"/>
      <c r="EB49" s="36"/>
      <c r="EC49" s="36"/>
      <c r="ED49" s="36"/>
    </row>
    <row r="50" spans="1:134" s="27" customFormat="1" x14ac:dyDescent="0.25">
      <c r="A50" s="26"/>
      <c r="B50" s="1738"/>
      <c r="C50" s="560"/>
      <c r="D50" s="912">
        <f t="shared" si="68"/>
        <v>0</v>
      </c>
      <c r="E50" s="421"/>
      <c r="F50" s="421"/>
      <c r="G50" s="421"/>
      <c r="H50" s="421"/>
      <c r="I50" s="421"/>
      <c r="J50" s="421"/>
      <c r="K50" s="421"/>
      <c r="L50" s="421"/>
      <c r="M50" s="421"/>
      <c r="N50" s="421"/>
      <c r="O50" s="421"/>
      <c r="P50" s="421"/>
      <c r="Q50" s="422">
        <f t="shared" si="69"/>
        <v>0</v>
      </c>
      <c r="R50" s="423">
        <f t="shared" si="70"/>
        <v>0</v>
      </c>
      <c r="S50" s="422">
        <f t="shared" si="71"/>
        <v>0</v>
      </c>
      <c r="T50" s="422">
        <f t="shared" si="72"/>
        <v>0</v>
      </c>
      <c r="U50" s="422">
        <f t="shared" si="73"/>
        <v>0</v>
      </c>
      <c r="V50" s="424"/>
      <c r="W50" s="425">
        <f t="shared" si="74"/>
        <v>0</v>
      </c>
      <c r="X50" s="919">
        <v>0</v>
      </c>
      <c r="Y50" s="914">
        <v>0</v>
      </c>
      <c r="Z50" s="915">
        <v>0</v>
      </c>
      <c r="AA50" s="916">
        <f t="shared" si="75"/>
        <v>0</v>
      </c>
      <c r="AB50" s="916">
        <f t="shared" si="76"/>
        <v>0</v>
      </c>
      <c r="AC50" s="915">
        <f t="shared" si="77"/>
        <v>0</v>
      </c>
      <c r="AD50" s="916">
        <f t="shared" si="78"/>
        <v>0</v>
      </c>
      <c r="AE50" s="917">
        <f t="shared" si="96"/>
        <v>0</v>
      </c>
      <c r="AF50" s="914">
        <f t="shared" si="79"/>
        <v>0</v>
      </c>
      <c r="AG50" s="915">
        <f t="shared" si="80"/>
        <v>0</v>
      </c>
      <c r="AH50" s="916">
        <f t="shared" si="81"/>
        <v>0</v>
      </c>
      <c r="AI50" s="918">
        <f t="shared" si="82"/>
        <v>0</v>
      </c>
      <c r="AJ50" s="915">
        <f t="shared" si="83"/>
        <v>0</v>
      </c>
      <c r="AK50" s="916">
        <f t="shared" si="84"/>
        <v>0</v>
      </c>
      <c r="AL50" s="917">
        <v>0</v>
      </c>
      <c r="AM50" s="914">
        <v>0</v>
      </c>
      <c r="AN50" s="915">
        <v>0</v>
      </c>
      <c r="AO50" s="918">
        <f t="shared" si="85"/>
        <v>0</v>
      </c>
      <c r="AP50" s="918">
        <f t="shared" si="86"/>
        <v>0</v>
      </c>
      <c r="AQ50" s="915">
        <f>IF(AO50&gt;0,SQRT(($W50*$W50)+(AN50*AN50)+($V50*$V50)),0)</f>
        <v>0</v>
      </c>
      <c r="AR50" s="916">
        <f>(AP50*AQ50)^2</f>
        <v>0</v>
      </c>
      <c r="AS50" s="919">
        <v>0</v>
      </c>
      <c r="AT50" s="914">
        <v>0</v>
      </c>
      <c r="AU50" s="915">
        <v>0</v>
      </c>
      <c r="AV50" s="918">
        <v>0</v>
      </c>
      <c r="AW50" s="915">
        <v>0</v>
      </c>
      <c r="AX50" s="916">
        <f t="shared" si="89"/>
        <v>0</v>
      </c>
      <c r="AY50" s="919">
        <v>0</v>
      </c>
      <c r="AZ50" s="914">
        <v>0</v>
      </c>
      <c r="BA50" s="915">
        <v>0</v>
      </c>
      <c r="BB50" s="918">
        <f t="shared" si="90"/>
        <v>0</v>
      </c>
      <c r="BC50" s="918">
        <f t="shared" si="91"/>
        <v>0</v>
      </c>
      <c r="BD50" s="915">
        <v>0</v>
      </c>
      <c r="BE50" s="916">
        <f t="shared" si="92"/>
        <v>0</v>
      </c>
      <c r="BF50" s="920">
        <f>AB50+AI50+AP50+AV50+BC50</f>
        <v>0</v>
      </c>
      <c r="BG50" s="921">
        <f>IF(BF50&gt;0,SQRT(AD50+AK50+AR50+AX50+BE50)/BF50,0)</f>
        <v>0</v>
      </c>
      <c r="BH50" s="28">
        <f>(BF50*BG50)^2</f>
        <v>0</v>
      </c>
      <c r="BI50" s="64"/>
      <c r="BJ50" s="168"/>
      <c r="BK50" s="168"/>
      <c r="BL50" s="168"/>
      <c r="BM50" s="169"/>
      <c r="BN50" s="169"/>
      <c r="BO50" s="169"/>
      <c r="BP50" s="168"/>
      <c r="BQ50" s="168"/>
      <c r="BR50" s="168"/>
      <c r="BS50" s="168"/>
      <c r="BT50" s="168"/>
      <c r="BU50" s="168"/>
      <c r="BV50" s="168"/>
      <c r="BW50" s="168"/>
      <c r="BX50" s="168"/>
      <c r="BY50" s="168"/>
      <c r="BZ50" s="168"/>
      <c r="CA50" s="168"/>
      <c r="CB50" s="170"/>
      <c r="CC50" s="168"/>
      <c r="CD50" s="168"/>
      <c r="CE50" s="170"/>
      <c r="CF50" s="170"/>
      <c r="CG50" s="170"/>
      <c r="CH50" s="170"/>
      <c r="CI50" s="168"/>
      <c r="CJ50" s="168"/>
      <c r="CK50" s="170"/>
      <c r="CL50" s="170"/>
      <c r="CM50" s="170"/>
      <c r="CN50" s="113"/>
      <c r="CO50" s="36"/>
      <c r="CP50" s="36"/>
      <c r="CQ50" s="36"/>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6"/>
      <c r="DX50" s="36"/>
      <c r="DY50" s="36"/>
      <c r="DZ50" s="36"/>
      <c r="EA50" s="36"/>
      <c r="EB50" s="36"/>
      <c r="EC50" s="36"/>
      <c r="ED50" s="36"/>
    </row>
    <row r="51" spans="1:134" s="27" customFormat="1" x14ac:dyDescent="0.25">
      <c r="A51" s="26"/>
      <c r="B51" s="1738"/>
      <c r="C51" s="560"/>
      <c r="D51" s="912">
        <f t="shared" si="68"/>
        <v>0</v>
      </c>
      <c r="E51" s="421"/>
      <c r="F51" s="421"/>
      <c r="G51" s="421"/>
      <c r="H51" s="421"/>
      <c r="I51" s="421"/>
      <c r="J51" s="421"/>
      <c r="K51" s="421"/>
      <c r="L51" s="421"/>
      <c r="M51" s="421"/>
      <c r="N51" s="421"/>
      <c r="O51" s="421"/>
      <c r="P51" s="421"/>
      <c r="Q51" s="422">
        <f t="shared" si="69"/>
        <v>0</v>
      </c>
      <c r="R51" s="423">
        <f t="shared" si="70"/>
        <v>0</v>
      </c>
      <c r="S51" s="422">
        <f t="shared" si="71"/>
        <v>0</v>
      </c>
      <c r="T51" s="422">
        <f t="shared" si="72"/>
        <v>0</v>
      </c>
      <c r="U51" s="422">
        <f t="shared" si="73"/>
        <v>0</v>
      </c>
      <c r="V51" s="424"/>
      <c r="W51" s="425">
        <f t="shared" si="74"/>
        <v>0</v>
      </c>
      <c r="X51" s="919">
        <v>0</v>
      </c>
      <c r="Y51" s="914">
        <v>0</v>
      </c>
      <c r="Z51" s="915">
        <v>0</v>
      </c>
      <c r="AA51" s="916">
        <f t="shared" si="75"/>
        <v>0</v>
      </c>
      <c r="AB51" s="916">
        <f t="shared" si="76"/>
        <v>0</v>
      </c>
      <c r="AC51" s="915">
        <f t="shared" si="77"/>
        <v>0</v>
      </c>
      <c r="AD51" s="916">
        <f t="shared" si="78"/>
        <v>0</v>
      </c>
      <c r="AE51" s="917">
        <f t="shared" si="96"/>
        <v>0</v>
      </c>
      <c r="AF51" s="914">
        <f t="shared" si="79"/>
        <v>0</v>
      </c>
      <c r="AG51" s="915">
        <f t="shared" si="80"/>
        <v>0</v>
      </c>
      <c r="AH51" s="916">
        <f t="shared" si="81"/>
        <v>0</v>
      </c>
      <c r="AI51" s="918">
        <f t="shared" si="82"/>
        <v>0</v>
      </c>
      <c r="AJ51" s="915">
        <f t="shared" si="83"/>
        <v>0</v>
      </c>
      <c r="AK51" s="916">
        <f t="shared" si="84"/>
        <v>0</v>
      </c>
      <c r="AL51" s="917">
        <v>0</v>
      </c>
      <c r="AM51" s="914">
        <v>0</v>
      </c>
      <c r="AN51" s="915">
        <v>0</v>
      </c>
      <c r="AO51" s="918">
        <f t="shared" si="85"/>
        <v>0</v>
      </c>
      <c r="AP51" s="918">
        <f t="shared" si="86"/>
        <v>0</v>
      </c>
      <c r="AQ51" s="915">
        <f>IF(AO51&gt;0,SQRT(($W51*$W51)+(AN51*AN51)+($V51*$V51)),0)</f>
        <v>0</v>
      </c>
      <c r="AR51" s="916">
        <f>(AP51*AQ51)^2</f>
        <v>0</v>
      </c>
      <c r="AS51" s="919">
        <v>0</v>
      </c>
      <c r="AT51" s="914">
        <v>0</v>
      </c>
      <c r="AU51" s="915">
        <v>0</v>
      </c>
      <c r="AV51" s="918">
        <v>0</v>
      </c>
      <c r="AW51" s="915">
        <v>0</v>
      </c>
      <c r="AX51" s="916">
        <f t="shared" si="89"/>
        <v>0</v>
      </c>
      <c r="AY51" s="919">
        <v>0</v>
      </c>
      <c r="AZ51" s="914">
        <v>0</v>
      </c>
      <c r="BA51" s="915">
        <v>0</v>
      </c>
      <c r="BB51" s="918">
        <f t="shared" si="90"/>
        <v>0</v>
      </c>
      <c r="BC51" s="918">
        <f t="shared" si="91"/>
        <v>0</v>
      </c>
      <c r="BD51" s="915">
        <v>0</v>
      </c>
      <c r="BE51" s="916">
        <f t="shared" si="92"/>
        <v>0</v>
      </c>
      <c r="BF51" s="920">
        <f>AB51+AI51+AP51+AV51+BC51</f>
        <v>0</v>
      </c>
      <c r="BG51" s="921">
        <f>IF(BF51&gt;0,SQRT(AD51+AK51+AR51+AX51+BE51)/BF51,0)</f>
        <v>0</v>
      </c>
      <c r="BH51" s="28">
        <f>(BF51*BG51)^2</f>
        <v>0</v>
      </c>
      <c r="BI51" s="64"/>
      <c r="BJ51" s="168"/>
      <c r="BK51" s="168"/>
      <c r="BL51" s="168"/>
      <c r="BM51" s="169"/>
      <c r="BN51" s="169"/>
      <c r="BO51" s="169"/>
      <c r="BP51" s="168"/>
      <c r="BQ51" s="168"/>
      <c r="BR51" s="168"/>
      <c r="BS51" s="168"/>
      <c r="BT51" s="168"/>
      <c r="BU51" s="168"/>
      <c r="BV51" s="168"/>
      <c r="BW51" s="168"/>
      <c r="BX51" s="168"/>
      <c r="BY51" s="168"/>
      <c r="BZ51" s="168"/>
      <c r="CA51" s="168"/>
      <c r="CB51" s="170"/>
      <c r="CC51" s="168"/>
      <c r="CD51" s="168"/>
      <c r="CE51" s="170"/>
      <c r="CF51" s="170"/>
      <c r="CG51" s="170"/>
      <c r="CH51" s="170"/>
      <c r="CI51" s="168"/>
      <c r="CJ51" s="168"/>
      <c r="CK51" s="170"/>
      <c r="CL51" s="170"/>
      <c r="CM51" s="170"/>
      <c r="CN51" s="113"/>
      <c r="CO51" s="36"/>
      <c r="CP51" s="36"/>
      <c r="CQ51" s="36"/>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6"/>
      <c r="DX51" s="36"/>
      <c r="DY51" s="36"/>
      <c r="DZ51" s="36"/>
      <c r="EA51" s="36"/>
      <c r="EB51" s="36"/>
      <c r="EC51" s="36"/>
      <c r="ED51" s="36"/>
    </row>
    <row r="52" spans="1:134" s="27" customFormat="1" x14ac:dyDescent="0.25">
      <c r="A52" s="26"/>
      <c r="B52" s="1738"/>
      <c r="C52" s="560"/>
      <c r="D52" s="912">
        <f t="shared" si="68"/>
        <v>0</v>
      </c>
      <c r="E52" s="421"/>
      <c r="F52" s="421"/>
      <c r="G52" s="421"/>
      <c r="H52" s="421"/>
      <c r="I52" s="421"/>
      <c r="J52" s="421"/>
      <c r="K52" s="421"/>
      <c r="L52" s="421"/>
      <c r="M52" s="421"/>
      <c r="N52" s="421"/>
      <c r="O52" s="421"/>
      <c r="P52" s="421"/>
      <c r="Q52" s="422">
        <f t="shared" si="69"/>
        <v>0</v>
      </c>
      <c r="R52" s="423">
        <f t="shared" si="70"/>
        <v>0</v>
      </c>
      <c r="S52" s="422">
        <f t="shared" si="71"/>
        <v>0</v>
      </c>
      <c r="T52" s="422">
        <f t="shared" si="72"/>
        <v>0</v>
      </c>
      <c r="U52" s="422">
        <f t="shared" si="73"/>
        <v>0</v>
      </c>
      <c r="V52" s="424"/>
      <c r="W52" s="425">
        <f t="shared" si="74"/>
        <v>0</v>
      </c>
      <c r="X52" s="919">
        <v>0</v>
      </c>
      <c r="Y52" s="914">
        <v>0</v>
      </c>
      <c r="Z52" s="915">
        <v>0</v>
      </c>
      <c r="AA52" s="916">
        <f t="shared" si="75"/>
        <v>0</v>
      </c>
      <c r="AB52" s="916">
        <f t="shared" si="76"/>
        <v>0</v>
      </c>
      <c r="AC52" s="915">
        <f t="shared" si="77"/>
        <v>0</v>
      </c>
      <c r="AD52" s="916">
        <f t="shared" si="78"/>
        <v>0</v>
      </c>
      <c r="AE52" s="917">
        <f t="shared" si="96"/>
        <v>0</v>
      </c>
      <c r="AF52" s="914">
        <f t="shared" si="79"/>
        <v>0</v>
      </c>
      <c r="AG52" s="915">
        <f t="shared" si="80"/>
        <v>0</v>
      </c>
      <c r="AH52" s="916">
        <f t="shared" si="81"/>
        <v>0</v>
      </c>
      <c r="AI52" s="918">
        <f t="shared" si="82"/>
        <v>0</v>
      </c>
      <c r="AJ52" s="915">
        <f t="shared" si="83"/>
        <v>0</v>
      </c>
      <c r="AK52" s="916">
        <f t="shared" si="84"/>
        <v>0</v>
      </c>
      <c r="AL52" s="917">
        <v>0</v>
      </c>
      <c r="AM52" s="914">
        <v>0</v>
      </c>
      <c r="AN52" s="915">
        <v>0</v>
      </c>
      <c r="AO52" s="918">
        <f t="shared" si="85"/>
        <v>0</v>
      </c>
      <c r="AP52" s="918">
        <f t="shared" si="86"/>
        <v>0</v>
      </c>
      <c r="AQ52" s="915">
        <f t="shared" si="87"/>
        <v>0</v>
      </c>
      <c r="AR52" s="916">
        <f t="shared" si="88"/>
        <v>0</v>
      </c>
      <c r="AS52" s="919">
        <v>0</v>
      </c>
      <c r="AT52" s="914">
        <v>0</v>
      </c>
      <c r="AU52" s="915">
        <v>0</v>
      </c>
      <c r="AV52" s="918">
        <v>0</v>
      </c>
      <c r="AW52" s="915">
        <v>0</v>
      </c>
      <c r="AX52" s="916">
        <f t="shared" si="89"/>
        <v>0</v>
      </c>
      <c r="AY52" s="919">
        <v>0</v>
      </c>
      <c r="AZ52" s="914">
        <v>0</v>
      </c>
      <c r="BA52" s="915">
        <v>0</v>
      </c>
      <c r="BB52" s="918">
        <f t="shared" si="90"/>
        <v>0</v>
      </c>
      <c r="BC52" s="918">
        <f t="shared" si="91"/>
        <v>0</v>
      </c>
      <c r="BD52" s="915">
        <v>0</v>
      </c>
      <c r="BE52" s="916">
        <f t="shared" si="92"/>
        <v>0</v>
      </c>
      <c r="BF52" s="920">
        <f t="shared" si="93"/>
        <v>0</v>
      </c>
      <c r="BG52" s="921">
        <f t="shared" si="94"/>
        <v>0</v>
      </c>
      <c r="BH52" s="28">
        <f t="shared" si="95"/>
        <v>0</v>
      </c>
      <c r="BI52" s="64"/>
      <c r="BJ52" s="168"/>
      <c r="BK52" s="168"/>
      <c r="BL52" s="168"/>
      <c r="BM52" s="169"/>
      <c r="BN52" s="169"/>
      <c r="BO52" s="169"/>
      <c r="BP52" s="168"/>
      <c r="BQ52" s="168"/>
      <c r="BR52" s="168"/>
      <c r="BS52" s="168"/>
      <c r="BT52" s="168"/>
      <c r="BU52" s="168"/>
      <c r="BV52" s="168"/>
      <c r="BW52" s="168"/>
      <c r="BX52" s="168"/>
      <c r="BY52" s="168"/>
      <c r="BZ52" s="168"/>
      <c r="CA52" s="168"/>
      <c r="CB52" s="170"/>
      <c r="CC52" s="168"/>
      <c r="CD52" s="168"/>
      <c r="CE52" s="170"/>
      <c r="CF52" s="170"/>
      <c r="CG52" s="170"/>
      <c r="CH52" s="170"/>
      <c r="CI52" s="168"/>
      <c r="CJ52" s="168"/>
      <c r="CK52" s="170"/>
      <c r="CL52" s="170"/>
      <c r="CM52" s="170"/>
      <c r="CN52" s="113"/>
      <c r="CO52" s="36"/>
      <c r="CP52" s="36"/>
      <c r="CQ52" s="36"/>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6"/>
      <c r="DX52" s="36"/>
      <c r="DY52" s="36"/>
      <c r="DZ52" s="36"/>
      <c r="EA52" s="36"/>
      <c r="EB52" s="36"/>
      <c r="EC52" s="36"/>
      <c r="ED52" s="36"/>
    </row>
    <row r="53" spans="1:134" s="27" customFormat="1" x14ac:dyDescent="0.25">
      <c r="A53" s="26"/>
      <c r="B53" s="1739"/>
      <c r="C53" s="560"/>
      <c r="D53" s="912">
        <f t="shared" si="68"/>
        <v>0</v>
      </c>
      <c r="E53" s="421"/>
      <c r="F53" s="421"/>
      <c r="G53" s="421"/>
      <c r="H53" s="421"/>
      <c r="I53" s="421"/>
      <c r="J53" s="421"/>
      <c r="K53" s="421"/>
      <c r="L53" s="421"/>
      <c r="M53" s="421"/>
      <c r="N53" s="421"/>
      <c r="O53" s="421"/>
      <c r="P53" s="421"/>
      <c r="Q53" s="422">
        <f t="shared" si="69"/>
        <v>0</v>
      </c>
      <c r="R53" s="423">
        <f t="shared" si="70"/>
        <v>0</v>
      </c>
      <c r="S53" s="422">
        <f t="shared" si="71"/>
        <v>0</v>
      </c>
      <c r="T53" s="422">
        <f t="shared" si="72"/>
        <v>0</v>
      </c>
      <c r="U53" s="422">
        <f t="shared" si="73"/>
        <v>0</v>
      </c>
      <c r="V53" s="424"/>
      <c r="W53" s="425">
        <f t="shared" si="74"/>
        <v>0</v>
      </c>
      <c r="X53" s="919">
        <v>0</v>
      </c>
      <c r="Y53" s="914">
        <v>0</v>
      </c>
      <c r="Z53" s="915">
        <v>0</v>
      </c>
      <c r="AA53" s="916">
        <f t="shared" si="75"/>
        <v>0</v>
      </c>
      <c r="AB53" s="916">
        <f t="shared" si="76"/>
        <v>0</v>
      </c>
      <c r="AC53" s="915">
        <f t="shared" si="77"/>
        <v>0</v>
      </c>
      <c r="AD53" s="916">
        <f t="shared" si="78"/>
        <v>0</v>
      </c>
      <c r="AE53" s="917">
        <f t="shared" si="96"/>
        <v>0</v>
      </c>
      <c r="AF53" s="914">
        <f t="shared" si="79"/>
        <v>0</v>
      </c>
      <c r="AG53" s="915">
        <f t="shared" si="80"/>
        <v>0</v>
      </c>
      <c r="AH53" s="916">
        <f t="shared" si="81"/>
        <v>0</v>
      </c>
      <c r="AI53" s="918">
        <f t="shared" si="82"/>
        <v>0</v>
      </c>
      <c r="AJ53" s="915">
        <f t="shared" si="83"/>
        <v>0</v>
      </c>
      <c r="AK53" s="916">
        <f t="shared" si="84"/>
        <v>0</v>
      </c>
      <c r="AL53" s="917">
        <v>0</v>
      </c>
      <c r="AM53" s="914">
        <v>0</v>
      </c>
      <c r="AN53" s="915">
        <v>0</v>
      </c>
      <c r="AO53" s="918">
        <f t="shared" si="85"/>
        <v>0</v>
      </c>
      <c r="AP53" s="918">
        <f t="shared" si="86"/>
        <v>0</v>
      </c>
      <c r="AQ53" s="915">
        <f t="shared" si="87"/>
        <v>0</v>
      </c>
      <c r="AR53" s="916">
        <f t="shared" si="88"/>
        <v>0</v>
      </c>
      <c r="AS53" s="919">
        <v>0</v>
      </c>
      <c r="AT53" s="914">
        <v>0</v>
      </c>
      <c r="AU53" s="915">
        <v>0</v>
      </c>
      <c r="AV53" s="918">
        <v>0</v>
      </c>
      <c r="AW53" s="915">
        <v>0</v>
      </c>
      <c r="AX53" s="916">
        <f t="shared" si="89"/>
        <v>0</v>
      </c>
      <c r="AY53" s="919">
        <v>0</v>
      </c>
      <c r="AZ53" s="914">
        <v>0</v>
      </c>
      <c r="BA53" s="915">
        <v>0</v>
      </c>
      <c r="BB53" s="918">
        <f t="shared" si="90"/>
        <v>0</v>
      </c>
      <c r="BC53" s="918">
        <f t="shared" si="91"/>
        <v>0</v>
      </c>
      <c r="BD53" s="915">
        <v>0</v>
      </c>
      <c r="BE53" s="916">
        <f t="shared" si="92"/>
        <v>0</v>
      </c>
      <c r="BF53" s="920">
        <f t="shared" si="93"/>
        <v>0</v>
      </c>
      <c r="BG53" s="921">
        <f t="shared" si="94"/>
        <v>0</v>
      </c>
      <c r="BH53" s="28">
        <f t="shared" si="95"/>
        <v>0</v>
      </c>
      <c r="BI53" s="64"/>
      <c r="BJ53" s="168"/>
      <c r="BK53" s="168"/>
      <c r="BL53" s="168"/>
      <c r="BM53" s="169"/>
      <c r="BN53" s="169"/>
      <c r="BO53" s="169"/>
      <c r="BP53" s="168"/>
      <c r="BQ53" s="168"/>
      <c r="BR53" s="168"/>
      <c r="BS53" s="168"/>
      <c r="BT53" s="168"/>
      <c r="BU53" s="168"/>
      <c r="BV53" s="168"/>
      <c r="BW53" s="168"/>
      <c r="BX53" s="168"/>
      <c r="BY53" s="168"/>
      <c r="BZ53" s="168"/>
      <c r="CA53" s="168"/>
      <c r="CB53" s="170"/>
      <c r="CC53" s="168"/>
      <c r="CD53" s="168"/>
      <c r="CE53" s="170"/>
      <c r="CF53" s="170"/>
      <c r="CG53" s="170"/>
      <c r="CH53" s="170"/>
      <c r="CI53" s="168"/>
      <c r="CJ53" s="168"/>
      <c r="CK53" s="170"/>
      <c r="CL53" s="170"/>
      <c r="CM53" s="170"/>
      <c r="CN53" s="113"/>
      <c r="CO53" s="36"/>
      <c r="CP53" s="36"/>
      <c r="CQ53" s="36"/>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6"/>
      <c r="DX53" s="36"/>
      <c r="DY53" s="36"/>
      <c r="DZ53" s="36"/>
      <c r="EA53" s="36"/>
      <c r="EB53" s="36"/>
      <c r="EC53" s="36"/>
      <c r="ED53" s="36"/>
    </row>
    <row r="54" spans="1:134" s="27" customFormat="1" ht="15.75" x14ac:dyDescent="0.25">
      <c r="A54" s="26"/>
      <c r="B54" s="1735" t="s">
        <v>1368</v>
      </c>
      <c r="C54" s="1736"/>
      <c r="D54" s="1167"/>
      <c r="E54" s="1167"/>
      <c r="F54" s="1167"/>
      <c r="G54" s="1167"/>
      <c r="H54" s="1167"/>
      <c r="I54" s="1167"/>
      <c r="J54" s="1167"/>
      <c r="K54" s="1167"/>
      <c r="L54" s="1167"/>
      <c r="M54" s="1167"/>
      <c r="N54" s="1167"/>
      <c r="O54" s="1167"/>
      <c r="P54" s="1167"/>
      <c r="Q54" s="1167"/>
      <c r="R54" s="1167"/>
      <c r="S54" s="1167"/>
      <c r="T54" s="1167"/>
      <c r="U54" s="1167"/>
      <c r="V54" s="1167"/>
      <c r="W54" s="1167"/>
      <c r="X54" s="1167"/>
      <c r="Y54" s="1167"/>
      <c r="Z54" s="1167"/>
      <c r="AA54" s="1168"/>
      <c r="AB54" s="1169">
        <f>SUM(AB46:AB53)</f>
        <v>0</v>
      </c>
      <c r="AC54" s="1170"/>
      <c r="AD54" s="1169"/>
      <c r="AE54" s="1171"/>
      <c r="AF54" s="1167"/>
      <c r="AG54" s="1167"/>
      <c r="AH54" s="1172"/>
      <c r="AI54" s="1176">
        <f>SUM(AI46:AI53)</f>
        <v>0</v>
      </c>
      <c r="AJ54" s="1170"/>
      <c r="AK54" s="1169"/>
      <c r="AL54" s="1167"/>
      <c r="AM54" s="1167"/>
      <c r="AN54" s="1167"/>
      <c r="AO54" s="1167"/>
      <c r="AP54" s="1176">
        <f>SUM(AP46:AP53)</f>
        <v>0</v>
      </c>
      <c r="AQ54" s="1170"/>
      <c r="AR54" s="1169"/>
      <c r="AS54" s="1167"/>
      <c r="AT54" s="1167"/>
      <c r="AU54" s="1167"/>
      <c r="AV54" s="1176">
        <f>SUM(AV46:AV53)</f>
        <v>0</v>
      </c>
      <c r="AW54" s="1170"/>
      <c r="AX54" s="1169"/>
      <c r="AY54" s="1167"/>
      <c r="AZ54" s="1167"/>
      <c r="BA54" s="1173"/>
      <c r="BB54" s="1174"/>
      <c r="BC54" s="1176">
        <f>SUM(BC46:BC53)</f>
        <v>0</v>
      </c>
      <c r="BD54" s="1170"/>
      <c r="BE54" s="1169"/>
      <c r="BF54" s="1169">
        <f>SUM(BF46:BF53)</f>
        <v>0</v>
      </c>
      <c r="BG54" s="1175">
        <f>IF(BF54&gt;0,SQRT(SUM(BH46:BH53))/BF54,0)</f>
        <v>0</v>
      </c>
      <c r="BH54" s="28">
        <f t="shared" si="95"/>
        <v>0</v>
      </c>
      <c r="BI54" s="64"/>
      <c r="BJ54" s="168"/>
      <c r="BK54" s="168"/>
      <c r="BL54" s="168"/>
      <c r="BM54" s="169"/>
      <c r="BN54" s="169"/>
      <c r="BO54" s="169"/>
      <c r="BP54" s="168"/>
      <c r="BQ54" s="168"/>
      <c r="BR54" s="168"/>
      <c r="BS54" s="168"/>
      <c r="BT54" s="168"/>
      <c r="BU54" s="168"/>
      <c r="BV54" s="168"/>
      <c r="BW54" s="168"/>
      <c r="BX54" s="168"/>
      <c r="BY54" s="168"/>
      <c r="BZ54" s="168"/>
      <c r="CA54" s="168"/>
      <c r="CB54" s="170"/>
      <c r="CC54" s="168"/>
      <c r="CD54" s="168"/>
      <c r="CE54" s="170"/>
      <c r="CF54" s="170"/>
      <c r="CG54" s="170"/>
      <c r="CH54" s="170"/>
      <c r="CI54" s="168"/>
      <c r="CJ54" s="168"/>
      <c r="CK54" s="170"/>
      <c r="CL54" s="170"/>
      <c r="CM54" s="170"/>
      <c r="CN54" s="113"/>
      <c r="CO54" s="36"/>
      <c r="CP54" s="36"/>
      <c r="CQ54" s="36"/>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6"/>
      <c r="DX54" s="36"/>
      <c r="DY54" s="36"/>
      <c r="DZ54" s="36"/>
      <c r="EA54" s="36"/>
      <c r="EB54" s="36"/>
      <c r="EC54" s="36"/>
      <c r="ED54" s="36"/>
    </row>
    <row r="55" spans="1:134" s="27" customFormat="1" x14ac:dyDescent="0.25">
      <c r="A55" s="26"/>
      <c r="B55" s="1737" t="s">
        <v>58</v>
      </c>
      <c r="C55" s="560"/>
      <c r="D55" s="912">
        <f t="shared" ref="D55:D62" si="97">VLOOKUP($C55,$BI$121:$CM$506,2,FALSE)</f>
        <v>0</v>
      </c>
      <c r="E55" s="421"/>
      <c r="F55" s="421"/>
      <c r="G55" s="421"/>
      <c r="H55" s="421"/>
      <c r="I55" s="421"/>
      <c r="J55" s="421"/>
      <c r="K55" s="421"/>
      <c r="L55" s="421"/>
      <c r="M55" s="421"/>
      <c r="N55" s="421"/>
      <c r="O55" s="421"/>
      <c r="P55" s="421"/>
      <c r="Q55" s="422">
        <f t="shared" ref="Q55:Q62" si="98">SUM(E55:P55)</f>
        <v>0</v>
      </c>
      <c r="R55" s="423">
        <f t="shared" ref="R55:R62" si="99">COUNT(E55:P55)</f>
        <v>0</v>
      </c>
      <c r="S55" s="422">
        <f t="shared" ref="S55:S62" si="100">IF(R55&gt;1,AVERAGE(E55:P55),0)</f>
        <v>0</v>
      </c>
      <c r="T55" s="422">
        <f t="shared" ref="T55:T62" si="101">IF(R55&gt;1,STDEV(E55:P55),0)</f>
        <v>0</v>
      </c>
      <c r="U55" s="422">
        <f t="shared" ref="U55:U62" si="102">IF(R55&gt;1,VLOOKUP($R55,$BI$458:$BJ$470,2,FALSE),0)</f>
        <v>0</v>
      </c>
      <c r="V55" s="424"/>
      <c r="W55" s="425">
        <f t="shared" ref="W55:W62" si="103">IF(R55&gt;1,1-((S55-((T55*U55)/(SQRT(R55))))/S55),VLOOKUP($C55,$BI$121:$CP$506,34,FALSE))</f>
        <v>0</v>
      </c>
      <c r="X55" s="919">
        <v>0</v>
      </c>
      <c r="Y55" s="914">
        <v>0</v>
      </c>
      <c r="Z55" s="915">
        <v>0</v>
      </c>
      <c r="AA55" s="916">
        <f t="shared" ref="AA55:AA62" si="104">($Q55*X55)/1000</f>
        <v>0</v>
      </c>
      <c r="AB55" s="916">
        <f t="shared" ref="AB55:AB62" si="105">AA55*$BJ$476</f>
        <v>0</v>
      </c>
      <c r="AC55" s="915">
        <f t="shared" ref="AC55:AC62" si="106">IF(AA55&gt;0,SQRT(($W55*$W55)+(Z55*Z55)+($V55*$V55)),0)</f>
        <v>0</v>
      </c>
      <c r="AD55" s="916">
        <f t="shared" ref="AD55:AD62" si="107">(AB55*AC55)^2</f>
        <v>0</v>
      </c>
      <c r="AE55" s="917">
        <f t="shared" ref="AE55:AE62" si="108">IF(R55&gt;0,VLOOKUP($C55,$BI$121:$CM$506,3,FALSE)/R55,0)</f>
        <v>0</v>
      </c>
      <c r="AF55" s="914">
        <f t="shared" ref="AF55:AF62" si="109">VLOOKUP($C55,$BI$121:$CM$506,4,FALSE)</f>
        <v>0</v>
      </c>
      <c r="AG55" s="915">
        <f t="shared" ref="AG55:AG62" si="110">IF($Q55&gt;0,VLOOKUP($C55,$BI$121:$CM$506,6,FALSE),0)</f>
        <v>0</v>
      </c>
      <c r="AH55" s="916">
        <f t="shared" ref="AH55:AH62" si="111">($Q55*AE55)/1000</f>
        <v>0</v>
      </c>
      <c r="AI55" s="918">
        <f t="shared" ref="AI55:AI62" si="112">AH55*$BJ$477</f>
        <v>0</v>
      </c>
      <c r="AJ55" s="915">
        <f t="shared" ref="AJ55:AJ62" si="113">IF(AH55&gt;0,SQRT(($W55*$W55)+(AG55*AG55)+($V55*$V55)),0)</f>
        <v>0</v>
      </c>
      <c r="AK55" s="916">
        <f t="shared" ref="AK55:AK62" si="114">(AI55*AJ55)^2</f>
        <v>0</v>
      </c>
      <c r="AL55" s="917">
        <f t="shared" ref="AL55:AL62" si="115">IF(R55&gt;0,VLOOKUP($C55,$BI$129:$CM$514,8,FALSE)/R55,0)</f>
        <v>0</v>
      </c>
      <c r="AM55" s="914">
        <f t="shared" ref="AM55:AM62" si="116">VLOOKUP($C55,$BI$129:$CM$514,9,FALSE)</f>
        <v>0</v>
      </c>
      <c r="AN55" s="915">
        <f t="shared" ref="AN55:AN62" si="117">IF($Q55&gt;0,VLOOKUP($C55,$BI$121:$CM$506,11,FALSE),0)</f>
        <v>0</v>
      </c>
      <c r="AO55" s="916">
        <f t="shared" ref="AO55:AO62" si="118">($Q55*AL55)/1000</f>
        <v>0</v>
      </c>
      <c r="AP55" s="918">
        <f t="shared" ref="AP55:AP62" si="119">AO55*$BJ$478</f>
        <v>0</v>
      </c>
      <c r="AQ55" s="915">
        <f t="shared" si="87"/>
        <v>0</v>
      </c>
      <c r="AR55" s="916">
        <f t="shared" si="88"/>
        <v>0</v>
      </c>
      <c r="AS55" s="919">
        <v>0</v>
      </c>
      <c r="AT55" s="914">
        <v>0</v>
      </c>
      <c r="AU55" s="915">
        <v>0</v>
      </c>
      <c r="AV55" s="918">
        <v>0</v>
      </c>
      <c r="AW55" s="915">
        <v>0</v>
      </c>
      <c r="AX55" s="916">
        <f t="shared" ref="AX55:AX62" si="120">(AV55*AW55)^2</f>
        <v>0</v>
      </c>
      <c r="AY55" s="919">
        <v>0</v>
      </c>
      <c r="AZ55" s="914">
        <v>0</v>
      </c>
      <c r="BA55" s="915">
        <v>0</v>
      </c>
      <c r="BB55" s="918">
        <f t="shared" ref="BB55:BB62" si="121">($Q55*AY55)/1000</f>
        <v>0</v>
      </c>
      <c r="BC55" s="918">
        <f t="shared" ref="BC55:BC62" si="122">BB55*$BJ$479</f>
        <v>0</v>
      </c>
      <c r="BD55" s="915">
        <v>0</v>
      </c>
      <c r="BE55" s="916">
        <f t="shared" ref="BE55:BE62" si="123">(BC55*BD55)^2</f>
        <v>0</v>
      </c>
      <c r="BF55" s="920">
        <f t="shared" si="93"/>
        <v>0</v>
      </c>
      <c r="BG55" s="921">
        <f t="shared" si="94"/>
        <v>0</v>
      </c>
      <c r="BH55" s="28">
        <f t="shared" si="95"/>
        <v>0</v>
      </c>
      <c r="BI55" s="64"/>
      <c r="BJ55" s="168"/>
      <c r="BK55" s="168"/>
      <c r="BL55" s="168"/>
      <c r="BM55" s="169"/>
      <c r="BN55" s="169"/>
      <c r="BO55" s="169"/>
      <c r="BP55" s="168"/>
      <c r="BQ55" s="168"/>
      <c r="BR55" s="168"/>
      <c r="BS55" s="168"/>
      <c r="BT55" s="168"/>
      <c r="BU55" s="168"/>
      <c r="BV55" s="168"/>
      <c r="BW55" s="168"/>
      <c r="BX55" s="168"/>
      <c r="BY55" s="168"/>
      <c r="BZ55" s="168"/>
      <c r="CA55" s="168"/>
      <c r="CB55" s="170"/>
      <c r="CC55" s="168"/>
      <c r="CD55" s="168"/>
      <c r="CE55" s="170"/>
      <c r="CF55" s="170"/>
      <c r="CG55" s="170"/>
      <c r="CH55" s="170"/>
      <c r="CI55" s="168"/>
      <c r="CJ55" s="168"/>
      <c r="CK55" s="170"/>
      <c r="CL55" s="170"/>
      <c r="CM55" s="170"/>
      <c r="CN55" s="113"/>
      <c r="CO55" s="36"/>
      <c r="CP55" s="36"/>
      <c r="CQ55" s="36"/>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6"/>
      <c r="DX55" s="36"/>
      <c r="DY55" s="36"/>
      <c r="DZ55" s="36"/>
      <c r="EA55" s="36"/>
      <c r="EB55" s="36"/>
      <c r="EC55" s="36"/>
      <c r="ED55" s="36"/>
    </row>
    <row r="56" spans="1:134" s="27" customFormat="1" x14ac:dyDescent="0.25">
      <c r="A56" s="26"/>
      <c r="B56" s="1738"/>
      <c r="C56" s="560"/>
      <c r="D56" s="912">
        <f t="shared" si="97"/>
        <v>0</v>
      </c>
      <c r="E56" s="421"/>
      <c r="F56" s="421"/>
      <c r="G56" s="421"/>
      <c r="H56" s="421"/>
      <c r="I56" s="421"/>
      <c r="J56" s="421"/>
      <c r="K56" s="421"/>
      <c r="L56" s="421"/>
      <c r="M56" s="421"/>
      <c r="N56" s="421"/>
      <c r="O56" s="421"/>
      <c r="P56" s="421"/>
      <c r="Q56" s="422">
        <f t="shared" si="98"/>
        <v>0</v>
      </c>
      <c r="R56" s="423">
        <f t="shared" si="99"/>
        <v>0</v>
      </c>
      <c r="S56" s="422">
        <f t="shared" si="100"/>
        <v>0</v>
      </c>
      <c r="T56" s="422">
        <f t="shared" si="101"/>
        <v>0</v>
      </c>
      <c r="U56" s="422">
        <f t="shared" si="102"/>
        <v>0</v>
      </c>
      <c r="V56" s="424"/>
      <c r="W56" s="425">
        <f t="shared" si="103"/>
        <v>0</v>
      </c>
      <c r="X56" s="919">
        <v>0</v>
      </c>
      <c r="Y56" s="914">
        <v>0</v>
      </c>
      <c r="Z56" s="915">
        <v>0</v>
      </c>
      <c r="AA56" s="916">
        <f t="shared" si="104"/>
        <v>0</v>
      </c>
      <c r="AB56" s="916">
        <f t="shared" si="105"/>
        <v>0</v>
      </c>
      <c r="AC56" s="915">
        <f t="shared" si="106"/>
        <v>0</v>
      </c>
      <c r="AD56" s="916">
        <f t="shared" si="107"/>
        <v>0</v>
      </c>
      <c r="AE56" s="917">
        <f t="shared" si="108"/>
        <v>0</v>
      </c>
      <c r="AF56" s="914">
        <f t="shared" si="109"/>
        <v>0</v>
      </c>
      <c r="AG56" s="915">
        <f t="shared" si="110"/>
        <v>0</v>
      </c>
      <c r="AH56" s="916">
        <f t="shared" si="111"/>
        <v>0</v>
      </c>
      <c r="AI56" s="918">
        <f t="shared" si="112"/>
        <v>0</v>
      </c>
      <c r="AJ56" s="915">
        <f t="shared" si="113"/>
        <v>0</v>
      </c>
      <c r="AK56" s="916">
        <f t="shared" si="114"/>
        <v>0</v>
      </c>
      <c r="AL56" s="917">
        <f t="shared" si="115"/>
        <v>0</v>
      </c>
      <c r="AM56" s="914">
        <f t="shared" si="116"/>
        <v>0</v>
      </c>
      <c r="AN56" s="915">
        <f t="shared" si="117"/>
        <v>0</v>
      </c>
      <c r="AO56" s="916">
        <f t="shared" si="118"/>
        <v>0</v>
      </c>
      <c r="AP56" s="918">
        <f t="shared" si="119"/>
        <v>0</v>
      </c>
      <c r="AQ56" s="915">
        <f>IF(AO56&gt;0,SQRT(($W56*$W56)+(AN56*AN56)+($V56*$V56)),0)</f>
        <v>0</v>
      </c>
      <c r="AR56" s="916">
        <f>(AP56*AQ56)^2</f>
        <v>0</v>
      </c>
      <c r="AS56" s="919">
        <v>0</v>
      </c>
      <c r="AT56" s="914">
        <v>0</v>
      </c>
      <c r="AU56" s="915">
        <v>0</v>
      </c>
      <c r="AV56" s="918">
        <v>0</v>
      </c>
      <c r="AW56" s="915">
        <v>0</v>
      </c>
      <c r="AX56" s="916">
        <f t="shared" si="120"/>
        <v>0</v>
      </c>
      <c r="AY56" s="919">
        <v>0</v>
      </c>
      <c r="AZ56" s="914">
        <v>0</v>
      </c>
      <c r="BA56" s="915">
        <v>0</v>
      </c>
      <c r="BB56" s="918">
        <f t="shared" si="121"/>
        <v>0</v>
      </c>
      <c r="BC56" s="918">
        <f t="shared" si="122"/>
        <v>0</v>
      </c>
      <c r="BD56" s="915">
        <v>0</v>
      </c>
      <c r="BE56" s="916">
        <f t="shared" si="123"/>
        <v>0</v>
      </c>
      <c r="BF56" s="920">
        <f>AB56+AI56+AP56+AV56+BC56</f>
        <v>0</v>
      </c>
      <c r="BG56" s="921">
        <f>IF(BF56&gt;0,SQRT(AD56+AK56+AR56+AX56+BE56)/BF56,0)</f>
        <v>0</v>
      </c>
      <c r="BH56" s="28">
        <f>(BF56*BG56)^2</f>
        <v>0</v>
      </c>
      <c r="BI56" s="64"/>
      <c r="BJ56" s="168"/>
      <c r="BK56" s="168"/>
      <c r="BL56" s="168"/>
      <c r="BM56" s="169"/>
      <c r="BN56" s="169"/>
      <c r="BO56" s="169"/>
      <c r="BP56" s="168"/>
      <c r="BQ56" s="168"/>
      <c r="BR56" s="168"/>
      <c r="BS56" s="168"/>
      <c r="BT56" s="168"/>
      <c r="BU56" s="168"/>
      <c r="BV56" s="168"/>
      <c r="BW56" s="168"/>
      <c r="BX56" s="168"/>
      <c r="BY56" s="168"/>
      <c r="BZ56" s="168"/>
      <c r="CA56" s="168"/>
      <c r="CB56" s="170"/>
      <c r="CC56" s="168"/>
      <c r="CD56" s="168"/>
      <c r="CE56" s="170"/>
      <c r="CF56" s="170"/>
      <c r="CG56" s="170"/>
      <c r="CH56" s="170"/>
      <c r="CI56" s="168"/>
      <c r="CJ56" s="168"/>
      <c r="CK56" s="170"/>
      <c r="CL56" s="170"/>
      <c r="CM56" s="170"/>
      <c r="CN56" s="113"/>
      <c r="CO56" s="36"/>
      <c r="CP56" s="36"/>
      <c r="CQ56" s="36"/>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6"/>
      <c r="DX56" s="36"/>
      <c r="DY56" s="36"/>
      <c r="DZ56" s="36"/>
      <c r="EA56" s="36"/>
      <c r="EB56" s="36"/>
      <c r="EC56" s="36"/>
      <c r="ED56" s="36"/>
    </row>
    <row r="57" spans="1:134" s="27" customFormat="1" x14ac:dyDescent="0.25">
      <c r="A57" s="26"/>
      <c r="B57" s="1738"/>
      <c r="C57" s="560"/>
      <c r="D57" s="912">
        <f t="shared" si="97"/>
        <v>0</v>
      </c>
      <c r="E57" s="421"/>
      <c r="F57" s="421"/>
      <c r="G57" s="421"/>
      <c r="H57" s="421"/>
      <c r="I57" s="421"/>
      <c r="J57" s="421"/>
      <c r="K57" s="421"/>
      <c r="L57" s="421"/>
      <c r="M57" s="421"/>
      <c r="N57" s="421"/>
      <c r="O57" s="421"/>
      <c r="P57" s="421"/>
      <c r="Q57" s="422">
        <f t="shared" si="98"/>
        <v>0</v>
      </c>
      <c r="R57" s="423">
        <f t="shared" si="99"/>
        <v>0</v>
      </c>
      <c r="S57" s="422">
        <f t="shared" si="100"/>
        <v>0</v>
      </c>
      <c r="T57" s="422">
        <f t="shared" si="101"/>
        <v>0</v>
      </c>
      <c r="U57" s="422">
        <f t="shared" si="102"/>
        <v>0</v>
      </c>
      <c r="V57" s="424"/>
      <c r="W57" s="425">
        <f t="shared" si="103"/>
        <v>0</v>
      </c>
      <c r="X57" s="919">
        <v>0</v>
      </c>
      <c r="Y57" s="914">
        <v>0</v>
      </c>
      <c r="Z57" s="915">
        <v>0</v>
      </c>
      <c r="AA57" s="916">
        <f t="shared" si="104"/>
        <v>0</v>
      </c>
      <c r="AB57" s="916">
        <f t="shared" si="105"/>
        <v>0</v>
      </c>
      <c r="AC57" s="915">
        <f t="shared" si="106"/>
        <v>0</v>
      </c>
      <c r="AD57" s="916">
        <f t="shared" si="107"/>
        <v>0</v>
      </c>
      <c r="AE57" s="917">
        <f t="shared" si="108"/>
        <v>0</v>
      </c>
      <c r="AF57" s="914">
        <f t="shared" si="109"/>
        <v>0</v>
      </c>
      <c r="AG57" s="915">
        <f t="shared" si="110"/>
        <v>0</v>
      </c>
      <c r="AH57" s="916">
        <f t="shared" si="111"/>
        <v>0</v>
      </c>
      <c r="AI57" s="918">
        <f t="shared" si="112"/>
        <v>0</v>
      </c>
      <c r="AJ57" s="915">
        <f t="shared" si="113"/>
        <v>0</v>
      </c>
      <c r="AK57" s="916">
        <f t="shared" si="114"/>
        <v>0</v>
      </c>
      <c r="AL57" s="917">
        <f t="shared" si="115"/>
        <v>0</v>
      </c>
      <c r="AM57" s="914">
        <f t="shared" si="116"/>
        <v>0</v>
      </c>
      <c r="AN57" s="915">
        <f t="shared" si="117"/>
        <v>0</v>
      </c>
      <c r="AO57" s="916">
        <f t="shared" si="118"/>
        <v>0</v>
      </c>
      <c r="AP57" s="918">
        <f t="shared" si="119"/>
        <v>0</v>
      </c>
      <c r="AQ57" s="915">
        <f>IF(AO57&gt;0,SQRT(($W57*$W57)+(AN57*AN57)+($V57*$V57)),0)</f>
        <v>0</v>
      </c>
      <c r="AR57" s="916">
        <f>(AP57*AQ57)^2</f>
        <v>0</v>
      </c>
      <c r="AS57" s="919">
        <v>0</v>
      </c>
      <c r="AT57" s="914">
        <v>0</v>
      </c>
      <c r="AU57" s="915">
        <v>0</v>
      </c>
      <c r="AV57" s="918">
        <v>0</v>
      </c>
      <c r="AW57" s="915">
        <v>0</v>
      </c>
      <c r="AX57" s="916">
        <f t="shared" si="120"/>
        <v>0</v>
      </c>
      <c r="AY57" s="919">
        <v>0</v>
      </c>
      <c r="AZ57" s="914">
        <v>0</v>
      </c>
      <c r="BA57" s="915">
        <v>0</v>
      </c>
      <c r="BB57" s="918">
        <f t="shared" si="121"/>
        <v>0</v>
      </c>
      <c r="BC57" s="918">
        <f t="shared" si="122"/>
        <v>0</v>
      </c>
      <c r="BD57" s="915">
        <v>0</v>
      </c>
      <c r="BE57" s="916">
        <f t="shared" si="123"/>
        <v>0</v>
      </c>
      <c r="BF57" s="920">
        <f>AB57+AI57+AP57+AV57+BC57</f>
        <v>0</v>
      </c>
      <c r="BG57" s="921">
        <f>IF(BF57&gt;0,SQRT(AD57+AK57+AR57+AX57+BE57)/BF57,0)</f>
        <v>0</v>
      </c>
      <c r="BH57" s="28">
        <f>(BF57*BG57)^2</f>
        <v>0</v>
      </c>
      <c r="BI57" s="64"/>
      <c r="BJ57" s="168"/>
      <c r="BK57" s="168"/>
      <c r="BL57" s="168"/>
      <c r="BM57" s="169"/>
      <c r="BN57" s="169"/>
      <c r="BO57" s="169"/>
      <c r="BP57" s="168"/>
      <c r="BQ57" s="168"/>
      <c r="BR57" s="168"/>
      <c r="BS57" s="168"/>
      <c r="BT57" s="168"/>
      <c r="BU57" s="168"/>
      <c r="BV57" s="168"/>
      <c r="BW57" s="168"/>
      <c r="BX57" s="168"/>
      <c r="BY57" s="168"/>
      <c r="BZ57" s="168"/>
      <c r="CA57" s="168"/>
      <c r="CB57" s="170"/>
      <c r="CC57" s="168"/>
      <c r="CD57" s="168"/>
      <c r="CE57" s="170"/>
      <c r="CF57" s="170"/>
      <c r="CG57" s="170"/>
      <c r="CH57" s="170"/>
      <c r="CI57" s="168"/>
      <c r="CJ57" s="168"/>
      <c r="CK57" s="170"/>
      <c r="CL57" s="170"/>
      <c r="CM57" s="170"/>
      <c r="CN57" s="113"/>
      <c r="CO57" s="36"/>
      <c r="CP57" s="36"/>
      <c r="CQ57" s="36"/>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6"/>
      <c r="DX57" s="36"/>
      <c r="DY57" s="36"/>
      <c r="DZ57" s="36"/>
      <c r="EA57" s="36"/>
      <c r="EB57" s="36"/>
      <c r="EC57" s="36"/>
      <c r="ED57" s="36"/>
    </row>
    <row r="58" spans="1:134" s="27" customFormat="1" x14ac:dyDescent="0.25">
      <c r="A58" s="26"/>
      <c r="B58" s="1738"/>
      <c r="C58" s="560"/>
      <c r="D58" s="912">
        <f t="shared" si="97"/>
        <v>0</v>
      </c>
      <c r="E58" s="421"/>
      <c r="F58" s="421"/>
      <c r="G58" s="421"/>
      <c r="H58" s="421"/>
      <c r="I58" s="421"/>
      <c r="J58" s="421"/>
      <c r="K58" s="421"/>
      <c r="L58" s="421"/>
      <c r="M58" s="421"/>
      <c r="N58" s="421"/>
      <c r="O58" s="421"/>
      <c r="P58" s="421"/>
      <c r="Q58" s="422">
        <f t="shared" si="98"/>
        <v>0</v>
      </c>
      <c r="R58" s="423">
        <f t="shared" si="99"/>
        <v>0</v>
      </c>
      <c r="S58" s="422">
        <f t="shared" si="100"/>
        <v>0</v>
      </c>
      <c r="T58" s="422">
        <f t="shared" si="101"/>
        <v>0</v>
      </c>
      <c r="U58" s="422">
        <f t="shared" si="102"/>
        <v>0</v>
      </c>
      <c r="V58" s="424"/>
      <c r="W58" s="425">
        <f t="shared" si="103"/>
        <v>0</v>
      </c>
      <c r="X58" s="919">
        <v>0</v>
      </c>
      <c r="Y58" s="914">
        <v>0</v>
      </c>
      <c r="Z58" s="915">
        <v>0</v>
      </c>
      <c r="AA58" s="916">
        <f t="shared" si="104"/>
        <v>0</v>
      </c>
      <c r="AB58" s="916">
        <f t="shared" si="105"/>
        <v>0</v>
      </c>
      <c r="AC58" s="915">
        <f t="shared" si="106"/>
        <v>0</v>
      </c>
      <c r="AD58" s="916">
        <f t="shared" si="107"/>
        <v>0</v>
      </c>
      <c r="AE58" s="917">
        <f t="shared" si="108"/>
        <v>0</v>
      </c>
      <c r="AF58" s="914">
        <f t="shared" si="109"/>
        <v>0</v>
      </c>
      <c r="AG58" s="915">
        <f t="shared" si="110"/>
        <v>0</v>
      </c>
      <c r="AH58" s="916">
        <f t="shared" si="111"/>
        <v>0</v>
      </c>
      <c r="AI58" s="918">
        <f t="shared" si="112"/>
        <v>0</v>
      </c>
      <c r="AJ58" s="915">
        <f t="shared" si="113"/>
        <v>0</v>
      </c>
      <c r="AK58" s="916">
        <f t="shared" si="114"/>
        <v>0</v>
      </c>
      <c r="AL58" s="917">
        <f t="shared" si="115"/>
        <v>0</v>
      </c>
      <c r="AM58" s="914">
        <f t="shared" si="116"/>
        <v>0</v>
      </c>
      <c r="AN58" s="915">
        <f t="shared" si="117"/>
        <v>0</v>
      </c>
      <c r="AO58" s="916">
        <f t="shared" si="118"/>
        <v>0</v>
      </c>
      <c r="AP58" s="918">
        <f t="shared" si="119"/>
        <v>0</v>
      </c>
      <c r="AQ58" s="915">
        <f t="shared" si="87"/>
        <v>0</v>
      </c>
      <c r="AR58" s="916">
        <f t="shared" si="88"/>
        <v>0</v>
      </c>
      <c r="AS58" s="919">
        <v>0</v>
      </c>
      <c r="AT58" s="914">
        <v>0</v>
      </c>
      <c r="AU58" s="915">
        <v>0</v>
      </c>
      <c r="AV58" s="918">
        <v>0</v>
      </c>
      <c r="AW58" s="915">
        <v>0</v>
      </c>
      <c r="AX58" s="916">
        <f t="shared" si="120"/>
        <v>0</v>
      </c>
      <c r="AY58" s="919">
        <v>0</v>
      </c>
      <c r="AZ58" s="914">
        <v>0</v>
      </c>
      <c r="BA58" s="915">
        <v>0</v>
      </c>
      <c r="BB58" s="918">
        <f t="shared" si="121"/>
        <v>0</v>
      </c>
      <c r="BC58" s="918">
        <f t="shared" si="122"/>
        <v>0</v>
      </c>
      <c r="BD58" s="915">
        <v>0</v>
      </c>
      <c r="BE58" s="916">
        <f t="shared" si="123"/>
        <v>0</v>
      </c>
      <c r="BF58" s="920">
        <f t="shared" si="93"/>
        <v>0</v>
      </c>
      <c r="BG58" s="921">
        <f t="shared" si="94"/>
        <v>0</v>
      </c>
      <c r="BH58" s="28">
        <f t="shared" si="95"/>
        <v>0</v>
      </c>
      <c r="BI58" s="64"/>
      <c r="BJ58" s="168"/>
      <c r="BK58" s="168"/>
      <c r="BL58" s="168"/>
      <c r="BM58" s="169"/>
      <c r="BN58" s="169"/>
      <c r="BO58" s="169"/>
      <c r="BP58" s="168"/>
      <c r="BQ58" s="168"/>
      <c r="BR58" s="168"/>
      <c r="BS58" s="168"/>
      <c r="BT58" s="168"/>
      <c r="BU58" s="168"/>
      <c r="BV58" s="168"/>
      <c r="BW58" s="168"/>
      <c r="BX58" s="168"/>
      <c r="BY58" s="168"/>
      <c r="BZ58" s="168"/>
      <c r="CA58" s="168"/>
      <c r="CB58" s="170"/>
      <c r="CC58" s="168"/>
      <c r="CD58" s="168"/>
      <c r="CE58" s="170"/>
      <c r="CF58" s="170"/>
      <c r="CG58" s="170"/>
      <c r="CH58" s="170"/>
      <c r="CI58" s="168"/>
      <c r="CJ58" s="168"/>
      <c r="CK58" s="170"/>
      <c r="CL58" s="170"/>
      <c r="CM58" s="170"/>
      <c r="CN58" s="113"/>
      <c r="CO58" s="36"/>
      <c r="CP58" s="36"/>
      <c r="CQ58" s="36"/>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6"/>
      <c r="DX58" s="36"/>
      <c r="DY58" s="36"/>
      <c r="DZ58" s="36"/>
      <c r="EA58" s="36"/>
      <c r="EB58" s="36"/>
      <c r="EC58" s="36"/>
      <c r="ED58" s="36"/>
    </row>
    <row r="59" spans="1:134" s="27" customFormat="1" x14ac:dyDescent="0.25">
      <c r="A59" s="26"/>
      <c r="B59" s="1738"/>
      <c r="C59" s="560"/>
      <c r="D59" s="912">
        <f t="shared" si="97"/>
        <v>0</v>
      </c>
      <c r="E59" s="421"/>
      <c r="F59" s="421"/>
      <c r="G59" s="421"/>
      <c r="H59" s="421"/>
      <c r="I59" s="421"/>
      <c r="J59" s="421"/>
      <c r="K59" s="421"/>
      <c r="L59" s="421"/>
      <c r="M59" s="421"/>
      <c r="N59" s="421"/>
      <c r="O59" s="421"/>
      <c r="P59" s="421"/>
      <c r="Q59" s="422">
        <f t="shared" si="98"/>
        <v>0</v>
      </c>
      <c r="R59" s="423">
        <f t="shared" si="99"/>
        <v>0</v>
      </c>
      <c r="S59" s="422">
        <f t="shared" si="100"/>
        <v>0</v>
      </c>
      <c r="T59" s="422">
        <f t="shared" si="101"/>
        <v>0</v>
      </c>
      <c r="U59" s="422">
        <f t="shared" si="102"/>
        <v>0</v>
      </c>
      <c r="V59" s="424"/>
      <c r="W59" s="425">
        <f t="shared" si="103"/>
        <v>0</v>
      </c>
      <c r="X59" s="919">
        <v>0</v>
      </c>
      <c r="Y59" s="914">
        <v>0</v>
      </c>
      <c r="Z59" s="915">
        <v>0</v>
      </c>
      <c r="AA59" s="916">
        <f t="shared" si="104"/>
        <v>0</v>
      </c>
      <c r="AB59" s="916">
        <f t="shared" si="105"/>
        <v>0</v>
      </c>
      <c r="AC59" s="915">
        <f t="shared" si="106"/>
        <v>0</v>
      </c>
      <c r="AD59" s="916">
        <f t="shared" si="107"/>
        <v>0</v>
      </c>
      <c r="AE59" s="917">
        <f t="shared" si="108"/>
        <v>0</v>
      </c>
      <c r="AF59" s="914">
        <f t="shared" si="109"/>
        <v>0</v>
      </c>
      <c r="AG59" s="915">
        <f t="shared" si="110"/>
        <v>0</v>
      </c>
      <c r="AH59" s="916">
        <f t="shared" si="111"/>
        <v>0</v>
      </c>
      <c r="AI59" s="918">
        <f t="shared" si="112"/>
        <v>0</v>
      </c>
      <c r="AJ59" s="915">
        <f t="shared" si="113"/>
        <v>0</v>
      </c>
      <c r="AK59" s="916">
        <f t="shared" si="114"/>
        <v>0</v>
      </c>
      <c r="AL59" s="917">
        <f t="shared" si="115"/>
        <v>0</v>
      </c>
      <c r="AM59" s="914">
        <f t="shared" si="116"/>
        <v>0</v>
      </c>
      <c r="AN59" s="915">
        <f t="shared" si="117"/>
        <v>0</v>
      </c>
      <c r="AO59" s="916">
        <f t="shared" si="118"/>
        <v>0</v>
      </c>
      <c r="AP59" s="918">
        <f t="shared" si="119"/>
        <v>0</v>
      </c>
      <c r="AQ59" s="915">
        <f>IF(AO59&gt;0,SQRT(($W59*$W59)+(AN59*AN59)+($V59*$V59)),0)</f>
        <v>0</v>
      </c>
      <c r="AR59" s="916">
        <f>(AP59*AQ59)^2</f>
        <v>0</v>
      </c>
      <c r="AS59" s="919">
        <v>0</v>
      </c>
      <c r="AT59" s="914">
        <v>0</v>
      </c>
      <c r="AU59" s="915">
        <v>0</v>
      </c>
      <c r="AV59" s="918">
        <v>0</v>
      </c>
      <c r="AW59" s="915">
        <v>0</v>
      </c>
      <c r="AX59" s="916">
        <f t="shared" si="120"/>
        <v>0</v>
      </c>
      <c r="AY59" s="919">
        <v>0</v>
      </c>
      <c r="AZ59" s="914">
        <v>0</v>
      </c>
      <c r="BA59" s="915">
        <v>0</v>
      </c>
      <c r="BB59" s="918">
        <f t="shared" si="121"/>
        <v>0</v>
      </c>
      <c r="BC59" s="918">
        <f t="shared" si="122"/>
        <v>0</v>
      </c>
      <c r="BD59" s="915">
        <v>0</v>
      </c>
      <c r="BE59" s="916">
        <f t="shared" si="123"/>
        <v>0</v>
      </c>
      <c r="BF59" s="920">
        <f>AB59+AI59+AP59+AV59+BC59</f>
        <v>0</v>
      </c>
      <c r="BG59" s="921">
        <f>IF(BF59&gt;0,SQRT(AD59+AK59+AR59+AX59+BE59)/BF59,0)</f>
        <v>0</v>
      </c>
      <c r="BH59" s="28">
        <f>(BF59*BG59)^2</f>
        <v>0</v>
      </c>
      <c r="BI59" s="64"/>
      <c r="BJ59" s="168"/>
      <c r="BK59" s="168"/>
      <c r="BL59" s="168"/>
      <c r="BM59" s="169"/>
      <c r="BN59" s="169"/>
      <c r="BO59" s="169"/>
      <c r="BP59" s="168"/>
      <c r="BQ59" s="168"/>
      <c r="BR59" s="168"/>
      <c r="BS59" s="168"/>
      <c r="BT59" s="168"/>
      <c r="BU59" s="168"/>
      <c r="BV59" s="168"/>
      <c r="BW59" s="168"/>
      <c r="BX59" s="168"/>
      <c r="BY59" s="168"/>
      <c r="BZ59" s="168"/>
      <c r="CA59" s="168"/>
      <c r="CB59" s="170"/>
      <c r="CC59" s="168"/>
      <c r="CD59" s="168"/>
      <c r="CE59" s="170"/>
      <c r="CF59" s="170"/>
      <c r="CG59" s="170"/>
      <c r="CH59" s="170"/>
      <c r="CI59" s="168"/>
      <c r="CJ59" s="168"/>
      <c r="CK59" s="170"/>
      <c r="CL59" s="170"/>
      <c r="CM59" s="170"/>
      <c r="CN59" s="113"/>
      <c r="CO59" s="36"/>
      <c r="CP59" s="36"/>
      <c r="CQ59" s="36"/>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6"/>
      <c r="DX59" s="36"/>
      <c r="DY59" s="36"/>
      <c r="DZ59" s="36"/>
      <c r="EA59" s="36"/>
      <c r="EB59" s="36"/>
      <c r="EC59" s="36"/>
      <c r="ED59" s="36"/>
    </row>
    <row r="60" spans="1:134" s="27" customFormat="1" x14ac:dyDescent="0.25">
      <c r="A60" s="26"/>
      <c r="B60" s="1738"/>
      <c r="C60" s="560"/>
      <c r="D60" s="912">
        <f t="shared" si="97"/>
        <v>0</v>
      </c>
      <c r="E60" s="421"/>
      <c r="F60" s="421"/>
      <c r="G60" s="421"/>
      <c r="H60" s="421"/>
      <c r="I60" s="421"/>
      <c r="J60" s="421"/>
      <c r="K60" s="421"/>
      <c r="L60" s="421"/>
      <c r="M60" s="421"/>
      <c r="N60" s="421"/>
      <c r="O60" s="421"/>
      <c r="P60" s="421"/>
      <c r="Q60" s="422">
        <f t="shared" si="98"/>
        <v>0</v>
      </c>
      <c r="R60" s="423">
        <f t="shared" si="99"/>
        <v>0</v>
      </c>
      <c r="S60" s="422">
        <f t="shared" si="100"/>
        <v>0</v>
      </c>
      <c r="T60" s="422">
        <f t="shared" si="101"/>
        <v>0</v>
      </c>
      <c r="U60" s="422">
        <f t="shared" si="102"/>
        <v>0</v>
      </c>
      <c r="V60" s="424"/>
      <c r="W60" s="425">
        <f t="shared" si="103"/>
        <v>0</v>
      </c>
      <c r="X60" s="919">
        <v>0</v>
      </c>
      <c r="Y60" s="914">
        <v>0</v>
      </c>
      <c r="Z60" s="915">
        <v>0</v>
      </c>
      <c r="AA60" s="916">
        <f t="shared" si="104"/>
        <v>0</v>
      </c>
      <c r="AB60" s="916">
        <f t="shared" si="105"/>
        <v>0</v>
      </c>
      <c r="AC60" s="915">
        <f t="shared" si="106"/>
        <v>0</v>
      </c>
      <c r="AD60" s="916">
        <f t="shared" si="107"/>
        <v>0</v>
      </c>
      <c r="AE60" s="917">
        <f t="shared" si="108"/>
        <v>0</v>
      </c>
      <c r="AF60" s="914">
        <f t="shared" si="109"/>
        <v>0</v>
      </c>
      <c r="AG60" s="915">
        <f t="shared" si="110"/>
        <v>0</v>
      </c>
      <c r="AH60" s="916">
        <f t="shared" si="111"/>
        <v>0</v>
      </c>
      <c r="AI60" s="918">
        <f t="shared" si="112"/>
        <v>0</v>
      </c>
      <c r="AJ60" s="915">
        <f t="shared" si="113"/>
        <v>0</v>
      </c>
      <c r="AK60" s="916">
        <f t="shared" si="114"/>
        <v>0</v>
      </c>
      <c r="AL60" s="917">
        <f t="shared" si="115"/>
        <v>0</v>
      </c>
      <c r="AM60" s="914">
        <f t="shared" si="116"/>
        <v>0</v>
      </c>
      <c r="AN60" s="915">
        <f t="shared" si="117"/>
        <v>0</v>
      </c>
      <c r="AO60" s="916">
        <f t="shared" si="118"/>
        <v>0</v>
      </c>
      <c r="AP60" s="918">
        <f t="shared" si="119"/>
        <v>0</v>
      </c>
      <c r="AQ60" s="915">
        <f>IF(AO60&gt;0,SQRT(($W60*$W60)+(AN60*AN60)+($V60*$V60)),0)</f>
        <v>0</v>
      </c>
      <c r="AR60" s="916">
        <f>(AP60*AQ60)^2</f>
        <v>0</v>
      </c>
      <c r="AS60" s="919">
        <v>0</v>
      </c>
      <c r="AT60" s="914">
        <v>0</v>
      </c>
      <c r="AU60" s="915">
        <v>0</v>
      </c>
      <c r="AV60" s="918">
        <v>0</v>
      </c>
      <c r="AW60" s="915">
        <v>0</v>
      </c>
      <c r="AX60" s="916">
        <f t="shared" si="120"/>
        <v>0</v>
      </c>
      <c r="AY60" s="919">
        <v>0</v>
      </c>
      <c r="AZ60" s="914">
        <v>0</v>
      </c>
      <c r="BA60" s="915">
        <v>0</v>
      </c>
      <c r="BB60" s="918">
        <f t="shared" si="121"/>
        <v>0</v>
      </c>
      <c r="BC60" s="918">
        <f t="shared" si="122"/>
        <v>0</v>
      </c>
      <c r="BD60" s="915">
        <v>0</v>
      </c>
      <c r="BE60" s="916">
        <f t="shared" si="123"/>
        <v>0</v>
      </c>
      <c r="BF60" s="920">
        <f>AB60+AI60+AP60+AV60+BC60</f>
        <v>0</v>
      </c>
      <c r="BG60" s="921">
        <f>IF(BF60&gt;0,SQRT(AD60+AK60+AR60+AX60+BE60)/BF60,0)</f>
        <v>0</v>
      </c>
      <c r="BH60" s="28">
        <f>(BF60*BG60)^2</f>
        <v>0</v>
      </c>
      <c r="BI60" s="64"/>
      <c r="BJ60" s="168"/>
      <c r="BK60" s="168"/>
      <c r="BL60" s="168"/>
      <c r="BM60" s="169"/>
      <c r="BN60" s="169"/>
      <c r="BO60" s="169"/>
      <c r="BP60" s="168"/>
      <c r="BQ60" s="168"/>
      <c r="BR60" s="168"/>
      <c r="BS60" s="168"/>
      <c r="BT60" s="168"/>
      <c r="BU60" s="168"/>
      <c r="BV60" s="168"/>
      <c r="BW60" s="168"/>
      <c r="BX60" s="168"/>
      <c r="BY60" s="168"/>
      <c r="BZ60" s="168"/>
      <c r="CA60" s="168"/>
      <c r="CB60" s="170"/>
      <c r="CC60" s="168"/>
      <c r="CD60" s="168"/>
      <c r="CE60" s="170"/>
      <c r="CF60" s="170"/>
      <c r="CG60" s="170"/>
      <c r="CH60" s="170"/>
      <c r="CI60" s="168"/>
      <c r="CJ60" s="168"/>
      <c r="CK60" s="170"/>
      <c r="CL60" s="170"/>
      <c r="CM60" s="170"/>
      <c r="CN60" s="113"/>
      <c r="CO60" s="36"/>
      <c r="CP60" s="36"/>
      <c r="CQ60" s="36"/>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6"/>
      <c r="DX60" s="36"/>
      <c r="DY60" s="36"/>
      <c r="DZ60" s="36"/>
      <c r="EA60" s="36"/>
      <c r="EB60" s="36"/>
      <c r="EC60" s="36"/>
      <c r="ED60" s="36"/>
    </row>
    <row r="61" spans="1:134" s="27" customFormat="1" x14ac:dyDescent="0.25">
      <c r="A61" s="26"/>
      <c r="B61" s="1738"/>
      <c r="C61" s="560"/>
      <c r="D61" s="912">
        <f t="shared" si="97"/>
        <v>0</v>
      </c>
      <c r="E61" s="421"/>
      <c r="F61" s="421"/>
      <c r="G61" s="421"/>
      <c r="H61" s="421"/>
      <c r="I61" s="421"/>
      <c r="J61" s="421"/>
      <c r="K61" s="421"/>
      <c r="L61" s="421"/>
      <c r="M61" s="421"/>
      <c r="N61" s="421"/>
      <c r="O61" s="421"/>
      <c r="P61" s="421"/>
      <c r="Q61" s="422">
        <f t="shared" si="98"/>
        <v>0</v>
      </c>
      <c r="R61" s="423">
        <f t="shared" si="99"/>
        <v>0</v>
      </c>
      <c r="S61" s="422">
        <f t="shared" si="100"/>
        <v>0</v>
      </c>
      <c r="T61" s="422">
        <f t="shared" si="101"/>
        <v>0</v>
      </c>
      <c r="U61" s="422">
        <f t="shared" si="102"/>
        <v>0</v>
      </c>
      <c r="V61" s="424"/>
      <c r="W61" s="425">
        <f t="shared" si="103"/>
        <v>0</v>
      </c>
      <c r="X61" s="919">
        <v>0</v>
      </c>
      <c r="Y61" s="914">
        <v>0</v>
      </c>
      <c r="Z61" s="915">
        <v>0</v>
      </c>
      <c r="AA61" s="916">
        <f t="shared" si="104"/>
        <v>0</v>
      </c>
      <c r="AB61" s="916">
        <f t="shared" si="105"/>
        <v>0</v>
      </c>
      <c r="AC61" s="915">
        <f t="shared" si="106"/>
        <v>0</v>
      </c>
      <c r="AD61" s="916">
        <f t="shared" si="107"/>
        <v>0</v>
      </c>
      <c r="AE61" s="917">
        <f t="shared" si="108"/>
        <v>0</v>
      </c>
      <c r="AF61" s="914">
        <f t="shared" si="109"/>
        <v>0</v>
      </c>
      <c r="AG61" s="915">
        <f t="shared" si="110"/>
        <v>0</v>
      </c>
      <c r="AH61" s="916">
        <f t="shared" si="111"/>
        <v>0</v>
      </c>
      <c r="AI61" s="918">
        <f t="shared" si="112"/>
        <v>0</v>
      </c>
      <c r="AJ61" s="915">
        <f t="shared" si="113"/>
        <v>0</v>
      </c>
      <c r="AK61" s="916">
        <f t="shared" si="114"/>
        <v>0</v>
      </c>
      <c r="AL61" s="917">
        <f t="shared" si="115"/>
        <v>0</v>
      </c>
      <c r="AM61" s="914">
        <f t="shared" si="116"/>
        <v>0</v>
      </c>
      <c r="AN61" s="915">
        <f t="shared" si="117"/>
        <v>0</v>
      </c>
      <c r="AO61" s="916">
        <f t="shared" si="118"/>
        <v>0</v>
      </c>
      <c r="AP61" s="918">
        <f t="shared" si="119"/>
        <v>0</v>
      </c>
      <c r="AQ61" s="915">
        <f t="shared" si="87"/>
        <v>0</v>
      </c>
      <c r="AR61" s="916">
        <f t="shared" si="88"/>
        <v>0</v>
      </c>
      <c r="AS61" s="919">
        <v>0</v>
      </c>
      <c r="AT61" s="914">
        <v>0</v>
      </c>
      <c r="AU61" s="915">
        <v>0</v>
      </c>
      <c r="AV61" s="918">
        <v>0</v>
      </c>
      <c r="AW61" s="915">
        <v>0</v>
      </c>
      <c r="AX61" s="916">
        <f t="shared" si="120"/>
        <v>0</v>
      </c>
      <c r="AY61" s="919">
        <v>0</v>
      </c>
      <c r="AZ61" s="914">
        <v>0</v>
      </c>
      <c r="BA61" s="915">
        <v>0</v>
      </c>
      <c r="BB61" s="918">
        <f t="shared" si="121"/>
        <v>0</v>
      </c>
      <c r="BC61" s="918">
        <f t="shared" si="122"/>
        <v>0</v>
      </c>
      <c r="BD61" s="915">
        <v>0</v>
      </c>
      <c r="BE61" s="916">
        <f t="shared" si="123"/>
        <v>0</v>
      </c>
      <c r="BF61" s="920">
        <f t="shared" si="93"/>
        <v>0</v>
      </c>
      <c r="BG61" s="921">
        <f t="shared" si="94"/>
        <v>0</v>
      </c>
      <c r="BH61" s="28">
        <f t="shared" si="95"/>
        <v>0</v>
      </c>
      <c r="BI61" s="64"/>
      <c r="BJ61" s="168"/>
      <c r="BK61" s="168"/>
      <c r="BL61" s="168"/>
      <c r="BM61" s="169"/>
      <c r="BN61" s="169"/>
      <c r="BO61" s="169"/>
      <c r="BP61" s="168"/>
      <c r="BQ61" s="168"/>
      <c r="BR61" s="168"/>
      <c r="BS61" s="168"/>
      <c r="BT61" s="168"/>
      <c r="BU61" s="168"/>
      <c r="BV61" s="168"/>
      <c r="BW61" s="168"/>
      <c r="BX61" s="168"/>
      <c r="BY61" s="168"/>
      <c r="BZ61" s="168"/>
      <c r="CA61" s="168"/>
      <c r="CB61" s="170"/>
      <c r="CC61" s="168"/>
      <c r="CD61" s="168"/>
      <c r="CE61" s="170"/>
      <c r="CF61" s="170"/>
      <c r="CG61" s="170"/>
      <c r="CH61" s="170"/>
      <c r="CI61" s="168"/>
      <c r="CJ61" s="168"/>
      <c r="CK61" s="170"/>
      <c r="CL61" s="170"/>
      <c r="CM61" s="170"/>
      <c r="CN61" s="113"/>
      <c r="CO61" s="36"/>
      <c r="CP61" s="36"/>
      <c r="CQ61" s="36"/>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6"/>
      <c r="DX61" s="36"/>
      <c r="DY61" s="36"/>
      <c r="DZ61" s="36"/>
      <c r="EA61" s="36"/>
      <c r="EB61" s="36"/>
      <c r="EC61" s="36"/>
      <c r="ED61" s="36"/>
    </row>
    <row r="62" spans="1:134" s="27" customFormat="1" x14ac:dyDescent="0.25">
      <c r="A62" s="26"/>
      <c r="B62" s="1739"/>
      <c r="C62" s="560"/>
      <c r="D62" s="912">
        <f t="shared" si="97"/>
        <v>0</v>
      </c>
      <c r="E62" s="421"/>
      <c r="F62" s="421"/>
      <c r="G62" s="421"/>
      <c r="H62" s="421"/>
      <c r="I62" s="421"/>
      <c r="J62" s="421"/>
      <c r="K62" s="421"/>
      <c r="L62" s="421"/>
      <c r="M62" s="421"/>
      <c r="N62" s="421"/>
      <c r="O62" s="421"/>
      <c r="P62" s="421"/>
      <c r="Q62" s="422">
        <f t="shared" si="98"/>
        <v>0</v>
      </c>
      <c r="R62" s="423">
        <f t="shared" si="99"/>
        <v>0</v>
      </c>
      <c r="S62" s="422">
        <f t="shared" si="100"/>
        <v>0</v>
      </c>
      <c r="T62" s="422">
        <f t="shared" si="101"/>
        <v>0</v>
      </c>
      <c r="U62" s="422">
        <f t="shared" si="102"/>
        <v>0</v>
      </c>
      <c r="V62" s="424"/>
      <c r="W62" s="425">
        <f t="shared" si="103"/>
        <v>0</v>
      </c>
      <c r="X62" s="919">
        <v>0</v>
      </c>
      <c r="Y62" s="914">
        <v>0</v>
      </c>
      <c r="Z62" s="915">
        <v>0</v>
      </c>
      <c r="AA62" s="916">
        <f t="shared" si="104"/>
        <v>0</v>
      </c>
      <c r="AB62" s="916">
        <f t="shared" si="105"/>
        <v>0</v>
      </c>
      <c r="AC62" s="915">
        <f t="shared" si="106"/>
        <v>0</v>
      </c>
      <c r="AD62" s="916">
        <f t="shared" si="107"/>
        <v>0</v>
      </c>
      <c r="AE62" s="917">
        <f t="shared" si="108"/>
        <v>0</v>
      </c>
      <c r="AF62" s="914">
        <f t="shared" si="109"/>
        <v>0</v>
      </c>
      <c r="AG62" s="915">
        <f t="shared" si="110"/>
        <v>0</v>
      </c>
      <c r="AH62" s="916">
        <f t="shared" si="111"/>
        <v>0</v>
      </c>
      <c r="AI62" s="918">
        <f t="shared" si="112"/>
        <v>0</v>
      </c>
      <c r="AJ62" s="915">
        <f t="shared" si="113"/>
        <v>0</v>
      </c>
      <c r="AK62" s="916">
        <f t="shared" si="114"/>
        <v>0</v>
      </c>
      <c r="AL62" s="917">
        <f t="shared" si="115"/>
        <v>0</v>
      </c>
      <c r="AM62" s="914">
        <f t="shared" si="116"/>
        <v>0</v>
      </c>
      <c r="AN62" s="915">
        <f t="shared" si="117"/>
        <v>0</v>
      </c>
      <c r="AO62" s="916">
        <f t="shared" si="118"/>
        <v>0</v>
      </c>
      <c r="AP62" s="918">
        <f t="shared" si="119"/>
        <v>0</v>
      </c>
      <c r="AQ62" s="915">
        <f t="shared" si="87"/>
        <v>0</v>
      </c>
      <c r="AR62" s="916">
        <f t="shared" si="88"/>
        <v>0</v>
      </c>
      <c r="AS62" s="919">
        <v>0</v>
      </c>
      <c r="AT62" s="914">
        <v>0</v>
      </c>
      <c r="AU62" s="915">
        <v>0</v>
      </c>
      <c r="AV62" s="918">
        <v>0</v>
      </c>
      <c r="AW62" s="915">
        <v>0</v>
      </c>
      <c r="AX62" s="916">
        <f t="shared" si="120"/>
        <v>0</v>
      </c>
      <c r="AY62" s="919">
        <v>0</v>
      </c>
      <c r="AZ62" s="914">
        <v>0</v>
      </c>
      <c r="BA62" s="915">
        <v>0</v>
      </c>
      <c r="BB62" s="918">
        <f t="shared" si="121"/>
        <v>0</v>
      </c>
      <c r="BC62" s="918">
        <f t="shared" si="122"/>
        <v>0</v>
      </c>
      <c r="BD62" s="915">
        <v>0</v>
      </c>
      <c r="BE62" s="916">
        <f t="shared" si="123"/>
        <v>0</v>
      </c>
      <c r="BF62" s="920">
        <f t="shared" si="93"/>
        <v>0</v>
      </c>
      <c r="BG62" s="921">
        <f t="shared" si="94"/>
        <v>0</v>
      </c>
      <c r="BH62" s="28">
        <f t="shared" si="95"/>
        <v>0</v>
      </c>
      <c r="BI62" s="64"/>
      <c r="BJ62" s="168"/>
      <c r="BK62" s="168"/>
      <c r="BL62" s="168"/>
      <c r="BM62" s="169"/>
      <c r="BN62" s="169"/>
      <c r="BO62" s="169"/>
      <c r="BP62" s="168"/>
      <c r="BQ62" s="168"/>
      <c r="BR62" s="168"/>
      <c r="BS62" s="168"/>
      <c r="BT62" s="168"/>
      <c r="BU62" s="168"/>
      <c r="BV62" s="168"/>
      <c r="BW62" s="168"/>
      <c r="BX62" s="168"/>
      <c r="BY62" s="168"/>
      <c r="BZ62" s="168"/>
      <c r="CA62" s="168"/>
      <c r="CB62" s="170"/>
      <c r="CC62" s="168"/>
      <c r="CD62" s="168"/>
      <c r="CE62" s="170"/>
      <c r="CF62" s="170"/>
      <c r="CG62" s="170"/>
      <c r="CH62" s="170"/>
      <c r="CI62" s="168"/>
      <c r="CJ62" s="168"/>
      <c r="CK62" s="170"/>
      <c r="CL62" s="170"/>
      <c r="CM62" s="170"/>
      <c r="CN62" s="113"/>
      <c r="CO62" s="80"/>
      <c r="CP62" s="80"/>
      <c r="CQ62" s="80"/>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6"/>
      <c r="DX62" s="36"/>
      <c r="DY62" s="36"/>
      <c r="DZ62" s="36"/>
      <c r="EA62" s="36"/>
      <c r="EB62" s="36"/>
      <c r="EC62" s="36"/>
      <c r="ED62" s="36"/>
    </row>
    <row r="63" spans="1:134" s="27" customFormat="1" ht="15.75" x14ac:dyDescent="0.25">
      <c r="A63" s="26"/>
      <c r="B63" s="1735" t="s">
        <v>1369</v>
      </c>
      <c r="C63" s="1736"/>
      <c r="D63" s="1167"/>
      <c r="E63" s="1167"/>
      <c r="F63" s="1167"/>
      <c r="G63" s="1167"/>
      <c r="H63" s="1167"/>
      <c r="I63" s="1167"/>
      <c r="J63" s="1167"/>
      <c r="K63" s="1167"/>
      <c r="L63" s="1167"/>
      <c r="M63" s="1167"/>
      <c r="N63" s="1167"/>
      <c r="O63" s="1167"/>
      <c r="P63" s="1167"/>
      <c r="Q63" s="1167"/>
      <c r="R63" s="1167"/>
      <c r="S63" s="1167"/>
      <c r="T63" s="1167"/>
      <c r="U63" s="1167"/>
      <c r="V63" s="1167"/>
      <c r="W63" s="1167"/>
      <c r="X63" s="1167"/>
      <c r="Y63" s="1167"/>
      <c r="Z63" s="1167"/>
      <c r="AA63" s="1168"/>
      <c r="AB63" s="1169">
        <f>SUM(AB55:AB62)</f>
        <v>0</v>
      </c>
      <c r="AC63" s="1170"/>
      <c r="AD63" s="1169"/>
      <c r="AE63" s="1171"/>
      <c r="AF63" s="1167"/>
      <c r="AG63" s="1167"/>
      <c r="AH63" s="1172"/>
      <c r="AI63" s="1176">
        <f>SUM(AI55:AI62)</f>
        <v>0</v>
      </c>
      <c r="AJ63" s="1170"/>
      <c r="AK63" s="1169"/>
      <c r="AL63" s="1167"/>
      <c r="AM63" s="1167"/>
      <c r="AN63" s="1167"/>
      <c r="AO63" s="1167"/>
      <c r="AP63" s="1176">
        <f>SUM(AP55:AP62)</f>
        <v>0</v>
      </c>
      <c r="AQ63" s="1170"/>
      <c r="AR63" s="1169"/>
      <c r="AS63" s="1167"/>
      <c r="AT63" s="1167"/>
      <c r="AU63" s="1167"/>
      <c r="AV63" s="1176">
        <f>SUM(AV55:AV62)</f>
        <v>0</v>
      </c>
      <c r="AW63" s="1170"/>
      <c r="AX63" s="1169"/>
      <c r="AY63" s="1167"/>
      <c r="AZ63" s="1167"/>
      <c r="BA63" s="1173"/>
      <c r="BB63" s="1174"/>
      <c r="BC63" s="1176">
        <f>SUM(BC55:BC62)</f>
        <v>0</v>
      </c>
      <c r="BD63" s="1170"/>
      <c r="BE63" s="1169"/>
      <c r="BF63" s="1169">
        <f>SUM(BF55:BF62)</f>
        <v>0</v>
      </c>
      <c r="BG63" s="1175">
        <f>IF(BF63&gt;0,SQRT(SUM(BH55:BH62))/BF63,0)</f>
        <v>0</v>
      </c>
      <c r="BH63" s="28">
        <f>(BF63*BG63)^2</f>
        <v>0</v>
      </c>
      <c r="BI63" s="64"/>
      <c r="BJ63" s="168"/>
      <c r="BK63" s="168"/>
      <c r="BL63" s="168"/>
      <c r="BM63" s="169"/>
      <c r="BN63" s="169"/>
      <c r="BO63" s="169"/>
      <c r="BP63" s="168"/>
      <c r="BQ63" s="168"/>
      <c r="BR63" s="168"/>
      <c r="BS63" s="168"/>
      <c r="BT63" s="168"/>
      <c r="BU63" s="168"/>
      <c r="BV63" s="168"/>
      <c r="BW63" s="168"/>
      <c r="BX63" s="168"/>
      <c r="BY63" s="168"/>
      <c r="BZ63" s="168"/>
      <c r="CA63" s="168"/>
      <c r="CB63" s="170"/>
      <c r="CC63" s="168"/>
      <c r="CD63" s="168"/>
      <c r="CE63" s="170"/>
      <c r="CF63" s="170"/>
      <c r="CG63" s="170"/>
      <c r="CH63" s="170"/>
      <c r="CI63" s="168"/>
      <c r="CJ63" s="168"/>
      <c r="CK63" s="170"/>
      <c r="CL63" s="170"/>
      <c r="CM63" s="170"/>
      <c r="CN63" s="113"/>
      <c r="CO63" s="36"/>
      <c r="CP63" s="36"/>
      <c r="CQ63" s="36"/>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6"/>
      <c r="DX63" s="36"/>
      <c r="DY63" s="36"/>
      <c r="DZ63" s="36"/>
      <c r="EA63" s="36"/>
      <c r="EB63" s="36"/>
      <c r="EC63" s="36"/>
      <c r="ED63" s="36"/>
    </row>
    <row r="64" spans="1:134" s="27" customFormat="1" x14ac:dyDescent="0.25">
      <c r="A64" s="26"/>
      <c r="B64" s="1737" t="s">
        <v>381</v>
      </c>
      <c r="C64" s="560"/>
      <c r="D64" s="912">
        <f>VLOOKUP($C64,$BI$121:$CM$506,2,FALSE)</f>
        <v>0</v>
      </c>
      <c r="E64" s="1393"/>
      <c r="F64" s="421"/>
      <c r="G64" s="421"/>
      <c r="H64" s="421"/>
      <c r="I64" s="421"/>
      <c r="J64" s="421"/>
      <c r="K64" s="426"/>
      <c r="L64" s="426"/>
      <c r="M64" s="426"/>
      <c r="N64" s="426"/>
      <c r="O64" s="426"/>
      <c r="P64" s="426"/>
      <c r="Q64" s="422">
        <f t="shared" ref="Q64:Q74" si="124">SUM(E64:P64)</f>
        <v>0</v>
      </c>
      <c r="R64" s="423">
        <f t="shared" ref="R64:R74" si="125">COUNT(E64:P64)</f>
        <v>0</v>
      </c>
      <c r="S64" s="422">
        <f t="shared" ref="S64:S74" si="126">IF(R64&gt;1,AVERAGE(E64:P64),0)</f>
        <v>0</v>
      </c>
      <c r="T64" s="422">
        <f t="shared" ref="T64:T74" si="127">IF(R64&gt;1,STDEV(E64:P64),0)</f>
        <v>0</v>
      </c>
      <c r="U64" s="422">
        <f>IF(R64&gt;1,VLOOKUP($R64,$BI$458:$BJ$470,2,FALSE),0)</f>
        <v>0</v>
      </c>
      <c r="V64" s="960"/>
      <c r="W64" s="425">
        <f>IF(R64&gt;1,1-((S64-((T64*U64)/(SQRT(R64))))/S64),VLOOKUP($C64,$BI$121:$CP$506,34,FALSE))</f>
        <v>0</v>
      </c>
      <c r="X64" s="919">
        <v>0</v>
      </c>
      <c r="Y64" s="914">
        <v>0</v>
      </c>
      <c r="Z64" s="915">
        <v>0</v>
      </c>
      <c r="AA64" s="916">
        <f t="shared" ref="AA64:AA74" si="128">($Q64*X64)/1000</f>
        <v>0</v>
      </c>
      <c r="AB64" s="916">
        <f>AA64*$BJ$476</f>
        <v>0</v>
      </c>
      <c r="AC64" s="915">
        <f t="shared" ref="AC64:AC74" si="129">IF(AA64&gt;0,SQRT(($W64*$W64)+(Z64*Z64)+($V64*$V64)),0)</f>
        <v>0</v>
      </c>
      <c r="AD64" s="916">
        <f t="shared" ref="AD64:AD74" si="130">(AB64*AC64)^2</f>
        <v>0</v>
      </c>
      <c r="AE64" s="917">
        <f>VLOOKUP($C64,$BI$121:$CM$506,3,FALSE)</f>
        <v>0</v>
      </c>
      <c r="AF64" s="914">
        <f>VLOOKUP($C64,$BI$121:$CM$506,4,FALSE)</f>
        <v>0</v>
      </c>
      <c r="AG64" s="915">
        <f>IF($Q64&gt;0,VLOOKUP($C64,$BI$121:$CM$506,6,FALSE),0)</f>
        <v>0</v>
      </c>
      <c r="AH64" s="918">
        <f t="shared" ref="AH64:AH74" si="131">($Q64*AE64)/1000</f>
        <v>0</v>
      </c>
      <c r="AI64" s="918">
        <f>AH64*$BJ$477</f>
        <v>0</v>
      </c>
      <c r="AJ64" s="915">
        <f t="shared" ref="AJ64:AJ74" si="132">IF(AH64&gt;0,SQRT(($W64*$W64)+(AG64*AG64)+($V64*$V64)),0)</f>
        <v>0</v>
      </c>
      <c r="AK64" s="916">
        <f t="shared" ref="AK64:AK74" si="133">(AI64*AJ64)^2</f>
        <v>0</v>
      </c>
      <c r="AL64" s="917">
        <f>IF(R64&gt;0,VLOOKUP($C64,$BI$129:$CM$514,8,FALSE)/R64,0)</f>
        <v>0</v>
      </c>
      <c r="AM64" s="914">
        <f>VLOOKUP($C64,$BI$129:$CM$514,9,FALSE)</f>
        <v>0</v>
      </c>
      <c r="AN64" s="915">
        <f>IF($Q64&gt;0,VLOOKUP($C64,$BI$121:$CM$506,11,FALSE),0)</f>
        <v>0</v>
      </c>
      <c r="AO64" s="916">
        <f t="shared" ref="AO64:AO74" si="134">($Q64*AL64)/1000</f>
        <v>0</v>
      </c>
      <c r="AP64" s="918">
        <f>AO64*$BJ$478</f>
        <v>0</v>
      </c>
      <c r="AQ64" s="915">
        <f t="shared" ref="AQ64:AQ74" si="135">IF(AO64&gt;0,SQRT(($W64*$W64)+(AN64*AN64)+($V64*$V64)),0)</f>
        <v>0</v>
      </c>
      <c r="AR64" s="916">
        <f t="shared" ref="AR64:AR74" si="136">(AP64*AQ64)^2</f>
        <v>0</v>
      </c>
      <c r="AS64" s="919">
        <v>0</v>
      </c>
      <c r="AT64" s="914">
        <v>0</v>
      </c>
      <c r="AU64" s="915">
        <v>0</v>
      </c>
      <c r="AV64" s="918">
        <v>0</v>
      </c>
      <c r="AW64" s="915">
        <v>0</v>
      </c>
      <c r="AX64" s="916">
        <f t="shared" ref="AX64:AX74" si="137">(AV64*AW64)^2</f>
        <v>0</v>
      </c>
      <c r="AY64" s="919">
        <v>0</v>
      </c>
      <c r="AZ64" s="914">
        <v>0</v>
      </c>
      <c r="BA64" s="915">
        <v>0</v>
      </c>
      <c r="BB64" s="918">
        <f t="shared" ref="BB64:BB74" si="138">($Q64*AY64)/1000</f>
        <v>0</v>
      </c>
      <c r="BC64" s="918">
        <f>BB64*$BJ$479</f>
        <v>0</v>
      </c>
      <c r="BD64" s="915">
        <v>0</v>
      </c>
      <c r="BE64" s="916">
        <f t="shared" ref="BE64:BE74" si="139">(BC64*BD64)^2</f>
        <v>0</v>
      </c>
      <c r="BF64" s="920">
        <f t="shared" ref="BF64:BF74" si="140">AB64+AI64+AP64+AV64+BC64</f>
        <v>0</v>
      </c>
      <c r="BG64" s="921">
        <f t="shared" ref="BG64:BG74" si="141">IF(BF64&gt;0,SQRT(AD64+AK64+AR64+AX64+BE64)/BF64,0)</f>
        <v>0</v>
      </c>
      <c r="BH64" s="28">
        <f t="shared" si="95"/>
        <v>0</v>
      </c>
      <c r="BI64" s="64"/>
      <c r="BJ64" s="168"/>
      <c r="BK64" s="168"/>
      <c r="BL64" s="168"/>
      <c r="BM64" s="169"/>
      <c r="BN64" s="169"/>
      <c r="BO64" s="169"/>
      <c r="BP64" s="168"/>
      <c r="BQ64" s="168"/>
      <c r="BR64" s="168"/>
      <c r="BS64" s="168"/>
      <c r="BT64" s="168"/>
      <c r="BU64" s="168"/>
      <c r="BV64" s="168"/>
      <c r="BW64" s="168"/>
      <c r="BX64" s="168"/>
      <c r="BY64" s="168"/>
      <c r="BZ64" s="168"/>
      <c r="CA64" s="168"/>
      <c r="CB64" s="170"/>
      <c r="CC64" s="168"/>
      <c r="CD64" s="168"/>
      <c r="CE64" s="170"/>
      <c r="CF64" s="170"/>
      <c r="CG64" s="170"/>
      <c r="CH64" s="170"/>
      <c r="CI64" s="168"/>
      <c r="CJ64" s="168"/>
      <c r="CK64" s="170"/>
      <c r="CL64" s="170"/>
      <c r="CM64" s="170"/>
      <c r="CN64" s="113"/>
      <c r="CO64" s="29"/>
      <c r="CP64" s="29"/>
      <c r="CQ64" s="29"/>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6"/>
      <c r="DX64" s="36"/>
      <c r="DY64" s="36"/>
      <c r="DZ64" s="36"/>
      <c r="EA64" s="36"/>
      <c r="EB64" s="36"/>
      <c r="EC64" s="36"/>
      <c r="ED64" s="36"/>
    </row>
    <row r="65" spans="1:134" s="27" customFormat="1" x14ac:dyDescent="0.25">
      <c r="A65" s="26"/>
      <c r="B65" s="1738"/>
      <c r="C65" s="553"/>
      <c r="D65" s="912">
        <f>VLOOKUP($C65,$BI$121:$CM$506,2,FALSE)</f>
        <v>0</v>
      </c>
      <c r="E65" s="1393"/>
      <c r="F65" s="421"/>
      <c r="G65" s="421"/>
      <c r="H65" s="421"/>
      <c r="I65" s="421"/>
      <c r="J65" s="421"/>
      <c r="K65" s="426"/>
      <c r="L65" s="426"/>
      <c r="M65" s="426"/>
      <c r="N65" s="426"/>
      <c r="O65" s="426"/>
      <c r="P65" s="426"/>
      <c r="Q65" s="422">
        <f>SUM(E65:P65)</f>
        <v>0</v>
      </c>
      <c r="R65" s="423">
        <f>COUNT(E65:P65)</f>
        <v>0</v>
      </c>
      <c r="S65" s="422">
        <f>IF(R65&gt;1,AVERAGE(E65:P65),0)</f>
        <v>0</v>
      </c>
      <c r="T65" s="422">
        <f>IF(R65&gt;1,STDEV(E65:P65),0)</f>
        <v>0</v>
      </c>
      <c r="U65" s="422">
        <f>IF(R65&gt;1,VLOOKUP($R65,$BI$458:$BJ$470,2,FALSE),0)</f>
        <v>0</v>
      </c>
      <c r="V65" s="960"/>
      <c r="W65" s="425">
        <f>IF(R65&gt;1,1-((S65-((T65*U65)/(SQRT(R65))))/S65),VLOOKUP($C65,$BI$121:$CP$506,34,FALSE))</f>
        <v>0</v>
      </c>
      <c r="X65" s="919">
        <v>0</v>
      </c>
      <c r="Y65" s="914">
        <v>0</v>
      </c>
      <c r="Z65" s="915">
        <v>0</v>
      </c>
      <c r="AA65" s="916">
        <f>($Q65*X65)/1000</f>
        <v>0</v>
      </c>
      <c r="AB65" s="916">
        <f>AA65*$BJ$476</f>
        <v>0</v>
      </c>
      <c r="AC65" s="915">
        <f>IF(AA65&gt;0,SQRT(($W65*$W65)+(Z65*Z65)+($V65*$V65)),0)</f>
        <v>0</v>
      </c>
      <c r="AD65" s="916">
        <f>(AB65*AC65)^2</f>
        <v>0</v>
      </c>
      <c r="AE65" s="917">
        <f>VLOOKUP($C65,$BI$121:$CM$506,3,FALSE)</f>
        <v>0</v>
      </c>
      <c r="AF65" s="914">
        <f>VLOOKUP($C65,$BI$121:$CM$506,4,FALSE)</f>
        <v>0</v>
      </c>
      <c r="AG65" s="915">
        <f>IF($Q65&gt;0,VLOOKUP($C65,$BI$121:$CM$506,6,FALSE),0)</f>
        <v>0</v>
      </c>
      <c r="AH65" s="918">
        <f>($Q65*AE65)/1000</f>
        <v>0</v>
      </c>
      <c r="AI65" s="918">
        <f>AH65*$BJ$477</f>
        <v>0</v>
      </c>
      <c r="AJ65" s="915">
        <f>IF(AH65&gt;0,SQRT(($W65*$W65)+(AG65*AG65)+($V65*$V65)),0)</f>
        <v>0</v>
      </c>
      <c r="AK65" s="916">
        <f>(AI65*AJ65)^2</f>
        <v>0</v>
      </c>
      <c r="AL65" s="917">
        <f>IF(R65&gt;0,VLOOKUP($C65,$BI$129:$CM$514,8,FALSE)/R65,0)</f>
        <v>0</v>
      </c>
      <c r="AM65" s="914">
        <f>VLOOKUP($C65,$BI$129:$CM$514,9,FALSE)</f>
        <v>0</v>
      </c>
      <c r="AN65" s="915">
        <f>IF($Q65&gt;0,VLOOKUP($C65,$BI$121:$CM$506,11,FALSE),0)</f>
        <v>0</v>
      </c>
      <c r="AO65" s="916">
        <f>($Q65*AL65)/1000</f>
        <v>0</v>
      </c>
      <c r="AP65" s="918">
        <f>AO65*$BJ$478</f>
        <v>0</v>
      </c>
      <c r="AQ65" s="915">
        <f>IF(AO65&gt;0,SQRT(($W65*$W65)+(AN65*AN65)+($V65*$V65)),0)</f>
        <v>0</v>
      </c>
      <c r="AR65" s="916">
        <f>(AP65*AQ65)^2</f>
        <v>0</v>
      </c>
      <c r="AS65" s="919">
        <v>0</v>
      </c>
      <c r="AT65" s="914">
        <v>0</v>
      </c>
      <c r="AU65" s="915">
        <v>0</v>
      </c>
      <c r="AV65" s="918">
        <v>0</v>
      </c>
      <c r="AW65" s="915">
        <v>0</v>
      </c>
      <c r="AX65" s="916">
        <f>(AV65*AW65)^2</f>
        <v>0</v>
      </c>
      <c r="AY65" s="919">
        <v>0</v>
      </c>
      <c r="AZ65" s="914">
        <v>0</v>
      </c>
      <c r="BA65" s="915">
        <v>0</v>
      </c>
      <c r="BB65" s="918">
        <f>($Q65*AY65)/1000</f>
        <v>0</v>
      </c>
      <c r="BC65" s="918">
        <f>BB65*$BJ$479</f>
        <v>0</v>
      </c>
      <c r="BD65" s="915">
        <v>0</v>
      </c>
      <c r="BE65" s="916">
        <f>(BC65*BD65)^2</f>
        <v>0</v>
      </c>
      <c r="BF65" s="920">
        <f>AB65+AI65+AP65+AV65+BC65</f>
        <v>0</v>
      </c>
      <c r="BG65" s="921">
        <f>IF(BF65&gt;0,SQRT(AD65+AK65+AR65+AX65+BE65)/BF65,0)</f>
        <v>0</v>
      </c>
      <c r="BH65" s="28">
        <f>(BF65*BG65)^2</f>
        <v>0</v>
      </c>
      <c r="BI65" s="64"/>
      <c r="BJ65" s="168"/>
      <c r="BK65" s="168"/>
      <c r="BL65" s="168"/>
      <c r="BM65" s="169"/>
      <c r="BN65" s="169"/>
      <c r="BO65" s="169"/>
      <c r="BP65" s="168"/>
      <c r="BQ65" s="168"/>
      <c r="BR65" s="168"/>
      <c r="BS65" s="168"/>
      <c r="BT65" s="168"/>
      <c r="BU65" s="168"/>
      <c r="BV65" s="168"/>
      <c r="BW65" s="168"/>
      <c r="BX65" s="168"/>
      <c r="BY65" s="168"/>
      <c r="BZ65" s="168"/>
      <c r="CA65" s="168"/>
      <c r="CB65" s="170"/>
      <c r="CC65" s="168"/>
      <c r="CD65" s="168"/>
      <c r="CE65" s="170"/>
      <c r="CF65" s="170"/>
      <c r="CG65" s="170"/>
      <c r="CH65" s="170"/>
      <c r="CI65" s="168"/>
      <c r="CJ65" s="168"/>
      <c r="CK65" s="170"/>
      <c r="CL65" s="170"/>
      <c r="CM65" s="170"/>
      <c r="CN65" s="113"/>
      <c r="CO65" s="36"/>
      <c r="CP65" s="36"/>
      <c r="CQ65" s="36"/>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6"/>
      <c r="DX65" s="36"/>
      <c r="DY65" s="36"/>
      <c r="DZ65" s="36"/>
      <c r="EA65" s="36"/>
      <c r="EB65" s="36"/>
      <c r="EC65" s="36"/>
      <c r="ED65" s="36"/>
    </row>
    <row r="66" spans="1:134" s="27" customFormat="1" x14ac:dyDescent="0.25">
      <c r="A66" s="26"/>
      <c r="B66" s="1739"/>
      <c r="C66" s="553"/>
      <c r="D66" s="912">
        <f>VLOOKUP($C66,$BI$121:$CM$506,2,FALSE)</f>
        <v>0</v>
      </c>
      <c r="E66" s="421"/>
      <c r="F66" s="421"/>
      <c r="G66" s="421"/>
      <c r="H66" s="421"/>
      <c r="I66" s="421"/>
      <c r="J66" s="421"/>
      <c r="K66" s="426"/>
      <c r="L66" s="426"/>
      <c r="M66" s="426"/>
      <c r="N66" s="426"/>
      <c r="O66" s="426"/>
      <c r="P66" s="426"/>
      <c r="Q66" s="422">
        <f>SUM(E66:P66)</f>
        <v>0</v>
      </c>
      <c r="R66" s="423">
        <f>COUNT(E66:P66)</f>
        <v>0</v>
      </c>
      <c r="S66" s="422">
        <f>IF(R66&gt;1,AVERAGE(E66:P66),0)</f>
        <v>0</v>
      </c>
      <c r="T66" s="422">
        <f>IF(R66&gt;1,STDEV(E66:P66),0)</f>
        <v>0</v>
      </c>
      <c r="U66" s="422">
        <f>IF(R66&gt;1,VLOOKUP($R66,$BI$458:$BJ$470,2,FALSE),0)</f>
        <v>0</v>
      </c>
      <c r="V66" s="960"/>
      <c r="W66" s="425">
        <f>IF(R66&gt;1,1-((S66-((T66*U66)/(SQRT(R66))))/S66),VLOOKUP($C66,$BI$121:$CP$506,34,FALSE))</f>
        <v>0</v>
      </c>
      <c r="X66" s="919">
        <v>0</v>
      </c>
      <c r="Y66" s="914">
        <v>0</v>
      </c>
      <c r="Z66" s="915">
        <v>0</v>
      </c>
      <c r="AA66" s="916">
        <f>($Q66*X66)/1000</f>
        <v>0</v>
      </c>
      <c r="AB66" s="916">
        <f>AA66*$BJ$476</f>
        <v>0</v>
      </c>
      <c r="AC66" s="915">
        <f>IF(AA66&gt;0,SQRT(($W66*$W66)+(Z66*Z66)+($V66*$V66)),0)</f>
        <v>0</v>
      </c>
      <c r="AD66" s="916">
        <f>(AB66*AC66)^2</f>
        <v>0</v>
      </c>
      <c r="AE66" s="917">
        <f>VLOOKUP($C66,$BI$121:$CM$506,3,FALSE)</f>
        <v>0</v>
      </c>
      <c r="AF66" s="914">
        <f>VLOOKUP($C66,$BI$121:$CM$506,4,FALSE)</f>
        <v>0</v>
      </c>
      <c r="AG66" s="915">
        <f>IF($Q66&gt;0,VLOOKUP($C66,$BI$121:$CM$506,6,FALSE),0)</f>
        <v>0</v>
      </c>
      <c r="AH66" s="918">
        <f>($Q66*AE66)/1000</f>
        <v>0</v>
      </c>
      <c r="AI66" s="918">
        <f>AH66*$BJ$477</f>
        <v>0</v>
      </c>
      <c r="AJ66" s="915">
        <f>IF(AH66&gt;0,SQRT(($W66*$W66)+(AG66*AG66)+($V66*$V66)),0)</f>
        <v>0</v>
      </c>
      <c r="AK66" s="916">
        <f>(AI66*AJ66)^2</f>
        <v>0</v>
      </c>
      <c r="AL66" s="917">
        <f>IF(R66&gt;0,VLOOKUP($C66,$BI$129:$CM$514,8,FALSE)/R66,0)</f>
        <v>0</v>
      </c>
      <c r="AM66" s="914">
        <f>VLOOKUP($C66,$BI$129:$CM$514,9,FALSE)</f>
        <v>0</v>
      </c>
      <c r="AN66" s="915">
        <f>IF($Q66&gt;0,VLOOKUP($C66,$BI$121:$CM$506,11,FALSE),0)</f>
        <v>0</v>
      </c>
      <c r="AO66" s="916">
        <f t="shared" si="134"/>
        <v>0</v>
      </c>
      <c r="AP66" s="918">
        <f>AO66*$BJ$478</f>
        <v>0</v>
      </c>
      <c r="AQ66" s="915">
        <f t="shared" si="135"/>
        <v>0</v>
      </c>
      <c r="AR66" s="916">
        <f t="shared" si="136"/>
        <v>0</v>
      </c>
      <c r="AS66" s="919">
        <v>0</v>
      </c>
      <c r="AT66" s="914">
        <v>0</v>
      </c>
      <c r="AU66" s="915">
        <v>0</v>
      </c>
      <c r="AV66" s="918">
        <v>0</v>
      </c>
      <c r="AW66" s="915">
        <v>0</v>
      </c>
      <c r="AX66" s="916">
        <f>(AV66*AW66)^2</f>
        <v>0</v>
      </c>
      <c r="AY66" s="919">
        <v>0</v>
      </c>
      <c r="AZ66" s="914">
        <v>0</v>
      </c>
      <c r="BA66" s="915">
        <v>0</v>
      </c>
      <c r="BB66" s="918">
        <f>($Q66*AY66)/1000</f>
        <v>0</v>
      </c>
      <c r="BC66" s="918">
        <f>BB66*$BJ$479</f>
        <v>0</v>
      </c>
      <c r="BD66" s="915">
        <v>0</v>
      </c>
      <c r="BE66" s="916">
        <f>(BC66*BD66)^2</f>
        <v>0</v>
      </c>
      <c r="BF66" s="920">
        <f t="shared" si="140"/>
        <v>0</v>
      </c>
      <c r="BG66" s="921">
        <f t="shared" si="141"/>
        <v>0</v>
      </c>
      <c r="BH66" s="28">
        <f>(BF66*BG66)^2</f>
        <v>0</v>
      </c>
      <c r="BI66" s="64"/>
      <c r="BJ66" s="168"/>
      <c r="BK66" s="168"/>
      <c r="BL66" s="168"/>
      <c r="BM66" s="169"/>
      <c r="BN66" s="169"/>
      <c r="BO66" s="169"/>
      <c r="BP66" s="168"/>
      <c r="BQ66" s="168"/>
      <c r="BR66" s="168"/>
      <c r="BS66" s="168"/>
      <c r="BT66" s="168"/>
      <c r="BU66" s="168"/>
      <c r="BV66" s="168"/>
      <c r="BW66" s="168"/>
      <c r="BX66" s="168"/>
      <c r="BY66" s="168"/>
      <c r="BZ66" s="168"/>
      <c r="CA66" s="168"/>
      <c r="CB66" s="170"/>
      <c r="CC66" s="168"/>
      <c r="CD66" s="168"/>
      <c r="CE66" s="170"/>
      <c r="CF66" s="170"/>
      <c r="CG66" s="170"/>
      <c r="CH66" s="170"/>
      <c r="CI66" s="168"/>
      <c r="CJ66" s="168"/>
      <c r="CK66" s="170"/>
      <c r="CL66" s="170"/>
      <c r="CM66" s="170"/>
      <c r="CN66" s="113"/>
      <c r="CO66" s="36"/>
      <c r="CP66" s="36"/>
      <c r="CQ66" s="36"/>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6"/>
      <c r="DX66" s="36"/>
      <c r="DY66" s="36"/>
      <c r="DZ66" s="36"/>
      <c r="EA66" s="36"/>
      <c r="EB66" s="36"/>
      <c r="EC66" s="36"/>
      <c r="ED66" s="36"/>
    </row>
    <row r="67" spans="1:134" s="27" customFormat="1" ht="15.75" x14ac:dyDescent="0.25">
      <c r="A67" s="26"/>
      <c r="B67" s="1735" t="s">
        <v>1370</v>
      </c>
      <c r="C67" s="1736"/>
      <c r="D67" s="1167"/>
      <c r="E67" s="1167"/>
      <c r="F67" s="1167"/>
      <c r="G67" s="1167"/>
      <c r="H67" s="1167"/>
      <c r="I67" s="1167"/>
      <c r="J67" s="1167"/>
      <c r="K67" s="1167"/>
      <c r="L67" s="1167"/>
      <c r="M67" s="1167"/>
      <c r="N67" s="1167"/>
      <c r="O67" s="1167"/>
      <c r="P67" s="1167"/>
      <c r="Q67" s="1167"/>
      <c r="R67" s="1167"/>
      <c r="S67" s="1167"/>
      <c r="T67" s="1167"/>
      <c r="U67" s="1167"/>
      <c r="V67" s="1167"/>
      <c r="W67" s="1167"/>
      <c r="X67" s="1167"/>
      <c r="Y67" s="1167"/>
      <c r="Z67" s="1167"/>
      <c r="AA67" s="1168"/>
      <c r="AB67" s="1169">
        <f>SUM(AB64:AB66)</f>
        <v>0</v>
      </c>
      <c r="AC67" s="1170"/>
      <c r="AD67" s="1169"/>
      <c r="AE67" s="1171"/>
      <c r="AF67" s="1167"/>
      <c r="AG67" s="1167"/>
      <c r="AH67" s="1172"/>
      <c r="AI67" s="1176">
        <f>SUM(AI64:AI66)</f>
        <v>0</v>
      </c>
      <c r="AJ67" s="1170"/>
      <c r="AK67" s="1169"/>
      <c r="AL67" s="1167"/>
      <c r="AM67" s="1167"/>
      <c r="AN67" s="1167"/>
      <c r="AO67" s="1167"/>
      <c r="AP67" s="1176">
        <f>SUM(AP64:AP66)</f>
        <v>0</v>
      </c>
      <c r="AQ67" s="1170"/>
      <c r="AR67" s="1169"/>
      <c r="AS67" s="1167"/>
      <c r="AT67" s="1167"/>
      <c r="AU67" s="1167"/>
      <c r="AV67" s="1176">
        <f>SUM(AV64:AV66)</f>
        <v>0</v>
      </c>
      <c r="AW67" s="1170"/>
      <c r="AX67" s="1169"/>
      <c r="AY67" s="1167"/>
      <c r="AZ67" s="1167"/>
      <c r="BA67" s="1173"/>
      <c r="BB67" s="1174"/>
      <c r="BC67" s="1176">
        <f>SUM(BC64:BC66)</f>
        <v>0</v>
      </c>
      <c r="BD67" s="1170"/>
      <c r="BE67" s="1169"/>
      <c r="BF67" s="1169">
        <f>SUM(BF64:BF66)</f>
        <v>0</v>
      </c>
      <c r="BG67" s="1175">
        <f>IF(BF67&gt;0,SQRT(SUM(BH64:BH66))/BF67,0)</f>
        <v>0</v>
      </c>
      <c r="BH67" s="28">
        <f>(BF67*BG67)^2</f>
        <v>0</v>
      </c>
      <c r="BI67" s="64"/>
      <c r="BJ67" s="168"/>
      <c r="BK67" s="168"/>
      <c r="BL67" s="168"/>
      <c r="BM67" s="169"/>
      <c r="BN67" s="169"/>
      <c r="BO67" s="169"/>
      <c r="BP67" s="168"/>
      <c r="BQ67" s="168"/>
      <c r="BR67" s="168"/>
      <c r="BS67" s="168"/>
      <c r="BT67" s="168"/>
      <c r="BU67" s="168"/>
      <c r="BV67" s="168"/>
      <c r="BW67" s="168"/>
      <c r="BX67" s="168"/>
      <c r="BY67" s="168"/>
      <c r="BZ67" s="168"/>
      <c r="CA67" s="168"/>
      <c r="CB67" s="170"/>
      <c r="CC67" s="168"/>
      <c r="CD67" s="168"/>
      <c r="CE67" s="170"/>
      <c r="CF67" s="170"/>
      <c r="CG67" s="170"/>
      <c r="CH67" s="170"/>
      <c r="CI67" s="168"/>
      <c r="CJ67" s="168"/>
      <c r="CK67" s="170"/>
      <c r="CL67" s="170"/>
      <c r="CM67" s="170"/>
      <c r="CN67" s="113"/>
      <c r="CO67" s="36"/>
      <c r="CP67" s="36"/>
      <c r="CQ67" s="36"/>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6"/>
      <c r="DX67" s="36"/>
      <c r="DY67" s="36"/>
      <c r="DZ67" s="36"/>
      <c r="EA67" s="36"/>
      <c r="EB67" s="36"/>
      <c r="EC67" s="36"/>
      <c r="ED67" s="36"/>
    </row>
    <row r="68" spans="1:134" s="27" customFormat="1" x14ac:dyDescent="0.25">
      <c r="A68" s="26"/>
      <c r="B68" s="1737" t="s">
        <v>293</v>
      </c>
      <c r="C68" s="553"/>
      <c r="D68" s="912">
        <f>VLOOKUP($C68,$BI$121:$CM$506,2,FALSE)</f>
        <v>0</v>
      </c>
      <c r="E68" s="421"/>
      <c r="F68" s="421"/>
      <c r="G68" s="421"/>
      <c r="H68" s="421"/>
      <c r="I68" s="421"/>
      <c r="J68" s="421"/>
      <c r="K68" s="426"/>
      <c r="L68" s="426"/>
      <c r="M68" s="426"/>
      <c r="N68" s="426"/>
      <c r="O68" s="426"/>
      <c r="P68" s="426"/>
      <c r="Q68" s="422">
        <f t="shared" si="124"/>
        <v>0</v>
      </c>
      <c r="R68" s="423">
        <f t="shared" si="125"/>
        <v>0</v>
      </c>
      <c r="S68" s="422">
        <f t="shared" si="126"/>
        <v>0</v>
      </c>
      <c r="T68" s="422">
        <f t="shared" si="127"/>
        <v>0</v>
      </c>
      <c r="U68" s="422">
        <f>IF(R68&gt;1,VLOOKUP($R68,$BI$458:$BJ$470,2,FALSE),0)</f>
        <v>0</v>
      </c>
      <c r="V68" s="960"/>
      <c r="W68" s="425">
        <f>IF(R68&gt;1,1-((S68-((T68*U68)/(SQRT(R68))))/S68),VLOOKUP($C68,$BI$121:$CP$506,34,FALSE))</f>
        <v>0</v>
      </c>
      <c r="X68" s="919">
        <v>0</v>
      </c>
      <c r="Y68" s="914">
        <v>0</v>
      </c>
      <c r="Z68" s="915">
        <v>0</v>
      </c>
      <c r="AA68" s="916">
        <f t="shared" si="128"/>
        <v>0</v>
      </c>
      <c r="AB68" s="916">
        <f>AA68*$BJ$476</f>
        <v>0</v>
      </c>
      <c r="AC68" s="915">
        <f t="shared" si="129"/>
        <v>0</v>
      </c>
      <c r="AD68" s="916">
        <f t="shared" si="130"/>
        <v>0</v>
      </c>
      <c r="AE68" s="917">
        <v>0</v>
      </c>
      <c r="AF68" s="914">
        <v>0</v>
      </c>
      <c r="AG68" s="915">
        <v>0</v>
      </c>
      <c r="AH68" s="918">
        <f t="shared" si="131"/>
        <v>0</v>
      </c>
      <c r="AI68" s="918">
        <f>AH68*$BJ$477</f>
        <v>0</v>
      </c>
      <c r="AJ68" s="915">
        <f t="shared" si="132"/>
        <v>0</v>
      </c>
      <c r="AK68" s="916">
        <f t="shared" si="133"/>
        <v>0</v>
      </c>
      <c r="AL68" s="919">
        <f>VLOOKUP($C68,$BI$121:$CM$506,3,FALSE)</f>
        <v>0</v>
      </c>
      <c r="AM68" s="914">
        <f>VLOOKUP($C68,$BI$121:$CM$506,4,FALSE)</f>
        <v>0</v>
      </c>
      <c r="AN68" s="915">
        <f>IF($Q68&gt;0,VLOOKUP($C68,$BI$121:$CM$506,6,FALSE),0)</f>
        <v>0</v>
      </c>
      <c r="AO68" s="916">
        <f t="shared" si="134"/>
        <v>0</v>
      </c>
      <c r="AP68" s="918">
        <f>AO68*$BJ$478</f>
        <v>0</v>
      </c>
      <c r="AQ68" s="915">
        <f t="shared" si="135"/>
        <v>0</v>
      </c>
      <c r="AR68" s="916">
        <f t="shared" si="136"/>
        <v>0</v>
      </c>
      <c r="AS68" s="919">
        <v>0</v>
      </c>
      <c r="AT68" s="914">
        <v>0</v>
      </c>
      <c r="AU68" s="915">
        <v>0</v>
      </c>
      <c r="AV68" s="918">
        <v>0</v>
      </c>
      <c r="AW68" s="915">
        <v>0</v>
      </c>
      <c r="AX68" s="916">
        <f t="shared" si="137"/>
        <v>0</v>
      </c>
      <c r="AY68" s="919">
        <v>0</v>
      </c>
      <c r="AZ68" s="914">
        <v>0</v>
      </c>
      <c r="BA68" s="915">
        <v>0</v>
      </c>
      <c r="BB68" s="918">
        <f t="shared" si="138"/>
        <v>0</v>
      </c>
      <c r="BC68" s="918">
        <f>BB68*$BJ$479</f>
        <v>0</v>
      </c>
      <c r="BD68" s="915">
        <v>0</v>
      </c>
      <c r="BE68" s="916">
        <f t="shared" si="139"/>
        <v>0</v>
      </c>
      <c r="BF68" s="920">
        <f t="shared" si="140"/>
        <v>0</v>
      </c>
      <c r="BG68" s="921">
        <f t="shared" si="141"/>
        <v>0</v>
      </c>
      <c r="BH68" s="28">
        <f t="shared" si="95"/>
        <v>0</v>
      </c>
      <c r="BI68" s="64"/>
      <c r="BJ68" s="168"/>
      <c r="BK68" s="168"/>
      <c r="BL68" s="168"/>
      <c r="BM68" s="169"/>
      <c r="BN68" s="169"/>
      <c r="BO68" s="169"/>
      <c r="BP68" s="168"/>
      <c r="BQ68" s="168"/>
      <c r="BR68" s="168"/>
      <c r="BS68" s="168"/>
      <c r="BT68" s="168"/>
      <c r="BU68" s="168"/>
      <c r="BV68" s="168"/>
      <c r="BW68" s="168"/>
      <c r="BX68" s="168"/>
      <c r="BY68" s="168"/>
      <c r="BZ68" s="168"/>
      <c r="CA68" s="168"/>
      <c r="CB68" s="170"/>
      <c r="CC68" s="168"/>
      <c r="CD68" s="168"/>
      <c r="CE68" s="170"/>
      <c r="CF68" s="170"/>
      <c r="CG68" s="170"/>
      <c r="CH68" s="170"/>
      <c r="CI68" s="168"/>
      <c r="CJ68" s="168"/>
      <c r="CK68" s="170"/>
      <c r="CL68" s="170"/>
      <c r="CM68" s="170"/>
      <c r="CN68" s="113"/>
      <c r="CO68" s="36"/>
      <c r="CP68" s="36"/>
      <c r="CQ68" s="36"/>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6"/>
      <c r="DX68" s="36"/>
      <c r="DY68" s="36"/>
      <c r="DZ68" s="36"/>
      <c r="EA68" s="36"/>
      <c r="EB68" s="36"/>
      <c r="EC68" s="36"/>
      <c r="ED68" s="36"/>
    </row>
    <row r="69" spans="1:134" s="27" customFormat="1" x14ac:dyDescent="0.25">
      <c r="A69" s="26"/>
      <c r="B69" s="1738"/>
      <c r="C69" s="553"/>
      <c r="D69" s="912">
        <f>VLOOKUP($C69,$BI$121:$CM$506,2,FALSE)</f>
        <v>0</v>
      </c>
      <c r="E69" s="421"/>
      <c r="F69" s="421"/>
      <c r="G69" s="421"/>
      <c r="H69" s="421"/>
      <c r="I69" s="421"/>
      <c r="J69" s="421"/>
      <c r="K69" s="426"/>
      <c r="L69" s="426"/>
      <c r="M69" s="426"/>
      <c r="N69" s="426"/>
      <c r="O69" s="426"/>
      <c r="P69" s="426"/>
      <c r="Q69" s="422">
        <f t="shared" si="124"/>
        <v>0</v>
      </c>
      <c r="R69" s="423">
        <f t="shared" si="125"/>
        <v>0</v>
      </c>
      <c r="S69" s="422">
        <f t="shared" si="126"/>
        <v>0</v>
      </c>
      <c r="T69" s="422">
        <f t="shared" si="127"/>
        <v>0</v>
      </c>
      <c r="U69" s="422">
        <f>IF(R69&gt;1,VLOOKUP($R69,$BI$458:$BJ$470,2,FALSE),0)</f>
        <v>0</v>
      </c>
      <c r="V69" s="960"/>
      <c r="W69" s="425">
        <f>IF(R69&gt;1,1-((S69-((T69*U69)/(SQRT(R69))))/S69),VLOOKUP($C69,$BI$121:$CP$506,34,FALSE))</f>
        <v>0</v>
      </c>
      <c r="X69" s="919">
        <v>0</v>
      </c>
      <c r="Y69" s="914">
        <v>0</v>
      </c>
      <c r="Z69" s="915">
        <v>0</v>
      </c>
      <c r="AA69" s="916">
        <f t="shared" si="128"/>
        <v>0</v>
      </c>
      <c r="AB69" s="916">
        <f>AA69*$BJ$476</f>
        <v>0</v>
      </c>
      <c r="AC69" s="915">
        <f t="shared" si="129"/>
        <v>0</v>
      </c>
      <c r="AD69" s="916">
        <f t="shared" si="130"/>
        <v>0</v>
      </c>
      <c r="AE69" s="917">
        <v>0</v>
      </c>
      <c r="AF69" s="914">
        <v>0</v>
      </c>
      <c r="AG69" s="915">
        <v>0</v>
      </c>
      <c r="AH69" s="918">
        <f t="shared" si="131"/>
        <v>0</v>
      </c>
      <c r="AI69" s="918">
        <f>AH69*$BJ$477</f>
        <v>0</v>
      </c>
      <c r="AJ69" s="915">
        <f t="shared" si="132"/>
        <v>0</v>
      </c>
      <c r="AK69" s="916">
        <f t="shared" si="133"/>
        <v>0</v>
      </c>
      <c r="AL69" s="919">
        <f>VLOOKUP($C69,$BI$121:$CM$506,3,FALSE)</f>
        <v>0</v>
      </c>
      <c r="AM69" s="914">
        <f>VLOOKUP($C69,$BI$121:$CM$506,4,FALSE)</f>
        <v>0</v>
      </c>
      <c r="AN69" s="915">
        <f>IF($Q69&gt;0,VLOOKUP($C69,$BI$121:$CM$506,6,FALSE),0)</f>
        <v>0</v>
      </c>
      <c r="AO69" s="916">
        <f t="shared" si="134"/>
        <v>0</v>
      </c>
      <c r="AP69" s="918">
        <f>AO69*$BJ$478</f>
        <v>0</v>
      </c>
      <c r="AQ69" s="915">
        <f t="shared" si="135"/>
        <v>0</v>
      </c>
      <c r="AR69" s="916">
        <f t="shared" si="136"/>
        <v>0</v>
      </c>
      <c r="AS69" s="919">
        <v>0</v>
      </c>
      <c r="AT69" s="914">
        <v>0</v>
      </c>
      <c r="AU69" s="915">
        <v>0</v>
      </c>
      <c r="AV69" s="918">
        <v>0</v>
      </c>
      <c r="AW69" s="915">
        <v>0</v>
      </c>
      <c r="AX69" s="916">
        <f t="shared" si="137"/>
        <v>0</v>
      </c>
      <c r="AY69" s="919">
        <v>0</v>
      </c>
      <c r="AZ69" s="914">
        <v>0</v>
      </c>
      <c r="BA69" s="915">
        <v>0</v>
      </c>
      <c r="BB69" s="918">
        <f t="shared" si="138"/>
        <v>0</v>
      </c>
      <c r="BC69" s="918">
        <f>BB69*$BJ$479</f>
        <v>0</v>
      </c>
      <c r="BD69" s="915">
        <v>0</v>
      </c>
      <c r="BE69" s="916">
        <f t="shared" si="139"/>
        <v>0</v>
      </c>
      <c r="BF69" s="920">
        <f t="shared" si="140"/>
        <v>0</v>
      </c>
      <c r="BG69" s="921">
        <f t="shared" si="141"/>
        <v>0</v>
      </c>
      <c r="BH69" s="28">
        <f t="shared" si="95"/>
        <v>0</v>
      </c>
      <c r="BI69" s="64"/>
      <c r="BJ69" s="168"/>
      <c r="BK69" s="168"/>
      <c r="BL69" s="168"/>
      <c r="BM69" s="169"/>
      <c r="BN69" s="169"/>
      <c r="BO69" s="169"/>
      <c r="BP69" s="168"/>
      <c r="BQ69" s="168"/>
      <c r="BR69" s="168"/>
      <c r="BS69" s="168"/>
      <c r="BT69" s="168"/>
      <c r="BU69" s="168"/>
      <c r="BV69" s="168"/>
      <c r="BW69" s="168"/>
      <c r="BX69" s="168"/>
      <c r="BY69" s="168"/>
      <c r="BZ69" s="168"/>
      <c r="CA69" s="168"/>
      <c r="CB69" s="170"/>
      <c r="CC69" s="168"/>
      <c r="CD69" s="168"/>
      <c r="CE69" s="170"/>
      <c r="CF69" s="170"/>
      <c r="CG69" s="170"/>
      <c r="CH69" s="170"/>
      <c r="CI69" s="168"/>
      <c r="CJ69" s="168"/>
      <c r="CK69" s="170"/>
      <c r="CL69" s="170"/>
      <c r="CM69" s="170"/>
      <c r="CN69" s="113"/>
      <c r="CO69" s="36"/>
      <c r="CP69" s="36"/>
      <c r="CQ69" s="36"/>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6"/>
      <c r="DX69" s="36"/>
      <c r="DY69" s="36"/>
      <c r="DZ69" s="36"/>
      <c r="EA69" s="36"/>
      <c r="EB69" s="36"/>
      <c r="EC69" s="36"/>
      <c r="ED69" s="36"/>
    </row>
    <row r="70" spans="1:134" s="27" customFormat="1" x14ac:dyDescent="0.25">
      <c r="A70" s="26"/>
      <c r="B70" s="1739"/>
      <c r="C70" s="553"/>
      <c r="D70" s="912">
        <f>VLOOKUP($C70,$BI$121:$CM$506,2,FALSE)</f>
        <v>0</v>
      </c>
      <c r="E70" s="421"/>
      <c r="F70" s="421"/>
      <c r="G70" s="421"/>
      <c r="H70" s="421"/>
      <c r="I70" s="421"/>
      <c r="J70" s="421"/>
      <c r="K70" s="426"/>
      <c r="L70" s="426"/>
      <c r="M70" s="426"/>
      <c r="N70" s="426"/>
      <c r="O70" s="426"/>
      <c r="P70" s="426"/>
      <c r="Q70" s="422">
        <f t="shared" si="124"/>
        <v>0</v>
      </c>
      <c r="R70" s="423">
        <f t="shared" si="125"/>
        <v>0</v>
      </c>
      <c r="S70" s="422">
        <f t="shared" si="126"/>
        <v>0</v>
      </c>
      <c r="T70" s="422">
        <f t="shared" si="127"/>
        <v>0</v>
      </c>
      <c r="U70" s="422">
        <f>IF(R70&gt;1,VLOOKUP($R70,$BI$458:$BJ$470,2,FALSE),0)</f>
        <v>0</v>
      </c>
      <c r="V70" s="960"/>
      <c r="W70" s="425">
        <f>IF(R70&gt;1,1-((S70-((T70*U70)/(SQRT(R70))))/S70),VLOOKUP($C70,$BI$121:$CP$506,34,FALSE))</f>
        <v>0</v>
      </c>
      <c r="X70" s="919">
        <v>0</v>
      </c>
      <c r="Y70" s="914">
        <v>0</v>
      </c>
      <c r="Z70" s="915">
        <v>0</v>
      </c>
      <c r="AA70" s="916">
        <f t="shared" si="128"/>
        <v>0</v>
      </c>
      <c r="AB70" s="916">
        <f>AA70*$BJ$476</f>
        <v>0</v>
      </c>
      <c r="AC70" s="915">
        <f t="shared" si="129"/>
        <v>0</v>
      </c>
      <c r="AD70" s="916">
        <f t="shared" si="130"/>
        <v>0</v>
      </c>
      <c r="AE70" s="917">
        <v>0</v>
      </c>
      <c r="AF70" s="914">
        <v>0</v>
      </c>
      <c r="AG70" s="915">
        <v>0</v>
      </c>
      <c r="AH70" s="918">
        <f t="shared" si="131"/>
        <v>0</v>
      </c>
      <c r="AI70" s="918">
        <f>AH70*$BJ$477</f>
        <v>0</v>
      </c>
      <c r="AJ70" s="915">
        <f t="shared" si="132"/>
        <v>0</v>
      </c>
      <c r="AK70" s="916">
        <f t="shared" si="133"/>
        <v>0</v>
      </c>
      <c r="AL70" s="919">
        <f>VLOOKUP($C70,$BI$121:$CM$506,3,FALSE)</f>
        <v>0</v>
      </c>
      <c r="AM70" s="914">
        <f>VLOOKUP($C70,$BI$121:$CM$506,4,FALSE)</f>
        <v>0</v>
      </c>
      <c r="AN70" s="915">
        <f>IF($Q70&gt;0,VLOOKUP($C70,$BI$121:$CM$506,6,FALSE),0)</f>
        <v>0</v>
      </c>
      <c r="AO70" s="916">
        <f t="shared" si="134"/>
        <v>0</v>
      </c>
      <c r="AP70" s="918">
        <f>AO70*$BJ$478</f>
        <v>0</v>
      </c>
      <c r="AQ70" s="915">
        <f t="shared" si="135"/>
        <v>0</v>
      </c>
      <c r="AR70" s="916">
        <f t="shared" si="136"/>
        <v>0</v>
      </c>
      <c r="AS70" s="919">
        <v>0</v>
      </c>
      <c r="AT70" s="914">
        <v>0</v>
      </c>
      <c r="AU70" s="915">
        <v>0</v>
      </c>
      <c r="AV70" s="918">
        <v>0</v>
      </c>
      <c r="AW70" s="915">
        <v>0</v>
      </c>
      <c r="AX70" s="916">
        <f t="shared" si="137"/>
        <v>0</v>
      </c>
      <c r="AY70" s="919">
        <v>0</v>
      </c>
      <c r="AZ70" s="914">
        <v>0</v>
      </c>
      <c r="BA70" s="915">
        <v>0</v>
      </c>
      <c r="BB70" s="918">
        <f t="shared" si="138"/>
        <v>0</v>
      </c>
      <c r="BC70" s="918">
        <f>BB70*$BJ$479</f>
        <v>0</v>
      </c>
      <c r="BD70" s="915">
        <v>0</v>
      </c>
      <c r="BE70" s="916">
        <f t="shared" si="139"/>
        <v>0</v>
      </c>
      <c r="BF70" s="920">
        <f t="shared" si="140"/>
        <v>0</v>
      </c>
      <c r="BG70" s="921">
        <f t="shared" si="141"/>
        <v>0</v>
      </c>
      <c r="BH70" s="28">
        <f t="shared" si="95"/>
        <v>0</v>
      </c>
      <c r="BI70" s="64"/>
      <c r="BJ70" s="168"/>
      <c r="BK70" s="168"/>
      <c r="BL70" s="168"/>
      <c r="BM70" s="169"/>
      <c r="BN70" s="169"/>
      <c r="BO70" s="169"/>
      <c r="BP70" s="168"/>
      <c r="BQ70" s="168"/>
      <c r="BR70" s="168"/>
      <c r="BS70" s="168"/>
      <c r="BT70" s="168"/>
      <c r="BU70" s="168"/>
      <c r="BV70" s="168"/>
      <c r="BW70" s="168"/>
      <c r="BX70" s="168"/>
      <c r="BY70" s="168"/>
      <c r="BZ70" s="168"/>
      <c r="CA70" s="168"/>
      <c r="CB70" s="170"/>
      <c r="CC70" s="168"/>
      <c r="CD70" s="168"/>
      <c r="CE70" s="170"/>
      <c r="CF70" s="170"/>
      <c r="CG70" s="170"/>
      <c r="CH70" s="170"/>
      <c r="CI70" s="168"/>
      <c r="CJ70" s="168"/>
      <c r="CK70" s="170"/>
      <c r="CL70" s="170"/>
      <c r="CM70" s="170"/>
      <c r="CN70" s="113"/>
      <c r="CO70" s="29"/>
      <c r="CP70" s="29"/>
      <c r="CQ70" s="29"/>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6"/>
      <c r="DX70" s="36"/>
      <c r="DY70" s="36"/>
      <c r="DZ70" s="36"/>
      <c r="EA70" s="36"/>
      <c r="EB70" s="36"/>
      <c r="EC70" s="36"/>
      <c r="ED70" s="36"/>
    </row>
    <row r="71" spans="1:134" s="27" customFormat="1" ht="15.75" x14ac:dyDescent="0.25">
      <c r="A71" s="26"/>
      <c r="B71" s="1735" t="s">
        <v>1371</v>
      </c>
      <c r="C71" s="1736"/>
      <c r="D71" s="1167"/>
      <c r="E71" s="1167"/>
      <c r="F71" s="1167"/>
      <c r="G71" s="1167"/>
      <c r="H71" s="1167"/>
      <c r="I71" s="1167"/>
      <c r="J71" s="1167"/>
      <c r="K71" s="1167"/>
      <c r="L71" s="1167"/>
      <c r="M71" s="1167"/>
      <c r="N71" s="1167"/>
      <c r="O71" s="1167"/>
      <c r="P71" s="1167"/>
      <c r="Q71" s="1167"/>
      <c r="R71" s="1167"/>
      <c r="S71" s="1167"/>
      <c r="T71" s="1167"/>
      <c r="U71" s="1167"/>
      <c r="V71" s="1167"/>
      <c r="W71" s="1167"/>
      <c r="X71" s="1167"/>
      <c r="Y71" s="1167"/>
      <c r="Z71" s="1167"/>
      <c r="AA71" s="1168"/>
      <c r="AB71" s="1169">
        <f>SUM(AB68:AB70)</f>
        <v>0</v>
      </c>
      <c r="AC71" s="1170"/>
      <c r="AD71" s="1169"/>
      <c r="AE71" s="1171"/>
      <c r="AF71" s="1167"/>
      <c r="AG71" s="1167"/>
      <c r="AH71" s="1172"/>
      <c r="AI71" s="1176">
        <f>SUM(AI68:AI70)</f>
        <v>0</v>
      </c>
      <c r="AJ71" s="1170"/>
      <c r="AK71" s="1169"/>
      <c r="AL71" s="1167"/>
      <c r="AM71" s="1167"/>
      <c r="AN71" s="1167"/>
      <c r="AO71" s="1167"/>
      <c r="AP71" s="1176">
        <f>SUM(AP68:AP70)</f>
        <v>0</v>
      </c>
      <c r="AQ71" s="1170"/>
      <c r="AR71" s="1169"/>
      <c r="AS71" s="1167"/>
      <c r="AT71" s="1167"/>
      <c r="AU71" s="1167"/>
      <c r="AV71" s="1176">
        <f>SUM(AV68:AV70)</f>
        <v>0</v>
      </c>
      <c r="AW71" s="1170"/>
      <c r="AX71" s="1169"/>
      <c r="AY71" s="1167"/>
      <c r="AZ71" s="1167"/>
      <c r="BA71" s="1173"/>
      <c r="BB71" s="1174"/>
      <c r="BC71" s="1176">
        <f>SUM(BC68:BC70)</f>
        <v>0</v>
      </c>
      <c r="BD71" s="1170"/>
      <c r="BE71" s="1169"/>
      <c r="BF71" s="1169">
        <f>SUM(BF68:BF70)</f>
        <v>0</v>
      </c>
      <c r="BG71" s="1175">
        <f>IF(BF71&gt;0,SQRT(SUM(BH68:BH70))/BF71,0)</f>
        <v>0</v>
      </c>
      <c r="BH71" s="28">
        <f t="shared" si="95"/>
        <v>0</v>
      </c>
      <c r="BI71" s="64"/>
      <c r="BJ71" s="168"/>
      <c r="BK71" s="168"/>
      <c r="BL71" s="168"/>
      <c r="BM71" s="169"/>
      <c r="BN71" s="169"/>
      <c r="BO71" s="169"/>
      <c r="BP71" s="168"/>
      <c r="BQ71" s="168"/>
      <c r="BR71" s="168"/>
      <c r="BS71" s="168"/>
      <c r="BT71" s="168"/>
      <c r="BU71" s="168"/>
      <c r="BV71" s="168"/>
      <c r="BW71" s="168"/>
      <c r="BX71" s="168"/>
      <c r="BY71" s="168"/>
      <c r="BZ71" s="168"/>
      <c r="CA71" s="168"/>
      <c r="CB71" s="170"/>
      <c r="CC71" s="168"/>
      <c r="CD71" s="168"/>
      <c r="CE71" s="170"/>
      <c r="CF71" s="170"/>
      <c r="CG71" s="170"/>
      <c r="CH71" s="170"/>
      <c r="CI71" s="168"/>
      <c r="CJ71" s="168"/>
      <c r="CK71" s="170"/>
      <c r="CL71" s="170"/>
      <c r="CM71" s="170"/>
      <c r="CN71" s="113"/>
      <c r="CO71" s="36"/>
      <c r="CP71" s="36"/>
      <c r="CQ71" s="36"/>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6"/>
      <c r="DX71" s="36"/>
      <c r="DY71" s="36"/>
      <c r="DZ71" s="36"/>
      <c r="EA71" s="36"/>
      <c r="EB71" s="36"/>
      <c r="EC71" s="36"/>
      <c r="ED71" s="36"/>
    </row>
    <row r="72" spans="1:134" s="27" customFormat="1" x14ac:dyDescent="0.25">
      <c r="A72" s="26"/>
      <c r="B72" s="1737" t="s">
        <v>1375</v>
      </c>
      <c r="C72" s="553"/>
      <c r="D72" s="912">
        <f>VLOOKUP($C72,$BI$121:$CM$506,2,FALSE)</f>
        <v>0</v>
      </c>
      <c r="E72" s="421"/>
      <c r="F72" s="421"/>
      <c r="G72" s="421"/>
      <c r="H72" s="421"/>
      <c r="I72" s="421"/>
      <c r="J72" s="421"/>
      <c r="K72" s="426"/>
      <c r="L72" s="426"/>
      <c r="M72" s="426"/>
      <c r="N72" s="426"/>
      <c r="O72" s="426"/>
      <c r="P72" s="426"/>
      <c r="Q72" s="422">
        <f>SUM(E72:P72)</f>
        <v>0</v>
      </c>
      <c r="R72" s="423">
        <f>COUNT(E72:P72)</f>
        <v>0</v>
      </c>
      <c r="S72" s="422">
        <f>IF(R72&gt;1,AVERAGE(E72:P72),0)</f>
        <v>0</v>
      </c>
      <c r="T72" s="422">
        <f>IF(R72&gt;1,STDEV(E72:P72),0)</f>
        <v>0</v>
      </c>
      <c r="U72" s="422">
        <f>IF(R72&gt;1,VLOOKUP($R72,$BI$458:$BJ$470,2,FALSE),0)</f>
        <v>0</v>
      </c>
      <c r="V72" s="960"/>
      <c r="W72" s="425">
        <f>IF(R72&gt;1,1-((S72-((T72*U72)/(SQRT(R72))))/S72),VLOOKUP($C72,$BI$121:$CP$506,34,FALSE))</f>
        <v>0</v>
      </c>
      <c r="X72" s="919">
        <f>VLOOKUP($C72,$BI$121:$CM$506,3,FALSE)</f>
        <v>0</v>
      </c>
      <c r="Y72" s="914">
        <f>VLOOKUP($C72,$BI$121:$CM$506,4,FALSE)</f>
        <v>0</v>
      </c>
      <c r="Z72" s="915">
        <f>IF($Q72&gt;0,VLOOKUP($C72,$BI$121:$CM$506,6,FALSE),0)</f>
        <v>0</v>
      </c>
      <c r="AA72" s="916">
        <f>($Q72*X72)/1000</f>
        <v>0</v>
      </c>
      <c r="AB72" s="916">
        <f>AA72*$BJ$476</f>
        <v>0</v>
      </c>
      <c r="AC72" s="915">
        <f>IF(AA72&gt;0,SQRT(($W72*$W72)+(Z72*Z72)+($V72*$V72)),0)</f>
        <v>0</v>
      </c>
      <c r="AD72" s="916">
        <f>(AB72*AC72)^2</f>
        <v>0</v>
      </c>
      <c r="AE72" s="917">
        <v>0</v>
      </c>
      <c r="AF72" s="914">
        <v>0</v>
      </c>
      <c r="AG72" s="915">
        <v>0</v>
      </c>
      <c r="AH72" s="918">
        <f>($Q72*AE72)/1000</f>
        <v>0</v>
      </c>
      <c r="AI72" s="918">
        <f>AH72*$BJ$477</f>
        <v>0</v>
      </c>
      <c r="AJ72" s="915">
        <f>IF(AH72&gt;0,SQRT(($W72*$W72)+(AG72*AG72)+($V72*$V72)),0)</f>
        <v>0</v>
      </c>
      <c r="AK72" s="916">
        <f>(AI72*AJ72)^2</f>
        <v>0</v>
      </c>
      <c r="AL72" s="919">
        <v>0</v>
      </c>
      <c r="AM72" s="914">
        <v>0</v>
      </c>
      <c r="AN72" s="915">
        <v>0</v>
      </c>
      <c r="AO72" s="916">
        <f>($Q72*AL72)/1000</f>
        <v>0</v>
      </c>
      <c r="AP72" s="918">
        <f>AO72*$BJ$478</f>
        <v>0</v>
      </c>
      <c r="AQ72" s="915">
        <f>IF(AO72&gt;0,SQRT(($W72*$W72)+(AN72*AN72)+($V72*$V72)),0)</f>
        <v>0</v>
      </c>
      <c r="AR72" s="916">
        <f>(AP72*AQ72)^2</f>
        <v>0</v>
      </c>
      <c r="AS72" s="919">
        <v>0</v>
      </c>
      <c r="AT72" s="914">
        <v>0</v>
      </c>
      <c r="AU72" s="915">
        <v>0</v>
      </c>
      <c r="AV72" s="918">
        <v>0</v>
      </c>
      <c r="AW72" s="915">
        <v>0</v>
      </c>
      <c r="AX72" s="916">
        <f>(AV72*AW72)^2</f>
        <v>0</v>
      </c>
      <c r="AY72" s="919">
        <v>0</v>
      </c>
      <c r="AZ72" s="914">
        <v>0</v>
      </c>
      <c r="BA72" s="915">
        <v>0</v>
      </c>
      <c r="BB72" s="918">
        <f>($Q72*AY72)/1000</f>
        <v>0</v>
      </c>
      <c r="BC72" s="918">
        <f>BB72*$BJ$479</f>
        <v>0</v>
      </c>
      <c r="BD72" s="915">
        <v>0</v>
      </c>
      <c r="BE72" s="916">
        <f>(BC72*BD72)^2</f>
        <v>0</v>
      </c>
      <c r="BF72" s="920">
        <f>AB72+AI72+AP72+AV72+BC72</f>
        <v>0</v>
      </c>
      <c r="BG72" s="921">
        <f>IF(BF72&gt;0,SQRT(AD72+AK72+AR72+AX72+BE72)/BF72,0)</f>
        <v>0</v>
      </c>
      <c r="BH72" s="28">
        <f t="shared" si="95"/>
        <v>0</v>
      </c>
      <c r="BI72" s="64"/>
      <c r="BJ72" s="168"/>
      <c r="BK72" s="168"/>
      <c r="BL72" s="168"/>
      <c r="BM72" s="169"/>
      <c r="BN72" s="169"/>
      <c r="BO72" s="169"/>
      <c r="BP72" s="168"/>
      <c r="BQ72" s="168"/>
      <c r="BR72" s="168"/>
      <c r="BS72" s="168"/>
      <c r="BT72" s="168"/>
      <c r="BU72" s="168"/>
      <c r="BV72" s="168"/>
      <c r="BW72" s="168"/>
      <c r="BX72" s="168"/>
      <c r="BY72" s="168"/>
      <c r="BZ72" s="168"/>
      <c r="CA72" s="168"/>
      <c r="CB72" s="170"/>
      <c r="CC72" s="168"/>
      <c r="CD72" s="168"/>
      <c r="CE72" s="170"/>
      <c r="CF72" s="170"/>
      <c r="CG72" s="170"/>
      <c r="CH72" s="170"/>
      <c r="CI72" s="168"/>
      <c r="CJ72" s="168"/>
      <c r="CK72" s="170"/>
      <c r="CL72" s="170"/>
      <c r="CM72" s="170"/>
      <c r="CN72" s="113"/>
      <c r="CO72" s="29"/>
      <c r="CP72" s="29"/>
      <c r="CQ72" s="29"/>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6"/>
      <c r="DX72" s="36"/>
      <c r="DY72" s="36"/>
      <c r="DZ72" s="36"/>
      <c r="EA72" s="36"/>
      <c r="EB72" s="36"/>
      <c r="EC72" s="36"/>
      <c r="ED72" s="36"/>
    </row>
    <row r="73" spans="1:134" s="27" customFormat="1" x14ac:dyDescent="0.25">
      <c r="A73" s="26"/>
      <c r="B73" s="1738"/>
      <c r="C73" s="553"/>
      <c r="D73" s="912">
        <f>VLOOKUP($C73,$BI$121:$CM$506,2,FALSE)</f>
        <v>0</v>
      </c>
      <c r="E73" s="421"/>
      <c r="F73" s="421"/>
      <c r="G73" s="421"/>
      <c r="H73" s="421"/>
      <c r="I73" s="421"/>
      <c r="J73" s="421"/>
      <c r="K73" s="426"/>
      <c r="L73" s="426"/>
      <c r="M73" s="426"/>
      <c r="N73" s="426"/>
      <c r="O73" s="426"/>
      <c r="P73" s="426"/>
      <c r="Q73" s="422">
        <f>SUM(E73:P73)</f>
        <v>0</v>
      </c>
      <c r="R73" s="423">
        <f>COUNT(E73:P73)</f>
        <v>0</v>
      </c>
      <c r="S73" s="422">
        <f>IF(R73&gt;1,AVERAGE(E73:P73),0)</f>
        <v>0</v>
      </c>
      <c r="T73" s="422">
        <f>IF(R73&gt;1,STDEV(E73:P73),0)</f>
        <v>0</v>
      </c>
      <c r="U73" s="422">
        <f>IF(R73&gt;1,VLOOKUP($R73,$BI$458:$BJ$470,2,FALSE),0)</f>
        <v>0</v>
      </c>
      <c r="V73" s="960"/>
      <c r="W73" s="425">
        <f>IF(R73&gt;1,1-((S73-((T73*U73)/(SQRT(R73))))/S73),VLOOKUP($C73,$BI$121:$CP$506,34,FALSE))</f>
        <v>0</v>
      </c>
      <c r="X73" s="919">
        <f>VLOOKUP($C73,$BI$121:$CM$506,3,FALSE)</f>
        <v>0</v>
      </c>
      <c r="Y73" s="914">
        <f>VLOOKUP($C73,$BI$121:$CM$506,4,FALSE)</f>
        <v>0</v>
      </c>
      <c r="Z73" s="915">
        <f>IF($Q73&gt;0,VLOOKUP($C73,$BI$121:$CM$506,6,FALSE),0)</f>
        <v>0</v>
      </c>
      <c r="AA73" s="916">
        <f>($Q73*X73)/1000</f>
        <v>0</v>
      </c>
      <c r="AB73" s="916">
        <f>AA73*$BJ$476</f>
        <v>0</v>
      </c>
      <c r="AC73" s="915">
        <f>IF(AA73&gt;0,SQRT(($W73*$W73)+(Z73*Z73)+($V73*$V73)),0)</f>
        <v>0</v>
      </c>
      <c r="AD73" s="916">
        <f>(AB73*AC73)^2</f>
        <v>0</v>
      </c>
      <c r="AE73" s="917">
        <v>0</v>
      </c>
      <c r="AF73" s="914">
        <v>0</v>
      </c>
      <c r="AG73" s="915">
        <v>0</v>
      </c>
      <c r="AH73" s="918">
        <f>($Q73*AE73)/1000</f>
        <v>0</v>
      </c>
      <c r="AI73" s="918">
        <f>AH73*$BJ$477</f>
        <v>0</v>
      </c>
      <c r="AJ73" s="915">
        <f>IF(AH73&gt;0,SQRT(($W73*$W73)+(AG73*AG73)+($V73*$V73)),0)</f>
        <v>0</v>
      </c>
      <c r="AK73" s="916">
        <f>(AI73*AJ73)^2</f>
        <v>0</v>
      </c>
      <c r="AL73" s="919">
        <v>0</v>
      </c>
      <c r="AM73" s="914">
        <v>0</v>
      </c>
      <c r="AN73" s="915">
        <v>0</v>
      </c>
      <c r="AO73" s="916">
        <f>($Q73*AL73)/1000</f>
        <v>0</v>
      </c>
      <c r="AP73" s="918">
        <f>AO73*$BJ$478</f>
        <v>0</v>
      </c>
      <c r="AQ73" s="915">
        <f>IF(AO73&gt;0,SQRT(($W73*$W73)+(AN73*AN73)+($V73*$V73)),0)</f>
        <v>0</v>
      </c>
      <c r="AR73" s="916">
        <f>(AP73*AQ73)^2</f>
        <v>0</v>
      </c>
      <c r="AS73" s="919">
        <v>0</v>
      </c>
      <c r="AT73" s="914">
        <v>0</v>
      </c>
      <c r="AU73" s="915">
        <v>0</v>
      </c>
      <c r="AV73" s="918">
        <v>0</v>
      </c>
      <c r="AW73" s="915">
        <v>0</v>
      </c>
      <c r="AX73" s="916">
        <f>(AV73*AW73)^2</f>
        <v>0</v>
      </c>
      <c r="AY73" s="919">
        <v>0</v>
      </c>
      <c r="AZ73" s="914">
        <v>0</v>
      </c>
      <c r="BA73" s="915">
        <v>0</v>
      </c>
      <c r="BB73" s="918">
        <f>($Q73*AY73)/1000</f>
        <v>0</v>
      </c>
      <c r="BC73" s="918">
        <f>BB73*$BJ$479</f>
        <v>0</v>
      </c>
      <c r="BD73" s="915">
        <v>0</v>
      </c>
      <c r="BE73" s="916">
        <f>(BC73*BD73)^2</f>
        <v>0</v>
      </c>
      <c r="BF73" s="920">
        <f>AB73+AI73+AP73+AV73+BC73</f>
        <v>0</v>
      </c>
      <c r="BG73" s="921">
        <f>IF(BF73&gt;0,SQRT(AD73+AK73+AR73+AX73+BE73)/BF73,0)</f>
        <v>0</v>
      </c>
      <c r="BH73" s="28">
        <f>(BF73*BG73)^2</f>
        <v>0</v>
      </c>
      <c r="BI73" s="64"/>
      <c r="BJ73" s="168"/>
      <c r="BK73" s="168"/>
      <c r="BL73" s="168"/>
      <c r="BM73" s="169"/>
      <c r="BN73" s="169"/>
      <c r="BO73" s="169"/>
      <c r="BP73" s="168"/>
      <c r="BQ73" s="168"/>
      <c r="BR73" s="168"/>
      <c r="BS73" s="168"/>
      <c r="BT73" s="168"/>
      <c r="BU73" s="168"/>
      <c r="BV73" s="168"/>
      <c r="BW73" s="168"/>
      <c r="BX73" s="168"/>
      <c r="BY73" s="168"/>
      <c r="BZ73" s="168"/>
      <c r="CA73" s="168"/>
      <c r="CB73" s="170"/>
      <c r="CC73" s="168"/>
      <c r="CD73" s="168"/>
      <c r="CE73" s="170"/>
      <c r="CF73" s="170"/>
      <c r="CG73" s="170"/>
      <c r="CH73" s="170"/>
      <c r="CI73" s="168"/>
      <c r="CJ73" s="168"/>
      <c r="CK73" s="170"/>
      <c r="CL73" s="170"/>
      <c r="CM73" s="170"/>
      <c r="CN73" s="113"/>
      <c r="CO73" s="29"/>
      <c r="CP73" s="29"/>
      <c r="CQ73" s="29"/>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6"/>
      <c r="DX73" s="36"/>
      <c r="DY73" s="36"/>
      <c r="DZ73" s="36"/>
      <c r="EA73" s="36"/>
      <c r="EB73" s="36"/>
      <c r="EC73" s="36"/>
      <c r="ED73" s="36"/>
    </row>
    <row r="74" spans="1:134" s="27" customFormat="1" x14ac:dyDescent="0.25">
      <c r="A74" s="26"/>
      <c r="B74" s="1739"/>
      <c r="C74" s="553"/>
      <c r="D74" s="912">
        <f>VLOOKUP($C74,$BI$121:$CM$506,2,FALSE)</f>
        <v>0</v>
      </c>
      <c r="E74" s="421"/>
      <c r="F74" s="421"/>
      <c r="G74" s="421"/>
      <c r="H74" s="421"/>
      <c r="I74" s="421"/>
      <c r="J74" s="421"/>
      <c r="K74" s="426"/>
      <c r="L74" s="426"/>
      <c r="M74" s="426"/>
      <c r="N74" s="426"/>
      <c r="O74" s="426"/>
      <c r="P74" s="426"/>
      <c r="Q74" s="422">
        <f t="shared" si="124"/>
        <v>0</v>
      </c>
      <c r="R74" s="423">
        <f t="shared" si="125"/>
        <v>0</v>
      </c>
      <c r="S74" s="422">
        <f t="shared" si="126"/>
        <v>0</v>
      </c>
      <c r="T74" s="422">
        <f t="shared" si="127"/>
        <v>0</v>
      </c>
      <c r="U74" s="422">
        <f>IF(R74&gt;1,VLOOKUP($R74,$BI$458:$BJ$470,2,FALSE),0)</f>
        <v>0</v>
      </c>
      <c r="V74" s="960"/>
      <c r="W74" s="425">
        <f>IF(R74&gt;1,1-((S74-((T74*U74)/(SQRT(R74))))/S74),VLOOKUP($C74,$BI$121:$CP$506,34,FALSE))</f>
        <v>0</v>
      </c>
      <c r="X74" s="919">
        <f>VLOOKUP($C74,$BI$121:$CM$506,3,FALSE)</f>
        <v>0</v>
      </c>
      <c r="Y74" s="914">
        <f>VLOOKUP($C74,$BI$121:$CM$506,4,FALSE)</f>
        <v>0</v>
      </c>
      <c r="Z74" s="915">
        <f>IF($Q74&gt;0,VLOOKUP($C74,$BI$121:$CM$506,6,FALSE),0)</f>
        <v>0</v>
      </c>
      <c r="AA74" s="916">
        <f t="shared" si="128"/>
        <v>0</v>
      </c>
      <c r="AB74" s="916">
        <f>AA74*$BJ$476</f>
        <v>0</v>
      </c>
      <c r="AC74" s="915">
        <f t="shared" si="129"/>
        <v>0</v>
      </c>
      <c r="AD74" s="916">
        <f t="shared" si="130"/>
        <v>0</v>
      </c>
      <c r="AE74" s="917">
        <v>0</v>
      </c>
      <c r="AF74" s="914">
        <v>0</v>
      </c>
      <c r="AG74" s="915">
        <v>0</v>
      </c>
      <c r="AH74" s="918">
        <f t="shared" si="131"/>
        <v>0</v>
      </c>
      <c r="AI74" s="918">
        <f>AH74*$BJ$477</f>
        <v>0</v>
      </c>
      <c r="AJ74" s="915">
        <f t="shared" si="132"/>
        <v>0</v>
      </c>
      <c r="AK74" s="916">
        <f t="shared" si="133"/>
        <v>0</v>
      </c>
      <c r="AL74" s="919">
        <v>0</v>
      </c>
      <c r="AM74" s="914">
        <v>0</v>
      </c>
      <c r="AN74" s="915">
        <v>0</v>
      </c>
      <c r="AO74" s="916">
        <f t="shared" si="134"/>
        <v>0</v>
      </c>
      <c r="AP74" s="918">
        <f>AO74*$BJ$478</f>
        <v>0</v>
      </c>
      <c r="AQ74" s="915">
        <f t="shared" si="135"/>
        <v>0</v>
      </c>
      <c r="AR74" s="916">
        <f t="shared" si="136"/>
        <v>0</v>
      </c>
      <c r="AS74" s="919">
        <v>0</v>
      </c>
      <c r="AT74" s="914">
        <v>0</v>
      </c>
      <c r="AU74" s="915">
        <v>0</v>
      </c>
      <c r="AV74" s="918">
        <v>0</v>
      </c>
      <c r="AW74" s="915">
        <v>0</v>
      </c>
      <c r="AX74" s="916">
        <f t="shared" si="137"/>
        <v>0</v>
      </c>
      <c r="AY74" s="919">
        <v>0</v>
      </c>
      <c r="AZ74" s="914">
        <v>0</v>
      </c>
      <c r="BA74" s="915">
        <v>0</v>
      </c>
      <c r="BB74" s="918">
        <f t="shared" si="138"/>
        <v>0</v>
      </c>
      <c r="BC74" s="918">
        <f>BB74*$BJ$479</f>
        <v>0</v>
      </c>
      <c r="BD74" s="915">
        <v>0</v>
      </c>
      <c r="BE74" s="916">
        <f t="shared" si="139"/>
        <v>0</v>
      </c>
      <c r="BF74" s="920">
        <f t="shared" si="140"/>
        <v>0</v>
      </c>
      <c r="BG74" s="921">
        <f t="shared" si="141"/>
        <v>0</v>
      </c>
      <c r="BH74" s="28">
        <f t="shared" si="95"/>
        <v>0</v>
      </c>
      <c r="BI74" s="64"/>
      <c r="BJ74" s="168"/>
      <c r="BK74" s="168"/>
      <c r="BL74" s="168"/>
      <c r="BM74" s="169"/>
      <c r="BN74" s="169"/>
      <c r="BO74" s="169"/>
      <c r="BP74" s="168"/>
      <c r="BQ74" s="168"/>
      <c r="BR74" s="168"/>
      <c r="BS74" s="168"/>
      <c r="BT74" s="168"/>
      <c r="BU74" s="168"/>
      <c r="BV74" s="168"/>
      <c r="BW74" s="168"/>
      <c r="BX74" s="168"/>
      <c r="BY74" s="168"/>
      <c r="BZ74" s="168"/>
      <c r="CA74" s="168"/>
      <c r="CB74" s="170"/>
      <c r="CC74" s="168"/>
      <c r="CD74" s="168"/>
      <c r="CE74" s="170"/>
      <c r="CF74" s="170"/>
      <c r="CG74" s="170"/>
      <c r="CH74" s="170"/>
      <c r="CI74" s="168"/>
      <c r="CJ74" s="168"/>
      <c r="CK74" s="170"/>
      <c r="CL74" s="170"/>
      <c r="CM74" s="170"/>
      <c r="CN74" s="113"/>
      <c r="CO74" s="29"/>
      <c r="CP74" s="29"/>
      <c r="CQ74" s="29"/>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6"/>
      <c r="DX74" s="36"/>
      <c r="DY74" s="36"/>
      <c r="DZ74" s="36"/>
      <c r="EA74" s="36"/>
      <c r="EB74" s="36"/>
      <c r="EC74" s="36"/>
      <c r="ED74" s="36"/>
    </row>
    <row r="75" spans="1:134" s="27" customFormat="1" ht="15.75" x14ac:dyDescent="0.25">
      <c r="A75" s="26"/>
      <c r="B75" s="1735" t="s">
        <v>1376</v>
      </c>
      <c r="C75" s="1736"/>
      <c r="D75" s="1167"/>
      <c r="E75" s="1167"/>
      <c r="F75" s="1167"/>
      <c r="G75" s="1167"/>
      <c r="H75" s="1167"/>
      <c r="I75" s="1167"/>
      <c r="J75" s="1167"/>
      <c r="K75" s="1167"/>
      <c r="L75" s="1167"/>
      <c r="M75" s="1167"/>
      <c r="N75" s="1167"/>
      <c r="O75" s="1167"/>
      <c r="P75" s="1167"/>
      <c r="Q75" s="1167"/>
      <c r="R75" s="1167"/>
      <c r="S75" s="1167"/>
      <c r="T75" s="1167"/>
      <c r="U75" s="1167"/>
      <c r="V75" s="1167"/>
      <c r="W75" s="1167"/>
      <c r="X75" s="1167"/>
      <c r="Y75" s="1167"/>
      <c r="Z75" s="1167"/>
      <c r="AA75" s="1168"/>
      <c r="AB75" s="1169">
        <f>SUM(AB72:AB74)</f>
        <v>0</v>
      </c>
      <c r="AC75" s="1170"/>
      <c r="AD75" s="1169"/>
      <c r="AE75" s="1171"/>
      <c r="AF75" s="1167"/>
      <c r="AG75" s="1167"/>
      <c r="AH75" s="1172"/>
      <c r="AI75" s="1176">
        <f>SUM(AI72:AI74)</f>
        <v>0</v>
      </c>
      <c r="AJ75" s="1170"/>
      <c r="AK75" s="1169"/>
      <c r="AL75" s="1167"/>
      <c r="AM75" s="1167"/>
      <c r="AN75" s="1167"/>
      <c r="AO75" s="1167"/>
      <c r="AP75" s="1176">
        <f>SUM(AP72:AP74)</f>
        <v>0</v>
      </c>
      <c r="AQ75" s="1170"/>
      <c r="AR75" s="1169"/>
      <c r="AS75" s="1167"/>
      <c r="AT75" s="1167"/>
      <c r="AU75" s="1167"/>
      <c r="AV75" s="1176">
        <f>SUM(AV72:AV74)</f>
        <v>0</v>
      </c>
      <c r="AW75" s="1170"/>
      <c r="AX75" s="1169"/>
      <c r="AY75" s="1167"/>
      <c r="AZ75" s="1167"/>
      <c r="BA75" s="1173"/>
      <c r="BB75" s="1174"/>
      <c r="BC75" s="1176">
        <f>SUM(BC72:BC74)</f>
        <v>0</v>
      </c>
      <c r="BD75" s="1170"/>
      <c r="BE75" s="1169"/>
      <c r="BF75" s="1169">
        <f>SUM(BF72:BF74)</f>
        <v>0</v>
      </c>
      <c r="BG75" s="1175">
        <f>IF(BF75&gt;0,SQRT(SUM(BH72:BH74))/BF75,0)</f>
        <v>0</v>
      </c>
      <c r="BH75" s="28">
        <f>(BF75*BG75)^2</f>
        <v>0</v>
      </c>
      <c r="BI75" s="64"/>
      <c r="BJ75" s="168"/>
      <c r="BK75" s="168"/>
      <c r="BL75" s="168"/>
      <c r="BM75" s="169"/>
      <c r="BN75" s="169"/>
      <c r="BO75" s="169"/>
      <c r="BP75" s="168"/>
      <c r="BQ75" s="168"/>
      <c r="BR75" s="168"/>
      <c r="BS75" s="168"/>
      <c r="BT75" s="168"/>
      <c r="BU75" s="168"/>
      <c r="BV75" s="168"/>
      <c r="BW75" s="168"/>
      <c r="BX75" s="168"/>
      <c r="BY75" s="168"/>
      <c r="BZ75" s="168"/>
      <c r="CA75" s="168"/>
      <c r="CB75" s="170"/>
      <c r="CC75" s="168"/>
      <c r="CD75" s="168"/>
      <c r="CE75" s="170"/>
      <c r="CF75" s="170"/>
      <c r="CG75" s="170"/>
      <c r="CH75" s="170"/>
      <c r="CI75" s="168"/>
      <c r="CJ75" s="168"/>
      <c r="CK75" s="170"/>
      <c r="CL75" s="170"/>
      <c r="CM75" s="170"/>
      <c r="CN75" s="113"/>
      <c r="CO75" s="36"/>
      <c r="CP75" s="36"/>
      <c r="CQ75" s="36"/>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6"/>
      <c r="DX75" s="36"/>
      <c r="DY75" s="36"/>
      <c r="DZ75" s="36"/>
      <c r="EA75" s="36"/>
      <c r="EB75" s="36"/>
      <c r="EC75" s="36"/>
      <c r="ED75" s="36"/>
    </row>
    <row r="76" spans="1:134" s="27" customFormat="1" ht="15.75" customHeight="1" x14ac:dyDescent="0.25">
      <c r="A76" s="26"/>
      <c r="B76" s="879" t="s">
        <v>63</v>
      </c>
      <c r="C76" s="961"/>
      <c r="D76" s="961"/>
      <c r="E76" s="961"/>
      <c r="F76" s="961"/>
      <c r="G76" s="961"/>
      <c r="H76" s="961"/>
      <c r="I76" s="961"/>
      <c r="J76" s="961"/>
      <c r="K76" s="961"/>
      <c r="L76" s="961"/>
      <c r="M76" s="961"/>
      <c r="N76" s="961"/>
      <c r="O76" s="961"/>
      <c r="P76" s="961"/>
      <c r="Q76" s="961"/>
      <c r="R76" s="961"/>
      <c r="S76" s="961"/>
      <c r="T76" s="961"/>
      <c r="U76" s="961"/>
      <c r="V76" s="961"/>
      <c r="W76" s="961"/>
      <c r="X76" s="961"/>
      <c r="Y76" s="961"/>
      <c r="Z76" s="961"/>
      <c r="AA76" s="962"/>
      <c r="AB76" s="963">
        <f>AB45+AB54+AB63+AB67+AB71+AB75</f>
        <v>0</v>
      </c>
      <c r="AC76" s="964">
        <f>IF(AB76&gt;0,SQRT(SUM(AD45:AD74))/AB76,0)</f>
        <v>0</v>
      </c>
      <c r="AD76" s="963">
        <f>(AB76*AC76)^2</f>
        <v>0</v>
      </c>
      <c r="AE76" s="965"/>
      <c r="AF76" s="961"/>
      <c r="AG76" s="961"/>
      <c r="AH76" s="966"/>
      <c r="AI76" s="963">
        <f>AI45+AI54+AI63+AI67+AI71+AI75</f>
        <v>0</v>
      </c>
      <c r="AJ76" s="964">
        <f>IF(AI76&gt;0,SQRT(SUM(AK45:AK74))/AI76,0)</f>
        <v>0</v>
      </c>
      <c r="AK76" s="963">
        <f>(AI76*AJ76)^2</f>
        <v>0</v>
      </c>
      <c r="AL76" s="961"/>
      <c r="AM76" s="961"/>
      <c r="AN76" s="961"/>
      <c r="AO76" s="961"/>
      <c r="AP76" s="963">
        <f>AP45+AP54+AP63+AP67+AP71+AP75</f>
        <v>0</v>
      </c>
      <c r="AQ76" s="964">
        <f>IF(AP76&gt;0,SQRT(SUM(AR45:AR74))/AP76,0)</f>
        <v>0</v>
      </c>
      <c r="AR76" s="963">
        <f>(AP76*AQ76)^2</f>
        <v>0</v>
      </c>
      <c r="AS76" s="961"/>
      <c r="AT76" s="961"/>
      <c r="AU76" s="961"/>
      <c r="AV76" s="963">
        <f>AV45+AV54+AV63+AV67+AV71+AV75</f>
        <v>0</v>
      </c>
      <c r="AW76" s="964">
        <f>IF(AV76&gt;0,SQRT(SUM(AX45:AX74))/AV76,0)</f>
        <v>0</v>
      </c>
      <c r="AX76" s="963">
        <f>(AV76*AW76)^2</f>
        <v>0</v>
      </c>
      <c r="AY76" s="961"/>
      <c r="AZ76" s="961"/>
      <c r="BA76" s="967"/>
      <c r="BB76" s="968"/>
      <c r="BC76" s="963">
        <f>BC45+BC54+BC63+BC67+BC71+BC75</f>
        <v>0</v>
      </c>
      <c r="BD76" s="964">
        <f>IF(BC76&gt;0,SQRT(SUM(BE45:BE74))/BC76,0)</f>
        <v>0</v>
      </c>
      <c r="BE76" s="963">
        <f>(BC76*BD76)^2</f>
        <v>0</v>
      </c>
      <c r="BF76" s="963">
        <f>BF45+BF54+BF63+BF67+BF71+BF75</f>
        <v>0</v>
      </c>
      <c r="BG76" s="889">
        <f>IF(BF76&gt;0,SQRT(BH45+BH54+BH63+BH67+BH71+BH75)/BF76,0)</f>
        <v>0</v>
      </c>
      <c r="BH76" s="28">
        <f>(BF76*BG76)^2</f>
        <v>0</v>
      </c>
      <c r="BI76" s="64"/>
      <c r="BJ76" s="168"/>
      <c r="BK76" s="168"/>
      <c r="BL76" s="168"/>
      <c r="BM76" s="169"/>
      <c r="BN76" s="169"/>
      <c r="BO76" s="169"/>
      <c r="BP76" s="168"/>
      <c r="BQ76" s="168"/>
      <c r="BR76" s="168"/>
      <c r="BS76" s="168"/>
      <c r="BT76" s="168"/>
      <c r="BU76" s="168"/>
      <c r="BV76" s="168"/>
      <c r="BW76" s="168"/>
      <c r="BX76" s="168"/>
      <c r="BY76" s="168"/>
      <c r="BZ76" s="168"/>
      <c r="CA76" s="168"/>
      <c r="CB76" s="170"/>
      <c r="CC76" s="168"/>
      <c r="CD76" s="168"/>
      <c r="CE76" s="170"/>
      <c r="CF76" s="170"/>
      <c r="CG76" s="170"/>
      <c r="CH76" s="170"/>
      <c r="CI76" s="168"/>
      <c r="CJ76" s="168"/>
      <c r="CK76" s="170"/>
      <c r="CL76" s="170"/>
      <c r="CM76" s="170"/>
      <c r="CN76" s="113"/>
      <c r="CO76" s="36"/>
      <c r="CP76" s="36"/>
      <c r="CQ76" s="36"/>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6"/>
      <c r="DX76" s="36"/>
      <c r="DY76" s="36"/>
      <c r="DZ76" s="36"/>
      <c r="EA76" s="36"/>
      <c r="EB76" s="36"/>
      <c r="EC76" s="36"/>
      <c r="ED76" s="36"/>
    </row>
    <row r="77" spans="1:134" s="27" customFormat="1" ht="15.75" customHeight="1" x14ac:dyDescent="0.25">
      <c r="A77" s="26"/>
      <c r="B77" s="969"/>
      <c r="C77" s="970"/>
      <c r="D77" s="970"/>
      <c r="E77" s="970"/>
      <c r="F77" s="970"/>
      <c r="G77" s="970"/>
      <c r="H77" s="970"/>
      <c r="I77" s="970"/>
      <c r="J77" s="970"/>
      <c r="K77" s="970"/>
      <c r="L77" s="970"/>
      <c r="M77" s="970"/>
      <c r="N77" s="970"/>
      <c r="O77" s="970"/>
      <c r="P77" s="970"/>
      <c r="Q77" s="970"/>
      <c r="R77" s="970"/>
      <c r="S77" s="970"/>
      <c r="T77" s="970"/>
      <c r="U77" s="970"/>
      <c r="V77" s="970"/>
      <c r="W77" s="970"/>
      <c r="X77" s="970"/>
      <c r="Y77" s="970"/>
      <c r="Z77" s="970"/>
      <c r="AA77" s="971"/>
      <c r="AB77" s="972"/>
      <c r="AC77" s="973"/>
      <c r="AD77" s="972"/>
      <c r="AE77" s="974"/>
      <c r="AF77" s="970"/>
      <c r="AG77" s="970"/>
      <c r="AH77" s="975"/>
      <c r="AI77" s="972"/>
      <c r="AJ77" s="973"/>
      <c r="AK77" s="972"/>
      <c r="AL77" s="970"/>
      <c r="AM77" s="970"/>
      <c r="AN77" s="970"/>
      <c r="AO77" s="970"/>
      <c r="AP77" s="972"/>
      <c r="AQ77" s="973"/>
      <c r="AR77" s="972"/>
      <c r="AS77" s="970"/>
      <c r="AT77" s="970"/>
      <c r="AU77" s="970"/>
      <c r="AV77" s="972"/>
      <c r="AW77" s="973"/>
      <c r="AX77" s="972"/>
      <c r="AY77" s="970"/>
      <c r="AZ77" s="970"/>
      <c r="BA77" s="976"/>
      <c r="BB77" s="977"/>
      <c r="BC77" s="972"/>
      <c r="BD77" s="973"/>
      <c r="BE77" s="972"/>
      <c r="BF77" s="972"/>
      <c r="BG77" s="978"/>
      <c r="BH77" s="28"/>
      <c r="BI77" s="64"/>
      <c r="BJ77" s="168"/>
      <c r="BK77" s="168"/>
      <c r="BL77" s="168"/>
      <c r="BM77" s="169"/>
      <c r="BN77" s="169"/>
      <c r="BO77" s="169"/>
      <c r="BP77" s="168"/>
      <c r="BQ77" s="168"/>
      <c r="BR77" s="168"/>
      <c r="BS77" s="168"/>
      <c r="BT77" s="168"/>
      <c r="BU77" s="168"/>
      <c r="BV77" s="168"/>
      <c r="BW77" s="168"/>
      <c r="BX77" s="168"/>
      <c r="BY77" s="168"/>
      <c r="BZ77" s="168"/>
      <c r="CA77" s="168"/>
      <c r="CB77" s="170"/>
      <c r="CC77" s="168"/>
      <c r="CD77" s="168"/>
      <c r="CE77" s="170"/>
      <c r="CF77" s="170"/>
      <c r="CG77" s="170"/>
      <c r="CH77" s="170"/>
      <c r="CI77" s="168"/>
      <c r="CJ77" s="168"/>
      <c r="CK77" s="170"/>
      <c r="CL77" s="170"/>
      <c r="CM77" s="170"/>
      <c r="CN77" s="113"/>
      <c r="CO77" s="36"/>
      <c r="CP77" s="36"/>
      <c r="CQ77" s="36"/>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6"/>
      <c r="DX77" s="36"/>
      <c r="DY77" s="36"/>
      <c r="DZ77" s="36"/>
      <c r="EA77" s="36"/>
      <c r="EB77" s="36"/>
      <c r="EC77" s="36"/>
      <c r="ED77" s="36"/>
    </row>
    <row r="78" spans="1:134" s="82" customFormat="1" ht="30.75" customHeight="1" thickBot="1" x14ac:dyDescent="0.3">
      <c r="A78" s="26"/>
      <c r="B78" s="866" t="s">
        <v>64</v>
      </c>
      <c r="C78" s="867"/>
      <c r="D78" s="867"/>
      <c r="E78" s="867"/>
      <c r="F78" s="867"/>
      <c r="G78" s="867"/>
      <c r="H78" s="867"/>
      <c r="I78" s="867"/>
      <c r="J78" s="867"/>
      <c r="K78" s="867"/>
      <c r="L78" s="867"/>
      <c r="M78" s="867"/>
      <c r="N78" s="867"/>
      <c r="O78" s="867"/>
      <c r="P78" s="867"/>
      <c r="Q78" s="867"/>
      <c r="R78" s="867"/>
      <c r="S78" s="867"/>
      <c r="T78" s="867"/>
      <c r="U78" s="867"/>
      <c r="V78" s="867"/>
      <c r="W78" s="867"/>
      <c r="X78" s="867"/>
      <c r="Y78" s="867"/>
      <c r="Z78" s="867"/>
      <c r="AA78" s="868"/>
      <c r="AB78" s="869">
        <f>AB40+AB76</f>
        <v>0</v>
      </c>
      <c r="AC78" s="870">
        <f>IF(AB78&gt;0,(SQRT(#REF!+#REF!+AD76))/AB78,0)</f>
        <v>0</v>
      </c>
      <c r="AD78" s="869">
        <f>(AB78*AC78)^2</f>
        <v>0</v>
      </c>
      <c r="AE78" s="871"/>
      <c r="AF78" s="867"/>
      <c r="AG78" s="867"/>
      <c r="AH78" s="872"/>
      <c r="AI78" s="869">
        <f>AI40+AI76</f>
        <v>0</v>
      </c>
      <c r="AJ78" s="870">
        <f>IF(AI78&gt;0,(SQRT(#REF!+#REF!+AK76))/AI78,0)</f>
        <v>0</v>
      </c>
      <c r="AK78" s="869">
        <f>(AI78*AJ78)^2</f>
        <v>0</v>
      </c>
      <c r="AL78" s="867"/>
      <c r="AM78" s="867"/>
      <c r="AN78" s="867"/>
      <c r="AO78" s="867"/>
      <c r="AP78" s="869">
        <f>AP40+AP76</f>
        <v>0</v>
      </c>
      <c r="AQ78" s="870">
        <f>IF(AP78&gt;0,(SQRT(#REF!+#REF!+AR76))/AP78,0)</f>
        <v>0</v>
      </c>
      <c r="AR78" s="869">
        <f>(AP78*AQ78)^2</f>
        <v>0</v>
      </c>
      <c r="AS78" s="867"/>
      <c r="AT78" s="867"/>
      <c r="AU78" s="867"/>
      <c r="AV78" s="869">
        <f>AV40+AV76</f>
        <v>0</v>
      </c>
      <c r="AW78" s="870">
        <f>IF(AV78&gt;0,(SQRT(#REF!+#REF!+AX76))/AV78,0)</f>
        <v>0</v>
      </c>
      <c r="AX78" s="869">
        <f>(AV78*AW78)^2</f>
        <v>0</v>
      </c>
      <c r="AY78" s="867"/>
      <c r="AZ78" s="867"/>
      <c r="BA78" s="873"/>
      <c r="BB78" s="874"/>
      <c r="BC78" s="869">
        <f>BC40+BC76</f>
        <v>0</v>
      </c>
      <c r="BD78" s="870">
        <f>IF(BC78&gt;0,(SQRT(#REF!+#REF!+BE76))/BC78,0)</f>
        <v>0</v>
      </c>
      <c r="BE78" s="869">
        <f>(BC78*BD78)^2</f>
        <v>0</v>
      </c>
      <c r="BF78" s="869">
        <f>BF40+BF76</f>
        <v>0</v>
      </c>
      <c r="BG78" s="875">
        <f>IF(BF78&gt;0,(SQRT(BH40+BH76))/BF78,0)</f>
        <v>0</v>
      </c>
      <c r="BH78" s="28">
        <f>(BF78*BG78)^2</f>
        <v>0</v>
      </c>
      <c r="BI78" s="174"/>
      <c r="BJ78" s="175"/>
      <c r="BK78" s="175"/>
      <c r="BL78" s="175"/>
      <c r="BM78" s="176"/>
      <c r="BN78" s="176"/>
      <c r="BO78" s="176"/>
      <c r="BP78" s="175"/>
      <c r="BQ78" s="175"/>
      <c r="BR78" s="175"/>
      <c r="BS78" s="175"/>
      <c r="BT78" s="175"/>
      <c r="BU78" s="175"/>
      <c r="BV78" s="175"/>
      <c r="BW78" s="175"/>
      <c r="BX78" s="175"/>
      <c r="BY78" s="175"/>
      <c r="BZ78" s="175"/>
      <c r="CA78" s="175"/>
      <c r="CB78" s="177"/>
      <c r="CC78" s="175"/>
      <c r="CD78" s="175"/>
      <c r="CE78" s="177"/>
      <c r="CF78" s="177"/>
      <c r="CG78" s="177"/>
      <c r="CH78" s="177"/>
      <c r="CI78" s="175"/>
      <c r="CJ78" s="175"/>
      <c r="CK78" s="177"/>
      <c r="CL78" s="177"/>
      <c r="CM78" s="177"/>
      <c r="CN78" s="114"/>
      <c r="CO78" s="36"/>
      <c r="CP78" s="36"/>
      <c r="CQ78" s="36"/>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c r="DQ78" s="81"/>
      <c r="DR78" s="81"/>
      <c r="DS78" s="81"/>
      <c r="DT78" s="81"/>
      <c r="DU78" s="81"/>
      <c r="DV78" s="81"/>
      <c r="DW78" s="80"/>
      <c r="DX78" s="80"/>
      <c r="DY78" s="80"/>
      <c r="DZ78" s="80"/>
      <c r="EA78" s="80"/>
      <c r="EB78" s="80"/>
      <c r="EC78" s="80"/>
      <c r="ED78" s="80"/>
    </row>
    <row r="79" spans="1:134" s="26" customFormat="1" ht="21" x14ac:dyDescent="0.25">
      <c r="B79" s="591"/>
      <c r="C79" s="83"/>
      <c r="D79" s="83"/>
      <c r="E79" s="84"/>
      <c r="F79" s="84"/>
      <c r="G79" s="84"/>
      <c r="H79" s="84"/>
      <c r="I79" s="84"/>
      <c r="J79" s="84"/>
      <c r="K79" s="84"/>
      <c r="L79" s="84"/>
      <c r="M79" s="84"/>
      <c r="N79" s="84"/>
      <c r="O79" s="84"/>
      <c r="P79" s="84"/>
      <c r="Q79" s="84"/>
      <c r="R79" s="85"/>
      <c r="S79" s="84"/>
      <c r="T79" s="84"/>
      <c r="U79" s="84"/>
      <c r="V79" s="86"/>
      <c r="W79" s="86"/>
      <c r="X79" s="83"/>
      <c r="Y79" s="83"/>
      <c r="Z79" s="86"/>
      <c r="AA79" s="87"/>
      <c r="AB79" s="87"/>
      <c r="AC79" s="86"/>
      <c r="AD79" s="87"/>
      <c r="AE79" s="88"/>
      <c r="AF79" s="83"/>
      <c r="AG79" s="86"/>
      <c r="AH79" s="89"/>
      <c r="AI79" s="89"/>
      <c r="AJ79" s="86"/>
      <c r="AK79" s="87"/>
      <c r="AL79" s="83"/>
      <c r="AM79" s="83"/>
      <c r="AN79" s="86"/>
      <c r="AO79" s="86"/>
      <c r="AP79" s="86"/>
      <c r="AQ79" s="86"/>
      <c r="AR79" s="87"/>
      <c r="AS79" s="83"/>
      <c r="AT79" s="83"/>
      <c r="AU79" s="86"/>
      <c r="AV79" s="87"/>
      <c r="AW79" s="86"/>
      <c r="AX79" s="87"/>
      <c r="AY79" s="83"/>
      <c r="AZ79" s="83"/>
      <c r="BA79" s="86"/>
      <c r="BB79" s="87"/>
      <c r="BC79" s="87"/>
      <c r="BD79" s="86"/>
      <c r="BE79" s="87"/>
      <c r="BF79" s="84"/>
      <c r="BG79" s="592"/>
      <c r="BH79" s="28">
        <f>(BF79*BG79)^2</f>
        <v>0</v>
      </c>
      <c r="BI79" s="164"/>
      <c r="BJ79" s="165"/>
      <c r="BK79" s="165"/>
      <c r="BL79" s="165"/>
      <c r="BM79" s="166"/>
      <c r="BN79" s="166"/>
      <c r="BO79" s="166"/>
      <c r="BP79" s="165"/>
      <c r="BQ79" s="165"/>
      <c r="BR79" s="165"/>
      <c r="BS79" s="165"/>
      <c r="BT79" s="165"/>
      <c r="BU79" s="165"/>
      <c r="BV79" s="165"/>
      <c r="BW79" s="165"/>
      <c r="BX79" s="165"/>
      <c r="BY79" s="165"/>
      <c r="BZ79" s="165"/>
      <c r="CA79" s="165"/>
      <c r="CB79" s="167"/>
      <c r="CC79" s="165"/>
      <c r="CD79" s="165"/>
      <c r="CE79" s="167"/>
      <c r="CF79" s="167"/>
      <c r="CG79" s="167"/>
      <c r="CH79" s="167"/>
      <c r="CI79" s="165"/>
      <c r="CJ79" s="165"/>
      <c r="CK79" s="167"/>
      <c r="CL79" s="167"/>
      <c r="CM79" s="167"/>
      <c r="CN79" s="112"/>
      <c r="CO79" s="36"/>
      <c r="CP79" s="36"/>
      <c r="CQ79" s="36"/>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9"/>
      <c r="DX79" s="29"/>
      <c r="DY79" s="29"/>
      <c r="DZ79" s="29"/>
      <c r="EA79" s="29"/>
      <c r="EB79" s="29"/>
      <c r="EC79" s="29"/>
      <c r="ED79" s="29"/>
    </row>
    <row r="80" spans="1:134" s="27" customFormat="1" ht="30.75" customHeight="1" thickBot="1" x14ac:dyDescent="0.3">
      <c r="A80" s="26"/>
      <c r="B80" s="866" t="s">
        <v>661</v>
      </c>
      <c r="C80" s="979"/>
      <c r="D80" s="979"/>
      <c r="E80" s="979"/>
      <c r="F80" s="979"/>
      <c r="G80" s="979"/>
      <c r="H80" s="979"/>
      <c r="I80" s="979"/>
      <c r="J80" s="979"/>
      <c r="K80" s="979"/>
      <c r="L80" s="979"/>
      <c r="M80" s="979"/>
      <c r="N80" s="979"/>
      <c r="O80" s="979"/>
      <c r="P80" s="979"/>
      <c r="Q80" s="979"/>
      <c r="R80" s="979"/>
      <c r="S80" s="979"/>
      <c r="T80" s="979"/>
      <c r="U80" s="979"/>
      <c r="V80" s="979"/>
      <c r="W80" s="979"/>
      <c r="X80" s="979"/>
      <c r="Y80" s="979"/>
      <c r="Z80" s="979"/>
      <c r="AA80" s="979"/>
      <c r="AB80" s="869">
        <f>AB78</f>
        <v>0</v>
      </c>
      <c r="AC80" s="980">
        <f>IF(AB80&gt;0,SQRT(AD78+#REF!+#REF!)/AB80,0)</f>
        <v>0</v>
      </c>
      <c r="AD80" s="869">
        <f>(AB80*AC80)^2</f>
        <v>0</v>
      </c>
      <c r="AE80" s="979"/>
      <c r="AF80" s="979"/>
      <c r="AG80" s="979"/>
      <c r="AH80" s="979"/>
      <c r="AI80" s="869">
        <f>AI78</f>
        <v>0</v>
      </c>
      <c r="AJ80" s="980">
        <f>IF(AI80&gt;0,SQRT(AK78+#REF!+#REF!)/AI80,0)</f>
        <v>0</v>
      </c>
      <c r="AK80" s="869">
        <f>(AI80*AJ80)^2</f>
        <v>0</v>
      </c>
      <c r="AL80" s="979"/>
      <c r="AM80" s="979"/>
      <c r="AN80" s="979"/>
      <c r="AO80" s="979"/>
      <c r="AP80" s="869">
        <f>AP78</f>
        <v>0</v>
      </c>
      <c r="AQ80" s="980">
        <f>IF(AP80&gt;0,SQRT(AR78+#REF!+#REF!)/AP80,0)</f>
        <v>0</v>
      </c>
      <c r="AR80" s="869">
        <f>(AP80*AQ80)^2</f>
        <v>0</v>
      </c>
      <c r="AS80" s="979"/>
      <c r="AT80" s="979"/>
      <c r="AU80" s="979"/>
      <c r="AV80" s="869">
        <f>AV78</f>
        <v>0</v>
      </c>
      <c r="AW80" s="980">
        <f>IF(AV80&gt;0,SQRT(AX78+#REF!+#REF!)/AV80,0)</f>
        <v>0</v>
      </c>
      <c r="AX80" s="869">
        <f>(AV80*AW80)^2</f>
        <v>0</v>
      </c>
      <c r="AY80" s="979"/>
      <c r="AZ80" s="979"/>
      <c r="BA80" s="979"/>
      <c r="BB80" s="981"/>
      <c r="BC80" s="869">
        <f>BC78</f>
        <v>0</v>
      </c>
      <c r="BD80" s="980">
        <f>IF(BC80&gt;0,SQRT(BE78+#REF!+#REF!)/BC80,0)</f>
        <v>0</v>
      </c>
      <c r="BE80" s="869">
        <f>(BC80*BD80)^2</f>
        <v>0</v>
      </c>
      <c r="BF80" s="869">
        <f>BF78</f>
        <v>0</v>
      </c>
      <c r="BG80" s="982">
        <f>BG78</f>
        <v>0</v>
      </c>
      <c r="BH80" s="28">
        <f>(BF80*BG80)^2</f>
        <v>0</v>
      </c>
      <c r="BI80" s="64"/>
      <c r="BJ80" s="168"/>
      <c r="BK80" s="168"/>
      <c r="BL80" s="168"/>
      <c r="BM80" s="169"/>
      <c r="BN80" s="169"/>
      <c r="BO80" s="169"/>
      <c r="BP80" s="168"/>
      <c r="BQ80" s="168"/>
      <c r="BR80" s="168"/>
      <c r="BS80" s="168"/>
      <c r="BT80" s="168"/>
      <c r="BU80" s="168"/>
      <c r="BV80" s="168"/>
      <c r="BW80" s="168"/>
      <c r="BX80" s="168"/>
      <c r="BY80" s="168"/>
      <c r="BZ80" s="168"/>
      <c r="CA80" s="168"/>
      <c r="CB80" s="170"/>
      <c r="CC80" s="168"/>
      <c r="CD80" s="168"/>
      <c r="CE80" s="170"/>
      <c r="CF80" s="170"/>
      <c r="CG80" s="170"/>
      <c r="CH80" s="170"/>
      <c r="CI80" s="168"/>
      <c r="CJ80" s="168"/>
      <c r="CK80" s="170"/>
      <c r="CL80" s="170"/>
      <c r="CM80" s="170"/>
      <c r="CN80" s="113"/>
      <c r="CO80" s="36"/>
      <c r="CP80" s="36"/>
      <c r="CQ80" s="36"/>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6"/>
      <c r="DX80" s="36"/>
      <c r="DY80" s="36"/>
      <c r="DZ80" s="36"/>
      <c r="EA80" s="36"/>
      <c r="EB80" s="36"/>
      <c r="EC80" s="36"/>
      <c r="ED80" s="36"/>
    </row>
    <row r="81" spans="1:134" s="27" customFormat="1" x14ac:dyDescent="0.25">
      <c r="A81" s="26"/>
      <c r="E81" s="91"/>
      <c r="F81" s="91"/>
      <c r="G81" s="91"/>
      <c r="H81" s="91"/>
      <c r="I81" s="91"/>
      <c r="J81" s="91"/>
      <c r="K81" s="91"/>
      <c r="L81" s="91"/>
      <c r="M81" s="91"/>
      <c r="N81" s="91"/>
      <c r="O81" s="91"/>
      <c r="P81" s="91"/>
      <c r="Q81" s="91"/>
      <c r="R81" s="92"/>
      <c r="S81" s="91"/>
      <c r="T81" s="91"/>
      <c r="U81" s="91"/>
      <c r="V81" s="93"/>
      <c r="W81" s="93"/>
      <c r="Z81" s="93"/>
      <c r="AA81" s="94"/>
      <c r="AB81" s="94"/>
      <c r="AC81" s="93"/>
      <c r="AD81" s="94"/>
      <c r="AE81" s="95"/>
      <c r="AG81" s="93"/>
      <c r="AH81" s="96"/>
      <c r="AI81" s="96"/>
      <c r="AJ81" s="93"/>
      <c r="AK81" s="94"/>
      <c r="AN81" s="93"/>
      <c r="AO81" s="93"/>
      <c r="AP81" s="93"/>
      <c r="AQ81" s="93"/>
      <c r="AR81" s="94"/>
      <c r="AU81" s="93"/>
      <c r="AV81" s="94"/>
      <c r="AW81" s="93"/>
      <c r="AX81" s="94"/>
      <c r="BA81" s="93"/>
      <c r="BB81" s="94"/>
      <c r="BC81" s="94"/>
      <c r="BD81" s="93"/>
      <c r="BE81" s="94"/>
      <c r="BF81" s="91"/>
      <c r="BG81" s="93"/>
      <c r="BH81" s="28"/>
      <c r="BI81" s="64"/>
      <c r="BJ81" s="168"/>
      <c r="BK81" s="168"/>
      <c r="BL81" s="168"/>
      <c r="BM81" s="169"/>
      <c r="BN81" s="169"/>
      <c r="BO81" s="169"/>
      <c r="BP81" s="168"/>
      <c r="BQ81" s="168"/>
      <c r="BR81" s="168"/>
      <c r="BS81" s="168"/>
      <c r="BT81" s="168"/>
      <c r="BU81" s="168"/>
      <c r="BV81" s="168"/>
      <c r="BW81" s="168"/>
      <c r="BX81" s="168"/>
      <c r="BY81" s="168"/>
      <c r="BZ81" s="168"/>
      <c r="CA81" s="168"/>
      <c r="CB81" s="170"/>
      <c r="CC81" s="168"/>
      <c r="CD81" s="168"/>
      <c r="CE81" s="170"/>
      <c r="CF81" s="170"/>
      <c r="CG81" s="170"/>
      <c r="CH81" s="170"/>
      <c r="CI81" s="168"/>
      <c r="CJ81" s="168"/>
      <c r="CK81" s="170"/>
      <c r="CL81" s="170"/>
      <c r="CM81" s="170"/>
      <c r="CN81" s="113"/>
      <c r="CO81" s="36"/>
      <c r="CP81" s="36"/>
      <c r="CQ81" s="36"/>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6"/>
      <c r="DX81" s="36"/>
      <c r="DY81" s="36"/>
      <c r="DZ81" s="36"/>
      <c r="EA81" s="36"/>
      <c r="EB81" s="36"/>
      <c r="EC81" s="36"/>
      <c r="ED81" s="36"/>
    </row>
    <row r="82" spans="1:134" s="27" customFormat="1" x14ac:dyDescent="0.25">
      <c r="A82" s="26"/>
      <c r="E82" s="91"/>
      <c r="F82" s="91"/>
      <c r="G82" s="91"/>
      <c r="H82" s="91"/>
      <c r="I82" s="91"/>
      <c r="J82" s="91"/>
      <c r="K82" s="91"/>
      <c r="L82" s="91"/>
      <c r="M82" s="91"/>
      <c r="N82" s="91"/>
      <c r="O82" s="91"/>
      <c r="P82" s="91"/>
      <c r="Q82" s="91"/>
      <c r="R82" s="92"/>
      <c r="S82" s="91"/>
      <c r="T82" s="91"/>
      <c r="U82" s="91"/>
      <c r="V82" s="93"/>
      <c r="W82" s="93"/>
      <c r="Z82" s="93"/>
      <c r="AA82" s="94"/>
      <c r="AB82" s="94"/>
      <c r="AC82" s="93"/>
      <c r="AD82" s="94"/>
      <c r="AE82" s="95"/>
      <c r="AG82" s="93"/>
      <c r="AH82" s="96"/>
      <c r="AI82" s="96"/>
      <c r="AJ82" s="93"/>
      <c r="AK82" s="94"/>
      <c r="AN82" s="93"/>
      <c r="AO82" s="93"/>
      <c r="AP82" s="93"/>
      <c r="AQ82" s="93"/>
      <c r="AR82" s="94"/>
      <c r="AU82" s="93"/>
      <c r="AV82" s="94"/>
      <c r="AW82" s="93"/>
      <c r="AX82" s="94"/>
      <c r="BA82" s="93"/>
      <c r="BB82" s="94"/>
      <c r="BC82" s="94"/>
      <c r="BD82" s="93"/>
      <c r="BE82" s="94"/>
      <c r="BF82" s="91"/>
      <c r="BG82" s="93"/>
      <c r="BH82" s="28"/>
      <c r="BI82" s="64"/>
      <c r="BJ82" s="168"/>
      <c r="BK82" s="168"/>
      <c r="BL82" s="168"/>
      <c r="BM82" s="169"/>
      <c r="BN82" s="169"/>
      <c r="BO82" s="169"/>
      <c r="BP82" s="168"/>
      <c r="BQ82" s="168"/>
      <c r="BR82" s="168"/>
      <c r="BS82" s="168"/>
      <c r="BT82" s="168"/>
      <c r="BU82" s="168"/>
      <c r="BV82" s="168"/>
      <c r="BW82" s="168"/>
      <c r="BX82" s="168"/>
      <c r="BY82" s="168"/>
      <c r="BZ82" s="168"/>
      <c r="CA82" s="168"/>
      <c r="CB82" s="170"/>
      <c r="CC82" s="168"/>
      <c r="CD82" s="168"/>
      <c r="CE82" s="170"/>
      <c r="CF82" s="170"/>
      <c r="CG82" s="170"/>
      <c r="CH82" s="170"/>
      <c r="CI82" s="168"/>
      <c r="CJ82" s="168"/>
      <c r="CK82" s="170"/>
      <c r="CL82" s="170"/>
      <c r="CM82" s="170"/>
      <c r="CN82" s="113"/>
      <c r="CO82" s="36"/>
      <c r="CP82" s="36"/>
      <c r="CQ82" s="36"/>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6"/>
      <c r="DX82" s="36"/>
      <c r="DY82" s="36"/>
      <c r="DZ82" s="36"/>
      <c r="EA82" s="36"/>
      <c r="EB82" s="36"/>
      <c r="EC82" s="36"/>
      <c r="ED82" s="36"/>
    </row>
    <row r="83" spans="1:134" s="27" customFormat="1" x14ac:dyDescent="0.25">
      <c r="A83" s="26"/>
      <c r="E83" s="91"/>
      <c r="F83" s="91"/>
      <c r="G83" s="91"/>
      <c r="H83" s="91"/>
      <c r="I83" s="91"/>
      <c r="J83" s="91"/>
      <c r="K83" s="91"/>
      <c r="L83" s="91"/>
      <c r="M83" s="91"/>
      <c r="N83" s="91"/>
      <c r="O83" s="91"/>
      <c r="P83" s="91"/>
      <c r="Q83" s="91"/>
      <c r="R83" s="92"/>
      <c r="S83" s="91"/>
      <c r="T83" s="91"/>
      <c r="U83" s="91"/>
      <c r="V83" s="93"/>
      <c r="W83" s="93"/>
      <c r="Z83" s="93"/>
      <c r="AA83" s="94"/>
      <c r="AB83" s="94"/>
      <c r="AC83" s="93"/>
      <c r="AD83" s="94"/>
      <c r="AE83" s="95"/>
      <c r="AG83" s="93"/>
      <c r="AH83" s="96"/>
      <c r="AI83" s="96"/>
      <c r="AJ83" s="93"/>
      <c r="AK83" s="94"/>
      <c r="AN83" s="93"/>
      <c r="AO83" s="93"/>
      <c r="AP83" s="93"/>
      <c r="AQ83" s="93"/>
      <c r="AR83" s="94"/>
      <c r="AU83" s="93"/>
      <c r="AV83" s="94"/>
      <c r="AW83" s="93"/>
      <c r="AX83" s="94"/>
      <c r="BA83" s="93"/>
      <c r="BB83" s="94"/>
      <c r="BC83" s="94"/>
      <c r="BD83" s="93"/>
      <c r="BE83" s="94"/>
      <c r="BF83" s="91"/>
      <c r="BG83" s="93"/>
      <c r="BH83" s="28"/>
      <c r="BI83" s="64"/>
      <c r="BJ83" s="168"/>
      <c r="BK83" s="168"/>
      <c r="BL83" s="168"/>
      <c r="BM83" s="169"/>
      <c r="BN83" s="169"/>
      <c r="BO83" s="169"/>
      <c r="BP83" s="168"/>
      <c r="BQ83" s="168"/>
      <c r="BR83" s="168"/>
      <c r="BS83" s="168"/>
      <c r="BT83" s="168"/>
      <c r="BU83" s="168"/>
      <c r="BV83" s="168"/>
      <c r="BW83" s="168"/>
      <c r="BX83" s="168"/>
      <c r="BY83" s="168"/>
      <c r="BZ83" s="168"/>
      <c r="CA83" s="168"/>
      <c r="CB83" s="170"/>
      <c r="CC83" s="168"/>
      <c r="CD83" s="168"/>
      <c r="CE83" s="170"/>
      <c r="CF83" s="170"/>
      <c r="CG83" s="170"/>
      <c r="CH83" s="170"/>
      <c r="CI83" s="168"/>
      <c r="CJ83" s="168"/>
      <c r="CK83" s="170"/>
      <c r="CL83" s="170"/>
      <c r="CM83" s="170"/>
      <c r="CN83" s="113"/>
      <c r="CO83" s="36"/>
      <c r="CP83" s="36"/>
      <c r="CQ83" s="36"/>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6"/>
      <c r="DX83" s="36"/>
      <c r="DY83" s="36"/>
      <c r="DZ83" s="36"/>
      <c r="EA83" s="36"/>
      <c r="EB83" s="36"/>
      <c r="EC83" s="36"/>
      <c r="ED83" s="36"/>
    </row>
    <row r="84" spans="1:134" s="27" customFormat="1" x14ac:dyDescent="0.25">
      <c r="A84" s="26"/>
      <c r="E84" s="91"/>
      <c r="F84" s="91"/>
      <c r="G84" s="91"/>
      <c r="H84" s="91"/>
      <c r="I84" s="91"/>
      <c r="J84" s="91"/>
      <c r="K84" s="91"/>
      <c r="L84" s="91"/>
      <c r="M84" s="91"/>
      <c r="N84" s="91"/>
      <c r="O84" s="91"/>
      <c r="P84" s="91"/>
      <c r="Q84" s="91"/>
      <c r="R84" s="92"/>
      <c r="S84" s="91"/>
      <c r="T84" s="91"/>
      <c r="U84" s="91"/>
      <c r="V84" s="93"/>
      <c r="W84" s="93"/>
      <c r="Z84" s="93"/>
      <c r="AA84" s="94"/>
      <c r="AB84" s="94"/>
      <c r="AC84" s="93"/>
      <c r="AD84" s="94"/>
      <c r="AE84" s="95"/>
      <c r="AG84" s="93"/>
      <c r="AH84" s="96"/>
      <c r="AI84" s="96"/>
      <c r="AJ84" s="93"/>
      <c r="AK84" s="94"/>
      <c r="AN84" s="93"/>
      <c r="AO84" s="93"/>
      <c r="AP84" s="93"/>
      <c r="AQ84" s="93"/>
      <c r="AR84" s="94"/>
      <c r="AU84" s="93"/>
      <c r="AV84" s="94"/>
      <c r="AW84" s="93"/>
      <c r="AX84" s="94"/>
      <c r="BA84" s="93"/>
      <c r="BB84" s="94"/>
      <c r="BC84" s="94"/>
      <c r="BD84" s="93"/>
      <c r="BE84" s="94"/>
      <c r="BF84" s="91"/>
      <c r="BG84" s="93"/>
      <c r="BH84" s="28"/>
      <c r="BI84" s="64"/>
      <c r="BJ84" s="168"/>
      <c r="BK84" s="168"/>
      <c r="BL84" s="168"/>
      <c r="BM84" s="169"/>
      <c r="BN84" s="169"/>
      <c r="BO84" s="169"/>
      <c r="BP84" s="168"/>
      <c r="BQ84" s="168"/>
      <c r="BR84" s="168"/>
      <c r="BS84" s="168"/>
      <c r="BT84" s="168"/>
      <c r="BU84" s="168"/>
      <c r="BV84" s="168"/>
      <c r="BW84" s="168"/>
      <c r="BX84" s="168"/>
      <c r="BY84" s="168"/>
      <c r="BZ84" s="168"/>
      <c r="CA84" s="168"/>
      <c r="CB84" s="170"/>
      <c r="CC84" s="168"/>
      <c r="CD84" s="168"/>
      <c r="CE84" s="170"/>
      <c r="CF84" s="170"/>
      <c r="CG84" s="170"/>
      <c r="CH84" s="170"/>
      <c r="CI84" s="168"/>
      <c r="CJ84" s="168"/>
      <c r="CK84" s="170"/>
      <c r="CL84" s="170"/>
      <c r="CM84" s="170"/>
      <c r="CN84" s="113"/>
      <c r="CO84" s="36"/>
      <c r="CP84" s="36"/>
      <c r="CQ84" s="36"/>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6"/>
      <c r="DX84" s="36"/>
      <c r="DY84" s="36"/>
      <c r="DZ84" s="36"/>
      <c r="EA84" s="36"/>
      <c r="EB84" s="36"/>
      <c r="EC84" s="36"/>
      <c r="ED84" s="36"/>
    </row>
    <row r="85" spans="1:134" s="27" customFormat="1" ht="15.75" thickBot="1" x14ac:dyDescent="0.3">
      <c r="A85" s="26"/>
      <c r="E85" s="91"/>
      <c r="F85" s="91"/>
      <c r="G85" s="91"/>
      <c r="H85" s="91"/>
      <c r="I85" s="91"/>
      <c r="J85" s="91"/>
      <c r="K85" s="91"/>
      <c r="L85" s="91"/>
      <c r="M85" s="91"/>
      <c r="N85" s="91"/>
      <c r="O85" s="91"/>
      <c r="P85" s="91"/>
      <c r="Q85" s="91"/>
      <c r="R85" s="92"/>
      <c r="S85" s="91"/>
      <c r="T85" s="91"/>
      <c r="U85" s="91"/>
      <c r="V85" s="93"/>
      <c r="W85" s="93"/>
      <c r="Z85" s="93"/>
      <c r="AA85" s="94"/>
      <c r="AB85" s="94"/>
      <c r="AC85" s="93"/>
      <c r="AD85" s="94"/>
      <c r="AE85" s="95"/>
      <c r="AG85" s="93"/>
      <c r="AH85" s="96"/>
      <c r="AI85" s="96"/>
      <c r="AJ85" s="93"/>
      <c r="AK85" s="94"/>
      <c r="AN85" s="93"/>
      <c r="AO85" s="93"/>
      <c r="AP85" s="93"/>
      <c r="AQ85" s="93"/>
      <c r="AR85" s="94"/>
      <c r="AU85" s="93"/>
      <c r="AV85" s="94"/>
      <c r="AW85" s="93"/>
      <c r="AX85" s="94"/>
      <c r="BA85" s="93"/>
      <c r="BB85" s="94"/>
      <c r="BC85" s="94"/>
      <c r="BD85" s="93"/>
      <c r="BE85" s="94"/>
      <c r="BF85" s="94"/>
      <c r="BG85" s="94"/>
      <c r="BH85" s="28"/>
      <c r="BI85" s="64"/>
      <c r="BJ85" s="168"/>
      <c r="BK85" s="168"/>
      <c r="BL85" s="168"/>
      <c r="BM85" s="169"/>
      <c r="BN85" s="169"/>
      <c r="BO85" s="169"/>
      <c r="BP85" s="168"/>
      <c r="BQ85" s="168"/>
      <c r="BR85" s="168"/>
      <c r="BS85" s="168"/>
      <c r="BT85" s="168"/>
      <c r="BU85" s="168"/>
      <c r="BV85" s="168"/>
      <c r="BW85" s="168"/>
      <c r="BX85" s="168"/>
      <c r="BY85" s="168"/>
      <c r="BZ85" s="168"/>
      <c r="CA85" s="168"/>
      <c r="CB85" s="170"/>
      <c r="CC85" s="168"/>
      <c r="CD85" s="168"/>
      <c r="CE85" s="170"/>
      <c r="CF85" s="170"/>
      <c r="CG85" s="170"/>
      <c r="CH85" s="170"/>
      <c r="CI85" s="168"/>
      <c r="CJ85" s="168"/>
      <c r="CK85" s="170"/>
      <c r="CL85" s="170"/>
      <c r="CM85" s="170"/>
      <c r="CN85" s="113"/>
      <c r="CO85" s="36"/>
      <c r="CP85" s="36"/>
      <c r="CQ85" s="36"/>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6"/>
      <c r="DX85" s="36"/>
      <c r="DY85" s="36"/>
      <c r="DZ85" s="36"/>
      <c r="EA85" s="36"/>
      <c r="EB85" s="36"/>
      <c r="EC85" s="36"/>
      <c r="ED85" s="36"/>
    </row>
    <row r="86" spans="1:134" s="64" customFormat="1" ht="32.25" thickBot="1" x14ac:dyDescent="0.3">
      <c r="A86" s="26"/>
      <c r="B86" s="876" t="s">
        <v>306</v>
      </c>
      <c r="C86" s="877"/>
      <c r="D86" s="877"/>
      <c r="E86" s="877"/>
      <c r="F86" s="877"/>
      <c r="G86" s="877"/>
      <c r="H86" s="877"/>
      <c r="I86" s="877"/>
      <c r="J86" s="877"/>
      <c r="K86" s="877"/>
      <c r="L86" s="877"/>
      <c r="M86" s="877"/>
      <c r="N86" s="877"/>
      <c r="O86" s="877"/>
      <c r="P86" s="877"/>
      <c r="Q86" s="877"/>
      <c r="R86" s="877"/>
      <c r="S86" s="877"/>
      <c r="T86" s="877"/>
      <c r="U86" s="877"/>
      <c r="V86" s="877"/>
      <c r="W86" s="877"/>
      <c r="X86" s="877"/>
      <c r="Y86" s="877"/>
      <c r="Z86" s="877"/>
      <c r="AA86" s="877"/>
      <c r="AB86" s="877"/>
      <c r="AC86" s="877"/>
      <c r="AD86" s="877"/>
      <c r="AE86" s="958"/>
      <c r="AF86" s="959"/>
      <c r="AG86" s="28"/>
      <c r="AI86" s="168"/>
      <c r="AJ86" s="168"/>
      <c r="AK86" s="168"/>
      <c r="AL86" s="169"/>
      <c r="AM86" s="169"/>
      <c r="AN86" s="169"/>
      <c r="AO86" s="168"/>
      <c r="AP86" s="168"/>
      <c r="AQ86" s="168"/>
      <c r="AR86" s="168"/>
      <c r="AS86" s="168"/>
      <c r="AT86" s="168"/>
      <c r="AU86" s="168"/>
      <c r="AV86" s="168"/>
      <c r="AW86" s="168"/>
      <c r="AX86" s="168"/>
      <c r="AY86" s="168"/>
      <c r="AZ86" s="168"/>
      <c r="BA86" s="170"/>
      <c r="BB86" s="168"/>
      <c r="BC86" s="168"/>
      <c r="BD86" s="170"/>
      <c r="BE86" s="170"/>
      <c r="BF86" s="94"/>
      <c r="BG86" s="94"/>
      <c r="BH86" s="168"/>
      <c r="BI86" s="168"/>
      <c r="BJ86" s="170"/>
      <c r="BK86" s="170"/>
      <c r="BL86" s="170"/>
      <c r="BM86" s="113"/>
      <c r="BN86" s="37"/>
      <c r="BO86" s="37"/>
      <c r="BP86" s="37"/>
      <c r="BQ86" s="37"/>
      <c r="BR86" s="37"/>
      <c r="BS86" s="37"/>
      <c r="BT86" s="37"/>
      <c r="BU86" s="37"/>
      <c r="BV86" s="37"/>
      <c r="BW86" s="37"/>
      <c r="BX86" s="37"/>
      <c r="BY86" s="37"/>
      <c r="BZ86" s="37"/>
      <c r="CA86" s="37"/>
      <c r="CB86" s="37"/>
      <c r="CC86" s="37"/>
      <c r="CD86" s="37"/>
      <c r="CE86" s="37"/>
      <c r="CF86" s="37"/>
      <c r="CG86" s="37"/>
      <c r="CH86" s="37"/>
      <c r="CI86" s="37"/>
      <c r="CJ86" s="37"/>
      <c r="CK86" s="37"/>
      <c r="CL86" s="37"/>
      <c r="CM86" s="37"/>
      <c r="CN86" s="37"/>
      <c r="CO86" s="36"/>
      <c r="CP86" s="36"/>
      <c r="CQ86" s="36"/>
      <c r="CR86" s="37"/>
      <c r="CS86" s="37"/>
      <c r="CT86" s="37"/>
      <c r="CU86" s="37"/>
      <c r="CV86" s="36"/>
      <c r="CW86" s="36"/>
      <c r="CX86" s="36"/>
      <c r="CY86" s="36"/>
      <c r="CZ86" s="36"/>
      <c r="DA86" s="36"/>
      <c r="DB86" s="36"/>
      <c r="DC86" s="36"/>
    </row>
    <row r="87" spans="1:134" s="27" customFormat="1" ht="15.75" customHeight="1" thickBot="1" x14ac:dyDescent="0.3">
      <c r="A87" s="26"/>
      <c r="B87" s="948"/>
      <c r="C87" s="949"/>
      <c r="D87" s="949"/>
      <c r="E87" s="949"/>
      <c r="F87" s="949"/>
      <c r="G87" s="949"/>
      <c r="H87" s="949"/>
      <c r="I87" s="949"/>
      <c r="J87" s="949"/>
      <c r="K87" s="949"/>
      <c r="L87" s="949"/>
      <c r="M87" s="949"/>
      <c r="N87" s="949"/>
      <c r="O87" s="949"/>
      <c r="P87" s="949"/>
      <c r="Q87" s="949"/>
      <c r="R87" s="949"/>
      <c r="S87" s="949"/>
      <c r="T87" s="949"/>
      <c r="U87" s="949"/>
      <c r="V87" s="949"/>
      <c r="W87" s="949"/>
      <c r="X87" s="949"/>
      <c r="Y87" s="949"/>
      <c r="Z87" s="949"/>
      <c r="AA87" s="949"/>
      <c r="AB87" s="949"/>
      <c r="AC87" s="949"/>
      <c r="AD87" s="949"/>
      <c r="AE87" s="937"/>
      <c r="AF87" s="939"/>
      <c r="AG87" s="28">
        <f>(BF87*B87)^2</f>
        <v>0</v>
      </c>
      <c r="AH87" s="64"/>
      <c r="AI87" s="168"/>
      <c r="AJ87" s="168"/>
      <c r="AK87" s="168"/>
      <c r="AL87" s="169"/>
      <c r="AM87" s="169"/>
      <c r="AN87" s="169"/>
      <c r="AO87" s="168"/>
      <c r="AP87" s="168"/>
      <c r="AQ87" s="168"/>
      <c r="AR87" s="168"/>
      <c r="AS87" s="168"/>
      <c r="AT87" s="168"/>
      <c r="AU87" s="168"/>
      <c r="AV87" s="168"/>
      <c r="AW87" s="168"/>
      <c r="AX87" s="168"/>
      <c r="AY87" s="168"/>
      <c r="AZ87" s="168"/>
      <c r="BA87" s="170"/>
      <c r="BB87" s="168"/>
      <c r="BC87" s="168"/>
      <c r="BD87" s="170"/>
      <c r="BE87" s="170"/>
      <c r="BF87" s="94"/>
      <c r="BG87" s="94"/>
      <c r="BH87" s="168"/>
      <c r="BI87" s="168"/>
      <c r="BJ87" s="170"/>
      <c r="BK87" s="170"/>
      <c r="BL87" s="170"/>
      <c r="BM87" s="113"/>
      <c r="BN87" s="37"/>
      <c r="BO87" s="37"/>
      <c r="BP87" s="37"/>
      <c r="BQ87" s="37"/>
      <c r="BR87" s="37"/>
      <c r="BS87" s="37"/>
      <c r="BT87" s="37"/>
      <c r="BU87" s="37"/>
      <c r="BV87" s="37"/>
      <c r="BW87" s="37"/>
      <c r="BX87" s="37"/>
      <c r="BY87" s="37"/>
      <c r="BZ87" s="37"/>
      <c r="CA87" s="37"/>
      <c r="CB87" s="37"/>
      <c r="CC87" s="37"/>
      <c r="CD87" s="37"/>
      <c r="CE87" s="37"/>
      <c r="CF87" s="37"/>
      <c r="CG87" s="37"/>
      <c r="CH87" s="37"/>
      <c r="CI87" s="37"/>
      <c r="CJ87" s="37"/>
      <c r="CK87" s="37"/>
      <c r="CL87" s="37"/>
      <c r="CM87" s="37"/>
      <c r="CN87" s="37"/>
      <c r="CO87" s="36"/>
      <c r="CP87" s="36"/>
      <c r="CQ87" s="36"/>
      <c r="CR87" s="37"/>
      <c r="CS87" s="37"/>
      <c r="CT87" s="37"/>
      <c r="CU87" s="37"/>
      <c r="CV87" s="36"/>
      <c r="CW87" s="36"/>
      <c r="CX87" s="36"/>
      <c r="CY87" s="36"/>
      <c r="CZ87" s="36"/>
      <c r="DA87" s="36"/>
      <c r="DB87" s="36"/>
      <c r="DC87" s="36"/>
    </row>
    <row r="88" spans="1:134" s="64" customFormat="1" x14ac:dyDescent="0.25">
      <c r="A88" s="26"/>
      <c r="B88" s="890" t="s">
        <v>48</v>
      </c>
      <c r="C88" s="891"/>
      <c r="D88" s="891"/>
      <c r="E88" s="891"/>
      <c r="F88" s="891"/>
      <c r="G88" s="891"/>
      <c r="H88" s="891"/>
      <c r="I88" s="891"/>
      <c r="J88" s="891"/>
      <c r="K88" s="891"/>
      <c r="L88" s="891"/>
      <c r="M88" s="891"/>
      <c r="N88" s="891"/>
      <c r="O88" s="891"/>
      <c r="P88" s="891"/>
      <c r="Q88" s="891"/>
      <c r="R88" s="891"/>
      <c r="S88" s="891"/>
      <c r="T88" s="891"/>
      <c r="U88" s="891"/>
      <c r="V88" s="891"/>
      <c r="W88" s="891"/>
      <c r="X88" s="891"/>
      <c r="Y88" s="891"/>
      <c r="Z88" s="891"/>
      <c r="AA88" s="891"/>
      <c r="AB88" s="891"/>
      <c r="AC88" s="891"/>
      <c r="AD88" s="891"/>
      <c r="AE88" s="956"/>
      <c r="AF88" s="957"/>
      <c r="AG88" s="28"/>
      <c r="AI88" s="168"/>
      <c r="AJ88" s="168"/>
      <c r="AK88" s="168"/>
      <c r="AL88" s="169"/>
      <c r="AM88" s="169"/>
      <c r="AN88" s="169"/>
      <c r="AO88" s="168"/>
      <c r="AP88" s="168"/>
      <c r="AQ88" s="168"/>
      <c r="AR88" s="168"/>
      <c r="AS88" s="168"/>
      <c r="AT88" s="168"/>
      <c r="AU88" s="168"/>
      <c r="AV88" s="168"/>
      <c r="AW88" s="168"/>
      <c r="AX88" s="168"/>
      <c r="AY88" s="168"/>
      <c r="AZ88" s="168"/>
      <c r="BA88" s="170"/>
      <c r="BB88" s="168"/>
      <c r="BC88" s="168"/>
      <c r="BD88" s="170"/>
      <c r="BE88" s="170"/>
      <c r="BF88" s="94"/>
      <c r="BG88" s="94"/>
      <c r="BH88" s="168"/>
      <c r="BI88" s="168"/>
      <c r="BJ88" s="170"/>
      <c r="BK88" s="170"/>
      <c r="BL88" s="170"/>
      <c r="BM88" s="113"/>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6"/>
      <c r="CP88" s="36"/>
      <c r="CQ88" s="36"/>
      <c r="CR88" s="37"/>
      <c r="CS88" s="37"/>
      <c r="CT88" s="37"/>
      <c r="CU88" s="37"/>
      <c r="CV88" s="36"/>
      <c r="CW88" s="36"/>
      <c r="CX88" s="36"/>
      <c r="CY88" s="36"/>
      <c r="CZ88" s="36"/>
      <c r="DA88" s="36"/>
      <c r="DB88" s="36"/>
      <c r="DC88" s="36"/>
    </row>
    <row r="89" spans="1:134" s="64" customFormat="1" ht="15" customHeight="1" x14ac:dyDescent="0.25">
      <c r="A89" s="26"/>
      <c r="B89" s="1765" t="s">
        <v>283</v>
      </c>
      <c r="C89" s="1766" t="s">
        <v>287</v>
      </c>
      <c r="D89" s="1758" t="s">
        <v>25</v>
      </c>
      <c r="E89" s="1758"/>
      <c r="F89" s="1758"/>
      <c r="G89" s="1758"/>
      <c r="H89" s="1758"/>
      <c r="I89" s="1758"/>
      <c r="J89" s="1758"/>
      <c r="K89" s="1758"/>
      <c r="L89" s="1758"/>
      <c r="M89" s="1758"/>
      <c r="N89" s="1758"/>
      <c r="O89" s="1758"/>
      <c r="P89" s="1758"/>
      <c r="Q89" s="1758"/>
      <c r="R89" s="1758"/>
      <c r="S89" s="1758" t="s">
        <v>193</v>
      </c>
      <c r="T89" s="1758"/>
      <c r="U89" s="1758"/>
      <c r="V89" s="1758"/>
      <c r="W89" s="1758"/>
      <c r="X89" s="1758" t="s">
        <v>201</v>
      </c>
      <c r="Y89" s="1758"/>
      <c r="Z89" s="1758"/>
      <c r="AA89" s="1758"/>
      <c r="AB89" s="1758"/>
      <c r="AC89" s="1758"/>
      <c r="AD89" s="1758"/>
      <c r="AE89" s="1758" t="s">
        <v>638</v>
      </c>
      <c r="AF89" s="1767" t="s">
        <v>26</v>
      </c>
      <c r="AG89" s="28"/>
      <c r="AI89" s="168"/>
      <c r="AJ89" s="168"/>
      <c r="AK89" s="168"/>
      <c r="AL89" s="169"/>
      <c r="AM89" s="169"/>
      <c r="AN89" s="169"/>
      <c r="AO89" s="168"/>
      <c r="AP89" s="168"/>
      <c r="AQ89" s="168"/>
      <c r="AR89" s="168"/>
      <c r="AS89" s="168"/>
      <c r="AT89" s="168"/>
      <c r="AU89" s="168"/>
      <c r="AV89" s="168"/>
      <c r="AW89" s="168"/>
      <c r="AX89" s="168"/>
      <c r="AY89" s="168"/>
      <c r="AZ89" s="168"/>
      <c r="BA89" s="170"/>
      <c r="BB89" s="168"/>
      <c r="BC89" s="168"/>
      <c r="BD89" s="170"/>
      <c r="BE89" s="170"/>
      <c r="BF89" s="94"/>
      <c r="BG89" s="94"/>
      <c r="BH89" s="168"/>
      <c r="BI89" s="168"/>
      <c r="BJ89" s="170"/>
      <c r="BK89" s="170"/>
      <c r="BL89" s="170"/>
      <c r="BM89" s="113"/>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6"/>
      <c r="CP89" s="36"/>
      <c r="CQ89" s="36"/>
      <c r="CR89" s="37"/>
      <c r="CS89" s="37"/>
      <c r="CT89" s="37"/>
      <c r="CU89" s="37"/>
      <c r="CV89" s="36"/>
      <c r="CW89" s="36"/>
      <c r="CX89" s="36"/>
      <c r="CY89" s="36"/>
      <c r="CZ89" s="36"/>
      <c r="DA89" s="36"/>
      <c r="DB89" s="36"/>
      <c r="DC89" s="36"/>
    </row>
    <row r="90" spans="1:134" s="64" customFormat="1" ht="36" x14ac:dyDescent="0.25">
      <c r="A90" s="26"/>
      <c r="B90" s="1765"/>
      <c r="C90" s="1766"/>
      <c r="D90" s="940" t="s">
        <v>27</v>
      </c>
      <c r="E90" s="940" t="s">
        <v>28</v>
      </c>
      <c r="F90" s="940" t="s">
        <v>29</v>
      </c>
      <c r="G90" s="940" t="s">
        <v>30</v>
      </c>
      <c r="H90" s="940" t="s">
        <v>31</v>
      </c>
      <c r="I90" s="940" t="s">
        <v>32</v>
      </c>
      <c r="J90" s="940" t="s">
        <v>33</v>
      </c>
      <c r="K90" s="940" t="s">
        <v>34</v>
      </c>
      <c r="L90" s="940" t="s">
        <v>35</v>
      </c>
      <c r="M90" s="940" t="s">
        <v>36</v>
      </c>
      <c r="N90" s="940" t="s">
        <v>37</v>
      </c>
      <c r="O90" s="940" t="s">
        <v>38</v>
      </c>
      <c r="P90" s="940" t="s">
        <v>39</v>
      </c>
      <c r="Q90" s="940" t="s">
        <v>40</v>
      </c>
      <c r="R90" s="940" t="s">
        <v>41</v>
      </c>
      <c r="S90" s="940" t="s">
        <v>42</v>
      </c>
      <c r="T90" s="940" t="s">
        <v>43</v>
      </c>
      <c r="U90" s="940" t="s">
        <v>44</v>
      </c>
      <c r="V90" s="940" t="s">
        <v>210</v>
      </c>
      <c r="W90" s="940" t="s">
        <v>193</v>
      </c>
      <c r="X90" s="940" t="s">
        <v>194</v>
      </c>
      <c r="Y90" s="940"/>
      <c r="Z90" s="940" t="s">
        <v>202</v>
      </c>
      <c r="AA90" s="940" t="s">
        <v>639</v>
      </c>
      <c r="AB90" s="940" t="s">
        <v>640</v>
      </c>
      <c r="AC90" s="940" t="s">
        <v>203</v>
      </c>
      <c r="AD90" s="940" t="s">
        <v>294</v>
      </c>
      <c r="AE90" s="1758"/>
      <c r="AF90" s="1767"/>
      <c r="AG90" s="28"/>
      <c r="AI90" s="168"/>
      <c r="AJ90" s="168"/>
      <c r="AK90" s="168"/>
      <c r="AL90" s="169"/>
      <c r="AM90" s="169"/>
      <c r="AN90" s="169"/>
      <c r="AO90" s="168"/>
      <c r="AP90" s="168"/>
      <c r="AQ90" s="168"/>
      <c r="AR90" s="168"/>
      <c r="AS90" s="168"/>
      <c r="AT90" s="168"/>
      <c r="AU90" s="168"/>
      <c r="AV90" s="168"/>
      <c r="AW90" s="168"/>
      <c r="AX90" s="168"/>
      <c r="AY90" s="168"/>
      <c r="AZ90" s="168"/>
      <c r="BA90" s="170"/>
      <c r="BB90" s="168"/>
      <c r="BC90" s="168"/>
      <c r="BD90" s="170"/>
      <c r="BE90" s="170"/>
      <c r="BF90" s="94"/>
      <c r="BG90" s="94"/>
      <c r="BH90" s="168"/>
      <c r="BI90" s="168"/>
      <c r="BJ90" s="170"/>
      <c r="BK90" s="170"/>
      <c r="BL90" s="170"/>
      <c r="BM90" s="113"/>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6"/>
      <c r="CP90" s="36"/>
      <c r="CQ90" s="36"/>
      <c r="CR90" s="37"/>
      <c r="CS90" s="37"/>
      <c r="CT90" s="37"/>
      <c r="CU90" s="37"/>
      <c r="CV90" s="36"/>
      <c r="CW90" s="36"/>
      <c r="CX90" s="36"/>
      <c r="CY90" s="36"/>
      <c r="CZ90" s="36"/>
      <c r="DA90" s="36"/>
      <c r="DB90" s="36"/>
      <c r="DC90" s="36"/>
    </row>
    <row r="91" spans="1:134" s="27" customFormat="1" ht="15" customHeight="1" x14ac:dyDescent="0.25">
      <c r="A91" s="26"/>
      <c r="B91" s="1768" t="s">
        <v>291</v>
      </c>
      <c r="C91" s="553"/>
      <c r="D91" s="941">
        <f t="shared" ref="D91:D98" si="142">VLOOKUP($C91,$BI$488:$BO$518,2,FALSE)</f>
        <v>0</v>
      </c>
      <c r="E91" s="1393"/>
      <c r="F91" s="421"/>
      <c r="G91" s="421"/>
      <c r="H91" s="421"/>
      <c r="I91" s="421"/>
      <c r="J91" s="421"/>
      <c r="K91" s="421"/>
      <c r="L91" s="421"/>
      <c r="M91" s="421"/>
      <c r="N91" s="421"/>
      <c r="O91" s="421"/>
      <c r="P91" s="421"/>
      <c r="Q91" s="665">
        <f t="shared" ref="Q91:Q98" si="143">SUM(E91:P91)</f>
        <v>0</v>
      </c>
      <c r="R91" s="665">
        <f t="shared" ref="R91:R98" si="144">COUNT(E91:P91)</f>
        <v>0</v>
      </c>
      <c r="S91" s="665">
        <f t="shared" ref="S91:S98" si="145">IF(R91&gt;1,AVERAGE(E91:P91),0)</f>
        <v>0</v>
      </c>
      <c r="T91" s="665">
        <f t="shared" ref="T91:T98" si="146">IF(R91&gt;1,STDEV(E91:P91),0)</f>
        <v>0</v>
      </c>
      <c r="U91" s="665">
        <f t="shared" ref="U91:U98" si="147">IF(R91&gt;1,VLOOKUP($R91,$AH$76:$AI$79,2,FALSE),0)</f>
        <v>0</v>
      </c>
      <c r="V91" s="424"/>
      <c r="W91" s="666">
        <f t="shared" ref="W91:W98" si="148">IF(R91&gt;1,1-((S91-((T91*U91)/(SQRT(R91))))/S91),VLOOKUP($C91,$BI$488:$BQ$518,8,FALSE))</f>
        <v>0</v>
      </c>
      <c r="X91" s="919">
        <f t="shared" ref="X91:X98" si="149">VLOOKUP($C91,$BI$488:$BO$518,3,FALSE)</f>
        <v>0</v>
      </c>
      <c r="Y91" s="914">
        <f t="shared" ref="Y91:Y98" si="150">VLOOKUP($C91,$BI$488:$BO$518,4,FALSE)</f>
        <v>0</v>
      </c>
      <c r="Z91" s="915">
        <f t="shared" ref="Z91:Z98" si="151">IF($Q91&gt;0,VLOOKUP($C91,$BI$488:$BO$518,6,FALSE),0)</f>
        <v>0</v>
      </c>
      <c r="AA91" s="916">
        <f t="shared" ref="AA91:AA98" si="152">($Q91*X91)/1000</f>
        <v>0</v>
      </c>
      <c r="AB91" s="916">
        <f t="shared" ref="AB91:AB98" si="153">AA91*1</f>
        <v>0</v>
      </c>
      <c r="AC91" s="915">
        <f t="shared" ref="AC91:AC98" si="154">IF(AA91&gt;0,SQRT(($W91*$W91)+(Z91*Z91)+($V91*$V91)),0)</f>
        <v>0</v>
      </c>
      <c r="AD91" s="916">
        <f t="shared" ref="AD91:AD99" si="155">(AB91*AC91)^2</f>
        <v>0</v>
      </c>
      <c r="AE91" s="920">
        <f t="shared" ref="AE91:AF98" si="156">AB91</f>
        <v>0</v>
      </c>
      <c r="AF91" s="921">
        <f t="shared" si="156"/>
        <v>0</v>
      </c>
      <c r="AG91" s="28">
        <f>(AE91*AF91)^2</f>
        <v>0</v>
      </c>
      <c r="AH91" s="28"/>
      <c r="AI91" s="168"/>
      <c r="AJ91" s="168"/>
      <c r="AK91" s="168"/>
      <c r="AL91" s="169"/>
      <c r="AM91" s="169"/>
      <c r="AN91" s="169"/>
      <c r="AO91" s="168"/>
      <c r="AP91" s="168"/>
      <c r="AQ91" s="168"/>
      <c r="AR91" s="168"/>
      <c r="AS91" s="168"/>
      <c r="AT91" s="168"/>
      <c r="AU91" s="168"/>
      <c r="AV91" s="168"/>
      <c r="AW91" s="168"/>
      <c r="AX91" s="168"/>
      <c r="AY91" s="168"/>
      <c r="AZ91" s="168"/>
      <c r="BA91" s="170"/>
      <c r="BB91" s="168"/>
      <c r="BC91" s="168"/>
      <c r="BD91" s="170"/>
      <c r="BE91" s="170"/>
      <c r="BF91" s="94"/>
      <c r="BG91" s="94"/>
      <c r="BH91" s="168"/>
      <c r="BI91" s="168"/>
      <c r="BJ91" s="170"/>
      <c r="BK91" s="170"/>
      <c r="BL91" s="170"/>
      <c r="BM91" s="113"/>
      <c r="BN91" s="37"/>
      <c r="BO91" s="37"/>
      <c r="BP91" s="37"/>
      <c r="BQ91" s="37"/>
      <c r="BR91" s="37"/>
      <c r="BS91" s="37"/>
      <c r="BT91" s="37"/>
      <c r="BU91" s="37"/>
      <c r="BV91" s="37"/>
      <c r="BW91" s="37"/>
      <c r="BX91" s="37"/>
      <c r="BY91" s="37"/>
      <c r="BZ91" s="37"/>
      <c r="CA91" s="37"/>
      <c r="CB91" s="37"/>
      <c r="CC91" s="37"/>
      <c r="CD91" s="37"/>
      <c r="CE91" s="37"/>
      <c r="CF91" s="37"/>
      <c r="CG91" s="37"/>
      <c r="CH91" s="37"/>
      <c r="CI91" s="37"/>
      <c r="CJ91" s="37"/>
      <c r="CK91" s="37"/>
      <c r="CL91" s="37"/>
      <c r="CM91" s="37"/>
      <c r="CN91" s="37"/>
      <c r="CO91" s="36"/>
      <c r="CP91" s="36"/>
      <c r="CQ91" s="36"/>
      <c r="CR91" s="37"/>
      <c r="CS91" s="37"/>
      <c r="CT91" s="37"/>
      <c r="CU91" s="37"/>
      <c r="CV91" s="36"/>
      <c r="CW91" s="36"/>
      <c r="CX91" s="36"/>
      <c r="CY91" s="36"/>
      <c r="CZ91" s="36"/>
      <c r="DA91" s="36"/>
      <c r="DB91" s="36"/>
      <c r="DC91" s="36"/>
    </row>
    <row r="92" spans="1:134" s="27" customFormat="1" x14ac:dyDescent="0.25">
      <c r="A92" s="26"/>
      <c r="B92" s="1768"/>
      <c r="C92" s="553"/>
      <c r="D92" s="941">
        <f t="shared" si="142"/>
        <v>0</v>
      </c>
      <c r="E92" s="1393"/>
      <c r="F92" s="421"/>
      <c r="G92" s="421"/>
      <c r="H92" s="421"/>
      <c r="I92" s="421"/>
      <c r="J92" s="421"/>
      <c r="K92" s="421"/>
      <c r="L92" s="421"/>
      <c r="M92" s="421"/>
      <c r="N92" s="421"/>
      <c r="O92" s="421"/>
      <c r="P92" s="421"/>
      <c r="Q92" s="665">
        <f t="shared" si="143"/>
        <v>0</v>
      </c>
      <c r="R92" s="665">
        <f t="shared" si="144"/>
        <v>0</v>
      </c>
      <c r="S92" s="665">
        <f t="shared" si="145"/>
        <v>0</v>
      </c>
      <c r="T92" s="665">
        <f t="shared" si="146"/>
        <v>0</v>
      </c>
      <c r="U92" s="665">
        <f t="shared" si="147"/>
        <v>0</v>
      </c>
      <c r="V92" s="424"/>
      <c r="W92" s="666">
        <f t="shared" si="148"/>
        <v>0</v>
      </c>
      <c r="X92" s="919">
        <f t="shared" si="149"/>
        <v>0</v>
      </c>
      <c r="Y92" s="914">
        <f t="shared" si="150"/>
        <v>0</v>
      </c>
      <c r="Z92" s="915">
        <f t="shared" si="151"/>
        <v>0</v>
      </c>
      <c r="AA92" s="916">
        <f t="shared" si="152"/>
        <v>0</v>
      </c>
      <c r="AB92" s="916">
        <f t="shared" si="153"/>
        <v>0</v>
      </c>
      <c r="AC92" s="915">
        <f t="shared" si="154"/>
        <v>0</v>
      </c>
      <c r="AD92" s="916">
        <f t="shared" si="155"/>
        <v>0</v>
      </c>
      <c r="AE92" s="920">
        <f t="shared" si="156"/>
        <v>0</v>
      </c>
      <c r="AF92" s="921">
        <f t="shared" si="156"/>
        <v>0</v>
      </c>
      <c r="AG92" s="28">
        <f t="shared" ref="AG92:AG107" si="157">(AE92*AF92)^2</f>
        <v>0</v>
      </c>
      <c r="AH92" s="28"/>
      <c r="AI92" s="168"/>
      <c r="AJ92" s="168"/>
      <c r="AK92" s="168"/>
      <c r="AL92" s="169"/>
      <c r="AM92" s="169"/>
      <c r="AN92" s="169"/>
      <c r="AO92" s="168"/>
      <c r="AP92" s="168"/>
      <c r="AQ92" s="168"/>
      <c r="AR92" s="168"/>
      <c r="AS92" s="168"/>
      <c r="AT92" s="168"/>
      <c r="AU92" s="168"/>
      <c r="AV92" s="168"/>
      <c r="AW92" s="168"/>
      <c r="AX92" s="168"/>
      <c r="AY92" s="168"/>
      <c r="AZ92" s="168"/>
      <c r="BA92" s="170"/>
      <c r="BB92" s="168"/>
      <c r="BC92" s="168"/>
      <c r="BD92" s="170"/>
      <c r="BE92" s="170"/>
      <c r="BF92" s="94"/>
      <c r="BG92" s="94"/>
      <c r="BH92" s="168"/>
      <c r="BI92" s="168"/>
      <c r="BJ92" s="170"/>
      <c r="BK92" s="170"/>
      <c r="BL92" s="170"/>
      <c r="BM92" s="113"/>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c r="CM92" s="37"/>
      <c r="CN92" s="37"/>
      <c r="CO92" s="36"/>
      <c r="CP92" s="36"/>
      <c r="CQ92" s="36"/>
      <c r="CR92" s="37"/>
      <c r="CS92" s="37"/>
      <c r="CT92" s="37"/>
      <c r="CU92" s="37"/>
      <c r="CV92" s="36"/>
      <c r="CW92" s="36"/>
      <c r="CX92" s="36"/>
      <c r="CY92" s="36"/>
      <c r="CZ92" s="36"/>
      <c r="DA92" s="36"/>
      <c r="DB92" s="36"/>
      <c r="DC92" s="36"/>
    </row>
    <row r="93" spans="1:134" s="27" customFormat="1" x14ac:dyDescent="0.25">
      <c r="A93" s="26"/>
      <c r="B93" s="1768"/>
      <c r="C93" s="553"/>
      <c r="D93" s="941">
        <f t="shared" si="142"/>
        <v>0</v>
      </c>
      <c r="E93" s="1393"/>
      <c r="F93" s="421"/>
      <c r="G93" s="421"/>
      <c r="H93" s="421"/>
      <c r="I93" s="421"/>
      <c r="J93" s="421"/>
      <c r="K93" s="421"/>
      <c r="L93" s="421"/>
      <c r="M93" s="421"/>
      <c r="N93" s="421"/>
      <c r="O93" s="421"/>
      <c r="P93" s="421"/>
      <c r="Q93" s="665">
        <f t="shared" si="143"/>
        <v>0</v>
      </c>
      <c r="R93" s="665">
        <f t="shared" si="144"/>
        <v>0</v>
      </c>
      <c r="S93" s="665">
        <f t="shared" si="145"/>
        <v>0</v>
      </c>
      <c r="T93" s="665">
        <f t="shared" si="146"/>
        <v>0</v>
      </c>
      <c r="U93" s="665">
        <f t="shared" si="147"/>
        <v>0</v>
      </c>
      <c r="V93" s="424"/>
      <c r="W93" s="666">
        <f t="shared" si="148"/>
        <v>0</v>
      </c>
      <c r="X93" s="919">
        <f t="shared" si="149"/>
        <v>0</v>
      </c>
      <c r="Y93" s="914">
        <f t="shared" si="150"/>
        <v>0</v>
      </c>
      <c r="Z93" s="915">
        <f t="shared" si="151"/>
        <v>0</v>
      </c>
      <c r="AA93" s="916">
        <f t="shared" si="152"/>
        <v>0</v>
      </c>
      <c r="AB93" s="916">
        <f t="shared" si="153"/>
        <v>0</v>
      </c>
      <c r="AC93" s="915">
        <f t="shared" si="154"/>
        <v>0</v>
      </c>
      <c r="AD93" s="916">
        <f t="shared" si="155"/>
        <v>0</v>
      </c>
      <c r="AE93" s="920">
        <f t="shared" si="156"/>
        <v>0</v>
      </c>
      <c r="AF93" s="921">
        <f t="shared" si="156"/>
        <v>0</v>
      </c>
      <c r="AG93" s="28">
        <f t="shared" si="157"/>
        <v>0</v>
      </c>
      <c r="AH93" s="28"/>
      <c r="AI93" s="168"/>
      <c r="AJ93" s="168"/>
      <c r="AK93" s="168"/>
      <c r="AL93" s="169"/>
      <c r="AM93" s="169"/>
      <c r="AN93" s="169"/>
      <c r="AO93" s="168"/>
      <c r="AP93" s="168"/>
      <c r="AQ93" s="168"/>
      <c r="AR93" s="168"/>
      <c r="AS93" s="168"/>
      <c r="AT93" s="168"/>
      <c r="AU93" s="168"/>
      <c r="AV93" s="168"/>
      <c r="AW93" s="168"/>
      <c r="AX93" s="168"/>
      <c r="AY93" s="168"/>
      <c r="AZ93" s="168"/>
      <c r="BA93" s="170"/>
      <c r="BB93" s="168"/>
      <c r="BC93" s="168"/>
      <c r="BD93" s="170"/>
      <c r="BE93" s="170"/>
      <c r="BF93" s="94"/>
      <c r="BG93" s="94"/>
      <c r="BH93" s="168"/>
      <c r="BI93" s="168"/>
      <c r="BJ93" s="170"/>
      <c r="BK93" s="170"/>
      <c r="BL93" s="170"/>
      <c r="BM93" s="113"/>
      <c r="BN93" s="37"/>
      <c r="BO93" s="37"/>
      <c r="BP93" s="37"/>
      <c r="BQ93" s="37"/>
      <c r="BR93" s="37"/>
      <c r="BS93" s="37"/>
      <c r="BT93" s="37"/>
      <c r="BU93" s="37"/>
      <c r="BV93" s="37"/>
      <c r="BW93" s="37"/>
      <c r="BX93" s="37"/>
      <c r="BY93" s="37"/>
      <c r="BZ93" s="37"/>
      <c r="CA93" s="37"/>
      <c r="CB93" s="37"/>
      <c r="CC93" s="37"/>
      <c r="CD93" s="37"/>
      <c r="CE93" s="37"/>
      <c r="CF93" s="37"/>
      <c r="CG93" s="37"/>
      <c r="CH93" s="37"/>
      <c r="CI93" s="37"/>
      <c r="CJ93" s="37"/>
      <c r="CK93" s="37"/>
      <c r="CL93" s="37"/>
      <c r="CM93" s="37"/>
      <c r="CN93" s="37"/>
      <c r="CO93" s="36"/>
      <c r="CP93" s="36"/>
      <c r="CQ93" s="36"/>
      <c r="CR93" s="37"/>
      <c r="CS93" s="37"/>
      <c r="CT93" s="37"/>
      <c r="CU93" s="37"/>
      <c r="CV93" s="36"/>
      <c r="CW93" s="36"/>
      <c r="CX93" s="36"/>
      <c r="CY93" s="36"/>
      <c r="CZ93" s="36"/>
      <c r="DA93" s="36"/>
      <c r="DB93" s="36"/>
      <c r="DC93" s="36"/>
    </row>
    <row r="94" spans="1:134" s="27" customFormat="1" x14ac:dyDescent="0.25">
      <c r="A94" s="26"/>
      <c r="B94" s="1768"/>
      <c r="C94" s="553"/>
      <c r="D94" s="941">
        <f t="shared" si="142"/>
        <v>0</v>
      </c>
      <c r="E94" s="1393"/>
      <c r="F94" s="421"/>
      <c r="G94" s="421"/>
      <c r="H94" s="421"/>
      <c r="I94" s="421"/>
      <c r="J94" s="421"/>
      <c r="K94" s="421"/>
      <c r="L94" s="421"/>
      <c r="M94" s="421"/>
      <c r="N94" s="421"/>
      <c r="O94" s="421"/>
      <c r="P94" s="421"/>
      <c r="Q94" s="665">
        <f t="shared" si="143"/>
        <v>0</v>
      </c>
      <c r="R94" s="665">
        <f t="shared" si="144"/>
        <v>0</v>
      </c>
      <c r="S94" s="665">
        <f t="shared" si="145"/>
        <v>0</v>
      </c>
      <c r="T94" s="665">
        <f t="shared" si="146"/>
        <v>0</v>
      </c>
      <c r="U94" s="665">
        <f t="shared" si="147"/>
        <v>0</v>
      </c>
      <c r="V94" s="424"/>
      <c r="W94" s="666">
        <f t="shared" si="148"/>
        <v>0</v>
      </c>
      <c r="X94" s="919">
        <f t="shared" si="149"/>
        <v>0</v>
      </c>
      <c r="Y94" s="914">
        <f t="shared" si="150"/>
        <v>0</v>
      </c>
      <c r="Z94" s="915">
        <f t="shared" si="151"/>
        <v>0</v>
      </c>
      <c r="AA94" s="916">
        <f t="shared" si="152"/>
        <v>0</v>
      </c>
      <c r="AB94" s="916">
        <f t="shared" si="153"/>
        <v>0</v>
      </c>
      <c r="AC94" s="915">
        <f t="shared" si="154"/>
        <v>0</v>
      </c>
      <c r="AD94" s="916">
        <f t="shared" si="155"/>
        <v>0</v>
      </c>
      <c r="AE94" s="920">
        <f t="shared" si="156"/>
        <v>0</v>
      </c>
      <c r="AF94" s="921">
        <f t="shared" si="156"/>
        <v>0</v>
      </c>
      <c r="AG94" s="28">
        <f t="shared" si="157"/>
        <v>0</v>
      </c>
      <c r="AH94" s="28"/>
      <c r="AI94" s="168"/>
      <c r="AJ94" s="168"/>
      <c r="AK94" s="168"/>
      <c r="AL94" s="169"/>
      <c r="AM94" s="169"/>
      <c r="AN94" s="169"/>
      <c r="AO94" s="168"/>
      <c r="AP94" s="168"/>
      <c r="AQ94" s="168"/>
      <c r="AR94" s="168"/>
      <c r="AS94" s="168"/>
      <c r="AT94" s="168"/>
      <c r="AU94" s="168"/>
      <c r="AV94" s="168"/>
      <c r="AW94" s="168"/>
      <c r="AX94" s="168"/>
      <c r="AY94" s="168"/>
      <c r="AZ94" s="168"/>
      <c r="BA94" s="170"/>
      <c r="BB94" s="168"/>
      <c r="BC94" s="168"/>
      <c r="BD94" s="170"/>
      <c r="BE94" s="170"/>
      <c r="BF94" s="94"/>
      <c r="BG94" s="94"/>
      <c r="BH94" s="168"/>
      <c r="BI94" s="168"/>
      <c r="BJ94" s="170"/>
      <c r="BK94" s="170"/>
      <c r="BL94" s="170"/>
      <c r="BM94" s="113"/>
      <c r="BN94" s="37"/>
      <c r="BO94" s="37"/>
      <c r="BP94" s="37"/>
      <c r="BQ94" s="37"/>
      <c r="BR94" s="37"/>
      <c r="BS94" s="37"/>
      <c r="BT94" s="37"/>
      <c r="BU94" s="37"/>
      <c r="BV94" s="37"/>
      <c r="BW94" s="37"/>
      <c r="BX94" s="37"/>
      <c r="BY94" s="37"/>
      <c r="BZ94" s="37"/>
      <c r="CA94" s="37"/>
      <c r="CB94" s="37"/>
      <c r="CC94" s="37"/>
      <c r="CD94" s="37"/>
      <c r="CE94" s="37"/>
      <c r="CF94" s="37"/>
      <c r="CG94" s="37"/>
      <c r="CH94" s="37"/>
      <c r="CI94" s="37"/>
      <c r="CJ94" s="37"/>
      <c r="CK94" s="37"/>
      <c r="CL94" s="37"/>
      <c r="CM94" s="37"/>
      <c r="CN94" s="37"/>
      <c r="CO94" s="36"/>
      <c r="CP94" s="36"/>
      <c r="CQ94" s="36"/>
      <c r="CR94" s="37"/>
      <c r="CS94" s="37"/>
      <c r="CT94" s="37"/>
      <c r="CU94" s="37"/>
      <c r="CV94" s="36"/>
      <c r="CW94" s="36"/>
      <c r="CX94" s="36"/>
      <c r="CY94" s="36"/>
      <c r="CZ94" s="36"/>
      <c r="DA94" s="36"/>
      <c r="DB94" s="36"/>
      <c r="DC94" s="36"/>
    </row>
    <row r="95" spans="1:134" s="27" customFormat="1" ht="15" customHeight="1" x14ac:dyDescent="0.25">
      <c r="A95" s="26"/>
      <c r="B95" s="1768" t="s">
        <v>290</v>
      </c>
      <c r="C95" s="553"/>
      <c r="D95" s="941">
        <f t="shared" si="142"/>
        <v>0</v>
      </c>
      <c r="E95" s="1393"/>
      <c r="F95" s="421"/>
      <c r="G95" s="421"/>
      <c r="H95" s="421"/>
      <c r="I95" s="421"/>
      <c r="J95" s="421"/>
      <c r="K95" s="421"/>
      <c r="L95" s="421"/>
      <c r="M95" s="421"/>
      <c r="N95" s="421"/>
      <c r="O95" s="421"/>
      <c r="P95" s="421"/>
      <c r="Q95" s="665">
        <f t="shared" si="143"/>
        <v>0</v>
      </c>
      <c r="R95" s="665">
        <f t="shared" si="144"/>
        <v>0</v>
      </c>
      <c r="S95" s="665">
        <f t="shared" si="145"/>
        <v>0</v>
      </c>
      <c r="T95" s="665">
        <f t="shared" si="146"/>
        <v>0</v>
      </c>
      <c r="U95" s="665">
        <f t="shared" si="147"/>
        <v>0</v>
      </c>
      <c r="V95" s="424"/>
      <c r="W95" s="666">
        <f t="shared" si="148"/>
        <v>0</v>
      </c>
      <c r="X95" s="919">
        <f t="shared" si="149"/>
        <v>0</v>
      </c>
      <c r="Y95" s="914">
        <f t="shared" si="150"/>
        <v>0</v>
      </c>
      <c r="Z95" s="915">
        <f t="shared" si="151"/>
        <v>0</v>
      </c>
      <c r="AA95" s="916">
        <f t="shared" si="152"/>
        <v>0</v>
      </c>
      <c r="AB95" s="916">
        <f t="shared" si="153"/>
        <v>0</v>
      </c>
      <c r="AC95" s="915">
        <f t="shared" si="154"/>
        <v>0</v>
      </c>
      <c r="AD95" s="916">
        <f t="shared" si="155"/>
        <v>0</v>
      </c>
      <c r="AE95" s="920">
        <f t="shared" si="156"/>
        <v>0</v>
      </c>
      <c r="AF95" s="921">
        <f t="shared" si="156"/>
        <v>0</v>
      </c>
      <c r="AG95" s="28">
        <f t="shared" si="157"/>
        <v>0</v>
      </c>
      <c r="AH95" s="28"/>
      <c r="AI95" s="168"/>
      <c r="AJ95" s="168"/>
      <c r="AK95" s="168"/>
      <c r="AL95" s="169"/>
      <c r="AM95" s="169"/>
      <c r="AN95" s="169"/>
      <c r="AO95" s="168"/>
      <c r="AP95" s="168"/>
      <c r="AQ95" s="168"/>
      <c r="AR95" s="168"/>
      <c r="AS95" s="168"/>
      <c r="AT95" s="168"/>
      <c r="AU95" s="168"/>
      <c r="AV95" s="168"/>
      <c r="AW95" s="168"/>
      <c r="AX95" s="168"/>
      <c r="AY95" s="168"/>
      <c r="AZ95" s="168"/>
      <c r="BA95" s="170"/>
      <c r="BB95" s="168"/>
      <c r="BC95" s="168"/>
      <c r="BD95" s="170"/>
      <c r="BE95" s="170"/>
      <c r="BF95" s="94"/>
      <c r="BG95" s="94"/>
      <c r="BH95" s="168"/>
      <c r="BI95" s="168"/>
      <c r="BJ95" s="170"/>
      <c r="BK95" s="170"/>
      <c r="BL95" s="170"/>
      <c r="BM95" s="113"/>
      <c r="BN95" s="37"/>
      <c r="BO95" s="37"/>
      <c r="BP95" s="37"/>
      <c r="BQ95" s="37"/>
      <c r="BR95" s="37"/>
      <c r="BS95" s="37"/>
      <c r="BT95" s="37"/>
      <c r="BU95" s="37"/>
      <c r="BV95" s="37"/>
      <c r="BW95" s="37"/>
      <c r="BX95" s="37"/>
      <c r="BY95" s="37"/>
      <c r="BZ95" s="37"/>
      <c r="CA95" s="37"/>
      <c r="CB95" s="37"/>
      <c r="CC95" s="37"/>
      <c r="CD95" s="37"/>
      <c r="CE95" s="37"/>
      <c r="CF95" s="37"/>
      <c r="CG95" s="37"/>
      <c r="CH95" s="37"/>
      <c r="CI95" s="37"/>
      <c r="CJ95" s="37"/>
      <c r="CK95" s="37"/>
      <c r="CL95" s="37"/>
      <c r="CM95" s="37"/>
      <c r="CN95" s="37"/>
      <c r="CO95" s="36"/>
      <c r="CP95" s="36"/>
      <c r="CQ95" s="36"/>
      <c r="CR95" s="37"/>
      <c r="CS95" s="37"/>
      <c r="CT95" s="37"/>
      <c r="CU95" s="37"/>
      <c r="CV95" s="36"/>
      <c r="CW95" s="36"/>
      <c r="CX95" s="36"/>
      <c r="CY95" s="36"/>
      <c r="CZ95" s="36"/>
      <c r="DA95" s="36"/>
      <c r="DB95" s="36"/>
      <c r="DC95" s="36"/>
    </row>
    <row r="96" spans="1:134" s="27" customFormat="1" x14ac:dyDescent="0.25">
      <c r="A96" s="26"/>
      <c r="B96" s="1768"/>
      <c r="C96" s="553"/>
      <c r="D96" s="941">
        <f t="shared" si="142"/>
        <v>0</v>
      </c>
      <c r="E96" s="1393"/>
      <c r="F96" s="421"/>
      <c r="G96" s="421"/>
      <c r="H96" s="421"/>
      <c r="I96" s="421"/>
      <c r="J96" s="421"/>
      <c r="K96" s="421"/>
      <c r="L96" s="421"/>
      <c r="M96" s="421"/>
      <c r="N96" s="421"/>
      <c r="O96" s="421"/>
      <c r="P96" s="421"/>
      <c r="Q96" s="665">
        <f t="shared" si="143"/>
        <v>0</v>
      </c>
      <c r="R96" s="665">
        <f t="shared" si="144"/>
        <v>0</v>
      </c>
      <c r="S96" s="665">
        <f t="shared" si="145"/>
        <v>0</v>
      </c>
      <c r="T96" s="665">
        <f t="shared" si="146"/>
        <v>0</v>
      </c>
      <c r="U96" s="665">
        <f t="shared" si="147"/>
        <v>0</v>
      </c>
      <c r="V96" s="424"/>
      <c r="W96" s="666">
        <f t="shared" si="148"/>
        <v>0</v>
      </c>
      <c r="X96" s="919">
        <f t="shared" si="149"/>
        <v>0</v>
      </c>
      <c r="Y96" s="914">
        <f t="shared" si="150"/>
        <v>0</v>
      </c>
      <c r="Z96" s="915">
        <f t="shared" si="151"/>
        <v>0</v>
      </c>
      <c r="AA96" s="916">
        <f t="shared" si="152"/>
        <v>0</v>
      </c>
      <c r="AB96" s="916">
        <f t="shared" si="153"/>
        <v>0</v>
      </c>
      <c r="AC96" s="915">
        <f t="shared" si="154"/>
        <v>0</v>
      </c>
      <c r="AD96" s="916">
        <f t="shared" si="155"/>
        <v>0</v>
      </c>
      <c r="AE96" s="920">
        <f t="shared" si="156"/>
        <v>0</v>
      </c>
      <c r="AF96" s="921">
        <f t="shared" si="156"/>
        <v>0</v>
      </c>
      <c r="AG96" s="28">
        <f t="shared" si="157"/>
        <v>0</v>
      </c>
      <c r="AH96" s="28"/>
      <c r="AI96" s="168"/>
      <c r="AJ96" s="168"/>
      <c r="AK96" s="168"/>
      <c r="AL96" s="169"/>
      <c r="AM96" s="169"/>
      <c r="AN96" s="169"/>
      <c r="AO96" s="168"/>
      <c r="AP96" s="168"/>
      <c r="AQ96" s="168"/>
      <c r="AR96" s="168"/>
      <c r="AS96" s="168"/>
      <c r="AT96" s="168"/>
      <c r="AU96" s="168"/>
      <c r="AV96" s="168"/>
      <c r="AW96" s="168"/>
      <c r="AX96" s="168"/>
      <c r="AY96" s="168"/>
      <c r="AZ96" s="168"/>
      <c r="BA96" s="170"/>
      <c r="BB96" s="168"/>
      <c r="BC96" s="168"/>
      <c r="BD96" s="170"/>
      <c r="BE96" s="170"/>
      <c r="BF96" s="94"/>
      <c r="BG96" s="94"/>
      <c r="BH96" s="168"/>
      <c r="BI96" s="168"/>
      <c r="BJ96" s="170"/>
      <c r="BK96" s="170"/>
      <c r="BL96" s="170"/>
      <c r="BM96" s="113"/>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80"/>
      <c r="CP96" s="80"/>
      <c r="CQ96" s="80"/>
      <c r="CR96" s="37"/>
      <c r="CS96" s="37"/>
      <c r="CT96" s="37"/>
      <c r="CU96" s="37"/>
      <c r="CV96" s="36"/>
      <c r="CW96" s="36"/>
      <c r="CX96" s="36"/>
      <c r="CY96" s="36"/>
      <c r="CZ96" s="36"/>
      <c r="DA96" s="36"/>
      <c r="DB96" s="36"/>
      <c r="DC96" s="36"/>
    </row>
    <row r="97" spans="1:107" s="27" customFormat="1" ht="15" customHeight="1" x14ac:dyDescent="0.25">
      <c r="A97" s="26"/>
      <c r="B97" s="1769" t="s">
        <v>289</v>
      </c>
      <c r="C97" s="553"/>
      <c r="D97" s="941">
        <f t="shared" si="142"/>
        <v>0</v>
      </c>
      <c r="E97" s="1393"/>
      <c r="F97" s="421"/>
      <c r="G97" s="421"/>
      <c r="H97" s="421"/>
      <c r="I97" s="421"/>
      <c r="J97" s="421"/>
      <c r="K97" s="421"/>
      <c r="L97" s="421"/>
      <c r="M97" s="421"/>
      <c r="N97" s="421"/>
      <c r="O97" s="421"/>
      <c r="P97" s="421"/>
      <c r="Q97" s="665">
        <f t="shared" si="143"/>
        <v>0</v>
      </c>
      <c r="R97" s="665">
        <f t="shared" si="144"/>
        <v>0</v>
      </c>
      <c r="S97" s="665">
        <f t="shared" si="145"/>
        <v>0</v>
      </c>
      <c r="T97" s="665">
        <f t="shared" si="146"/>
        <v>0</v>
      </c>
      <c r="U97" s="665">
        <f t="shared" si="147"/>
        <v>0</v>
      </c>
      <c r="V97" s="424"/>
      <c r="W97" s="666">
        <f t="shared" si="148"/>
        <v>0</v>
      </c>
      <c r="X97" s="919">
        <f t="shared" si="149"/>
        <v>0</v>
      </c>
      <c r="Y97" s="914">
        <f t="shared" si="150"/>
        <v>0</v>
      </c>
      <c r="Z97" s="915">
        <f t="shared" si="151"/>
        <v>0</v>
      </c>
      <c r="AA97" s="916">
        <f t="shared" si="152"/>
        <v>0</v>
      </c>
      <c r="AB97" s="916">
        <f t="shared" si="153"/>
        <v>0</v>
      </c>
      <c r="AC97" s="915">
        <f t="shared" si="154"/>
        <v>0</v>
      </c>
      <c r="AD97" s="916">
        <f t="shared" si="155"/>
        <v>0</v>
      </c>
      <c r="AE97" s="920">
        <f t="shared" si="156"/>
        <v>0</v>
      </c>
      <c r="AF97" s="921">
        <f t="shared" si="156"/>
        <v>0</v>
      </c>
      <c r="AG97" s="28">
        <f t="shared" si="157"/>
        <v>0</v>
      </c>
      <c r="AH97" s="28"/>
      <c r="AI97" s="168"/>
      <c r="AJ97" s="168"/>
      <c r="AK97" s="168"/>
      <c r="AL97" s="169"/>
      <c r="AM97" s="169"/>
      <c r="AN97" s="169"/>
      <c r="AO97" s="168"/>
      <c r="AP97" s="168"/>
      <c r="AQ97" s="168"/>
      <c r="AR97" s="168"/>
      <c r="AS97" s="168"/>
      <c r="AT97" s="168"/>
      <c r="AU97" s="168"/>
      <c r="AV97" s="168"/>
      <c r="AW97" s="168"/>
      <c r="AX97" s="168"/>
      <c r="AY97" s="168"/>
      <c r="AZ97" s="168"/>
      <c r="BA97" s="170"/>
      <c r="BB97" s="168"/>
      <c r="BC97" s="168"/>
      <c r="BD97" s="170"/>
      <c r="BE97" s="170"/>
      <c r="BF97" s="94"/>
      <c r="BG97" s="94"/>
      <c r="BH97" s="168"/>
      <c r="BI97" s="168"/>
      <c r="BJ97" s="170"/>
      <c r="BK97" s="170"/>
      <c r="BL97" s="170"/>
      <c r="BM97" s="113"/>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29"/>
      <c r="CP97" s="29"/>
      <c r="CQ97" s="29"/>
      <c r="CR97" s="37"/>
      <c r="CS97" s="37"/>
      <c r="CT97" s="37"/>
      <c r="CU97" s="37"/>
      <c r="CV97" s="36"/>
      <c r="CW97" s="36"/>
      <c r="CX97" s="36"/>
      <c r="CY97" s="36"/>
      <c r="CZ97" s="36"/>
      <c r="DA97" s="36"/>
      <c r="DB97" s="36"/>
      <c r="DC97" s="36"/>
    </row>
    <row r="98" spans="1:107" s="27" customFormat="1" x14ac:dyDescent="0.25">
      <c r="A98" s="26"/>
      <c r="B98" s="1770"/>
      <c r="C98" s="553"/>
      <c r="D98" s="941">
        <f t="shared" si="142"/>
        <v>0</v>
      </c>
      <c r="E98" s="1393"/>
      <c r="F98" s="421"/>
      <c r="G98" s="421"/>
      <c r="H98" s="421"/>
      <c r="I98" s="421"/>
      <c r="J98" s="421"/>
      <c r="K98" s="421"/>
      <c r="L98" s="421"/>
      <c r="M98" s="421"/>
      <c r="N98" s="421"/>
      <c r="O98" s="421"/>
      <c r="P98" s="421"/>
      <c r="Q98" s="665">
        <f t="shared" si="143"/>
        <v>0</v>
      </c>
      <c r="R98" s="665">
        <f t="shared" si="144"/>
        <v>0</v>
      </c>
      <c r="S98" s="665">
        <f t="shared" si="145"/>
        <v>0</v>
      </c>
      <c r="T98" s="665">
        <f t="shared" si="146"/>
        <v>0</v>
      </c>
      <c r="U98" s="665">
        <f t="shared" si="147"/>
        <v>0</v>
      </c>
      <c r="V98" s="424"/>
      <c r="W98" s="666">
        <f t="shared" si="148"/>
        <v>0</v>
      </c>
      <c r="X98" s="919">
        <f t="shared" si="149"/>
        <v>0</v>
      </c>
      <c r="Y98" s="914">
        <f t="shared" si="150"/>
        <v>0</v>
      </c>
      <c r="Z98" s="915">
        <f t="shared" si="151"/>
        <v>0</v>
      </c>
      <c r="AA98" s="916">
        <f t="shared" si="152"/>
        <v>0</v>
      </c>
      <c r="AB98" s="916">
        <f t="shared" si="153"/>
        <v>0</v>
      </c>
      <c r="AC98" s="915">
        <f t="shared" si="154"/>
        <v>0</v>
      </c>
      <c r="AD98" s="916">
        <f t="shared" si="155"/>
        <v>0</v>
      </c>
      <c r="AE98" s="920">
        <f t="shared" si="156"/>
        <v>0</v>
      </c>
      <c r="AF98" s="921">
        <f t="shared" si="156"/>
        <v>0</v>
      </c>
      <c r="AG98" s="28">
        <f t="shared" si="157"/>
        <v>0</v>
      </c>
      <c r="AH98" s="28"/>
      <c r="AI98" s="168"/>
      <c r="AJ98" s="168"/>
      <c r="AK98" s="168"/>
      <c r="AL98" s="169"/>
      <c r="AM98" s="169"/>
      <c r="AN98" s="169"/>
      <c r="AO98" s="168"/>
      <c r="AP98" s="168"/>
      <c r="AQ98" s="168"/>
      <c r="AR98" s="168"/>
      <c r="AS98" s="168"/>
      <c r="AT98" s="168"/>
      <c r="AU98" s="168"/>
      <c r="AV98" s="168"/>
      <c r="AW98" s="168"/>
      <c r="AX98" s="168"/>
      <c r="AY98" s="168"/>
      <c r="AZ98" s="168"/>
      <c r="BA98" s="170"/>
      <c r="BB98" s="168"/>
      <c r="BC98" s="168"/>
      <c r="BD98" s="170"/>
      <c r="BE98" s="170"/>
      <c r="BF98" s="94"/>
      <c r="BG98" s="94"/>
      <c r="BH98" s="168"/>
      <c r="BI98" s="168"/>
      <c r="BJ98" s="170"/>
      <c r="BK98" s="170"/>
      <c r="BL98" s="170"/>
      <c r="BM98" s="113"/>
      <c r="BN98" s="37"/>
      <c r="BO98" s="37"/>
      <c r="BP98" s="37"/>
      <c r="BQ98" s="37"/>
      <c r="BR98" s="37"/>
      <c r="BS98" s="37"/>
      <c r="BT98" s="37"/>
      <c r="BU98" s="37"/>
      <c r="BV98" s="37"/>
      <c r="BW98" s="37"/>
      <c r="BX98" s="37"/>
      <c r="BY98" s="37"/>
      <c r="BZ98" s="37"/>
      <c r="CA98" s="37"/>
      <c r="CB98" s="37"/>
      <c r="CC98" s="37"/>
      <c r="CD98" s="37"/>
      <c r="CE98" s="37"/>
      <c r="CF98" s="37"/>
      <c r="CG98" s="37"/>
      <c r="CH98" s="37"/>
      <c r="CI98" s="37"/>
      <c r="CJ98" s="37"/>
      <c r="CK98" s="37"/>
      <c r="CL98" s="37"/>
      <c r="CM98" s="37"/>
      <c r="CN98" s="37"/>
      <c r="CO98" s="36"/>
      <c r="CP98" s="36"/>
      <c r="CQ98" s="36"/>
      <c r="CR98" s="37"/>
      <c r="CS98" s="37"/>
      <c r="CT98" s="37"/>
      <c r="CU98" s="37"/>
      <c r="CV98" s="36"/>
      <c r="CW98" s="36"/>
      <c r="CX98" s="36"/>
      <c r="CY98" s="36"/>
      <c r="CZ98" s="36"/>
      <c r="DA98" s="36"/>
      <c r="DB98" s="36"/>
      <c r="DC98" s="36"/>
    </row>
    <row r="99" spans="1:107" s="27" customFormat="1" ht="15.75" thickBot="1" x14ac:dyDescent="0.3">
      <c r="A99" s="26"/>
      <c r="B99" s="1771" t="s">
        <v>50</v>
      </c>
      <c r="C99" s="1772"/>
      <c r="D99" s="1772"/>
      <c r="E99" s="1772"/>
      <c r="F99" s="1772"/>
      <c r="G99" s="1772"/>
      <c r="H99" s="1772"/>
      <c r="I99" s="1772"/>
      <c r="J99" s="1772"/>
      <c r="K99" s="1772"/>
      <c r="L99" s="1772"/>
      <c r="M99" s="1772"/>
      <c r="N99" s="1772"/>
      <c r="O99" s="1772"/>
      <c r="P99" s="1772"/>
      <c r="Q99" s="1772"/>
      <c r="R99" s="1772"/>
      <c r="S99" s="1772"/>
      <c r="T99" s="1772"/>
      <c r="U99" s="1772"/>
      <c r="V99" s="1772"/>
      <c r="W99" s="1772"/>
      <c r="X99" s="1772"/>
      <c r="Y99" s="1772"/>
      <c r="Z99" s="1772"/>
      <c r="AA99" s="1773"/>
      <c r="AB99" s="892">
        <f>SUM(AB91:AB98)</f>
        <v>0</v>
      </c>
      <c r="AC99" s="893">
        <f>IF(AB99&gt;0,SQRT(SUM(AD91:AD98))/AB99,0)</f>
        <v>0</v>
      </c>
      <c r="AD99" s="892">
        <f t="shared" si="155"/>
        <v>0</v>
      </c>
      <c r="AE99" s="952">
        <f>SUM(AE91:AE98)</f>
        <v>0</v>
      </c>
      <c r="AF99" s="953">
        <f>IF(AE99&gt;0,SQRT(SUM(AG91:AG98))/AE99,0)</f>
        <v>0</v>
      </c>
      <c r="AG99" s="28">
        <f t="shared" si="157"/>
        <v>0</v>
      </c>
      <c r="AH99" s="28"/>
      <c r="AI99" s="168"/>
      <c r="AJ99" s="168"/>
      <c r="AK99" s="168"/>
      <c r="AL99" s="169"/>
      <c r="AM99" s="169"/>
      <c r="AN99" s="169"/>
      <c r="AO99" s="168"/>
      <c r="AP99" s="168"/>
      <c r="AQ99" s="168"/>
      <c r="AR99" s="168"/>
      <c r="AS99" s="168"/>
      <c r="AT99" s="168"/>
      <c r="AU99" s="168"/>
      <c r="AV99" s="168"/>
      <c r="AW99" s="168"/>
      <c r="AX99" s="168"/>
      <c r="AY99" s="168"/>
      <c r="AZ99" s="168"/>
      <c r="BA99" s="170"/>
      <c r="BB99" s="168"/>
      <c r="BC99" s="168"/>
      <c r="BD99" s="170"/>
      <c r="BE99" s="170"/>
      <c r="BF99" s="94"/>
      <c r="BG99" s="94"/>
      <c r="BH99" s="168"/>
      <c r="BI99" s="168"/>
      <c r="BJ99" s="170"/>
      <c r="BK99" s="170"/>
      <c r="BL99" s="170"/>
      <c r="BM99" s="113"/>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37"/>
      <c r="CL99" s="37"/>
      <c r="CM99" s="37"/>
      <c r="CN99" s="37"/>
      <c r="CO99" s="100"/>
      <c r="CP99" s="100"/>
      <c r="CQ99" s="100"/>
      <c r="CR99" s="37"/>
      <c r="CS99" s="37"/>
      <c r="CT99" s="37"/>
      <c r="CU99" s="37"/>
      <c r="CV99" s="36"/>
      <c r="CW99" s="36"/>
      <c r="CX99" s="36"/>
      <c r="CY99" s="36"/>
      <c r="CZ99" s="36"/>
      <c r="DA99" s="36"/>
      <c r="DB99" s="36"/>
      <c r="DC99" s="36"/>
    </row>
    <row r="100" spans="1:107" s="27" customFormat="1" ht="15.75" customHeight="1" thickBot="1" x14ac:dyDescent="0.3">
      <c r="A100" s="26"/>
      <c r="B100" s="954"/>
      <c r="C100" s="955"/>
      <c r="D100" s="955"/>
      <c r="E100" s="955"/>
      <c r="F100" s="955"/>
      <c r="G100" s="955"/>
      <c r="H100" s="955"/>
      <c r="I100" s="955"/>
      <c r="J100" s="955"/>
      <c r="K100" s="955"/>
      <c r="L100" s="955"/>
      <c r="M100" s="955"/>
      <c r="N100" s="955"/>
      <c r="O100" s="955"/>
      <c r="P100" s="955"/>
      <c r="Q100" s="955"/>
      <c r="R100" s="955"/>
      <c r="S100" s="955"/>
      <c r="T100" s="955"/>
      <c r="U100" s="955"/>
      <c r="V100" s="955"/>
      <c r="W100" s="955"/>
      <c r="X100" s="955"/>
      <c r="Y100" s="955"/>
      <c r="Z100" s="955"/>
      <c r="AA100" s="955"/>
      <c r="AB100" s="955"/>
      <c r="AC100" s="955"/>
      <c r="AD100" s="955"/>
      <c r="AE100" s="937"/>
      <c r="AF100" s="939"/>
      <c r="AG100" s="28">
        <f t="shared" si="157"/>
        <v>0</v>
      </c>
      <c r="AH100" s="28"/>
      <c r="AI100" s="168"/>
      <c r="AJ100" s="168"/>
      <c r="AK100" s="168"/>
      <c r="AL100" s="169"/>
      <c r="AM100" s="169"/>
      <c r="AN100" s="169"/>
      <c r="AO100" s="168"/>
      <c r="AP100" s="168"/>
      <c r="AQ100" s="168"/>
      <c r="AR100" s="168"/>
      <c r="AS100" s="168"/>
      <c r="AT100" s="168"/>
      <c r="AU100" s="168"/>
      <c r="AV100" s="168"/>
      <c r="AW100" s="168"/>
      <c r="AX100" s="168"/>
      <c r="AY100" s="168"/>
      <c r="AZ100" s="168"/>
      <c r="BA100" s="170"/>
      <c r="BB100" s="168"/>
      <c r="BC100" s="168"/>
      <c r="BD100" s="170"/>
      <c r="BE100" s="170"/>
      <c r="BF100" s="94"/>
      <c r="BG100" s="94"/>
      <c r="BH100" s="168"/>
      <c r="BI100" s="168"/>
      <c r="BJ100" s="170"/>
      <c r="BK100" s="170"/>
      <c r="BL100" s="170"/>
      <c r="BM100" s="113"/>
      <c r="BN100" s="37"/>
      <c r="BO100" s="37"/>
      <c r="BP100" s="37"/>
      <c r="BQ100" s="37"/>
      <c r="BR100" s="37"/>
      <c r="BS100" s="37"/>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100"/>
      <c r="CP100" s="100"/>
      <c r="CQ100" s="100"/>
      <c r="CR100" s="37"/>
      <c r="CS100" s="37"/>
      <c r="CT100" s="37"/>
      <c r="CU100" s="37"/>
      <c r="CV100" s="36"/>
      <c r="CW100" s="36"/>
      <c r="CX100" s="36"/>
      <c r="CY100" s="36"/>
      <c r="CZ100" s="36"/>
      <c r="DA100" s="36"/>
      <c r="DB100" s="36"/>
      <c r="DC100" s="36"/>
    </row>
    <row r="101" spans="1:107" s="27" customFormat="1" x14ac:dyDescent="0.25">
      <c r="A101" s="26"/>
      <c r="B101" s="890" t="s">
        <v>51</v>
      </c>
      <c r="C101" s="891"/>
      <c r="D101" s="891"/>
      <c r="E101" s="891"/>
      <c r="F101" s="891"/>
      <c r="G101" s="891"/>
      <c r="H101" s="891"/>
      <c r="I101" s="891"/>
      <c r="J101" s="891"/>
      <c r="K101" s="891"/>
      <c r="L101" s="891"/>
      <c r="M101" s="891"/>
      <c r="N101" s="891"/>
      <c r="O101" s="891"/>
      <c r="P101" s="891"/>
      <c r="Q101" s="891"/>
      <c r="R101" s="891"/>
      <c r="S101" s="891"/>
      <c r="T101" s="891"/>
      <c r="U101" s="891"/>
      <c r="V101" s="891"/>
      <c r="W101" s="891"/>
      <c r="X101" s="891"/>
      <c r="Y101" s="891"/>
      <c r="Z101" s="891"/>
      <c r="AA101" s="891"/>
      <c r="AB101" s="891"/>
      <c r="AC101" s="891"/>
      <c r="AD101" s="891"/>
      <c r="AE101" s="950"/>
      <c r="AF101" s="951"/>
      <c r="AG101" s="28">
        <f t="shared" si="157"/>
        <v>0</v>
      </c>
      <c r="AH101" s="28"/>
      <c r="AI101" s="168"/>
      <c r="AJ101" s="168"/>
      <c r="AK101" s="168"/>
      <c r="AL101" s="169"/>
      <c r="AM101" s="169"/>
      <c r="AN101" s="169"/>
      <c r="AO101" s="168"/>
      <c r="AP101" s="168"/>
      <c r="AQ101" s="168"/>
      <c r="AR101" s="168"/>
      <c r="AS101" s="168"/>
      <c r="AT101" s="168"/>
      <c r="AU101" s="168"/>
      <c r="AV101" s="168"/>
      <c r="AW101" s="168"/>
      <c r="AX101" s="168"/>
      <c r="AY101" s="168"/>
      <c r="AZ101" s="168"/>
      <c r="BA101" s="170"/>
      <c r="BB101" s="168"/>
      <c r="BC101" s="168"/>
      <c r="BD101" s="170"/>
      <c r="BE101" s="170"/>
      <c r="BF101" s="94"/>
      <c r="BG101" s="94"/>
      <c r="BH101" s="168"/>
      <c r="BI101" s="168"/>
      <c r="BJ101" s="170"/>
      <c r="BK101" s="170"/>
      <c r="BL101" s="170"/>
      <c r="BM101" s="113"/>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100"/>
      <c r="CP101" s="100"/>
      <c r="CQ101" s="100"/>
      <c r="CR101" s="37"/>
      <c r="CS101" s="37"/>
      <c r="CT101" s="37"/>
      <c r="CU101" s="37"/>
      <c r="CV101" s="36"/>
      <c r="CW101" s="36"/>
      <c r="CX101" s="36"/>
      <c r="CY101" s="36"/>
      <c r="CZ101" s="36"/>
      <c r="DA101" s="36"/>
      <c r="DB101" s="36"/>
      <c r="DC101" s="36"/>
    </row>
    <row r="102" spans="1:107" s="64" customFormat="1" ht="15" customHeight="1" x14ac:dyDescent="0.25">
      <c r="A102" s="26"/>
      <c r="B102" s="1765" t="s">
        <v>283</v>
      </c>
      <c r="C102" s="1766" t="s">
        <v>287</v>
      </c>
      <c r="D102" s="1758" t="s">
        <v>25</v>
      </c>
      <c r="E102" s="1758"/>
      <c r="F102" s="1758"/>
      <c r="G102" s="1758"/>
      <c r="H102" s="1758"/>
      <c r="I102" s="1758"/>
      <c r="J102" s="1758"/>
      <c r="K102" s="1758"/>
      <c r="L102" s="1758"/>
      <c r="M102" s="1758"/>
      <c r="N102" s="1758"/>
      <c r="O102" s="1758"/>
      <c r="P102" s="1758"/>
      <c r="Q102" s="1758"/>
      <c r="R102" s="1758"/>
      <c r="S102" s="1758" t="s">
        <v>193</v>
      </c>
      <c r="T102" s="1758"/>
      <c r="U102" s="1758"/>
      <c r="V102" s="1758"/>
      <c r="W102" s="1758"/>
      <c r="X102" s="1758" t="s">
        <v>201</v>
      </c>
      <c r="Y102" s="1758"/>
      <c r="Z102" s="1758"/>
      <c r="AA102" s="1758"/>
      <c r="AB102" s="1758"/>
      <c r="AC102" s="1758"/>
      <c r="AD102" s="1758"/>
      <c r="AE102" s="1758" t="s">
        <v>638</v>
      </c>
      <c r="AF102" s="1767" t="s">
        <v>26</v>
      </c>
      <c r="AG102" s="28" t="e">
        <f t="shared" si="157"/>
        <v>#VALUE!</v>
      </c>
      <c r="AH102" s="28"/>
      <c r="AI102" s="168"/>
      <c r="AJ102" s="168"/>
      <c r="AK102" s="168"/>
      <c r="AL102" s="169"/>
      <c r="AM102" s="169"/>
      <c r="AN102" s="169"/>
      <c r="AO102" s="168"/>
      <c r="AP102" s="168"/>
      <c r="AQ102" s="168"/>
      <c r="AR102" s="168"/>
      <c r="AS102" s="168"/>
      <c r="AT102" s="168"/>
      <c r="AU102" s="168"/>
      <c r="AV102" s="168"/>
      <c r="AW102" s="168"/>
      <c r="AX102" s="168"/>
      <c r="AY102" s="168"/>
      <c r="AZ102" s="168"/>
      <c r="BA102" s="170"/>
      <c r="BB102" s="168"/>
      <c r="BC102" s="168"/>
      <c r="BD102" s="170"/>
      <c r="BE102" s="170"/>
      <c r="BF102" s="94"/>
      <c r="BG102" s="94"/>
      <c r="BH102" s="168"/>
      <c r="BI102" s="168"/>
      <c r="BJ102" s="170"/>
      <c r="BK102" s="170"/>
      <c r="BL102" s="170"/>
      <c r="BM102" s="113"/>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100"/>
      <c r="CP102" s="100"/>
      <c r="CQ102" s="100"/>
      <c r="CR102" s="37"/>
      <c r="CS102" s="37"/>
      <c r="CT102" s="37"/>
      <c r="CU102" s="37"/>
      <c r="CV102" s="36"/>
      <c r="CW102" s="36"/>
      <c r="CX102" s="36"/>
      <c r="CY102" s="36"/>
      <c r="CZ102" s="36"/>
      <c r="DA102" s="36"/>
      <c r="DB102" s="36"/>
      <c r="DC102" s="36"/>
    </row>
    <row r="103" spans="1:107" s="64" customFormat="1" ht="36" customHeight="1" x14ac:dyDescent="0.25">
      <c r="A103" s="26"/>
      <c r="B103" s="1765"/>
      <c r="C103" s="1766"/>
      <c r="D103" s="940" t="s">
        <v>27</v>
      </c>
      <c r="E103" s="940" t="s">
        <v>28</v>
      </c>
      <c r="F103" s="940" t="s">
        <v>29</v>
      </c>
      <c r="G103" s="940" t="s">
        <v>30</v>
      </c>
      <c r="H103" s="940" t="s">
        <v>31</v>
      </c>
      <c r="I103" s="940" t="s">
        <v>32</v>
      </c>
      <c r="J103" s="940" t="s">
        <v>33</v>
      </c>
      <c r="K103" s="940" t="s">
        <v>34</v>
      </c>
      <c r="L103" s="940" t="s">
        <v>35</v>
      </c>
      <c r="M103" s="940" t="s">
        <v>36</v>
      </c>
      <c r="N103" s="940" t="s">
        <v>37</v>
      </c>
      <c r="O103" s="940" t="s">
        <v>38</v>
      </c>
      <c r="P103" s="940" t="s">
        <v>39</v>
      </c>
      <c r="Q103" s="940" t="s">
        <v>40</v>
      </c>
      <c r="R103" s="940" t="s">
        <v>41</v>
      </c>
      <c r="S103" s="940" t="s">
        <v>42</v>
      </c>
      <c r="T103" s="940" t="s">
        <v>43</v>
      </c>
      <c r="U103" s="940" t="s">
        <v>44</v>
      </c>
      <c r="V103" s="940" t="s">
        <v>210</v>
      </c>
      <c r="W103" s="940" t="s">
        <v>193</v>
      </c>
      <c r="X103" s="940" t="s">
        <v>194</v>
      </c>
      <c r="Y103" s="940"/>
      <c r="Z103" s="940" t="s">
        <v>202</v>
      </c>
      <c r="AA103" s="940" t="s">
        <v>639</v>
      </c>
      <c r="AB103" s="940" t="s">
        <v>640</v>
      </c>
      <c r="AC103" s="940" t="s">
        <v>203</v>
      </c>
      <c r="AD103" s="940" t="s">
        <v>294</v>
      </c>
      <c r="AE103" s="1758"/>
      <c r="AF103" s="1767"/>
      <c r="AG103" s="28">
        <f t="shared" si="157"/>
        <v>0</v>
      </c>
      <c r="AH103" s="28"/>
      <c r="AI103" s="168"/>
      <c r="AJ103" s="168"/>
      <c r="AK103" s="168"/>
      <c r="AL103" s="169"/>
      <c r="AM103" s="169"/>
      <c r="AN103" s="169"/>
      <c r="AO103" s="168"/>
      <c r="AP103" s="168"/>
      <c r="AQ103" s="168"/>
      <c r="AR103" s="168"/>
      <c r="AS103" s="168"/>
      <c r="AT103" s="168"/>
      <c r="AU103" s="168"/>
      <c r="AV103" s="168"/>
      <c r="AW103" s="168"/>
      <c r="AX103" s="168"/>
      <c r="AY103" s="168"/>
      <c r="AZ103" s="168"/>
      <c r="BA103" s="170"/>
      <c r="BB103" s="168"/>
      <c r="BC103" s="168"/>
      <c r="BD103" s="170"/>
      <c r="BE103" s="170"/>
      <c r="BF103" s="94"/>
      <c r="BG103" s="94"/>
      <c r="BH103" s="168"/>
      <c r="BI103" s="168"/>
      <c r="BJ103" s="170"/>
      <c r="BK103" s="170"/>
      <c r="BL103" s="170"/>
      <c r="BM103" s="113"/>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100"/>
      <c r="CP103" s="100"/>
      <c r="CQ103" s="100"/>
      <c r="CR103" s="37"/>
      <c r="CS103" s="37"/>
      <c r="CT103" s="37"/>
      <c r="CU103" s="37"/>
      <c r="CV103" s="36"/>
      <c r="CW103" s="36"/>
      <c r="CX103" s="36"/>
      <c r="CY103" s="36"/>
      <c r="CZ103" s="36"/>
      <c r="DA103" s="36"/>
      <c r="DB103" s="36"/>
      <c r="DC103" s="36"/>
    </row>
    <row r="104" spans="1:107" s="27" customFormat="1" x14ac:dyDescent="0.25">
      <c r="A104" s="26"/>
      <c r="B104" s="938" t="s">
        <v>292</v>
      </c>
      <c r="C104" s="553"/>
      <c r="D104" s="941">
        <f>VLOOKUP($C104,$BI$488:$BO$518,2,FALSE)</f>
        <v>0</v>
      </c>
      <c r="E104" s="421"/>
      <c r="F104" s="421"/>
      <c r="G104" s="421"/>
      <c r="H104" s="421"/>
      <c r="I104" s="421"/>
      <c r="J104" s="421"/>
      <c r="K104" s="421"/>
      <c r="L104" s="421"/>
      <c r="M104" s="421"/>
      <c r="N104" s="421"/>
      <c r="O104" s="421"/>
      <c r="P104" s="421"/>
      <c r="Q104" s="665">
        <f>SUM(E104:P104)</f>
        <v>0</v>
      </c>
      <c r="R104" s="665">
        <f>COUNT(E104:P104)</f>
        <v>0</v>
      </c>
      <c r="S104" s="665">
        <f>IF(R104&gt;1,AVERAGE(E104:P104),0)</f>
        <v>0</v>
      </c>
      <c r="T104" s="665">
        <f>IF(R104&gt;1,STDEV(E104:P104),0)</f>
        <v>0</v>
      </c>
      <c r="U104" s="665">
        <f>IF(R104&gt;1,VLOOKUP($R104,$AH$76:$AI$79,2,FALSE),0)</f>
        <v>0</v>
      </c>
      <c r="V104" s="424"/>
      <c r="W104" s="666">
        <f>IF(R104&gt;1,1-((S104-((T104*U104)/(SQRT(R104))))/S104),VLOOKUP($C104,$BI$488:$BQ$518,8,FALSE))</f>
        <v>0</v>
      </c>
      <c r="X104" s="942">
        <f>VLOOKUP($C104,$BI$488:$BO$518,3,FALSE)</f>
        <v>0</v>
      </c>
      <c r="Y104" s="943">
        <f>VLOOKUP($C104,$BI$488:$BO$518,4,FALSE)</f>
        <v>0</v>
      </c>
      <c r="Z104" s="666">
        <f>IF($Q104&gt;0,VLOOKUP($C104,$BI$488:$BO$518,6,FALSE),0)</f>
        <v>0</v>
      </c>
      <c r="AA104" s="944">
        <f>($Q104*X104)/1000</f>
        <v>0</v>
      </c>
      <c r="AB104" s="944">
        <f>AA104*1</f>
        <v>0</v>
      </c>
      <c r="AC104" s="666">
        <f>IF(AA104&gt;0,SQRT(($W104*$W104)+(Z104*Z104)+($V104*$V104)),0)</f>
        <v>0</v>
      </c>
      <c r="AD104" s="944">
        <f>(AB104*AC104)^2</f>
        <v>0</v>
      </c>
      <c r="AE104" s="796">
        <f>AB104</f>
        <v>0</v>
      </c>
      <c r="AF104" s="761">
        <f>AC104</f>
        <v>0</v>
      </c>
      <c r="AG104" s="28">
        <f t="shared" si="157"/>
        <v>0</v>
      </c>
      <c r="AH104" s="28"/>
      <c r="AI104" s="168"/>
      <c r="AJ104" s="168"/>
      <c r="AK104" s="168"/>
      <c r="AL104" s="169"/>
      <c r="AM104" s="169"/>
      <c r="AN104" s="169"/>
      <c r="AO104" s="168"/>
      <c r="AP104" s="168"/>
      <c r="AQ104" s="168"/>
      <c r="AR104" s="168"/>
      <c r="AS104" s="168"/>
      <c r="AT104" s="168"/>
      <c r="AU104" s="168"/>
      <c r="AV104" s="168"/>
      <c r="AW104" s="168"/>
      <c r="AX104" s="168"/>
      <c r="AY104" s="168"/>
      <c r="AZ104" s="168"/>
      <c r="BA104" s="170"/>
      <c r="BB104" s="168"/>
      <c r="BC104" s="168"/>
      <c r="BD104" s="170"/>
      <c r="BE104" s="170"/>
      <c r="BF104" s="94"/>
      <c r="BG104" s="94"/>
      <c r="BH104" s="168"/>
      <c r="BI104" s="168"/>
      <c r="BJ104" s="170"/>
      <c r="BK104" s="170"/>
      <c r="BL104" s="170"/>
      <c r="BM104" s="113"/>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100"/>
      <c r="CP104" s="100"/>
      <c r="CQ104" s="100"/>
      <c r="CR104" s="37"/>
      <c r="CS104" s="37"/>
      <c r="CT104" s="37"/>
      <c r="CU104" s="37"/>
      <c r="CV104" s="36"/>
      <c r="CW104" s="36"/>
      <c r="CX104" s="36"/>
      <c r="CY104" s="36"/>
      <c r="CZ104" s="36"/>
      <c r="DA104" s="36"/>
      <c r="DB104" s="36"/>
      <c r="DC104" s="36"/>
    </row>
    <row r="105" spans="1:107" s="27" customFormat="1" ht="15.75" customHeight="1" thickBot="1" x14ac:dyDescent="0.3">
      <c r="A105" s="26"/>
      <c r="B105" s="1759" t="s">
        <v>63</v>
      </c>
      <c r="C105" s="1760"/>
      <c r="D105" s="1760"/>
      <c r="E105" s="1760"/>
      <c r="F105" s="1760"/>
      <c r="G105" s="1760"/>
      <c r="H105" s="1760"/>
      <c r="I105" s="1760"/>
      <c r="J105" s="1760"/>
      <c r="K105" s="1760"/>
      <c r="L105" s="1760"/>
      <c r="M105" s="1760"/>
      <c r="N105" s="1760"/>
      <c r="O105" s="1760"/>
      <c r="P105" s="1760"/>
      <c r="Q105" s="1760"/>
      <c r="R105" s="1760"/>
      <c r="S105" s="1760"/>
      <c r="T105" s="1760"/>
      <c r="U105" s="1760"/>
      <c r="V105" s="1760"/>
      <c r="W105" s="1760"/>
      <c r="X105" s="1760"/>
      <c r="Y105" s="1760"/>
      <c r="Z105" s="1760"/>
      <c r="AA105" s="1761"/>
      <c r="AB105" s="892">
        <f>SUM(AB102:AB104)</f>
        <v>0</v>
      </c>
      <c r="AC105" s="893">
        <f>IF(AB105&gt;0,SQRT(SUM(AD102:AD104))/AB105,0)</f>
        <v>0</v>
      </c>
      <c r="AD105" s="892">
        <f>(AB105*AC105)^2</f>
        <v>0</v>
      </c>
      <c r="AE105" s="952">
        <f>AE104</f>
        <v>0</v>
      </c>
      <c r="AF105" s="953">
        <f>AF104</f>
        <v>0</v>
      </c>
      <c r="AG105" s="28">
        <f t="shared" si="157"/>
        <v>0</v>
      </c>
      <c r="AH105" s="28"/>
      <c r="AI105" s="168"/>
      <c r="AJ105" s="168"/>
      <c r="AK105" s="168"/>
      <c r="AL105" s="169"/>
      <c r="AM105" s="169"/>
      <c r="AN105" s="169"/>
      <c r="AO105" s="168"/>
      <c r="AP105" s="168"/>
      <c r="AQ105" s="168"/>
      <c r="AR105" s="168"/>
      <c r="AS105" s="168"/>
      <c r="AT105" s="168"/>
      <c r="AU105" s="168"/>
      <c r="AV105" s="168"/>
      <c r="AW105" s="168"/>
      <c r="AX105" s="168"/>
      <c r="AY105" s="168"/>
      <c r="AZ105" s="168"/>
      <c r="BA105" s="170"/>
      <c r="BB105" s="168"/>
      <c r="BC105" s="168"/>
      <c r="BD105" s="170"/>
      <c r="BE105" s="170"/>
      <c r="BF105" s="94"/>
      <c r="BG105" s="94"/>
      <c r="BH105" s="168"/>
      <c r="BI105" s="168"/>
      <c r="BJ105" s="170"/>
      <c r="BK105" s="170"/>
      <c r="BL105" s="170"/>
      <c r="BM105" s="113"/>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100"/>
      <c r="CP105" s="100"/>
      <c r="CQ105" s="100"/>
      <c r="CR105" s="37"/>
      <c r="CS105" s="37"/>
      <c r="CT105" s="37"/>
      <c r="CU105" s="37"/>
      <c r="CV105" s="36"/>
      <c r="CW105" s="36"/>
      <c r="CX105" s="36"/>
      <c r="CY105" s="36"/>
      <c r="CZ105" s="36"/>
      <c r="DA105" s="36"/>
      <c r="DB105" s="36"/>
      <c r="DC105" s="36"/>
    </row>
    <row r="106" spans="1:107" s="27" customFormat="1" ht="15.75" customHeight="1" thickBot="1" x14ac:dyDescent="0.3">
      <c r="A106" s="26"/>
      <c r="B106" s="948"/>
      <c r="C106" s="949"/>
      <c r="D106" s="949"/>
      <c r="E106" s="949"/>
      <c r="F106" s="949"/>
      <c r="G106" s="949"/>
      <c r="H106" s="949"/>
      <c r="I106" s="949"/>
      <c r="J106" s="949"/>
      <c r="K106" s="949"/>
      <c r="L106" s="949"/>
      <c r="M106" s="949"/>
      <c r="N106" s="949"/>
      <c r="O106" s="949"/>
      <c r="P106" s="949"/>
      <c r="Q106" s="949"/>
      <c r="R106" s="949"/>
      <c r="S106" s="949"/>
      <c r="T106" s="949"/>
      <c r="U106" s="949"/>
      <c r="V106" s="949"/>
      <c r="W106" s="949"/>
      <c r="X106" s="949"/>
      <c r="Y106" s="949"/>
      <c r="Z106" s="949"/>
      <c r="AA106" s="949"/>
      <c r="AB106" s="949"/>
      <c r="AC106" s="949"/>
      <c r="AD106" s="949"/>
      <c r="AE106" s="937"/>
      <c r="AF106" s="939"/>
      <c r="AG106" s="28">
        <f t="shared" si="157"/>
        <v>0</v>
      </c>
      <c r="AH106" s="28"/>
      <c r="AI106" s="168"/>
      <c r="AJ106" s="168"/>
      <c r="AK106" s="168"/>
      <c r="AL106" s="169"/>
      <c r="AM106" s="169"/>
      <c r="AN106" s="169"/>
      <c r="AO106" s="168"/>
      <c r="AP106" s="168"/>
      <c r="AQ106" s="168"/>
      <c r="AR106" s="168"/>
      <c r="AS106" s="168"/>
      <c r="AT106" s="168"/>
      <c r="AU106" s="168"/>
      <c r="AV106" s="168"/>
      <c r="AW106" s="168"/>
      <c r="AX106" s="168"/>
      <c r="AY106" s="168"/>
      <c r="AZ106" s="168"/>
      <c r="BA106" s="170"/>
      <c r="BB106" s="168"/>
      <c r="BC106" s="168"/>
      <c r="BD106" s="170"/>
      <c r="BE106" s="170"/>
      <c r="BF106" s="94"/>
      <c r="BG106" s="94"/>
      <c r="BH106" s="168"/>
      <c r="BI106" s="168"/>
      <c r="BJ106" s="170"/>
      <c r="BK106" s="170"/>
      <c r="BL106" s="170"/>
      <c r="BM106" s="113"/>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100"/>
      <c r="CP106" s="100"/>
      <c r="CQ106" s="100"/>
      <c r="CR106" s="37"/>
      <c r="CS106" s="37"/>
      <c r="CT106" s="37"/>
      <c r="CU106" s="37"/>
      <c r="CV106" s="36"/>
      <c r="CW106" s="36"/>
      <c r="CX106" s="36"/>
      <c r="CY106" s="36"/>
      <c r="CZ106" s="36"/>
      <c r="DA106" s="36"/>
      <c r="DB106" s="36"/>
      <c r="DC106" s="36"/>
    </row>
    <row r="107" spans="1:107" s="82" customFormat="1" ht="32.25" thickBot="1" x14ac:dyDescent="0.3">
      <c r="A107" s="26"/>
      <c r="B107" s="1762" t="s">
        <v>303</v>
      </c>
      <c r="C107" s="1763"/>
      <c r="D107" s="1763"/>
      <c r="E107" s="1763"/>
      <c r="F107" s="1763"/>
      <c r="G107" s="1763"/>
      <c r="H107" s="1763"/>
      <c r="I107" s="1763"/>
      <c r="J107" s="1763"/>
      <c r="K107" s="1763"/>
      <c r="L107" s="1763"/>
      <c r="M107" s="1763"/>
      <c r="N107" s="1763"/>
      <c r="O107" s="1763"/>
      <c r="P107" s="1763"/>
      <c r="Q107" s="1763"/>
      <c r="R107" s="1763"/>
      <c r="S107" s="1763"/>
      <c r="T107" s="1763"/>
      <c r="U107" s="1763"/>
      <c r="V107" s="1763"/>
      <c r="W107" s="1763"/>
      <c r="X107" s="1763"/>
      <c r="Y107" s="1763"/>
      <c r="Z107" s="1763"/>
      <c r="AA107" s="1764"/>
      <c r="AB107" s="945"/>
      <c r="AC107" s="946">
        <f>IF(AB107&gt;0,(SQRT(#REF!+AD99+AD105))/AB107,0)</f>
        <v>0</v>
      </c>
      <c r="AD107" s="945">
        <f>(AB107*AC107)^2</f>
        <v>0</v>
      </c>
      <c r="AE107" s="945">
        <f>AE99+AE105</f>
        <v>0</v>
      </c>
      <c r="AF107" s="947">
        <f>IF(AE107&gt;0,SQRT(SUM(AG99,AG106))/AE107,0)</f>
        <v>0</v>
      </c>
      <c r="AG107" s="28">
        <f t="shared" si="157"/>
        <v>0</v>
      </c>
      <c r="AH107" s="28"/>
      <c r="AI107" s="175"/>
      <c r="AJ107" s="175"/>
      <c r="AK107" s="175"/>
      <c r="AL107" s="176"/>
      <c r="AM107" s="176"/>
      <c r="AN107" s="176"/>
      <c r="AO107" s="175"/>
      <c r="AP107" s="175"/>
      <c r="AQ107" s="175"/>
      <c r="AR107" s="175"/>
      <c r="AS107" s="175"/>
      <c r="AT107" s="175"/>
      <c r="AU107" s="175"/>
      <c r="AV107" s="175"/>
      <c r="AW107" s="175"/>
      <c r="AX107" s="175"/>
      <c r="AY107" s="175"/>
      <c r="AZ107" s="175"/>
      <c r="BA107" s="177"/>
      <c r="BB107" s="175"/>
      <c r="BC107" s="175"/>
      <c r="BD107" s="177"/>
      <c r="BE107" s="177"/>
      <c r="BF107" s="94"/>
      <c r="BG107" s="94"/>
      <c r="BH107" s="175"/>
      <c r="BI107" s="175"/>
      <c r="BJ107" s="177"/>
      <c r="BK107" s="177"/>
      <c r="BL107" s="177"/>
      <c r="BM107" s="114"/>
      <c r="BN107" s="81"/>
      <c r="BO107" s="81"/>
      <c r="BP107" s="81"/>
      <c r="BQ107" s="81"/>
      <c r="BR107" s="81"/>
      <c r="BS107" s="81"/>
      <c r="BT107" s="81"/>
      <c r="BU107" s="81"/>
      <c r="BV107" s="81"/>
      <c r="BW107" s="81"/>
      <c r="BX107" s="81"/>
      <c r="BY107" s="81"/>
      <c r="BZ107" s="81"/>
      <c r="CA107" s="81"/>
      <c r="CB107" s="81"/>
      <c r="CC107" s="81"/>
      <c r="CD107" s="81"/>
      <c r="CE107" s="81"/>
      <c r="CF107" s="81"/>
      <c r="CG107" s="81"/>
      <c r="CH107" s="81"/>
      <c r="CI107" s="81"/>
      <c r="CJ107" s="81"/>
      <c r="CK107" s="81"/>
      <c r="CL107" s="81"/>
      <c r="CM107" s="81"/>
      <c r="CN107" s="81"/>
      <c r="CO107" s="100"/>
      <c r="CP107" s="100"/>
      <c r="CQ107" s="100"/>
      <c r="CR107" s="81"/>
      <c r="CS107" s="81"/>
      <c r="CT107" s="81"/>
      <c r="CU107" s="81"/>
      <c r="CV107" s="80"/>
      <c r="CW107" s="80"/>
      <c r="CX107" s="80"/>
      <c r="CY107" s="80"/>
      <c r="CZ107" s="80"/>
      <c r="DA107" s="80"/>
      <c r="DB107" s="80"/>
      <c r="DC107" s="80"/>
    </row>
    <row r="108" spans="1:107" s="26" customFormat="1" ht="21" x14ac:dyDescent="0.25">
      <c r="B108" s="136"/>
      <c r="C108" s="136"/>
      <c r="D108" s="136"/>
      <c r="E108" s="137"/>
      <c r="F108" s="137"/>
      <c r="G108" s="137"/>
      <c r="H108" s="137"/>
      <c r="I108" s="137"/>
      <c r="J108" s="137"/>
      <c r="K108" s="137"/>
      <c r="L108" s="137"/>
      <c r="M108" s="137"/>
      <c r="N108" s="137"/>
      <c r="O108" s="137"/>
      <c r="P108" s="137"/>
      <c r="Q108" s="137"/>
      <c r="R108" s="138"/>
      <c r="S108" s="137"/>
      <c r="T108" s="137"/>
      <c r="U108" s="137"/>
      <c r="V108" s="139"/>
      <c r="W108" s="139"/>
      <c r="X108" s="136"/>
      <c r="Y108" s="136"/>
      <c r="Z108" s="139"/>
      <c r="AA108" s="140"/>
      <c r="AB108" s="140"/>
      <c r="AC108" s="139"/>
      <c r="AD108" s="140"/>
      <c r="AG108" s="28">
        <f>(BF108*BG108)^2</f>
        <v>0</v>
      </c>
      <c r="AH108" s="164"/>
      <c r="AI108" s="165"/>
      <c r="AJ108" s="165"/>
      <c r="AK108" s="165"/>
      <c r="AL108" s="166"/>
      <c r="AM108" s="166"/>
      <c r="AN108" s="166"/>
      <c r="AO108" s="165"/>
      <c r="AP108" s="165"/>
      <c r="AQ108" s="165"/>
      <c r="AR108" s="165"/>
      <c r="AS108" s="165"/>
      <c r="AT108" s="165"/>
      <c r="AU108" s="165"/>
      <c r="AV108" s="165"/>
      <c r="AW108" s="165"/>
      <c r="AX108" s="165"/>
      <c r="AY108" s="165"/>
      <c r="AZ108" s="165"/>
      <c r="BA108" s="167"/>
      <c r="BB108" s="165"/>
      <c r="BC108" s="165"/>
      <c r="BD108" s="167"/>
      <c r="BE108" s="167"/>
      <c r="BF108" s="94"/>
      <c r="BG108" s="94"/>
      <c r="BH108" s="165"/>
      <c r="BI108" s="165"/>
      <c r="BJ108" s="167"/>
      <c r="BK108" s="167"/>
      <c r="BL108" s="167"/>
      <c r="BM108" s="112"/>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100"/>
      <c r="CP108" s="100"/>
      <c r="CQ108" s="100"/>
      <c r="CR108" s="28"/>
      <c r="CS108" s="28"/>
      <c r="CT108" s="28"/>
      <c r="CU108" s="28"/>
      <c r="CV108" s="29"/>
      <c r="CW108" s="29"/>
      <c r="CX108" s="29"/>
      <c r="CY108" s="29"/>
      <c r="CZ108" s="29"/>
      <c r="DA108" s="29"/>
      <c r="DB108" s="29"/>
      <c r="DC108" s="29"/>
    </row>
    <row r="109" spans="1:107" s="98" customFormat="1" x14ac:dyDescent="0.25">
      <c r="A109" s="97"/>
      <c r="V109" s="93"/>
      <c r="AA109" s="94"/>
      <c r="AB109" s="94"/>
      <c r="AD109" s="94"/>
      <c r="AE109" s="95"/>
      <c r="AH109" s="96"/>
      <c r="AI109" s="96"/>
      <c r="AK109" s="94"/>
      <c r="AR109" s="94"/>
      <c r="AV109" s="94"/>
      <c r="AX109" s="94"/>
      <c r="BB109" s="94"/>
      <c r="BC109" s="94"/>
      <c r="BE109" s="94"/>
      <c r="BF109" s="94"/>
      <c r="BG109" s="94"/>
      <c r="BH109" s="99"/>
      <c r="BI109" s="102"/>
      <c r="BJ109" s="178"/>
      <c r="BK109" s="178"/>
      <c r="BL109" s="178"/>
      <c r="BM109" s="169"/>
      <c r="BN109" s="169"/>
      <c r="BO109" s="169"/>
      <c r="BP109" s="178"/>
      <c r="BQ109" s="178"/>
      <c r="BR109" s="178"/>
      <c r="BS109" s="178"/>
      <c r="BT109" s="178"/>
      <c r="BU109" s="178"/>
      <c r="BV109" s="178"/>
      <c r="BW109" s="178"/>
      <c r="BX109" s="178"/>
      <c r="BY109" s="178"/>
      <c r="BZ109" s="178"/>
      <c r="CA109" s="178"/>
      <c r="CB109" s="180"/>
      <c r="CC109" s="178"/>
      <c r="CD109" s="178"/>
      <c r="CE109" s="180"/>
      <c r="CF109" s="180"/>
      <c r="CG109" s="180"/>
      <c r="CH109" s="180"/>
      <c r="CI109" s="178"/>
      <c r="CJ109" s="178"/>
      <c r="CK109" s="180"/>
      <c r="CL109" s="180"/>
      <c r="CM109" s="180"/>
      <c r="CN109" s="116"/>
      <c r="CO109" s="224">
        <v>33</v>
      </c>
      <c r="CP109" s="224">
        <v>34</v>
      </c>
      <c r="CQ109" s="224">
        <v>35</v>
      </c>
      <c r="CR109" s="101"/>
      <c r="CS109" s="101"/>
      <c r="CT109" s="101"/>
      <c r="CU109" s="101"/>
      <c r="CV109" s="101"/>
      <c r="CW109" s="101"/>
      <c r="CX109" s="101"/>
      <c r="CY109" s="101"/>
      <c r="CZ109" s="101"/>
      <c r="DA109" s="101"/>
      <c r="DB109" s="101"/>
      <c r="DC109" s="101"/>
    </row>
    <row r="110" spans="1:107" s="98" customFormat="1" x14ac:dyDescent="0.25">
      <c r="A110" s="97"/>
      <c r="V110" s="93"/>
      <c r="AA110" s="94"/>
      <c r="AB110" s="94"/>
      <c r="AD110" s="94"/>
      <c r="AE110" s="95"/>
      <c r="AH110" s="96"/>
      <c r="AI110" s="96"/>
      <c r="AK110" s="94"/>
      <c r="AR110" s="94"/>
      <c r="AV110" s="94"/>
      <c r="AX110" s="94"/>
      <c r="BB110" s="94"/>
      <c r="BC110" s="94"/>
      <c r="BE110" s="94"/>
      <c r="BF110" s="94"/>
      <c r="BG110" s="94"/>
      <c r="BH110" s="99"/>
      <c r="BI110" s="102"/>
      <c r="BJ110" s="178"/>
      <c r="BK110" s="178"/>
      <c r="BL110" s="178"/>
      <c r="BM110" s="169"/>
      <c r="BN110" s="169"/>
      <c r="BO110" s="169"/>
      <c r="BP110" s="178"/>
      <c r="BQ110" s="178"/>
      <c r="BR110" s="178"/>
      <c r="BS110" s="178"/>
      <c r="BT110" s="178"/>
      <c r="BU110" s="178"/>
      <c r="BV110" s="178"/>
      <c r="BW110" s="178"/>
      <c r="BX110" s="178"/>
      <c r="BY110" s="178"/>
      <c r="BZ110" s="178"/>
      <c r="CA110" s="178"/>
      <c r="CB110" s="180"/>
      <c r="CC110" s="178"/>
      <c r="CD110" s="178"/>
      <c r="CE110" s="180"/>
      <c r="CF110" s="180"/>
      <c r="CG110" s="180"/>
      <c r="CH110" s="180"/>
      <c r="CI110" s="178"/>
      <c r="CJ110" s="178"/>
      <c r="CK110" s="180"/>
      <c r="CL110" s="180"/>
      <c r="CM110" s="180"/>
      <c r="CN110" s="116"/>
      <c r="CO110" s="100" t="s">
        <v>295</v>
      </c>
      <c r="CP110" s="100"/>
      <c r="CQ110" s="100"/>
      <c r="CR110" s="101"/>
      <c r="CS110" s="101"/>
      <c r="CT110" s="101"/>
      <c r="CU110" s="101"/>
      <c r="CV110" s="101"/>
      <c r="CW110" s="101"/>
      <c r="CX110" s="101"/>
      <c r="CY110" s="101"/>
      <c r="CZ110" s="101"/>
      <c r="DA110" s="101"/>
      <c r="DB110" s="101"/>
      <c r="DC110" s="101"/>
    </row>
    <row r="111" spans="1:107" s="98" customFormat="1" x14ac:dyDescent="0.25">
      <c r="A111" s="97"/>
      <c r="V111" s="93"/>
      <c r="AA111" s="94"/>
      <c r="AB111" s="94"/>
      <c r="AD111" s="94"/>
      <c r="AE111" s="95"/>
      <c r="AH111" s="96"/>
      <c r="AI111" s="96"/>
      <c r="AK111" s="94"/>
      <c r="AR111" s="94"/>
      <c r="AV111" s="94"/>
      <c r="AX111" s="94"/>
      <c r="BB111" s="94"/>
      <c r="BC111" s="94"/>
      <c r="BE111" s="94"/>
      <c r="BF111" s="94"/>
      <c r="BG111" s="94"/>
      <c r="BH111" s="99"/>
      <c r="BI111" s="102"/>
      <c r="BJ111" s="178"/>
      <c r="BK111" s="178"/>
      <c r="BL111" s="178"/>
      <c r="BM111" s="169"/>
      <c r="BN111" s="169"/>
      <c r="BO111" s="169"/>
      <c r="BP111" s="178"/>
      <c r="BQ111" s="178"/>
      <c r="BR111" s="178"/>
      <c r="BS111" s="178"/>
      <c r="BT111" s="178"/>
      <c r="BU111" s="178"/>
      <c r="BV111" s="178"/>
      <c r="BW111" s="178"/>
      <c r="BX111" s="178"/>
      <c r="BY111" s="178"/>
      <c r="BZ111" s="178"/>
      <c r="CA111" s="178"/>
      <c r="CB111" s="180"/>
      <c r="CC111" s="178"/>
      <c r="CD111" s="178"/>
      <c r="CE111" s="180"/>
      <c r="CF111" s="180"/>
      <c r="CG111" s="180"/>
      <c r="CH111" s="180"/>
      <c r="CI111" s="178"/>
      <c r="CJ111" s="178"/>
      <c r="CK111" s="180"/>
      <c r="CL111" s="180"/>
      <c r="CM111" s="180"/>
      <c r="CN111" s="116"/>
      <c r="CO111" s="100" t="s">
        <v>296</v>
      </c>
      <c r="CP111" s="100" t="s">
        <v>296</v>
      </c>
      <c r="CQ111" s="100" t="s">
        <v>297</v>
      </c>
      <c r="CR111" s="101"/>
      <c r="CS111" s="101"/>
      <c r="CT111" s="101"/>
      <c r="CU111" s="101"/>
      <c r="CV111" s="101"/>
      <c r="CW111" s="101"/>
      <c r="CX111" s="101"/>
      <c r="CY111" s="101"/>
      <c r="CZ111" s="101"/>
      <c r="DA111" s="101"/>
      <c r="DB111" s="101"/>
      <c r="DC111" s="101"/>
    </row>
    <row r="112" spans="1:107" s="98" customFormat="1" x14ac:dyDescent="0.25">
      <c r="A112" s="97"/>
      <c r="V112" s="93"/>
      <c r="AA112" s="94"/>
      <c r="AB112" s="94"/>
      <c r="AD112" s="94"/>
      <c r="AE112" s="95"/>
      <c r="AH112" s="96"/>
      <c r="AI112" s="96"/>
      <c r="AK112" s="94"/>
      <c r="AR112" s="94"/>
      <c r="AV112" s="94"/>
      <c r="AX112" s="94"/>
      <c r="BB112" s="94"/>
      <c r="BC112" s="94"/>
      <c r="BE112" s="94"/>
      <c r="BH112" s="99"/>
      <c r="BI112" s="102"/>
      <c r="BJ112" s="178"/>
      <c r="BK112" s="178"/>
      <c r="BL112" s="178"/>
      <c r="BM112" s="169"/>
      <c r="BN112" s="169"/>
      <c r="BO112" s="169"/>
      <c r="BP112" s="178"/>
      <c r="BQ112" s="178"/>
      <c r="BR112" s="178"/>
      <c r="BS112" s="178"/>
      <c r="BT112" s="178"/>
      <c r="BU112" s="178"/>
      <c r="BV112" s="178"/>
      <c r="BW112" s="178"/>
      <c r="BX112" s="178"/>
      <c r="BY112" s="178"/>
      <c r="BZ112" s="178"/>
      <c r="CA112" s="178"/>
      <c r="CB112" s="180"/>
      <c r="CC112" s="178"/>
      <c r="CD112" s="178"/>
      <c r="CE112" s="180"/>
      <c r="CF112" s="180"/>
      <c r="CG112" s="180"/>
      <c r="CH112" s="180"/>
      <c r="CI112" s="178"/>
      <c r="CJ112" s="178"/>
      <c r="CK112" s="180"/>
      <c r="CL112" s="180"/>
      <c r="CM112" s="180"/>
      <c r="CN112" s="116"/>
      <c r="CO112" s="100">
        <v>0.15</v>
      </c>
      <c r="CP112" s="100">
        <f>(CO112+CQ112)/2</f>
        <v>0.17499999999999999</v>
      </c>
      <c r="CQ112" s="100">
        <v>0.2</v>
      </c>
      <c r="CR112" s="101"/>
      <c r="CS112" s="101"/>
      <c r="CT112" s="101"/>
      <c r="CU112" s="101"/>
      <c r="CV112" s="101"/>
      <c r="CW112" s="101"/>
      <c r="CX112" s="101"/>
      <c r="CY112" s="101"/>
      <c r="CZ112" s="101"/>
      <c r="DA112" s="101"/>
      <c r="DB112" s="101"/>
      <c r="DC112" s="101"/>
    </row>
    <row r="113" spans="1:134" x14ac:dyDescent="0.25">
      <c r="CO113" s="100">
        <v>0.15</v>
      </c>
      <c r="CP113" s="100">
        <f t="shared" ref="CP113:CP136" si="158">(CO113+CQ113)/2</f>
        <v>0.17499999999999999</v>
      </c>
      <c r="CQ113" s="100">
        <v>0.2</v>
      </c>
    </row>
    <row r="114" spans="1:134" x14ac:dyDescent="0.25">
      <c r="CO114" s="100">
        <v>0.15</v>
      </c>
      <c r="CP114" s="100">
        <f t="shared" si="158"/>
        <v>0.17499999999999999</v>
      </c>
      <c r="CQ114" s="100">
        <v>0.2</v>
      </c>
    </row>
    <row r="115" spans="1:134" x14ac:dyDescent="0.25">
      <c r="CO115" s="100">
        <v>0.15</v>
      </c>
      <c r="CP115" s="100">
        <f t="shared" si="158"/>
        <v>0.17499999999999999</v>
      </c>
      <c r="CQ115" s="100">
        <v>0.2</v>
      </c>
    </row>
    <row r="116" spans="1:134" x14ac:dyDescent="0.25">
      <c r="CO116" s="100">
        <v>0.15</v>
      </c>
      <c r="CP116" s="100">
        <f t="shared" si="158"/>
        <v>0.17499999999999999</v>
      </c>
      <c r="CQ116" s="100">
        <v>0.2</v>
      </c>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8"/>
      <c r="DV116" s="98"/>
      <c r="DW116" s="98"/>
      <c r="DX116" s="98"/>
      <c r="DY116" s="98"/>
      <c r="DZ116" s="98"/>
      <c r="EA116" s="98"/>
      <c r="EB116" s="98"/>
      <c r="EC116" s="98"/>
      <c r="ED116" s="98"/>
    </row>
    <row r="117" spans="1:134" x14ac:dyDescent="0.25">
      <c r="CO117" s="100">
        <v>0.15</v>
      </c>
      <c r="CP117" s="100">
        <f t="shared" si="158"/>
        <v>0.17499999999999999</v>
      </c>
      <c r="CQ117" s="100">
        <v>0.2</v>
      </c>
      <c r="CR117" s="98"/>
      <c r="CS117" s="98"/>
      <c r="CT117" s="98"/>
      <c r="CU117" s="98"/>
      <c r="CV117" s="98"/>
      <c r="CW117" s="98"/>
      <c r="CX117" s="98"/>
      <c r="CY117" s="98"/>
      <c r="CZ117" s="98"/>
      <c r="DA117" s="98"/>
      <c r="DB117" s="98"/>
      <c r="DC117" s="98"/>
      <c r="DD117" s="98"/>
      <c r="DE117" s="98"/>
      <c r="DF117" s="98"/>
      <c r="DG117" s="98"/>
      <c r="DH117" s="98"/>
      <c r="DI117" s="98"/>
      <c r="DJ117" s="98"/>
      <c r="DK117" s="98"/>
      <c r="DL117" s="98"/>
      <c r="DM117" s="98"/>
      <c r="DN117" s="98"/>
      <c r="DO117" s="98"/>
      <c r="DP117" s="98"/>
      <c r="DQ117" s="98"/>
      <c r="DR117" s="98"/>
      <c r="DS117" s="98"/>
      <c r="DT117" s="98"/>
      <c r="DU117" s="98"/>
      <c r="DV117" s="98"/>
      <c r="DW117" s="98"/>
      <c r="DX117" s="98"/>
      <c r="DY117" s="98"/>
      <c r="DZ117" s="98"/>
      <c r="EA117" s="98"/>
      <c r="EB117" s="98"/>
      <c r="EC117" s="98"/>
      <c r="ED117" s="98"/>
    </row>
    <row r="118" spans="1:134" x14ac:dyDescent="0.25">
      <c r="CO118" s="100">
        <v>0.15</v>
      </c>
      <c r="CP118" s="100">
        <f t="shared" si="158"/>
        <v>0.17499999999999999</v>
      </c>
      <c r="CQ118" s="100">
        <v>0.2</v>
      </c>
      <c r="CR118" s="98"/>
      <c r="CS118" s="98"/>
      <c r="CT118" s="98"/>
      <c r="CU118" s="98"/>
      <c r="CV118" s="98"/>
      <c r="CW118" s="98"/>
      <c r="CX118" s="98"/>
      <c r="CY118" s="98"/>
      <c r="CZ118" s="98"/>
      <c r="DA118" s="98"/>
      <c r="DB118" s="98"/>
      <c r="DC118" s="98"/>
      <c r="DD118" s="98"/>
      <c r="DE118" s="98"/>
      <c r="DF118" s="98"/>
      <c r="DG118" s="98"/>
      <c r="DH118" s="98"/>
      <c r="DI118" s="98"/>
      <c r="DJ118" s="98"/>
      <c r="DK118" s="98"/>
      <c r="DL118" s="98"/>
      <c r="DM118" s="98"/>
      <c r="DN118" s="98"/>
      <c r="DO118" s="98"/>
      <c r="DP118" s="98"/>
      <c r="DQ118" s="98"/>
      <c r="DR118" s="98"/>
      <c r="DS118" s="98"/>
      <c r="DT118" s="98"/>
      <c r="DU118" s="98"/>
      <c r="DV118" s="98"/>
      <c r="DW118" s="98"/>
      <c r="DX118" s="98"/>
      <c r="DY118" s="98"/>
      <c r="DZ118" s="98"/>
      <c r="EA118" s="98"/>
      <c r="EB118" s="98"/>
      <c r="EC118" s="98"/>
      <c r="ED118" s="98"/>
    </row>
    <row r="119" spans="1:134" s="101" customFormat="1" x14ac:dyDescent="0.25">
      <c r="A119" s="99"/>
      <c r="V119" s="103"/>
      <c r="AA119" s="104"/>
      <c r="AB119" s="104"/>
      <c r="AD119" s="104"/>
      <c r="AE119" s="105"/>
      <c r="AH119" s="106"/>
      <c r="AI119" s="106"/>
      <c r="AK119" s="104"/>
      <c r="AR119" s="104"/>
      <c r="AV119" s="104"/>
      <c r="AX119" s="104"/>
      <c r="BB119" s="104"/>
      <c r="BC119" s="104"/>
      <c r="BE119" s="104"/>
      <c r="BH119" s="99"/>
      <c r="BI119" s="102"/>
      <c r="BJ119" s="178"/>
      <c r="BK119" s="178"/>
      <c r="BL119" s="178"/>
      <c r="BM119" s="169"/>
      <c r="BN119" s="169"/>
      <c r="BO119" s="169"/>
      <c r="BP119" s="179"/>
      <c r="BQ119" s="179"/>
      <c r="BR119" s="179"/>
      <c r="BS119" s="179"/>
      <c r="BT119" s="179"/>
      <c r="BU119" s="179"/>
      <c r="BV119" s="178"/>
      <c r="BW119" s="179"/>
      <c r="BX119" s="179"/>
      <c r="BY119" s="178"/>
      <c r="BZ119" s="178"/>
      <c r="CA119" s="178"/>
      <c r="CB119" s="180"/>
      <c r="CC119" s="179"/>
      <c r="CD119" s="179"/>
      <c r="CE119" s="180"/>
      <c r="CF119" s="180"/>
      <c r="CG119" s="180"/>
      <c r="CH119" s="180"/>
      <c r="CI119" s="179"/>
      <c r="CJ119" s="179"/>
      <c r="CK119" s="180"/>
      <c r="CL119" s="180"/>
      <c r="CM119" s="180"/>
      <c r="CN119" s="116"/>
      <c r="CO119" s="100">
        <v>0.15</v>
      </c>
      <c r="CP119" s="100">
        <f t="shared" si="158"/>
        <v>0.17499999999999999</v>
      </c>
      <c r="CQ119" s="100">
        <v>0.2</v>
      </c>
    </row>
    <row r="120" spans="1:134" s="101" customFormat="1" ht="15.75" thickBot="1" x14ac:dyDescent="0.3">
      <c r="A120" s="99"/>
      <c r="V120" s="103"/>
      <c r="AA120" s="104"/>
      <c r="AB120" s="104"/>
      <c r="AD120" s="104"/>
      <c r="AE120" s="105"/>
      <c r="AH120" s="106"/>
      <c r="AI120" s="106"/>
      <c r="AK120" s="104"/>
      <c r="AR120" s="104"/>
      <c r="AV120" s="104"/>
      <c r="AX120" s="104"/>
      <c r="BB120" s="104"/>
      <c r="BC120" s="104"/>
      <c r="BE120" s="104"/>
      <c r="BH120" s="99"/>
      <c r="BI120" s="102">
        <v>1</v>
      </c>
      <c r="BJ120" s="178">
        <v>2</v>
      </c>
      <c r="BK120" s="178">
        <v>3</v>
      </c>
      <c r="BL120" s="178">
        <v>4</v>
      </c>
      <c r="BM120" s="178">
        <v>5</v>
      </c>
      <c r="BN120" s="178">
        <v>6</v>
      </c>
      <c r="BO120" s="178">
        <v>7</v>
      </c>
      <c r="BP120" s="178">
        <v>8</v>
      </c>
      <c r="BQ120" s="178">
        <v>9</v>
      </c>
      <c r="BR120" s="178">
        <v>10</v>
      </c>
      <c r="BS120" s="178">
        <v>11</v>
      </c>
      <c r="BT120" s="178">
        <v>12</v>
      </c>
      <c r="BU120" s="178">
        <v>13</v>
      </c>
      <c r="BV120" s="178">
        <v>14</v>
      </c>
      <c r="BW120" s="178">
        <v>15</v>
      </c>
      <c r="BX120" s="178">
        <v>16</v>
      </c>
      <c r="BY120" s="178">
        <v>17</v>
      </c>
      <c r="BZ120" s="178">
        <v>18</v>
      </c>
      <c r="CA120" s="178">
        <v>19</v>
      </c>
      <c r="CB120" s="178">
        <v>20</v>
      </c>
      <c r="CC120" s="178">
        <v>21</v>
      </c>
      <c r="CD120" s="178">
        <v>22</v>
      </c>
      <c r="CE120" s="178">
        <v>23</v>
      </c>
      <c r="CF120" s="178">
        <v>24</v>
      </c>
      <c r="CG120" s="178">
        <v>25</v>
      </c>
      <c r="CH120" s="178">
        <v>26</v>
      </c>
      <c r="CI120" s="178">
        <v>27</v>
      </c>
      <c r="CJ120" s="178">
        <v>28</v>
      </c>
      <c r="CK120" s="178">
        <v>29</v>
      </c>
      <c r="CL120" s="178">
        <v>30</v>
      </c>
      <c r="CM120" s="178">
        <v>31</v>
      </c>
      <c r="CN120" s="115">
        <v>32</v>
      </c>
      <c r="CO120" s="100">
        <v>0.15</v>
      </c>
      <c r="CP120" s="100">
        <f t="shared" si="158"/>
        <v>0.17499999999999999</v>
      </c>
      <c r="CQ120" s="100">
        <v>0.2</v>
      </c>
    </row>
    <row r="121" spans="1:134" s="101" customFormat="1" ht="26.25" customHeight="1" thickBot="1" x14ac:dyDescent="0.3">
      <c r="A121" s="99"/>
      <c r="V121" s="103"/>
      <c r="AA121" s="104"/>
      <c r="AB121" s="104"/>
      <c r="AD121" s="104"/>
      <c r="AE121" s="105"/>
      <c r="AH121" s="106"/>
      <c r="AI121" s="106"/>
      <c r="AK121" s="104"/>
      <c r="AR121" s="104"/>
      <c r="AV121" s="104"/>
      <c r="AX121" s="104"/>
      <c r="BB121" s="104"/>
      <c r="BC121" s="104"/>
      <c r="BE121" s="104"/>
      <c r="BF121" s="107"/>
      <c r="BG121" s="108"/>
      <c r="BH121" s="108"/>
      <c r="BI121" s="182"/>
      <c r="BJ121" s="251"/>
      <c r="BK121" s="1606" t="s">
        <v>607</v>
      </c>
      <c r="BL121" s="251"/>
      <c r="BM121" s="1606" t="s">
        <v>233</v>
      </c>
      <c r="BN121" s="1606" t="s">
        <v>233</v>
      </c>
      <c r="BO121" s="1606" t="s">
        <v>240</v>
      </c>
      <c r="BP121" s="1608" t="s">
        <v>172</v>
      </c>
      <c r="BQ121" s="1609"/>
      <c r="BR121" s="1609"/>
      <c r="BS121" s="1609"/>
      <c r="BT121" s="1609"/>
      <c r="BU121" s="1609"/>
      <c r="BV121" s="1609"/>
      <c r="BW121" s="1609"/>
      <c r="BX121" s="1609"/>
      <c r="BY121" s="1609"/>
      <c r="BZ121" s="1609"/>
      <c r="CA121" s="1610"/>
      <c r="CB121" s="1608" t="s">
        <v>173</v>
      </c>
      <c r="CC121" s="1609"/>
      <c r="CD121" s="1609"/>
      <c r="CE121" s="1609"/>
      <c r="CF121" s="1609"/>
      <c r="CG121" s="1609"/>
      <c r="CH121" s="1609"/>
      <c r="CI121" s="1609"/>
      <c r="CJ121" s="1609"/>
      <c r="CK121" s="1609"/>
      <c r="CL121" s="1609"/>
      <c r="CM121" s="1610"/>
      <c r="CN121" s="116"/>
      <c r="CO121" s="100">
        <v>0.15</v>
      </c>
      <c r="CP121" s="100">
        <f t="shared" si="158"/>
        <v>0.17499999999999999</v>
      </c>
      <c r="CQ121" s="100">
        <v>0.2</v>
      </c>
    </row>
    <row r="122" spans="1:134" s="101" customFormat="1" ht="58.5" customHeight="1" thickBot="1" x14ac:dyDescent="0.3">
      <c r="A122" s="99"/>
      <c r="V122" s="103"/>
      <c r="X122" s="107"/>
      <c r="Y122" s="107"/>
      <c r="Z122" s="107"/>
      <c r="AA122" s="110"/>
      <c r="AB122" s="110"/>
      <c r="AC122" s="107"/>
      <c r="AD122" s="110"/>
      <c r="AE122" s="109"/>
      <c r="AF122" s="107"/>
      <c r="AG122" s="107"/>
      <c r="AH122" s="111"/>
      <c r="AI122" s="111"/>
      <c r="AJ122" s="107"/>
      <c r="AK122" s="110"/>
      <c r="AL122" s="107"/>
      <c r="AM122" s="107"/>
      <c r="AN122" s="107"/>
      <c r="AO122" s="107"/>
      <c r="AP122" s="107"/>
      <c r="AQ122" s="107"/>
      <c r="AR122" s="110"/>
      <c r="AS122" s="107"/>
      <c r="AT122" s="107"/>
      <c r="AU122" s="107"/>
      <c r="AV122" s="110"/>
      <c r="AW122" s="107"/>
      <c r="AX122" s="110"/>
      <c r="AY122" s="107"/>
      <c r="AZ122" s="107"/>
      <c r="BA122" s="107"/>
      <c r="BB122" s="110"/>
      <c r="BC122" s="110"/>
      <c r="BD122" s="107"/>
      <c r="BE122" s="110"/>
      <c r="BF122" s="107"/>
      <c r="BG122" s="107"/>
      <c r="BH122" s="107"/>
      <c r="BI122" s="182" t="s">
        <v>366</v>
      </c>
      <c r="BJ122" s="252" t="s">
        <v>253</v>
      </c>
      <c r="BK122" s="1607"/>
      <c r="BL122" s="252" t="s">
        <v>251</v>
      </c>
      <c r="BM122" s="1607"/>
      <c r="BN122" s="1607"/>
      <c r="BO122" s="1607"/>
      <c r="BP122" s="185" t="s">
        <v>608</v>
      </c>
      <c r="BQ122" s="185" t="s">
        <v>609</v>
      </c>
      <c r="BR122" s="252" t="s">
        <v>251</v>
      </c>
      <c r="BS122" s="185" t="s">
        <v>233</v>
      </c>
      <c r="BT122" s="185" t="s">
        <v>233</v>
      </c>
      <c r="BU122" s="185" t="s">
        <v>240</v>
      </c>
      <c r="BV122" s="185" t="s">
        <v>265</v>
      </c>
      <c r="BW122" s="185" t="s">
        <v>610</v>
      </c>
      <c r="BX122" s="252" t="s">
        <v>251</v>
      </c>
      <c r="BY122" s="185" t="s">
        <v>233</v>
      </c>
      <c r="BZ122" s="185" t="s">
        <v>233</v>
      </c>
      <c r="CA122" s="185" t="s">
        <v>240</v>
      </c>
      <c r="CB122" s="185" t="s">
        <v>266</v>
      </c>
      <c r="CC122" s="185" t="s">
        <v>609</v>
      </c>
      <c r="CD122" s="252" t="s">
        <v>251</v>
      </c>
      <c r="CE122" s="185" t="s">
        <v>233</v>
      </c>
      <c r="CF122" s="185" t="s">
        <v>233</v>
      </c>
      <c r="CG122" s="185" t="s">
        <v>240</v>
      </c>
      <c r="CH122" s="185" t="s">
        <v>265</v>
      </c>
      <c r="CI122" s="185" t="s">
        <v>610</v>
      </c>
      <c r="CJ122" s="252" t="s">
        <v>251</v>
      </c>
      <c r="CK122" s="185" t="s">
        <v>233</v>
      </c>
      <c r="CL122" s="185" t="s">
        <v>233</v>
      </c>
      <c r="CM122" s="185" t="s">
        <v>240</v>
      </c>
      <c r="CN122" s="116"/>
      <c r="CO122" s="100">
        <v>0.15</v>
      </c>
      <c r="CP122" s="100">
        <f t="shared" si="158"/>
        <v>0.17499999999999999</v>
      </c>
      <c r="CQ122" s="100">
        <v>0.2</v>
      </c>
    </row>
    <row r="123" spans="1:134" s="101" customFormat="1" ht="16.5" customHeight="1" thickBot="1" x14ac:dyDescent="0.3">
      <c r="A123" s="99"/>
      <c r="V123" s="103"/>
      <c r="X123" s="107"/>
      <c r="Y123" s="107"/>
      <c r="Z123" s="107"/>
      <c r="AA123" s="110"/>
      <c r="AB123" s="110"/>
      <c r="AC123" s="107"/>
      <c r="AD123" s="110"/>
      <c r="AE123" s="109"/>
      <c r="AF123" s="107"/>
      <c r="AG123" s="107"/>
      <c r="AH123" s="111"/>
      <c r="AI123" s="111"/>
      <c r="AJ123" s="107"/>
      <c r="AK123" s="110"/>
      <c r="AL123" s="107"/>
      <c r="AM123" s="107"/>
      <c r="AN123" s="107"/>
      <c r="AO123" s="107"/>
      <c r="AP123" s="107"/>
      <c r="AQ123" s="107"/>
      <c r="AR123" s="110"/>
      <c r="AS123" s="107"/>
      <c r="AT123" s="107"/>
      <c r="AU123" s="107"/>
      <c r="AV123" s="110"/>
      <c r="AW123" s="107"/>
      <c r="AX123" s="110"/>
      <c r="AY123" s="107"/>
      <c r="AZ123" s="107"/>
      <c r="BA123" s="107"/>
      <c r="BB123" s="110"/>
      <c r="BC123" s="110"/>
      <c r="BD123" s="107"/>
      <c r="BE123" s="110"/>
      <c r="BF123" s="107"/>
      <c r="BG123" s="107"/>
      <c r="BH123" s="107"/>
      <c r="BI123" s="186" t="s">
        <v>2</v>
      </c>
      <c r="BJ123" s="187" t="s">
        <v>611</v>
      </c>
      <c r="BK123" s="187">
        <v>2534.8130000000001</v>
      </c>
      <c r="BL123" s="187" t="s">
        <v>612</v>
      </c>
      <c r="BM123" s="188">
        <v>2.64E-3</v>
      </c>
      <c r="BN123" s="188">
        <v>2.64E-3</v>
      </c>
      <c r="BO123" s="188" t="s">
        <v>241</v>
      </c>
      <c r="BP123" s="187">
        <v>28.760200000000001</v>
      </c>
      <c r="BQ123" s="187">
        <f>BP123/1000</f>
        <v>2.87602E-2</v>
      </c>
      <c r="BR123" s="187" t="s">
        <v>613</v>
      </c>
      <c r="BS123" s="189">
        <v>3.0000000000000001E-3</v>
      </c>
      <c r="BT123" s="189">
        <v>0.03</v>
      </c>
      <c r="BU123" s="187" t="s">
        <v>242</v>
      </c>
      <c r="BV123" s="187">
        <v>43.1404</v>
      </c>
      <c r="BW123" s="187">
        <f>BV123/1000</f>
        <v>4.3140400000000002E-2</v>
      </c>
      <c r="BX123" s="187" t="s">
        <v>614</v>
      </c>
      <c r="BY123" s="189">
        <v>5.0000000000000001E-3</v>
      </c>
      <c r="BZ123" s="189">
        <v>0.05</v>
      </c>
      <c r="CA123" s="187" t="s">
        <v>242</v>
      </c>
      <c r="CB123" s="187">
        <v>0</v>
      </c>
      <c r="CC123" s="187">
        <f>CB123/1000</f>
        <v>0</v>
      </c>
      <c r="CD123" s="187" t="s">
        <v>613</v>
      </c>
      <c r="CE123" s="189">
        <v>0</v>
      </c>
      <c r="CF123" s="189">
        <v>0</v>
      </c>
      <c r="CG123" s="187" t="s">
        <v>242</v>
      </c>
      <c r="CH123" s="187">
        <v>0</v>
      </c>
      <c r="CI123" s="187">
        <f>CH123/1000</f>
        <v>0</v>
      </c>
      <c r="CJ123" s="187" t="s">
        <v>614</v>
      </c>
      <c r="CK123" s="189">
        <v>0</v>
      </c>
      <c r="CL123" s="189">
        <v>0</v>
      </c>
      <c r="CM123" s="187" t="s">
        <v>242</v>
      </c>
      <c r="CN123" s="116"/>
      <c r="CO123" s="100">
        <v>0.6</v>
      </c>
      <c r="CP123" s="100">
        <f t="shared" si="158"/>
        <v>0.8</v>
      </c>
      <c r="CQ123" s="100">
        <v>1</v>
      </c>
    </row>
    <row r="124" spans="1:134" s="101" customFormat="1" ht="16.5" customHeight="1" thickBot="1" x14ac:dyDescent="0.3">
      <c r="A124" s="99"/>
      <c r="V124" s="103"/>
      <c r="X124" s="107"/>
      <c r="Y124" s="107"/>
      <c r="Z124" s="107"/>
      <c r="AA124" s="110"/>
      <c r="AB124" s="110"/>
      <c r="AC124" s="107"/>
      <c r="AD124" s="110"/>
      <c r="AE124" s="109"/>
      <c r="AF124" s="107"/>
      <c r="AG124" s="107"/>
      <c r="AH124" s="111"/>
      <c r="AI124" s="111"/>
      <c r="AJ124" s="107"/>
      <c r="AK124" s="110"/>
      <c r="AL124" s="107"/>
      <c r="AM124" s="107"/>
      <c r="AN124" s="107"/>
      <c r="AO124" s="107"/>
      <c r="AP124" s="107"/>
      <c r="AQ124" s="107"/>
      <c r="AR124" s="110"/>
      <c r="AS124" s="107"/>
      <c r="AT124" s="107"/>
      <c r="AU124" s="107"/>
      <c r="AV124" s="110"/>
      <c r="AW124" s="107"/>
      <c r="AX124" s="110"/>
      <c r="AY124" s="107"/>
      <c r="AZ124" s="107"/>
      <c r="BA124" s="107"/>
      <c r="BB124" s="110"/>
      <c r="BC124" s="110"/>
      <c r="BD124" s="107"/>
      <c r="BE124" s="110"/>
      <c r="BF124" s="107"/>
      <c r="BG124" s="107"/>
      <c r="BH124" s="107"/>
      <c r="BI124" s="190" t="s">
        <v>211</v>
      </c>
      <c r="BJ124" s="187" t="s">
        <v>615</v>
      </c>
      <c r="BK124" s="181">
        <v>2160.7550000000001</v>
      </c>
      <c r="BL124" s="187" t="s">
        <v>612</v>
      </c>
      <c r="BM124" s="189">
        <v>3.0399999999999997E-3</v>
      </c>
      <c r="BN124" s="189">
        <v>3.0399999999999997E-3</v>
      </c>
      <c r="BO124" s="188" t="s">
        <v>241</v>
      </c>
      <c r="BP124" s="191">
        <v>26.622399999999999</v>
      </c>
      <c r="BQ124" s="187">
        <f t="shared" ref="BQ124:BQ147" si="159">BP124/1000</f>
        <v>2.6622399999999997E-2</v>
      </c>
      <c r="BR124" s="187" t="s">
        <v>616</v>
      </c>
      <c r="BS124" s="189">
        <v>3.0000000000000001E-3</v>
      </c>
      <c r="BT124" s="189">
        <v>0.03</v>
      </c>
      <c r="BU124" s="187" t="s">
        <v>242</v>
      </c>
      <c r="BV124" s="181">
        <v>39.933500000000002</v>
      </c>
      <c r="BW124" s="187">
        <f t="shared" ref="BW124:BW147" si="160">BV124/1000</f>
        <v>3.9933500000000004E-2</v>
      </c>
      <c r="BX124" s="187" t="s">
        <v>614</v>
      </c>
      <c r="BY124" s="189">
        <v>5.0000000000000001E-3</v>
      </c>
      <c r="BZ124" s="189">
        <v>0.05</v>
      </c>
      <c r="CA124" s="187" t="s">
        <v>242</v>
      </c>
      <c r="CB124" s="187">
        <v>0</v>
      </c>
      <c r="CC124" s="187">
        <f t="shared" ref="CC124:CC147" si="161">CB124/1000</f>
        <v>0</v>
      </c>
      <c r="CD124" s="187" t="s">
        <v>613</v>
      </c>
      <c r="CE124" s="189">
        <v>0</v>
      </c>
      <c r="CF124" s="189">
        <v>0</v>
      </c>
      <c r="CG124" s="187" t="s">
        <v>242</v>
      </c>
      <c r="CH124" s="181">
        <v>0</v>
      </c>
      <c r="CI124" s="187">
        <f t="shared" ref="CI124:CI147" si="162">CH124/1000</f>
        <v>0</v>
      </c>
      <c r="CJ124" s="187" t="s">
        <v>614</v>
      </c>
      <c r="CK124" s="189">
        <v>0</v>
      </c>
      <c r="CL124" s="189">
        <v>0</v>
      </c>
      <c r="CM124" s="187" t="s">
        <v>242</v>
      </c>
      <c r="CN124" s="116"/>
      <c r="CO124" s="100">
        <v>0.6</v>
      </c>
      <c r="CP124" s="100">
        <f t="shared" si="158"/>
        <v>0.8</v>
      </c>
      <c r="CQ124" s="100">
        <v>1</v>
      </c>
    </row>
    <row r="125" spans="1:134" s="101" customFormat="1" ht="16.5" customHeight="1" thickBot="1" x14ac:dyDescent="0.3">
      <c r="A125" s="99"/>
      <c r="V125" s="103"/>
      <c r="X125" s="107"/>
      <c r="Y125" s="107"/>
      <c r="Z125" s="107"/>
      <c r="AA125" s="110"/>
      <c r="AB125" s="110"/>
      <c r="AC125" s="107"/>
      <c r="AD125" s="110"/>
      <c r="AE125" s="109"/>
      <c r="AF125" s="107"/>
      <c r="AG125" s="107"/>
      <c r="AH125" s="111"/>
      <c r="AI125" s="111"/>
      <c r="AJ125" s="107"/>
      <c r="AK125" s="110"/>
      <c r="AL125" s="107"/>
      <c r="AM125" s="107"/>
      <c r="AN125" s="107"/>
      <c r="AO125" s="107"/>
      <c r="AP125" s="107"/>
      <c r="AQ125" s="107"/>
      <c r="AR125" s="110"/>
      <c r="AS125" s="107"/>
      <c r="AT125" s="107"/>
      <c r="AU125" s="107"/>
      <c r="AV125" s="110"/>
      <c r="AW125" s="107"/>
      <c r="AX125" s="110"/>
      <c r="AY125" s="107"/>
      <c r="AZ125" s="107"/>
      <c r="BA125" s="107"/>
      <c r="BB125" s="110"/>
      <c r="BC125" s="110"/>
      <c r="BD125" s="107"/>
      <c r="BE125" s="110"/>
      <c r="BF125" s="107"/>
      <c r="BG125" s="107"/>
      <c r="BH125" s="107"/>
      <c r="BI125" s="190" t="s">
        <v>212</v>
      </c>
      <c r="BJ125" s="187" t="s">
        <v>615</v>
      </c>
      <c r="BK125" s="181">
        <v>2894.0590000000002</v>
      </c>
      <c r="BL125" s="187" t="s">
        <v>612</v>
      </c>
      <c r="BM125" s="189">
        <v>2.3499999999999997E-3</v>
      </c>
      <c r="BN125" s="189">
        <v>2.3499999999999997E-3</v>
      </c>
      <c r="BO125" s="188" t="s">
        <v>241</v>
      </c>
      <c r="BP125" s="191">
        <v>30.416899999999998</v>
      </c>
      <c r="BQ125" s="187">
        <f t="shared" si="159"/>
        <v>3.0416899999999997E-2</v>
      </c>
      <c r="BR125" s="187" t="s">
        <v>613</v>
      </c>
      <c r="BS125" s="189">
        <v>3.0000000000000001E-3</v>
      </c>
      <c r="BT125" s="189">
        <v>0.03</v>
      </c>
      <c r="BU125" s="187" t="s">
        <v>242</v>
      </c>
      <c r="BV125" s="181">
        <v>45.625300000000003</v>
      </c>
      <c r="BW125" s="187">
        <f t="shared" si="160"/>
        <v>4.5625300000000001E-2</v>
      </c>
      <c r="BX125" s="187" t="s">
        <v>614</v>
      </c>
      <c r="BY125" s="189">
        <v>5.0000000000000001E-3</v>
      </c>
      <c r="BZ125" s="189">
        <v>0.05</v>
      </c>
      <c r="CA125" s="187" t="s">
        <v>242</v>
      </c>
      <c r="CB125" s="187">
        <v>0</v>
      </c>
      <c r="CC125" s="187">
        <f t="shared" si="161"/>
        <v>0</v>
      </c>
      <c r="CD125" s="187" t="s">
        <v>613</v>
      </c>
      <c r="CE125" s="189">
        <v>0</v>
      </c>
      <c r="CF125" s="189">
        <v>0</v>
      </c>
      <c r="CG125" s="187" t="s">
        <v>242</v>
      </c>
      <c r="CH125" s="181">
        <v>0</v>
      </c>
      <c r="CI125" s="187">
        <f t="shared" si="162"/>
        <v>0</v>
      </c>
      <c r="CJ125" s="187" t="s">
        <v>614</v>
      </c>
      <c r="CK125" s="189">
        <v>0</v>
      </c>
      <c r="CL125" s="189">
        <v>0</v>
      </c>
      <c r="CM125" s="187" t="s">
        <v>242</v>
      </c>
      <c r="CN125" s="116"/>
      <c r="CO125" s="100">
        <v>0.6</v>
      </c>
      <c r="CP125" s="100">
        <f t="shared" si="158"/>
        <v>0.8</v>
      </c>
      <c r="CQ125" s="100">
        <v>1</v>
      </c>
    </row>
    <row r="126" spans="1:134" s="101" customFormat="1" ht="16.5" customHeight="1" thickBot="1" x14ac:dyDescent="0.3">
      <c r="A126" s="99"/>
      <c r="V126" s="103"/>
      <c r="X126" s="107"/>
      <c r="Y126" s="107"/>
      <c r="Z126" s="107"/>
      <c r="AA126" s="110"/>
      <c r="AB126" s="110"/>
      <c r="AC126" s="107"/>
      <c r="AD126" s="110"/>
      <c r="AE126" s="109"/>
      <c r="AF126" s="107"/>
      <c r="AG126" s="107"/>
      <c r="AH126" s="111"/>
      <c r="AI126" s="111"/>
      <c r="AJ126" s="107"/>
      <c r="AK126" s="110"/>
      <c r="AL126" s="107"/>
      <c r="AM126" s="107"/>
      <c r="AN126" s="107"/>
      <c r="AO126" s="107"/>
      <c r="AP126" s="107"/>
      <c r="AQ126" s="107"/>
      <c r="AR126" s="110"/>
      <c r="AS126" s="107"/>
      <c r="AT126" s="107"/>
      <c r="AU126" s="107"/>
      <c r="AV126" s="110"/>
      <c r="AW126" s="107"/>
      <c r="AX126" s="110"/>
      <c r="AY126" s="107"/>
      <c r="AZ126" s="107"/>
      <c r="BA126" s="107"/>
      <c r="BB126" s="110"/>
      <c r="BC126" s="110"/>
      <c r="BD126" s="107"/>
      <c r="BE126" s="110"/>
      <c r="BF126" s="107"/>
      <c r="BG126" s="107"/>
      <c r="BH126" s="107"/>
      <c r="BI126" s="190" t="s">
        <v>213</v>
      </c>
      <c r="BJ126" s="187" t="s">
        <v>615</v>
      </c>
      <c r="BK126" s="181">
        <v>2214.4580000000001</v>
      </c>
      <c r="BL126" s="187" t="s">
        <v>612</v>
      </c>
      <c r="BM126" s="189">
        <v>2.9299999999999999E-3</v>
      </c>
      <c r="BN126" s="189">
        <v>2.9299999999999999E-3</v>
      </c>
      <c r="BO126" s="188" t="s">
        <v>241</v>
      </c>
      <c r="BP126" s="191">
        <v>29.170200000000001</v>
      </c>
      <c r="BQ126" s="187">
        <f t="shared" si="159"/>
        <v>2.91702E-2</v>
      </c>
      <c r="BR126" s="187" t="s">
        <v>613</v>
      </c>
      <c r="BS126" s="189">
        <v>3.0000000000000001E-3</v>
      </c>
      <c r="BT126" s="189">
        <v>0.03</v>
      </c>
      <c r="BU126" s="187" t="s">
        <v>242</v>
      </c>
      <c r="BV126" s="181">
        <v>43.755299999999998</v>
      </c>
      <c r="BW126" s="187">
        <f t="shared" si="160"/>
        <v>4.3755299999999997E-2</v>
      </c>
      <c r="BX126" s="187" t="s">
        <v>614</v>
      </c>
      <c r="BY126" s="189">
        <v>5.0000000000000001E-3</v>
      </c>
      <c r="BZ126" s="189">
        <v>0.05</v>
      </c>
      <c r="CA126" s="187" t="s">
        <v>242</v>
      </c>
      <c r="CB126" s="187">
        <v>0</v>
      </c>
      <c r="CC126" s="187">
        <f t="shared" si="161"/>
        <v>0</v>
      </c>
      <c r="CD126" s="187" t="s">
        <v>613</v>
      </c>
      <c r="CE126" s="189">
        <v>0</v>
      </c>
      <c r="CF126" s="189">
        <v>0</v>
      </c>
      <c r="CG126" s="187" t="s">
        <v>242</v>
      </c>
      <c r="CH126" s="181">
        <v>0</v>
      </c>
      <c r="CI126" s="187">
        <f t="shared" si="162"/>
        <v>0</v>
      </c>
      <c r="CJ126" s="187" t="s">
        <v>614</v>
      </c>
      <c r="CK126" s="189">
        <v>0</v>
      </c>
      <c r="CL126" s="189">
        <v>0</v>
      </c>
      <c r="CM126" s="187" t="s">
        <v>242</v>
      </c>
      <c r="CN126" s="116"/>
      <c r="CO126" s="100">
        <v>0.6</v>
      </c>
      <c r="CP126" s="100">
        <f t="shared" si="158"/>
        <v>0.8</v>
      </c>
      <c r="CQ126" s="100">
        <v>1</v>
      </c>
    </row>
    <row r="127" spans="1:134" s="101" customFormat="1" ht="16.5" customHeight="1" thickBot="1" x14ac:dyDescent="0.3">
      <c r="A127" s="99"/>
      <c r="V127" s="103"/>
      <c r="X127" s="107"/>
      <c r="Y127" s="107"/>
      <c r="Z127" s="107"/>
      <c r="AA127" s="110"/>
      <c r="AB127" s="110"/>
      <c r="AC127" s="107"/>
      <c r="AD127" s="110"/>
      <c r="AE127" s="109"/>
      <c r="AF127" s="107"/>
      <c r="AG127" s="107"/>
      <c r="AH127" s="111"/>
      <c r="AI127" s="111"/>
      <c r="AJ127" s="107"/>
      <c r="AK127" s="110"/>
      <c r="AL127" s="107"/>
      <c r="AM127" s="107"/>
      <c r="AN127" s="107"/>
      <c r="AO127" s="107"/>
      <c r="AP127" s="107"/>
      <c r="AQ127" s="107"/>
      <c r="AR127" s="110"/>
      <c r="AS127" s="107"/>
      <c r="AT127" s="107"/>
      <c r="AU127" s="107"/>
      <c r="AV127" s="110"/>
      <c r="AW127" s="107"/>
      <c r="AX127" s="110"/>
      <c r="AY127" s="107"/>
      <c r="AZ127" s="107"/>
      <c r="BA127" s="107"/>
      <c r="BB127" s="110"/>
      <c r="BC127" s="110"/>
      <c r="BD127" s="107"/>
      <c r="BE127" s="110"/>
      <c r="BF127" s="107"/>
      <c r="BG127" s="107"/>
      <c r="BH127" s="107"/>
      <c r="BI127" s="190" t="s">
        <v>214</v>
      </c>
      <c r="BJ127" s="187" t="s">
        <v>615</v>
      </c>
      <c r="BK127" s="181">
        <v>2507.6329999999998</v>
      </c>
      <c r="BL127" s="187" t="s">
        <v>612</v>
      </c>
      <c r="BM127" s="189">
        <v>2.6099999999999999E-3</v>
      </c>
      <c r="BN127" s="189">
        <v>2.6099999999999999E-3</v>
      </c>
      <c r="BO127" s="188" t="s">
        <v>241</v>
      </c>
      <c r="BP127" s="191">
        <v>31.212299999999999</v>
      </c>
      <c r="BQ127" s="187">
        <f t="shared" si="159"/>
        <v>3.1212299999999998E-2</v>
      </c>
      <c r="BR127" s="187" t="s">
        <v>613</v>
      </c>
      <c r="BS127" s="189">
        <v>3.0000000000000001E-3</v>
      </c>
      <c r="BT127" s="189">
        <v>0.03</v>
      </c>
      <c r="BU127" s="187" t="s">
        <v>242</v>
      </c>
      <c r="BV127" s="181">
        <v>46.818399999999997</v>
      </c>
      <c r="BW127" s="187">
        <f t="shared" si="160"/>
        <v>4.6818399999999996E-2</v>
      </c>
      <c r="BX127" s="187" t="s">
        <v>614</v>
      </c>
      <c r="BY127" s="189">
        <v>5.0000000000000001E-3</v>
      </c>
      <c r="BZ127" s="189">
        <v>0.05</v>
      </c>
      <c r="CA127" s="187" t="s">
        <v>242</v>
      </c>
      <c r="CB127" s="187">
        <v>0</v>
      </c>
      <c r="CC127" s="187">
        <f t="shared" si="161"/>
        <v>0</v>
      </c>
      <c r="CD127" s="187" t="s">
        <v>613</v>
      </c>
      <c r="CE127" s="189">
        <v>0</v>
      </c>
      <c r="CF127" s="189">
        <v>0</v>
      </c>
      <c r="CG127" s="187" t="s">
        <v>242</v>
      </c>
      <c r="CH127" s="181">
        <v>0</v>
      </c>
      <c r="CI127" s="187">
        <f t="shared" si="162"/>
        <v>0</v>
      </c>
      <c r="CJ127" s="187" t="s">
        <v>614</v>
      </c>
      <c r="CK127" s="189">
        <v>0</v>
      </c>
      <c r="CL127" s="189">
        <v>0</v>
      </c>
      <c r="CM127" s="187" t="s">
        <v>242</v>
      </c>
      <c r="CN127" s="116"/>
      <c r="CO127" s="100">
        <v>0.6</v>
      </c>
      <c r="CP127" s="100">
        <f t="shared" si="158"/>
        <v>0.8</v>
      </c>
      <c r="CQ127" s="100">
        <v>1</v>
      </c>
    </row>
    <row r="128" spans="1:134" s="101" customFormat="1" ht="16.5" customHeight="1" thickBot="1" x14ac:dyDescent="0.3">
      <c r="A128" s="99"/>
      <c r="V128" s="103"/>
      <c r="X128" s="107"/>
      <c r="Y128" s="107"/>
      <c r="Z128" s="107"/>
      <c r="AA128" s="110"/>
      <c r="AB128" s="110"/>
      <c r="AC128" s="107"/>
      <c r="AD128" s="110"/>
      <c r="AE128" s="109"/>
      <c r="AF128" s="107"/>
      <c r="AG128" s="107"/>
      <c r="AH128" s="111"/>
      <c r="AI128" s="111"/>
      <c r="AJ128" s="107"/>
      <c r="AK128" s="110"/>
      <c r="AL128" s="107"/>
      <c r="AM128" s="107"/>
      <c r="AN128" s="107"/>
      <c r="AO128" s="107"/>
      <c r="AP128" s="107"/>
      <c r="AQ128" s="107"/>
      <c r="AR128" s="110"/>
      <c r="AS128" s="107"/>
      <c r="AT128" s="107"/>
      <c r="AU128" s="107"/>
      <c r="AV128" s="110"/>
      <c r="AW128" s="107"/>
      <c r="AX128" s="110"/>
      <c r="AY128" s="107"/>
      <c r="AZ128" s="107"/>
      <c r="BA128" s="107"/>
      <c r="BB128" s="110"/>
      <c r="BC128" s="110"/>
      <c r="BD128" s="107"/>
      <c r="BE128" s="110"/>
      <c r="BF128" s="107"/>
      <c r="BG128" s="107"/>
      <c r="BH128" s="107"/>
      <c r="BI128" s="190" t="s">
        <v>215</v>
      </c>
      <c r="BJ128" s="187" t="s">
        <v>615</v>
      </c>
      <c r="BK128" s="181">
        <v>2812.7539999999999</v>
      </c>
      <c r="BL128" s="187" t="s">
        <v>612</v>
      </c>
      <c r="BM128" s="189">
        <v>2.3899999999999998E-3</v>
      </c>
      <c r="BN128" s="189">
        <v>2.3899999999999998E-3</v>
      </c>
      <c r="BO128" s="188" t="s">
        <v>241</v>
      </c>
      <c r="BP128" s="191">
        <v>31.229299999999999</v>
      </c>
      <c r="BQ128" s="187">
        <f t="shared" si="159"/>
        <v>3.1229299999999998E-2</v>
      </c>
      <c r="BR128" s="187" t="s">
        <v>613</v>
      </c>
      <c r="BS128" s="189">
        <v>3.0000000000000001E-3</v>
      </c>
      <c r="BT128" s="189">
        <v>0.03</v>
      </c>
      <c r="BU128" s="187" t="s">
        <v>242</v>
      </c>
      <c r="BV128" s="181">
        <v>46.843899999999998</v>
      </c>
      <c r="BW128" s="187">
        <f t="shared" si="160"/>
        <v>4.6843900000000001E-2</v>
      </c>
      <c r="BX128" s="187" t="s">
        <v>614</v>
      </c>
      <c r="BY128" s="189">
        <v>5.0000000000000001E-3</v>
      </c>
      <c r="BZ128" s="189">
        <v>0.05</v>
      </c>
      <c r="CA128" s="187" t="s">
        <v>242</v>
      </c>
      <c r="CB128" s="187">
        <v>0</v>
      </c>
      <c r="CC128" s="187">
        <f t="shared" si="161"/>
        <v>0</v>
      </c>
      <c r="CD128" s="187" t="s">
        <v>613</v>
      </c>
      <c r="CE128" s="189">
        <v>0</v>
      </c>
      <c r="CF128" s="189">
        <v>0</v>
      </c>
      <c r="CG128" s="187" t="s">
        <v>242</v>
      </c>
      <c r="CH128" s="181">
        <v>0</v>
      </c>
      <c r="CI128" s="187">
        <f t="shared" si="162"/>
        <v>0</v>
      </c>
      <c r="CJ128" s="187" t="s">
        <v>614</v>
      </c>
      <c r="CK128" s="189">
        <v>0</v>
      </c>
      <c r="CL128" s="189">
        <v>0</v>
      </c>
      <c r="CM128" s="187" t="s">
        <v>242</v>
      </c>
      <c r="CN128" s="116"/>
      <c r="CO128" s="100">
        <v>0.6</v>
      </c>
      <c r="CP128" s="100">
        <f t="shared" si="158"/>
        <v>0.8</v>
      </c>
      <c r="CQ128" s="100">
        <v>1</v>
      </c>
    </row>
    <row r="129" spans="1:95" s="101" customFormat="1" ht="16.5" customHeight="1" thickBot="1" x14ac:dyDescent="0.3">
      <c r="A129" s="99"/>
      <c r="V129" s="103"/>
      <c r="X129" s="107"/>
      <c r="Y129" s="107"/>
      <c r="Z129" s="107"/>
      <c r="AA129" s="110"/>
      <c r="AB129" s="110"/>
      <c r="AC129" s="107"/>
      <c r="AD129" s="110"/>
      <c r="AE129" s="109"/>
      <c r="AF129" s="107"/>
      <c r="AG129" s="107"/>
      <c r="AH129" s="111"/>
      <c r="AI129" s="111"/>
      <c r="AJ129" s="107"/>
      <c r="AK129" s="110"/>
      <c r="AL129" s="107"/>
      <c r="AM129" s="107"/>
      <c r="AN129" s="107"/>
      <c r="AO129" s="107"/>
      <c r="AP129" s="107"/>
      <c r="AQ129" s="107"/>
      <c r="AR129" s="110"/>
      <c r="AS129" s="107"/>
      <c r="AT129" s="107"/>
      <c r="AU129" s="107"/>
      <c r="AV129" s="110"/>
      <c r="AW129" s="107"/>
      <c r="AX129" s="110"/>
      <c r="AY129" s="107"/>
      <c r="AZ129" s="107"/>
      <c r="BA129" s="107"/>
      <c r="BB129" s="110"/>
      <c r="BC129" s="110"/>
      <c r="BD129" s="107"/>
      <c r="BE129" s="110"/>
      <c r="BF129" s="107"/>
      <c r="BG129" s="107"/>
      <c r="BH129" s="107"/>
      <c r="BI129" s="190" t="s">
        <v>216</v>
      </c>
      <c r="BJ129" s="187" t="s">
        <v>615</v>
      </c>
      <c r="BK129" s="181">
        <v>1903.181</v>
      </c>
      <c r="BL129" s="187" t="s">
        <v>612</v>
      </c>
      <c r="BM129" s="189">
        <v>3.5399999999999997E-3</v>
      </c>
      <c r="BN129" s="189">
        <v>3.5399999999999997E-3</v>
      </c>
      <c r="BO129" s="188" t="s">
        <v>241</v>
      </c>
      <c r="BP129" s="191">
        <v>20.947600000000001</v>
      </c>
      <c r="BQ129" s="187">
        <f t="shared" si="159"/>
        <v>2.09476E-2</v>
      </c>
      <c r="BR129" s="187" t="s">
        <v>613</v>
      </c>
      <c r="BS129" s="189">
        <v>3.0000000000000001E-3</v>
      </c>
      <c r="BT129" s="189">
        <v>0.03</v>
      </c>
      <c r="BU129" s="187" t="s">
        <v>242</v>
      </c>
      <c r="BV129" s="181">
        <v>31.421399999999998</v>
      </c>
      <c r="BW129" s="187">
        <f t="shared" si="160"/>
        <v>3.1421399999999995E-2</v>
      </c>
      <c r="BX129" s="187" t="s">
        <v>614</v>
      </c>
      <c r="BY129" s="189">
        <v>5.0000000000000001E-3</v>
      </c>
      <c r="BZ129" s="189">
        <v>0.05</v>
      </c>
      <c r="CA129" s="187" t="s">
        <v>242</v>
      </c>
      <c r="CB129" s="187">
        <v>0</v>
      </c>
      <c r="CC129" s="187">
        <f t="shared" si="161"/>
        <v>0</v>
      </c>
      <c r="CD129" s="187" t="s">
        <v>613</v>
      </c>
      <c r="CE129" s="189">
        <v>0</v>
      </c>
      <c r="CF129" s="189">
        <v>0</v>
      </c>
      <c r="CG129" s="187" t="s">
        <v>242</v>
      </c>
      <c r="CH129" s="181">
        <v>0</v>
      </c>
      <c r="CI129" s="187">
        <f t="shared" si="162"/>
        <v>0</v>
      </c>
      <c r="CJ129" s="187" t="s">
        <v>614</v>
      </c>
      <c r="CK129" s="189">
        <v>0</v>
      </c>
      <c r="CL129" s="189">
        <v>0</v>
      </c>
      <c r="CM129" s="187" t="s">
        <v>242</v>
      </c>
      <c r="CN129" s="116"/>
      <c r="CO129" s="100">
        <v>0.6</v>
      </c>
      <c r="CP129" s="100">
        <f t="shared" si="158"/>
        <v>0.8</v>
      </c>
      <c r="CQ129" s="100">
        <v>1</v>
      </c>
    </row>
    <row r="130" spans="1:95" s="101" customFormat="1" ht="16.5" customHeight="1" thickBot="1" x14ac:dyDescent="0.3">
      <c r="A130" s="99"/>
      <c r="V130" s="103"/>
      <c r="X130" s="107"/>
      <c r="Y130" s="107"/>
      <c r="Z130" s="107"/>
      <c r="AA130" s="110"/>
      <c r="AB130" s="110"/>
      <c r="AC130" s="107"/>
      <c r="AD130" s="110"/>
      <c r="AE130" s="109"/>
      <c r="AF130" s="107"/>
      <c r="AG130" s="107"/>
      <c r="AH130" s="111"/>
      <c r="AI130" s="111"/>
      <c r="AJ130" s="107"/>
      <c r="AK130" s="110"/>
      <c r="AL130" s="107"/>
      <c r="AM130" s="107"/>
      <c r="AN130" s="107"/>
      <c r="AO130" s="107"/>
      <c r="AP130" s="107"/>
      <c r="AQ130" s="107"/>
      <c r="AR130" s="110"/>
      <c r="AS130" s="107"/>
      <c r="AT130" s="107"/>
      <c r="AU130" s="107"/>
      <c r="AV130" s="110"/>
      <c r="AW130" s="107"/>
      <c r="AX130" s="110"/>
      <c r="AY130" s="107"/>
      <c r="AZ130" s="107"/>
      <c r="BA130" s="107"/>
      <c r="BB130" s="110"/>
      <c r="BC130" s="110"/>
      <c r="BD130" s="107"/>
      <c r="BE130" s="110"/>
      <c r="BI130" s="190" t="s">
        <v>217</v>
      </c>
      <c r="BJ130" s="187" t="s">
        <v>615</v>
      </c>
      <c r="BK130" s="181">
        <v>2560.306</v>
      </c>
      <c r="BL130" s="187" t="s">
        <v>612</v>
      </c>
      <c r="BM130" s="189">
        <v>2.5400000000000002E-3</v>
      </c>
      <c r="BN130" s="189">
        <v>2.5400000000000002E-3</v>
      </c>
      <c r="BO130" s="188" t="s">
        <v>241</v>
      </c>
      <c r="BP130" s="191">
        <v>33.076700000000002</v>
      </c>
      <c r="BQ130" s="187">
        <f t="shared" si="159"/>
        <v>3.3076700000000001E-2</v>
      </c>
      <c r="BR130" s="187" t="s">
        <v>613</v>
      </c>
      <c r="BS130" s="189">
        <v>3.0000000000000001E-3</v>
      </c>
      <c r="BT130" s="189">
        <v>0.03</v>
      </c>
      <c r="BU130" s="187" t="s">
        <v>242</v>
      </c>
      <c r="BV130" s="181">
        <v>49.615000000000002</v>
      </c>
      <c r="BW130" s="187">
        <f t="shared" si="160"/>
        <v>4.9614999999999999E-2</v>
      </c>
      <c r="BX130" s="187" t="s">
        <v>614</v>
      </c>
      <c r="BY130" s="189">
        <v>5.0000000000000001E-3</v>
      </c>
      <c r="BZ130" s="189">
        <v>0.05</v>
      </c>
      <c r="CA130" s="187" t="s">
        <v>242</v>
      </c>
      <c r="CB130" s="187">
        <v>0</v>
      </c>
      <c r="CC130" s="187">
        <f t="shared" si="161"/>
        <v>0</v>
      </c>
      <c r="CD130" s="187" t="s">
        <v>613</v>
      </c>
      <c r="CE130" s="189">
        <v>0</v>
      </c>
      <c r="CF130" s="189">
        <v>0</v>
      </c>
      <c r="CG130" s="187" t="s">
        <v>242</v>
      </c>
      <c r="CH130" s="181">
        <v>0</v>
      </c>
      <c r="CI130" s="187">
        <f t="shared" si="162"/>
        <v>0</v>
      </c>
      <c r="CJ130" s="187" t="s">
        <v>614</v>
      </c>
      <c r="CK130" s="189">
        <v>0</v>
      </c>
      <c r="CL130" s="189">
        <v>0</v>
      </c>
      <c r="CM130" s="187" t="s">
        <v>242</v>
      </c>
      <c r="CN130" s="116"/>
      <c r="CO130" s="100">
        <v>0.6</v>
      </c>
      <c r="CP130" s="100">
        <f t="shared" si="158"/>
        <v>0.8</v>
      </c>
      <c r="CQ130" s="100">
        <v>1</v>
      </c>
    </row>
    <row r="131" spans="1:95" s="101" customFormat="1" ht="16.5" customHeight="1" thickBot="1" x14ac:dyDescent="0.3">
      <c r="A131" s="99"/>
      <c r="V131" s="103"/>
      <c r="X131" s="107"/>
      <c r="Y131" s="107"/>
      <c r="Z131" s="107"/>
      <c r="AA131" s="110"/>
      <c r="AB131" s="110"/>
      <c r="AC131" s="107"/>
      <c r="AD131" s="110"/>
      <c r="AE131" s="109"/>
      <c r="AF131" s="107"/>
      <c r="AG131" s="107"/>
      <c r="AH131" s="111"/>
      <c r="AI131" s="111"/>
      <c r="AJ131" s="107"/>
      <c r="AK131" s="110"/>
      <c r="AL131" s="107"/>
      <c r="AM131" s="107"/>
      <c r="AN131" s="107"/>
      <c r="AO131" s="107"/>
      <c r="AP131" s="107"/>
      <c r="AQ131" s="107"/>
      <c r="AR131" s="110"/>
      <c r="AS131" s="107"/>
      <c r="AT131" s="107"/>
      <c r="AU131" s="107"/>
      <c r="AV131" s="110"/>
      <c r="AW131" s="107"/>
      <c r="AX131" s="110"/>
      <c r="AY131" s="107"/>
      <c r="AZ131" s="107"/>
      <c r="BA131" s="107"/>
      <c r="BB131" s="110"/>
      <c r="BC131" s="110"/>
      <c r="BD131" s="107"/>
      <c r="BE131" s="110"/>
      <c r="BF131" s="107"/>
      <c r="BG131" s="107"/>
      <c r="BH131" s="107"/>
      <c r="BI131" s="190" t="s">
        <v>218</v>
      </c>
      <c r="BJ131" s="187" t="s">
        <v>615</v>
      </c>
      <c r="BK131" s="181">
        <v>2690.982</v>
      </c>
      <c r="BL131" s="187" t="s">
        <v>612</v>
      </c>
      <c r="BM131" s="189">
        <v>2.5100000000000001E-3</v>
      </c>
      <c r="BN131" s="189">
        <v>2.5100000000000001E-3</v>
      </c>
      <c r="BO131" s="188" t="s">
        <v>241</v>
      </c>
      <c r="BP131" s="191">
        <v>29.204699999999999</v>
      </c>
      <c r="BQ131" s="187">
        <f t="shared" si="159"/>
        <v>2.92047E-2</v>
      </c>
      <c r="BR131" s="187" t="s">
        <v>613</v>
      </c>
      <c r="BS131" s="189">
        <v>3.0000000000000001E-3</v>
      </c>
      <c r="BT131" s="189">
        <v>0.03</v>
      </c>
      <c r="BU131" s="187" t="s">
        <v>242</v>
      </c>
      <c r="BV131" s="181">
        <v>43.807099999999998</v>
      </c>
      <c r="BW131" s="187">
        <f t="shared" si="160"/>
        <v>4.3807100000000002E-2</v>
      </c>
      <c r="BX131" s="187" t="s">
        <v>614</v>
      </c>
      <c r="BY131" s="189">
        <v>5.0000000000000001E-3</v>
      </c>
      <c r="BZ131" s="189">
        <v>0.05</v>
      </c>
      <c r="CA131" s="187" t="s">
        <v>242</v>
      </c>
      <c r="CB131" s="187">
        <v>0</v>
      </c>
      <c r="CC131" s="187">
        <f t="shared" si="161"/>
        <v>0</v>
      </c>
      <c r="CD131" s="187" t="s">
        <v>613</v>
      </c>
      <c r="CE131" s="189">
        <v>0</v>
      </c>
      <c r="CF131" s="189">
        <v>0</v>
      </c>
      <c r="CG131" s="187" t="s">
        <v>242</v>
      </c>
      <c r="CH131" s="181">
        <v>0</v>
      </c>
      <c r="CI131" s="187">
        <f t="shared" si="162"/>
        <v>0</v>
      </c>
      <c r="CJ131" s="187" t="s">
        <v>614</v>
      </c>
      <c r="CK131" s="189">
        <v>0</v>
      </c>
      <c r="CL131" s="189">
        <v>0</v>
      </c>
      <c r="CM131" s="187" t="s">
        <v>242</v>
      </c>
      <c r="CN131" s="116"/>
      <c r="CO131" s="100">
        <v>0.6</v>
      </c>
      <c r="CP131" s="100">
        <f t="shared" si="158"/>
        <v>0.8</v>
      </c>
      <c r="CQ131" s="100">
        <v>1</v>
      </c>
    </row>
    <row r="132" spans="1:95" s="101" customFormat="1" ht="16.5" customHeight="1" thickBot="1" x14ac:dyDescent="0.3">
      <c r="A132" s="99"/>
      <c r="V132" s="103"/>
      <c r="AA132" s="104"/>
      <c r="AB132" s="104"/>
      <c r="AD132" s="104"/>
      <c r="AE132" s="105"/>
      <c r="AH132" s="106"/>
      <c r="AI132" s="106"/>
      <c r="AK132" s="104"/>
      <c r="AR132" s="104"/>
      <c r="AV132" s="104"/>
      <c r="AX132" s="104"/>
      <c r="BB132" s="104"/>
      <c r="BC132" s="104"/>
      <c r="BE132" s="104"/>
      <c r="BH132" s="99"/>
      <c r="BI132" s="190" t="s">
        <v>219</v>
      </c>
      <c r="BJ132" s="187" t="s">
        <v>615</v>
      </c>
      <c r="BK132" s="181">
        <v>3052.7950000000001</v>
      </c>
      <c r="BL132" s="187" t="s">
        <v>612</v>
      </c>
      <c r="BM132" s="189">
        <v>2.1800000000000001E-3</v>
      </c>
      <c r="BN132" s="189">
        <v>2.1800000000000001E-3</v>
      </c>
      <c r="BO132" s="188" t="s">
        <v>241</v>
      </c>
      <c r="BP132" s="191">
        <v>35.206200000000003</v>
      </c>
      <c r="BQ132" s="187">
        <f t="shared" si="159"/>
        <v>3.52062E-2</v>
      </c>
      <c r="BR132" s="187" t="s">
        <v>613</v>
      </c>
      <c r="BS132" s="189">
        <v>3.0000000000000001E-3</v>
      </c>
      <c r="BT132" s="189">
        <v>0.03</v>
      </c>
      <c r="BU132" s="187" t="s">
        <v>242</v>
      </c>
      <c r="BV132" s="181">
        <v>52.8093</v>
      </c>
      <c r="BW132" s="187">
        <f t="shared" si="160"/>
        <v>5.2809300000000003E-2</v>
      </c>
      <c r="BX132" s="187" t="s">
        <v>614</v>
      </c>
      <c r="BY132" s="189">
        <v>5.0000000000000001E-3</v>
      </c>
      <c r="BZ132" s="189">
        <v>0.05</v>
      </c>
      <c r="CA132" s="187" t="s">
        <v>242</v>
      </c>
      <c r="CB132" s="187">
        <v>0</v>
      </c>
      <c r="CC132" s="187">
        <f t="shared" si="161"/>
        <v>0</v>
      </c>
      <c r="CD132" s="187" t="s">
        <v>613</v>
      </c>
      <c r="CE132" s="189">
        <v>0</v>
      </c>
      <c r="CF132" s="189">
        <v>0</v>
      </c>
      <c r="CG132" s="187" t="s">
        <v>242</v>
      </c>
      <c r="CH132" s="181">
        <v>0</v>
      </c>
      <c r="CI132" s="187">
        <f t="shared" si="162"/>
        <v>0</v>
      </c>
      <c r="CJ132" s="187" t="s">
        <v>614</v>
      </c>
      <c r="CK132" s="189">
        <v>0</v>
      </c>
      <c r="CL132" s="189">
        <v>0</v>
      </c>
      <c r="CM132" s="187" t="s">
        <v>242</v>
      </c>
      <c r="CN132" s="116"/>
      <c r="CO132" s="100">
        <v>0.6</v>
      </c>
      <c r="CP132" s="100">
        <f t="shared" si="158"/>
        <v>0.8</v>
      </c>
      <c r="CQ132" s="100">
        <v>1</v>
      </c>
    </row>
    <row r="133" spans="1:95" s="101" customFormat="1" ht="16.5" customHeight="1" thickBot="1" x14ac:dyDescent="0.3">
      <c r="A133" s="99"/>
      <c r="V133" s="103"/>
      <c r="AA133" s="104"/>
      <c r="AB133" s="104"/>
      <c r="AD133" s="104"/>
      <c r="AE133" s="105"/>
      <c r="AH133" s="106"/>
      <c r="AI133" s="106"/>
      <c r="AK133" s="104"/>
      <c r="AR133" s="104"/>
      <c r="AV133" s="104"/>
      <c r="AX133" s="104"/>
      <c r="BB133" s="104"/>
      <c r="BC133" s="104"/>
      <c r="BE133" s="104"/>
      <c r="BH133" s="99"/>
      <c r="BI133" s="190" t="s">
        <v>220</v>
      </c>
      <c r="BJ133" s="187" t="s">
        <v>615</v>
      </c>
      <c r="BK133" s="181">
        <v>2277.4490000000001</v>
      </c>
      <c r="BL133" s="187" t="s">
        <v>612</v>
      </c>
      <c r="BM133" s="189">
        <v>2.98E-3</v>
      </c>
      <c r="BN133" s="189">
        <v>2.98E-3</v>
      </c>
      <c r="BO133" s="188" t="s">
        <v>241</v>
      </c>
      <c r="BP133" s="191">
        <v>24.4054</v>
      </c>
      <c r="BQ133" s="187">
        <f t="shared" si="159"/>
        <v>2.4405400000000001E-2</v>
      </c>
      <c r="BR133" s="187" t="s">
        <v>613</v>
      </c>
      <c r="BS133" s="189">
        <v>3.0000000000000001E-3</v>
      </c>
      <c r="BT133" s="189">
        <v>0.03</v>
      </c>
      <c r="BU133" s="187" t="s">
        <v>242</v>
      </c>
      <c r="BV133" s="181">
        <v>36.6081</v>
      </c>
      <c r="BW133" s="187">
        <f t="shared" si="160"/>
        <v>3.6608099999999998E-2</v>
      </c>
      <c r="BX133" s="187" t="s">
        <v>614</v>
      </c>
      <c r="BY133" s="189">
        <v>5.0000000000000001E-3</v>
      </c>
      <c r="BZ133" s="189">
        <v>0.05</v>
      </c>
      <c r="CA133" s="187" t="s">
        <v>242</v>
      </c>
      <c r="CB133" s="187">
        <v>0</v>
      </c>
      <c r="CC133" s="187">
        <f t="shared" si="161"/>
        <v>0</v>
      </c>
      <c r="CD133" s="187" t="s">
        <v>613</v>
      </c>
      <c r="CE133" s="189">
        <v>0</v>
      </c>
      <c r="CF133" s="189">
        <v>0</v>
      </c>
      <c r="CG133" s="187" t="s">
        <v>242</v>
      </c>
      <c r="CH133" s="181">
        <v>0</v>
      </c>
      <c r="CI133" s="187">
        <f t="shared" si="162"/>
        <v>0</v>
      </c>
      <c r="CJ133" s="187" t="s">
        <v>614</v>
      </c>
      <c r="CK133" s="189">
        <v>0</v>
      </c>
      <c r="CL133" s="189">
        <v>0</v>
      </c>
      <c r="CM133" s="187" t="s">
        <v>242</v>
      </c>
      <c r="CN133" s="116"/>
      <c r="CO133" s="100">
        <v>0.6</v>
      </c>
      <c r="CP133" s="100">
        <f t="shared" si="158"/>
        <v>0.8</v>
      </c>
      <c r="CQ133" s="100">
        <v>1</v>
      </c>
    </row>
    <row r="134" spans="1:95" s="101" customFormat="1" ht="16.5" customHeight="1" thickBot="1" x14ac:dyDescent="0.3">
      <c r="A134" s="99"/>
      <c r="V134" s="103"/>
      <c r="AA134" s="104"/>
      <c r="AB134" s="104"/>
      <c r="AD134" s="104"/>
      <c r="AE134" s="105"/>
      <c r="AH134" s="106"/>
      <c r="AI134" s="106"/>
      <c r="AK134" s="104"/>
      <c r="AR134" s="104"/>
      <c r="AV134" s="104"/>
      <c r="AX134" s="104"/>
      <c r="BB134" s="104"/>
      <c r="BC134" s="104"/>
      <c r="BE134" s="104"/>
      <c r="BH134" s="99"/>
      <c r="BI134" s="190" t="s">
        <v>1</v>
      </c>
      <c r="BJ134" s="187" t="s">
        <v>615</v>
      </c>
      <c r="BK134" s="213">
        <v>0</v>
      </c>
      <c r="BL134" s="187" t="s">
        <v>612</v>
      </c>
      <c r="BM134" s="189">
        <v>4.3E-3</v>
      </c>
      <c r="BN134" s="189">
        <v>4.3E-3</v>
      </c>
      <c r="BO134" s="188" t="s">
        <v>241</v>
      </c>
      <c r="BP134" s="191">
        <v>442.28840000000002</v>
      </c>
      <c r="BQ134" s="187">
        <f t="shared" si="159"/>
        <v>0.44228840000000003</v>
      </c>
      <c r="BR134" s="187" t="s">
        <v>613</v>
      </c>
      <c r="BS134" s="189">
        <v>0.1</v>
      </c>
      <c r="BT134" s="189">
        <v>1</v>
      </c>
      <c r="BU134" s="187" t="s">
        <v>242</v>
      </c>
      <c r="BV134" s="181">
        <v>58.971800000000002</v>
      </c>
      <c r="BW134" s="187">
        <f t="shared" si="160"/>
        <v>5.8971800000000005E-2</v>
      </c>
      <c r="BX134" s="187" t="s">
        <v>614</v>
      </c>
      <c r="BY134" s="189">
        <v>1.4999999999999999E-2</v>
      </c>
      <c r="BZ134" s="189">
        <v>0.15</v>
      </c>
      <c r="CA134" s="187" t="s">
        <v>242</v>
      </c>
      <c r="CB134" s="187">
        <v>0</v>
      </c>
      <c r="CC134" s="187">
        <f t="shared" si="161"/>
        <v>0</v>
      </c>
      <c r="CD134" s="187" t="s">
        <v>613</v>
      </c>
      <c r="CE134" s="189">
        <v>0</v>
      </c>
      <c r="CF134" s="189">
        <v>0</v>
      </c>
      <c r="CG134" s="187" t="s">
        <v>242</v>
      </c>
      <c r="CH134" s="181">
        <v>0</v>
      </c>
      <c r="CI134" s="187">
        <f t="shared" si="162"/>
        <v>0</v>
      </c>
      <c r="CJ134" s="187" t="s">
        <v>614</v>
      </c>
      <c r="CK134" s="189">
        <v>0</v>
      </c>
      <c r="CL134" s="189">
        <v>0</v>
      </c>
      <c r="CM134" s="187" t="s">
        <v>242</v>
      </c>
      <c r="CN134" s="116"/>
      <c r="CO134" s="100">
        <v>0.6</v>
      </c>
      <c r="CP134" s="100">
        <f t="shared" si="158"/>
        <v>0.8</v>
      </c>
      <c r="CQ134" s="100">
        <v>1</v>
      </c>
    </row>
    <row r="135" spans="1:95" s="101" customFormat="1" ht="16.5" customHeight="1" thickBot="1" x14ac:dyDescent="0.3">
      <c r="A135" s="99"/>
      <c r="V135" s="103"/>
      <c r="AA135" s="104"/>
      <c r="AB135" s="104"/>
      <c r="AD135" s="104"/>
      <c r="AE135" s="105"/>
      <c r="AH135" s="106"/>
      <c r="AI135" s="106"/>
      <c r="AK135" s="104"/>
      <c r="AR135" s="104"/>
      <c r="AV135" s="104"/>
      <c r="AX135" s="104"/>
      <c r="BB135" s="104"/>
      <c r="BC135" s="104"/>
      <c r="BE135" s="104"/>
      <c r="BH135" s="99"/>
      <c r="BI135" s="190" t="s">
        <v>221</v>
      </c>
      <c r="BJ135" s="187" t="s">
        <v>615</v>
      </c>
      <c r="BK135" s="213">
        <v>0</v>
      </c>
      <c r="BL135" s="187" t="s">
        <v>612</v>
      </c>
      <c r="BM135" s="189">
        <v>3.82E-3</v>
      </c>
      <c r="BN135" s="189">
        <v>3.82E-3</v>
      </c>
      <c r="BO135" s="188" t="s">
        <v>241</v>
      </c>
      <c r="BP135" s="191">
        <v>499.19130000000001</v>
      </c>
      <c r="BQ135" s="187">
        <f t="shared" si="159"/>
        <v>0.4991913</v>
      </c>
      <c r="BR135" s="187" t="s">
        <v>613</v>
      </c>
      <c r="BS135" s="189">
        <v>0.1</v>
      </c>
      <c r="BT135" s="189">
        <v>1</v>
      </c>
      <c r="BU135" s="187" t="s">
        <v>242</v>
      </c>
      <c r="BV135" s="181">
        <v>66.558800000000005</v>
      </c>
      <c r="BW135" s="187">
        <f t="shared" si="160"/>
        <v>6.6558800000000001E-2</v>
      </c>
      <c r="BX135" s="187" t="s">
        <v>614</v>
      </c>
      <c r="BY135" s="189">
        <v>1.4999999999999999E-2</v>
      </c>
      <c r="BZ135" s="189">
        <v>0.15</v>
      </c>
      <c r="CA135" s="187" t="s">
        <v>242</v>
      </c>
      <c r="CB135" s="187">
        <v>0</v>
      </c>
      <c r="CC135" s="187">
        <f t="shared" si="161"/>
        <v>0</v>
      </c>
      <c r="CD135" s="187" t="s">
        <v>613</v>
      </c>
      <c r="CE135" s="189">
        <v>0</v>
      </c>
      <c r="CF135" s="189">
        <v>0</v>
      </c>
      <c r="CG135" s="187" t="s">
        <v>242</v>
      </c>
      <c r="CH135" s="181">
        <v>0</v>
      </c>
      <c r="CI135" s="187">
        <f t="shared" si="162"/>
        <v>0</v>
      </c>
      <c r="CJ135" s="187" t="s">
        <v>614</v>
      </c>
      <c r="CK135" s="189">
        <v>0</v>
      </c>
      <c r="CL135" s="189">
        <v>0</v>
      </c>
      <c r="CM135" s="187" t="s">
        <v>242</v>
      </c>
      <c r="CN135" s="117"/>
      <c r="CO135" s="100">
        <v>0.6</v>
      </c>
      <c r="CP135" s="100">
        <f t="shared" si="158"/>
        <v>0.8</v>
      </c>
      <c r="CQ135" s="100">
        <v>1</v>
      </c>
    </row>
    <row r="136" spans="1:95" s="101" customFormat="1" ht="16.5" customHeight="1" thickBot="1" x14ac:dyDescent="0.3">
      <c r="A136" s="99"/>
      <c r="V136" s="103"/>
      <c r="AA136" s="104"/>
      <c r="AB136" s="104"/>
      <c r="AD136" s="104"/>
      <c r="AE136" s="105"/>
      <c r="AH136" s="106"/>
      <c r="AI136" s="106"/>
      <c r="AK136" s="104"/>
      <c r="AR136" s="104"/>
      <c r="AV136" s="104"/>
      <c r="AX136" s="104"/>
      <c r="BB136" s="104"/>
      <c r="BC136" s="104"/>
      <c r="BE136" s="104"/>
      <c r="BH136" s="99"/>
      <c r="BI136" s="190" t="s">
        <v>222</v>
      </c>
      <c r="BJ136" s="187" t="s">
        <v>615</v>
      </c>
      <c r="BK136" s="213">
        <v>0</v>
      </c>
      <c r="BL136" s="187" t="s">
        <v>612</v>
      </c>
      <c r="BM136" s="189">
        <v>3.98E-3</v>
      </c>
      <c r="BN136" s="189">
        <v>3.98E-3</v>
      </c>
      <c r="BO136" s="188" t="s">
        <v>241</v>
      </c>
      <c r="BP136" s="191">
        <v>503.12909999999999</v>
      </c>
      <c r="BQ136" s="187">
        <f t="shared" si="159"/>
        <v>0.5031291</v>
      </c>
      <c r="BR136" s="187" t="s">
        <v>613</v>
      </c>
      <c r="BS136" s="189">
        <v>0.1</v>
      </c>
      <c r="BT136" s="189">
        <v>1</v>
      </c>
      <c r="BU136" s="187" t="s">
        <v>242</v>
      </c>
      <c r="BV136" s="181">
        <v>67.0839</v>
      </c>
      <c r="BW136" s="187">
        <f t="shared" si="160"/>
        <v>6.7083900000000002E-2</v>
      </c>
      <c r="BX136" s="187" t="s">
        <v>614</v>
      </c>
      <c r="BY136" s="189">
        <v>1.4999999999999999E-2</v>
      </c>
      <c r="BZ136" s="189">
        <v>0.15</v>
      </c>
      <c r="CA136" s="187" t="s">
        <v>242</v>
      </c>
      <c r="CB136" s="187">
        <v>0</v>
      </c>
      <c r="CC136" s="187">
        <f t="shared" si="161"/>
        <v>0</v>
      </c>
      <c r="CD136" s="187" t="s">
        <v>613</v>
      </c>
      <c r="CE136" s="189">
        <v>0</v>
      </c>
      <c r="CF136" s="189">
        <v>0</v>
      </c>
      <c r="CG136" s="187" t="s">
        <v>242</v>
      </c>
      <c r="CH136" s="181">
        <v>0</v>
      </c>
      <c r="CI136" s="187">
        <f t="shared" si="162"/>
        <v>0</v>
      </c>
      <c r="CJ136" s="187" t="s">
        <v>614</v>
      </c>
      <c r="CK136" s="189">
        <v>0</v>
      </c>
      <c r="CL136" s="189">
        <v>0</v>
      </c>
      <c r="CM136" s="187" t="s">
        <v>242</v>
      </c>
      <c r="CN136" s="116"/>
      <c r="CO136" s="100">
        <v>0.15</v>
      </c>
      <c r="CP136" s="100">
        <f t="shared" si="158"/>
        <v>0.17499999999999999</v>
      </c>
      <c r="CQ136" s="100">
        <v>0.2</v>
      </c>
    </row>
    <row r="137" spans="1:95" s="101" customFormat="1" ht="16.5" customHeight="1" thickBot="1" x14ac:dyDescent="0.3">
      <c r="A137" s="99"/>
      <c r="V137" s="103"/>
      <c r="AA137" s="104"/>
      <c r="AB137" s="104"/>
      <c r="AD137" s="104"/>
      <c r="AE137" s="105"/>
      <c r="AH137" s="106"/>
      <c r="AI137" s="106"/>
      <c r="AK137" s="104"/>
      <c r="AR137" s="104"/>
      <c r="AV137" s="104"/>
      <c r="AX137" s="104"/>
      <c r="BB137" s="104"/>
      <c r="BC137" s="104"/>
      <c r="BE137" s="104"/>
      <c r="BH137" s="99"/>
      <c r="BI137" s="190" t="s">
        <v>223</v>
      </c>
      <c r="BJ137" s="187" t="s">
        <v>615</v>
      </c>
      <c r="BK137" s="213">
        <v>0</v>
      </c>
      <c r="BL137" s="187" t="s">
        <v>612</v>
      </c>
      <c r="BM137" s="189">
        <v>3.5799999999999998E-3</v>
      </c>
      <c r="BN137" s="189">
        <v>3.5799999999999998E-3</v>
      </c>
      <c r="BO137" s="188" t="s">
        <v>241</v>
      </c>
      <c r="BP137" s="191">
        <v>548.92100000000005</v>
      </c>
      <c r="BQ137" s="187">
        <f t="shared" si="159"/>
        <v>0.5489210000000001</v>
      </c>
      <c r="BR137" s="187" t="s">
        <v>613</v>
      </c>
      <c r="BS137" s="189">
        <v>0.1</v>
      </c>
      <c r="BT137" s="189">
        <v>1</v>
      </c>
      <c r="BU137" s="187" t="s">
        <v>242</v>
      </c>
      <c r="BV137" s="181">
        <v>73.189499999999995</v>
      </c>
      <c r="BW137" s="187">
        <f t="shared" si="160"/>
        <v>7.3189499999999991E-2</v>
      </c>
      <c r="BX137" s="187" t="s">
        <v>614</v>
      </c>
      <c r="BY137" s="189">
        <v>1.4999999999999999E-2</v>
      </c>
      <c r="BZ137" s="189">
        <v>0.15</v>
      </c>
      <c r="CA137" s="187" t="s">
        <v>242</v>
      </c>
      <c r="CB137" s="187">
        <v>0</v>
      </c>
      <c r="CC137" s="187">
        <f t="shared" si="161"/>
        <v>0</v>
      </c>
      <c r="CD137" s="187" t="s">
        <v>613</v>
      </c>
      <c r="CE137" s="189">
        <v>0</v>
      </c>
      <c r="CF137" s="189">
        <v>0</v>
      </c>
      <c r="CG137" s="187" t="s">
        <v>242</v>
      </c>
      <c r="CH137" s="181">
        <v>0</v>
      </c>
      <c r="CI137" s="187">
        <f t="shared" si="162"/>
        <v>0</v>
      </c>
      <c r="CJ137" s="187" t="s">
        <v>614</v>
      </c>
      <c r="CK137" s="189">
        <v>0</v>
      </c>
      <c r="CL137" s="189">
        <v>0</v>
      </c>
      <c r="CM137" s="187" t="s">
        <v>242</v>
      </c>
      <c r="CN137" s="116"/>
      <c r="CO137" s="100"/>
      <c r="CP137" s="100"/>
      <c r="CQ137" s="100"/>
    </row>
    <row r="138" spans="1:95" s="101" customFormat="1" ht="16.5" customHeight="1" thickBot="1" x14ac:dyDescent="0.3">
      <c r="A138" s="99"/>
      <c r="V138" s="103"/>
      <c r="AA138" s="104"/>
      <c r="AB138" s="104"/>
      <c r="AD138" s="104"/>
      <c r="AE138" s="105"/>
      <c r="AH138" s="106"/>
      <c r="AI138" s="106"/>
      <c r="AK138" s="104"/>
      <c r="AR138" s="104"/>
      <c r="AV138" s="104"/>
      <c r="AX138" s="104"/>
      <c r="BB138" s="104"/>
      <c r="BC138" s="104"/>
      <c r="BE138" s="104"/>
      <c r="BH138" s="99"/>
      <c r="BI138" s="190" t="s">
        <v>224</v>
      </c>
      <c r="BJ138" s="187" t="s">
        <v>615</v>
      </c>
      <c r="BK138" s="213">
        <v>0</v>
      </c>
      <c r="BL138" s="187" t="s">
        <v>612</v>
      </c>
      <c r="BM138" s="189">
        <v>4.4900000000000001E-3</v>
      </c>
      <c r="BN138" s="189">
        <v>4.4900000000000001E-3</v>
      </c>
      <c r="BO138" s="188" t="s">
        <v>241</v>
      </c>
      <c r="BP138" s="191">
        <v>448.58819999999997</v>
      </c>
      <c r="BQ138" s="187">
        <f t="shared" si="159"/>
        <v>0.44858819999999999</v>
      </c>
      <c r="BR138" s="187" t="s">
        <v>613</v>
      </c>
      <c r="BS138" s="189">
        <v>0.1</v>
      </c>
      <c r="BT138" s="189">
        <v>1</v>
      </c>
      <c r="BU138" s="187" t="s">
        <v>242</v>
      </c>
      <c r="BV138" s="181">
        <v>59.811799999999998</v>
      </c>
      <c r="BW138" s="187">
        <f t="shared" si="160"/>
        <v>5.9811799999999998E-2</v>
      </c>
      <c r="BX138" s="187" t="s">
        <v>614</v>
      </c>
      <c r="BY138" s="189">
        <v>1.4999999999999999E-2</v>
      </c>
      <c r="BZ138" s="189">
        <v>0.15</v>
      </c>
      <c r="CA138" s="187" t="s">
        <v>242</v>
      </c>
      <c r="CB138" s="187">
        <v>0</v>
      </c>
      <c r="CC138" s="187">
        <f t="shared" si="161"/>
        <v>0</v>
      </c>
      <c r="CD138" s="187" t="s">
        <v>613</v>
      </c>
      <c r="CE138" s="189">
        <v>0</v>
      </c>
      <c r="CF138" s="189">
        <v>0</v>
      </c>
      <c r="CG138" s="187" t="s">
        <v>242</v>
      </c>
      <c r="CH138" s="181">
        <v>0</v>
      </c>
      <c r="CI138" s="187">
        <f t="shared" si="162"/>
        <v>0</v>
      </c>
      <c r="CJ138" s="187" t="s">
        <v>614</v>
      </c>
      <c r="CK138" s="189">
        <v>0</v>
      </c>
      <c r="CL138" s="189">
        <v>0</v>
      </c>
      <c r="CM138" s="187" t="s">
        <v>242</v>
      </c>
      <c r="CN138" s="116"/>
      <c r="CO138" s="100"/>
      <c r="CP138" s="100"/>
      <c r="CQ138" s="100"/>
    </row>
    <row r="139" spans="1:95" s="101" customFormat="1" ht="16.5" customHeight="1" thickBot="1" x14ac:dyDescent="0.3">
      <c r="A139" s="99"/>
      <c r="V139" s="103"/>
      <c r="AA139" s="104"/>
      <c r="AB139" s="104"/>
      <c r="AD139" s="104"/>
      <c r="AE139" s="105"/>
      <c r="AH139" s="106"/>
      <c r="AI139" s="106"/>
      <c r="AK139" s="104"/>
      <c r="AR139" s="104"/>
      <c r="AV139" s="104"/>
      <c r="AX139" s="104"/>
      <c r="BB139" s="104"/>
      <c r="BC139" s="104"/>
      <c r="BE139" s="104"/>
      <c r="BH139" s="99"/>
      <c r="BI139" s="190" t="s">
        <v>225</v>
      </c>
      <c r="BJ139" s="187" t="s">
        <v>615</v>
      </c>
      <c r="BK139" s="213">
        <v>0</v>
      </c>
      <c r="BL139" s="187" t="s">
        <v>612</v>
      </c>
      <c r="BM139" s="189">
        <v>3.0299999999999997E-3</v>
      </c>
      <c r="BN139" s="189">
        <v>3.0299999999999997E-3</v>
      </c>
      <c r="BO139" s="188" t="s">
        <v>241</v>
      </c>
      <c r="BP139" s="191">
        <v>735.18640000000005</v>
      </c>
      <c r="BQ139" s="187">
        <f t="shared" si="159"/>
        <v>0.73518640000000002</v>
      </c>
      <c r="BR139" s="187" t="s">
        <v>613</v>
      </c>
      <c r="BS139" s="189">
        <v>0.1</v>
      </c>
      <c r="BT139" s="189">
        <v>1</v>
      </c>
      <c r="BU139" s="187" t="s">
        <v>242</v>
      </c>
      <c r="BV139" s="181">
        <v>98.024799999999999</v>
      </c>
      <c r="BW139" s="187">
        <f t="shared" si="160"/>
        <v>9.8024799999999995E-2</v>
      </c>
      <c r="BX139" s="187" t="s">
        <v>614</v>
      </c>
      <c r="BY139" s="189">
        <v>1.4999999999999999E-2</v>
      </c>
      <c r="BZ139" s="189">
        <v>0.15</v>
      </c>
      <c r="CA139" s="187" t="s">
        <v>242</v>
      </c>
      <c r="CB139" s="187">
        <v>0</v>
      </c>
      <c r="CC139" s="187">
        <f t="shared" si="161"/>
        <v>0</v>
      </c>
      <c r="CD139" s="187" t="s">
        <v>613</v>
      </c>
      <c r="CE139" s="189">
        <v>0</v>
      </c>
      <c r="CF139" s="189">
        <v>0</v>
      </c>
      <c r="CG139" s="187" t="s">
        <v>242</v>
      </c>
      <c r="CH139" s="181">
        <v>0</v>
      </c>
      <c r="CI139" s="187">
        <f t="shared" si="162"/>
        <v>0</v>
      </c>
      <c r="CJ139" s="187" t="s">
        <v>614</v>
      </c>
      <c r="CK139" s="189">
        <v>0</v>
      </c>
      <c r="CL139" s="189">
        <v>0</v>
      </c>
      <c r="CM139" s="187" t="s">
        <v>242</v>
      </c>
      <c r="CN139" s="116"/>
      <c r="CO139" s="100"/>
      <c r="CP139" s="100"/>
      <c r="CQ139" s="100"/>
    </row>
    <row r="140" spans="1:95" s="101" customFormat="1" ht="16.5" customHeight="1" thickBot="1" x14ac:dyDescent="0.3">
      <c r="A140" s="99"/>
      <c r="V140" s="103"/>
      <c r="AA140" s="104"/>
      <c r="AB140" s="104"/>
      <c r="AD140" s="104"/>
      <c r="AE140" s="105"/>
      <c r="AH140" s="106"/>
      <c r="AI140" s="106"/>
      <c r="AK140" s="104"/>
      <c r="AR140" s="104"/>
      <c r="AV140" s="104"/>
      <c r="AX140" s="104"/>
      <c r="BB140" s="104"/>
      <c r="BC140" s="104"/>
      <c r="BE140" s="104"/>
      <c r="BH140" s="99"/>
      <c r="BI140" s="190" t="s">
        <v>226</v>
      </c>
      <c r="BJ140" s="187" t="s">
        <v>615</v>
      </c>
      <c r="BK140" s="213">
        <v>0</v>
      </c>
      <c r="BL140" s="187" t="s">
        <v>612</v>
      </c>
      <c r="BM140" s="189">
        <v>3.7299999999999998E-3</v>
      </c>
      <c r="BN140" s="189">
        <v>3.7299999999999998E-3</v>
      </c>
      <c r="BO140" s="188" t="s">
        <v>241</v>
      </c>
      <c r="BP140" s="191">
        <v>537.77970000000005</v>
      </c>
      <c r="BQ140" s="187">
        <f t="shared" si="159"/>
        <v>0.53777970000000008</v>
      </c>
      <c r="BR140" s="187" t="s">
        <v>613</v>
      </c>
      <c r="BS140" s="189">
        <v>0.1</v>
      </c>
      <c r="BT140" s="189">
        <v>1</v>
      </c>
      <c r="BU140" s="187" t="s">
        <v>242</v>
      </c>
      <c r="BV140" s="181">
        <v>71.703999999999994</v>
      </c>
      <c r="BW140" s="187">
        <f t="shared" si="160"/>
        <v>7.170399999999999E-2</v>
      </c>
      <c r="BX140" s="187" t="s">
        <v>614</v>
      </c>
      <c r="BY140" s="189">
        <v>1.4999999999999999E-2</v>
      </c>
      <c r="BZ140" s="189">
        <v>0.15</v>
      </c>
      <c r="CA140" s="187" t="s">
        <v>242</v>
      </c>
      <c r="CB140" s="187">
        <v>0</v>
      </c>
      <c r="CC140" s="187">
        <f t="shared" si="161"/>
        <v>0</v>
      </c>
      <c r="CD140" s="187" t="s">
        <v>613</v>
      </c>
      <c r="CE140" s="189">
        <v>0</v>
      </c>
      <c r="CF140" s="189">
        <v>0</v>
      </c>
      <c r="CG140" s="187" t="s">
        <v>242</v>
      </c>
      <c r="CH140" s="181">
        <v>0</v>
      </c>
      <c r="CI140" s="187">
        <f t="shared" si="162"/>
        <v>0</v>
      </c>
      <c r="CJ140" s="187" t="s">
        <v>614</v>
      </c>
      <c r="CK140" s="189">
        <v>0</v>
      </c>
      <c r="CL140" s="189">
        <v>0</v>
      </c>
      <c r="CM140" s="187" t="s">
        <v>242</v>
      </c>
      <c r="CN140" s="116"/>
      <c r="CO140" s="100"/>
      <c r="CP140" s="100"/>
      <c r="CQ140" s="100"/>
    </row>
    <row r="141" spans="1:95" s="101" customFormat="1" ht="16.5" customHeight="1" thickBot="1" x14ac:dyDescent="0.3">
      <c r="A141" s="99"/>
      <c r="V141" s="103"/>
      <c r="AA141" s="104"/>
      <c r="AB141" s="104"/>
      <c r="AD141" s="104"/>
      <c r="AE141" s="105"/>
      <c r="AH141" s="106"/>
      <c r="AI141" s="106"/>
      <c r="AK141" s="104"/>
      <c r="AR141" s="104"/>
      <c r="AV141" s="104"/>
      <c r="AX141" s="104"/>
      <c r="BB141" s="104"/>
      <c r="BC141" s="104"/>
      <c r="BE141" s="104"/>
      <c r="BH141" s="99"/>
      <c r="BI141" s="190" t="s">
        <v>3</v>
      </c>
      <c r="BJ141" s="187" t="s">
        <v>615</v>
      </c>
      <c r="BK141" s="213">
        <v>0</v>
      </c>
      <c r="BL141" s="187" t="s">
        <v>612</v>
      </c>
      <c r="BM141" s="189">
        <v>4.4099999999999999E-3</v>
      </c>
      <c r="BN141" s="189">
        <v>4.4099999999999999E-3</v>
      </c>
      <c r="BO141" s="188" t="s">
        <v>241</v>
      </c>
      <c r="BP141" s="191">
        <v>509.80349999999999</v>
      </c>
      <c r="BQ141" s="187">
        <f t="shared" si="159"/>
        <v>0.50980349999999997</v>
      </c>
      <c r="BR141" s="187" t="s">
        <v>613</v>
      </c>
      <c r="BS141" s="189">
        <v>0.1</v>
      </c>
      <c r="BT141" s="189">
        <v>1</v>
      </c>
      <c r="BU141" s="187" t="s">
        <v>242</v>
      </c>
      <c r="BV141" s="181">
        <v>67.973799999999997</v>
      </c>
      <c r="BW141" s="187">
        <f t="shared" si="160"/>
        <v>6.7973800000000001E-2</v>
      </c>
      <c r="BX141" s="187" t="s">
        <v>614</v>
      </c>
      <c r="BY141" s="189">
        <v>1.4999999999999999E-2</v>
      </c>
      <c r="BZ141" s="189">
        <v>0.15</v>
      </c>
      <c r="CA141" s="187" t="s">
        <v>242</v>
      </c>
      <c r="CB141" s="187">
        <v>0</v>
      </c>
      <c r="CC141" s="187">
        <f t="shared" si="161"/>
        <v>0</v>
      </c>
      <c r="CD141" s="187" t="s">
        <v>613</v>
      </c>
      <c r="CE141" s="189">
        <v>0</v>
      </c>
      <c r="CF141" s="189">
        <v>0</v>
      </c>
      <c r="CG141" s="187" t="s">
        <v>242</v>
      </c>
      <c r="CH141" s="181">
        <v>0</v>
      </c>
      <c r="CI141" s="187">
        <f t="shared" si="162"/>
        <v>0</v>
      </c>
      <c r="CJ141" s="187" t="s">
        <v>614</v>
      </c>
      <c r="CK141" s="189">
        <v>0</v>
      </c>
      <c r="CL141" s="189">
        <v>0</v>
      </c>
      <c r="CM141" s="187" t="s">
        <v>242</v>
      </c>
      <c r="CN141" s="116"/>
      <c r="CO141" s="100">
        <v>0.15</v>
      </c>
      <c r="CP141" s="100">
        <f t="shared" ref="CP141:CP153" si="163">(CO141+CQ141)/2</f>
        <v>0.17499999999999999</v>
      </c>
      <c r="CQ141" s="100">
        <v>0.2</v>
      </c>
    </row>
    <row r="142" spans="1:95" s="101" customFormat="1" ht="16.5" customHeight="1" thickBot="1" x14ac:dyDescent="0.3">
      <c r="A142" s="99"/>
      <c r="V142" s="103"/>
      <c r="AA142" s="104"/>
      <c r="AB142" s="104"/>
      <c r="AD142" s="104"/>
      <c r="AE142" s="105"/>
      <c r="AH142" s="106"/>
      <c r="AI142" s="106"/>
      <c r="AK142" s="104"/>
      <c r="AR142" s="104"/>
      <c r="AV142" s="104"/>
      <c r="AX142" s="104"/>
      <c r="BB142" s="104"/>
      <c r="BC142" s="104"/>
      <c r="BE142" s="104"/>
      <c r="BH142" s="99"/>
      <c r="BI142" s="190" t="s">
        <v>227</v>
      </c>
      <c r="BJ142" s="187" t="s">
        <v>615</v>
      </c>
      <c r="BK142" s="213">
        <v>0</v>
      </c>
      <c r="BL142" s="187" t="s">
        <v>612</v>
      </c>
      <c r="BM142" s="189">
        <v>3.6800000000000001E-3</v>
      </c>
      <c r="BN142" s="189">
        <v>3.6800000000000001E-3</v>
      </c>
      <c r="BO142" s="188" t="s">
        <v>241</v>
      </c>
      <c r="BP142" s="191">
        <v>509.37279999999998</v>
      </c>
      <c r="BQ142" s="187">
        <f t="shared" si="159"/>
        <v>0.50937279999999996</v>
      </c>
      <c r="BR142" s="187" t="s">
        <v>613</v>
      </c>
      <c r="BS142" s="189">
        <v>0.1</v>
      </c>
      <c r="BT142" s="189">
        <v>1</v>
      </c>
      <c r="BU142" s="187" t="s">
        <v>242</v>
      </c>
      <c r="BV142" s="181">
        <v>67.916399999999996</v>
      </c>
      <c r="BW142" s="187">
        <f t="shared" si="160"/>
        <v>6.7916400000000002E-2</v>
      </c>
      <c r="BX142" s="187" t="s">
        <v>614</v>
      </c>
      <c r="BY142" s="189">
        <v>1.4999999999999999E-2</v>
      </c>
      <c r="BZ142" s="189">
        <v>0.15</v>
      </c>
      <c r="CA142" s="187" t="s">
        <v>242</v>
      </c>
      <c r="CB142" s="187">
        <v>0</v>
      </c>
      <c r="CC142" s="187">
        <f t="shared" si="161"/>
        <v>0</v>
      </c>
      <c r="CD142" s="187" t="s">
        <v>613</v>
      </c>
      <c r="CE142" s="189">
        <v>0</v>
      </c>
      <c r="CF142" s="189">
        <v>0</v>
      </c>
      <c r="CG142" s="187" t="s">
        <v>242</v>
      </c>
      <c r="CH142" s="181">
        <v>0</v>
      </c>
      <c r="CI142" s="187">
        <f t="shared" si="162"/>
        <v>0</v>
      </c>
      <c r="CJ142" s="187" t="s">
        <v>614</v>
      </c>
      <c r="CK142" s="189">
        <v>0</v>
      </c>
      <c r="CL142" s="189">
        <v>0</v>
      </c>
      <c r="CM142" s="187" t="s">
        <v>242</v>
      </c>
      <c r="CN142" s="116"/>
      <c r="CO142" s="100">
        <v>0.15</v>
      </c>
      <c r="CP142" s="100">
        <f t="shared" si="163"/>
        <v>0.17499999999999999</v>
      </c>
      <c r="CQ142" s="100">
        <v>0.2</v>
      </c>
    </row>
    <row r="143" spans="1:95" s="101" customFormat="1" ht="16.5" customHeight="1" thickBot="1" x14ac:dyDescent="0.3">
      <c r="A143" s="99"/>
      <c r="V143" s="103"/>
      <c r="AA143" s="104"/>
      <c r="AB143" s="104"/>
      <c r="AD143" s="104"/>
      <c r="AE143" s="105"/>
      <c r="AH143" s="106"/>
      <c r="AI143" s="106"/>
      <c r="AK143" s="104"/>
      <c r="AR143" s="104"/>
      <c r="AV143" s="104"/>
      <c r="AX143" s="104"/>
      <c r="BB143" s="104"/>
      <c r="BC143" s="104"/>
      <c r="BE143" s="104"/>
      <c r="BH143" s="99"/>
      <c r="BI143" s="190" t="s">
        <v>228</v>
      </c>
      <c r="BJ143" s="187" t="s">
        <v>615</v>
      </c>
      <c r="BK143" s="213">
        <v>0</v>
      </c>
      <c r="BL143" s="187" t="s">
        <v>612</v>
      </c>
      <c r="BM143" s="189">
        <v>3.5899999999999999E-3</v>
      </c>
      <c r="BN143" s="189">
        <v>3.5899999999999999E-3</v>
      </c>
      <c r="BO143" s="188" t="s">
        <v>241</v>
      </c>
      <c r="BP143" s="191">
        <v>554.66999999999996</v>
      </c>
      <c r="BQ143" s="187">
        <f t="shared" si="159"/>
        <v>0.55467</v>
      </c>
      <c r="BR143" s="187" t="s">
        <v>613</v>
      </c>
      <c r="BS143" s="189">
        <v>0.1</v>
      </c>
      <c r="BT143" s="189">
        <v>1</v>
      </c>
      <c r="BU143" s="187" t="s">
        <v>242</v>
      </c>
      <c r="BV143" s="181">
        <v>73.956000000000003</v>
      </c>
      <c r="BW143" s="187">
        <f t="shared" si="160"/>
        <v>7.3956000000000008E-2</v>
      </c>
      <c r="BX143" s="187" t="s">
        <v>614</v>
      </c>
      <c r="BY143" s="189">
        <v>1.4999999999999999E-2</v>
      </c>
      <c r="BZ143" s="189">
        <v>0.15</v>
      </c>
      <c r="CA143" s="187" t="s">
        <v>242</v>
      </c>
      <c r="CB143" s="187">
        <v>0</v>
      </c>
      <c r="CC143" s="187">
        <f t="shared" si="161"/>
        <v>0</v>
      </c>
      <c r="CD143" s="187" t="s">
        <v>613</v>
      </c>
      <c r="CE143" s="189">
        <v>0</v>
      </c>
      <c r="CF143" s="189">
        <v>0</v>
      </c>
      <c r="CG143" s="187" t="s">
        <v>242</v>
      </c>
      <c r="CH143" s="181">
        <v>0</v>
      </c>
      <c r="CI143" s="187">
        <f t="shared" si="162"/>
        <v>0</v>
      </c>
      <c r="CJ143" s="187" t="s">
        <v>614</v>
      </c>
      <c r="CK143" s="189">
        <v>0</v>
      </c>
      <c r="CL143" s="189">
        <v>0</v>
      </c>
      <c r="CM143" s="187" t="s">
        <v>242</v>
      </c>
      <c r="CN143" s="116"/>
      <c r="CO143" s="100">
        <v>0.15</v>
      </c>
      <c r="CP143" s="100">
        <f t="shared" si="163"/>
        <v>0.17499999999999999</v>
      </c>
      <c r="CQ143" s="100">
        <v>0.2</v>
      </c>
    </row>
    <row r="144" spans="1:95" s="101" customFormat="1" ht="16.5" customHeight="1" thickBot="1" x14ac:dyDescent="0.3">
      <c r="A144" s="99"/>
      <c r="V144" s="103"/>
      <c r="AA144" s="104"/>
      <c r="AB144" s="104"/>
      <c r="AD144" s="104"/>
      <c r="AE144" s="105"/>
      <c r="AH144" s="106"/>
      <c r="AI144" s="106"/>
      <c r="AK144" s="104"/>
      <c r="AR144" s="104"/>
      <c r="AV144" s="104"/>
      <c r="AX144" s="104"/>
      <c r="BB144" s="104"/>
      <c r="BC144" s="104"/>
      <c r="BE144" s="104"/>
      <c r="BH144" s="99"/>
      <c r="BI144" s="190" t="s">
        <v>229</v>
      </c>
      <c r="BJ144" s="187" t="s">
        <v>615</v>
      </c>
      <c r="BK144" s="213">
        <v>0</v>
      </c>
      <c r="BL144" s="187" t="s">
        <v>612</v>
      </c>
      <c r="BM144" s="189">
        <v>3.4999999999999996E-3</v>
      </c>
      <c r="BN144" s="189">
        <v>3.4999999999999996E-3</v>
      </c>
      <c r="BO144" s="188" t="s">
        <v>241</v>
      </c>
      <c r="BP144" s="191">
        <v>569.07000000000005</v>
      </c>
      <c r="BQ144" s="187">
        <f t="shared" si="159"/>
        <v>0.56907000000000008</v>
      </c>
      <c r="BR144" s="187" t="s">
        <v>613</v>
      </c>
      <c r="BS144" s="189">
        <v>0.1</v>
      </c>
      <c r="BT144" s="189">
        <v>1</v>
      </c>
      <c r="BU144" s="187" t="s">
        <v>242</v>
      </c>
      <c r="BV144" s="181">
        <v>75.876000000000005</v>
      </c>
      <c r="BW144" s="187">
        <f t="shared" si="160"/>
        <v>7.5875999999999999E-2</v>
      </c>
      <c r="BX144" s="187" t="s">
        <v>614</v>
      </c>
      <c r="BY144" s="189">
        <v>1.4999999999999999E-2</v>
      </c>
      <c r="BZ144" s="189">
        <v>0.15</v>
      </c>
      <c r="CA144" s="187" t="s">
        <v>242</v>
      </c>
      <c r="CB144" s="187">
        <v>0</v>
      </c>
      <c r="CC144" s="187">
        <f t="shared" si="161"/>
        <v>0</v>
      </c>
      <c r="CD144" s="187" t="s">
        <v>613</v>
      </c>
      <c r="CE144" s="189">
        <v>0</v>
      </c>
      <c r="CF144" s="189">
        <v>0</v>
      </c>
      <c r="CG144" s="187" t="s">
        <v>242</v>
      </c>
      <c r="CH144" s="181">
        <v>0</v>
      </c>
      <c r="CI144" s="187">
        <f t="shared" si="162"/>
        <v>0</v>
      </c>
      <c r="CJ144" s="187" t="s">
        <v>614</v>
      </c>
      <c r="CK144" s="189">
        <v>0</v>
      </c>
      <c r="CL144" s="189">
        <v>0</v>
      </c>
      <c r="CM144" s="187" t="s">
        <v>242</v>
      </c>
      <c r="CN144" s="116"/>
      <c r="CO144" s="100">
        <v>0.15</v>
      </c>
      <c r="CP144" s="100">
        <f t="shared" si="163"/>
        <v>0.17499999999999999</v>
      </c>
      <c r="CQ144" s="100">
        <v>0.2</v>
      </c>
    </row>
    <row r="145" spans="1:95" s="101" customFormat="1" ht="16.5" customHeight="1" thickBot="1" x14ac:dyDescent="0.3">
      <c r="A145" s="99"/>
      <c r="V145" s="103"/>
      <c r="AA145" s="104"/>
      <c r="AB145" s="104"/>
      <c r="AD145" s="104"/>
      <c r="AE145" s="105"/>
      <c r="AH145" s="106"/>
      <c r="AI145" s="106"/>
      <c r="AK145" s="104"/>
      <c r="AR145" s="104"/>
      <c r="AV145" s="104"/>
      <c r="AX145" s="104"/>
      <c r="BB145" s="104"/>
      <c r="BC145" s="104"/>
      <c r="BE145" s="104"/>
      <c r="BH145" s="99"/>
      <c r="BI145" s="190" t="s">
        <v>230</v>
      </c>
      <c r="BJ145" s="187" t="s">
        <v>615</v>
      </c>
      <c r="BK145" s="213">
        <v>0</v>
      </c>
      <c r="BL145" s="187" t="s">
        <v>612</v>
      </c>
      <c r="BM145" s="189">
        <v>3.5899999999999999E-3</v>
      </c>
      <c r="BN145" s="189">
        <v>3.5899999999999999E-3</v>
      </c>
      <c r="BO145" s="188" t="s">
        <v>241</v>
      </c>
      <c r="BP145" s="191">
        <v>560.82000000000005</v>
      </c>
      <c r="BQ145" s="187">
        <f t="shared" si="159"/>
        <v>0.5608200000000001</v>
      </c>
      <c r="BR145" s="187" t="s">
        <v>613</v>
      </c>
      <c r="BS145" s="189">
        <v>0.1</v>
      </c>
      <c r="BT145" s="189">
        <v>1</v>
      </c>
      <c r="BU145" s="187" t="s">
        <v>242</v>
      </c>
      <c r="BV145" s="181">
        <v>74.775999999999996</v>
      </c>
      <c r="BW145" s="187">
        <f t="shared" si="160"/>
        <v>7.4775999999999995E-2</v>
      </c>
      <c r="BX145" s="187" t="s">
        <v>614</v>
      </c>
      <c r="BY145" s="189">
        <v>1.4999999999999999E-2</v>
      </c>
      <c r="BZ145" s="189">
        <v>0.15</v>
      </c>
      <c r="CA145" s="187" t="s">
        <v>242</v>
      </c>
      <c r="CB145" s="187">
        <v>0</v>
      </c>
      <c r="CC145" s="187">
        <f t="shared" si="161"/>
        <v>0</v>
      </c>
      <c r="CD145" s="187" t="s">
        <v>613</v>
      </c>
      <c r="CE145" s="189">
        <v>0</v>
      </c>
      <c r="CF145" s="189">
        <v>0</v>
      </c>
      <c r="CG145" s="187" t="s">
        <v>242</v>
      </c>
      <c r="CH145" s="181">
        <v>0</v>
      </c>
      <c r="CI145" s="187">
        <f t="shared" si="162"/>
        <v>0</v>
      </c>
      <c r="CJ145" s="187" t="s">
        <v>614</v>
      </c>
      <c r="CK145" s="189">
        <v>0</v>
      </c>
      <c r="CL145" s="189">
        <v>0</v>
      </c>
      <c r="CM145" s="187" t="s">
        <v>242</v>
      </c>
      <c r="CN145" s="116"/>
      <c r="CO145" s="100">
        <v>0.15</v>
      </c>
      <c r="CP145" s="100">
        <f t="shared" si="163"/>
        <v>0.17499999999999999</v>
      </c>
      <c r="CQ145" s="100">
        <v>0.2</v>
      </c>
    </row>
    <row r="146" spans="1:95" s="101" customFormat="1" ht="16.5" customHeight="1" thickBot="1" x14ac:dyDescent="0.3">
      <c r="A146" s="99"/>
      <c r="V146" s="103"/>
      <c r="AA146" s="104"/>
      <c r="AB146" s="104"/>
      <c r="AD146" s="104"/>
      <c r="AE146" s="105"/>
      <c r="AH146" s="106"/>
      <c r="AI146" s="106"/>
      <c r="AK146" s="104"/>
      <c r="AR146" s="104"/>
      <c r="AV146" s="104"/>
      <c r="AX146" s="104"/>
      <c r="BB146" s="104"/>
      <c r="BC146" s="104"/>
      <c r="BE146" s="104"/>
      <c r="BH146" s="99"/>
      <c r="BI146" s="190" t="s">
        <v>231</v>
      </c>
      <c r="BJ146" s="187" t="s">
        <v>615</v>
      </c>
      <c r="BK146" s="213">
        <v>0</v>
      </c>
      <c r="BL146" s="187" t="s">
        <v>612</v>
      </c>
      <c r="BM146" s="189">
        <v>3.6099999999999999E-3</v>
      </c>
      <c r="BN146" s="189">
        <v>3.6099999999999999E-3</v>
      </c>
      <c r="BO146" s="188" t="s">
        <v>241</v>
      </c>
      <c r="BP146" s="191">
        <v>557.46</v>
      </c>
      <c r="BQ146" s="187">
        <f t="shared" si="159"/>
        <v>0.55746000000000007</v>
      </c>
      <c r="BR146" s="187" t="s">
        <v>613</v>
      </c>
      <c r="BS146" s="189">
        <v>0.1</v>
      </c>
      <c r="BT146" s="189">
        <v>1</v>
      </c>
      <c r="BU146" s="187" t="s">
        <v>242</v>
      </c>
      <c r="BV146" s="181">
        <v>74.328000000000003</v>
      </c>
      <c r="BW146" s="187">
        <f t="shared" si="160"/>
        <v>7.4328000000000005E-2</v>
      </c>
      <c r="BX146" s="187" t="s">
        <v>614</v>
      </c>
      <c r="BY146" s="189">
        <v>1.4999999999999999E-2</v>
      </c>
      <c r="BZ146" s="189">
        <v>0.15</v>
      </c>
      <c r="CA146" s="187" t="s">
        <v>242</v>
      </c>
      <c r="CB146" s="187">
        <v>0</v>
      </c>
      <c r="CC146" s="187">
        <f t="shared" si="161"/>
        <v>0</v>
      </c>
      <c r="CD146" s="187" t="s">
        <v>613</v>
      </c>
      <c r="CE146" s="189">
        <v>0</v>
      </c>
      <c r="CF146" s="189">
        <v>0</v>
      </c>
      <c r="CG146" s="187" t="s">
        <v>242</v>
      </c>
      <c r="CH146" s="181">
        <v>0</v>
      </c>
      <c r="CI146" s="187">
        <f t="shared" si="162"/>
        <v>0</v>
      </c>
      <c r="CJ146" s="187" t="s">
        <v>614</v>
      </c>
      <c r="CK146" s="189">
        <v>0</v>
      </c>
      <c r="CL146" s="189">
        <v>0</v>
      </c>
      <c r="CM146" s="187" t="s">
        <v>242</v>
      </c>
      <c r="CN146" s="116"/>
      <c r="CO146" s="100">
        <v>0.15</v>
      </c>
      <c r="CP146" s="100">
        <f t="shared" si="163"/>
        <v>0.17499999999999999</v>
      </c>
      <c r="CQ146" s="100">
        <v>0.2</v>
      </c>
    </row>
    <row r="147" spans="1:95" s="101" customFormat="1" ht="16.5" customHeight="1" thickBot="1" x14ac:dyDescent="0.3">
      <c r="A147" s="99"/>
      <c r="V147" s="103"/>
      <c r="AA147" s="104"/>
      <c r="AB147" s="104"/>
      <c r="AD147" s="104"/>
      <c r="AE147" s="105"/>
      <c r="AH147" s="106"/>
      <c r="AI147" s="106"/>
      <c r="AK147" s="104"/>
      <c r="AR147" s="104"/>
      <c r="AV147" s="104"/>
      <c r="AX147" s="104"/>
      <c r="BB147" s="104"/>
      <c r="BC147" s="104"/>
      <c r="BE147" s="104"/>
      <c r="BH147" s="99"/>
      <c r="BI147" s="190" t="s">
        <v>372</v>
      </c>
      <c r="BJ147" s="187" t="s">
        <v>615</v>
      </c>
      <c r="BK147" s="181">
        <v>2941.7959999999998</v>
      </c>
      <c r="BL147" s="187" t="s">
        <v>612</v>
      </c>
      <c r="BM147" s="189">
        <v>2.2100000000000002E-3</v>
      </c>
      <c r="BN147" s="189">
        <v>2.2100000000000002E-3</v>
      </c>
      <c r="BO147" s="188" t="s">
        <v>241</v>
      </c>
      <c r="BP147" s="191">
        <v>1137.6222</v>
      </c>
      <c r="BQ147" s="187">
        <f t="shared" si="159"/>
        <v>1.1376222</v>
      </c>
      <c r="BR147" s="187" t="s">
        <v>613</v>
      </c>
      <c r="BS147" s="189">
        <v>3.0000000000000001E-3</v>
      </c>
      <c r="BT147" s="189">
        <v>0.03</v>
      </c>
      <c r="BU147" s="187" t="s">
        <v>242</v>
      </c>
      <c r="BV147" s="181">
        <v>3.7921</v>
      </c>
      <c r="BW147" s="187">
        <f t="shared" si="160"/>
        <v>3.7921000000000001E-3</v>
      </c>
      <c r="BX147" s="187" t="s">
        <v>614</v>
      </c>
      <c r="BY147" s="189">
        <v>3.0000000000000001E-3</v>
      </c>
      <c r="BZ147" s="189">
        <v>1.4999999999999999E-2</v>
      </c>
      <c r="CA147" s="187" t="s">
        <v>242</v>
      </c>
      <c r="CB147" s="187">
        <v>0</v>
      </c>
      <c r="CC147" s="187">
        <f t="shared" si="161"/>
        <v>0</v>
      </c>
      <c r="CD147" s="187" t="s">
        <v>613</v>
      </c>
      <c r="CE147" s="189">
        <v>0</v>
      </c>
      <c r="CF147" s="189">
        <v>0</v>
      </c>
      <c r="CG147" s="187" t="s">
        <v>242</v>
      </c>
      <c r="CH147" s="181">
        <v>0</v>
      </c>
      <c r="CI147" s="187">
        <f t="shared" si="162"/>
        <v>0</v>
      </c>
      <c r="CJ147" s="187" t="s">
        <v>614</v>
      </c>
      <c r="CK147" s="189">
        <v>0</v>
      </c>
      <c r="CL147" s="189">
        <v>0</v>
      </c>
      <c r="CM147" s="187" t="s">
        <v>242</v>
      </c>
      <c r="CN147" s="116"/>
      <c r="CO147" s="100">
        <v>0.15</v>
      </c>
      <c r="CP147" s="100">
        <f t="shared" si="163"/>
        <v>0.17499999999999999</v>
      </c>
      <c r="CQ147" s="100">
        <v>0.2</v>
      </c>
    </row>
    <row r="148" spans="1:95" s="101" customFormat="1" ht="16.5" customHeight="1" x14ac:dyDescent="0.25">
      <c r="A148" s="99"/>
      <c r="V148" s="103"/>
      <c r="AA148" s="104"/>
      <c r="AB148" s="104"/>
      <c r="AD148" s="104"/>
      <c r="AE148" s="105"/>
      <c r="AH148" s="106"/>
      <c r="AI148" s="106"/>
      <c r="AK148" s="104"/>
      <c r="AR148" s="104"/>
      <c r="AV148" s="104"/>
      <c r="AX148" s="104"/>
      <c r="BB148" s="104"/>
      <c r="BC148" s="104"/>
      <c r="BE148" s="104"/>
      <c r="BH148" s="99"/>
      <c r="BI148" s="102"/>
      <c r="BJ148" s="178"/>
      <c r="BK148" s="178"/>
      <c r="BL148" s="178"/>
      <c r="BM148" s="169"/>
      <c r="BN148" s="169"/>
      <c r="BO148" s="169"/>
      <c r="BP148" s="192"/>
      <c r="BQ148" s="192"/>
      <c r="BR148" s="192"/>
      <c r="BS148" s="192"/>
      <c r="BT148" s="192"/>
      <c r="BU148" s="192"/>
      <c r="BV148" s="178"/>
      <c r="BW148" s="192"/>
      <c r="BX148" s="192"/>
      <c r="BY148" s="178"/>
      <c r="BZ148" s="178"/>
      <c r="CA148" s="178"/>
      <c r="CB148" s="180"/>
      <c r="CC148" s="192"/>
      <c r="CD148" s="192"/>
      <c r="CE148" s="180"/>
      <c r="CF148" s="180"/>
      <c r="CG148" s="180"/>
      <c r="CH148" s="180"/>
      <c r="CI148" s="192"/>
      <c r="CJ148" s="192"/>
      <c r="CK148" s="180"/>
      <c r="CL148" s="180"/>
      <c r="CM148" s="180"/>
      <c r="CN148" s="116"/>
      <c r="CO148" s="100">
        <v>0.6</v>
      </c>
      <c r="CP148" s="100">
        <f t="shared" si="163"/>
        <v>0.8</v>
      </c>
      <c r="CQ148" s="100">
        <v>1</v>
      </c>
    </row>
    <row r="149" spans="1:95" s="101" customFormat="1" ht="16.5" customHeight="1" thickBot="1" x14ac:dyDescent="0.3">
      <c r="A149" s="99"/>
      <c r="V149" s="103"/>
      <c r="AA149" s="104"/>
      <c r="AB149" s="104"/>
      <c r="AD149" s="104"/>
      <c r="AE149" s="105"/>
      <c r="AH149" s="106"/>
      <c r="AI149" s="106"/>
      <c r="AK149" s="104"/>
      <c r="AR149" s="104"/>
      <c r="AV149" s="104"/>
      <c r="AX149" s="104"/>
      <c r="BB149" s="104"/>
      <c r="BC149" s="104"/>
      <c r="BE149" s="104"/>
      <c r="BH149" s="99"/>
      <c r="BI149" s="102"/>
      <c r="BJ149" s="178"/>
      <c r="BK149" s="178"/>
      <c r="BL149" s="178"/>
      <c r="BM149" s="169"/>
      <c r="BN149" s="169"/>
      <c r="BO149" s="169"/>
      <c r="BP149" s="192"/>
      <c r="BQ149" s="192"/>
      <c r="BR149" s="192"/>
      <c r="BS149" s="192"/>
      <c r="BT149" s="192"/>
      <c r="BU149" s="192"/>
      <c r="BV149" s="178"/>
      <c r="BW149" s="192"/>
      <c r="BX149" s="192"/>
      <c r="BY149" s="178"/>
      <c r="BZ149" s="178"/>
      <c r="CA149" s="178"/>
      <c r="CB149" s="180"/>
      <c r="CC149" s="192"/>
      <c r="CD149" s="192"/>
      <c r="CE149" s="180"/>
      <c r="CF149" s="180"/>
      <c r="CG149" s="180"/>
      <c r="CH149" s="180"/>
      <c r="CI149" s="192"/>
      <c r="CJ149" s="192"/>
      <c r="CK149" s="180"/>
      <c r="CL149" s="180"/>
      <c r="CM149" s="180"/>
      <c r="CN149" s="116"/>
      <c r="CO149" s="100">
        <v>0.6</v>
      </c>
      <c r="CP149" s="100">
        <f t="shared" si="163"/>
        <v>0.8</v>
      </c>
      <c r="CQ149" s="100">
        <v>1</v>
      </c>
    </row>
    <row r="150" spans="1:95" s="101" customFormat="1" ht="26.25" customHeight="1" thickBot="1" x14ac:dyDescent="0.3">
      <c r="A150" s="99"/>
      <c r="V150" s="103"/>
      <c r="AA150" s="104"/>
      <c r="AB150" s="104"/>
      <c r="AD150" s="104"/>
      <c r="AE150" s="105"/>
      <c r="AH150" s="106"/>
      <c r="AI150" s="106"/>
      <c r="AK150" s="104"/>
      <c r="AR150" s="104"/>
      <c r="AV150" s="104"/>
      <c r="AX150" s="104"/>
      <c r="BB150" s="104"/>
      <c r="BC150" s="104"/>
      <c r="BE150" s="104"/>
      <c r="BH150" s="99"/>
      <c r="BI150" s="1606" t="s">
        <v>232</v>
      </c>
      <c r="BJ150" s="251"/>
      <c r="BK150" s="1606" t="s">
        <v>267</v>
      </c>
      <c r="BL150" s="251"/>
      <c r="BM150" s="1606" t="s">
        <v>233</v>
      </c>
      <c r="BN150" s="1606" t="s">
        <v>233</v>
      </c>
      <c r="BO150" s="1606" t="s">
        <v>240</v>
      </c>
      <c r="BP150" s="1608" t="s">
        <v>172</v>
      </c>
      <c r="BQ150" s="1609"/>
      <c r="BR150" s="1609"/>
      <c r="BS150" s="1609"/>
      <c r="BT150" s="1609"/>
      <c r="BU150" s="1609"/>
      <c r="BV150" s="1609"/>
      <c r="BW150" s="1609"/>
      <c r="BX150" s="1609"/>
      <c r="BY150" s="1609"/>
      <c r="BZ150" s="1609"/>
      <c r="CA150" s="1610"/>
      <c r="CB150" s="1608" t="s">
        <v>173</v>
      </c>
      <c r="CC150" s="1609"/>
      <c r="CD150" s="1609"/>
      <c r="CE150" s="1609"/>
      <c r="CF150" s="1609"/>
      <c r="CG150" s="1609"/>
      <c r="CH150" s="1609"/>
      <c r="CI150" s="1609"/>
      <c r="CJ150" s="1609"/>
      <c r="CK150" s="1609"/>
      <c r="CL150" s="1609"/>
      <c r="CM150" s="1610"/>
      <c r="CN150" s="116"/>
      <c r="CO150" s="100">
        <v>0.15</v>
      </c>
      <c r="CP150" s="100">
        <f t="shared" si="163"/>
        <v>0.17499999999999999</v>
      </c>
      <c r="CQ150" s="100">
        <v>0.2</v>
      </c>
    </row>
    <row r="151" spans="1:95" s="101" customFormat="1" ht="58.5" customHeight="1" thickBot="1" x14ac:dyDescent="0.3">
      <c r="A151" s="99"/>
      <c r="V151" s="103"/>
      <c r="AA151" s="104"/>
      <c r="AB151" s="104"/>
      <c r="AD151" s="104"/>
      <c r="AE151" s="105"/>
      <c r="AH151" s="106"/>
      <c r="AI151" s="106"/>
      <c r="AK151" s="104"/>
      <c r="AR151" s="104"/>
      <c r="AV151" s="104"/>
      <c r="AX151" s="104"/>
      <c r="BB151" s="104"/>
      <c r="BC151" s="104"/>
      <c r="BE151" s="104"/>
      <c r="BH151" s="99"/>
      <c r="BI151" s="1607"/>
      <c r="BJ151" s="252" t="s">
        <v>253</v>
      </c>
      <c r="BK151" s="1607"/>
      <c r="BL151" s="252" t="s">
        <v>251</v>
      </c>
      <c r="BM151" s="1607"/>
      <c r="BN151" s="1607"/>
      <c r="BO151" s="1607"/>
      <c r="BP151" s="185" t="s">
        <v>268</v>
      </c>
      <c r="BQ151" s="185" t="s">
        <v>269</v>
      </c>
      <c r="BR151" s="252" t="s">
        <v>251</v>
      </c>
      <c r="BS151" s="185" t="s">
        <v>233</v>
      </c>
      <c r="BT151" s="185" t="s">
        <v>233</v>
      </c>
      <c r="BU151" s="185" t="s">
        <v>240</v>
      </c>
      <c r="BV151" s="185" t="s">
        <v>270</v>
      </c>
      <c r="BW151" s="185" t="s">
        <v>271</v>
      </c>
      <c r="BX151" s="252" t="s">
        <v>251</v>
      </c>
      <c r="BY151" s="185" t="s">
        <v>233</v>
      </c>
      <c r="BZ151" s="185" t="s">
        <v>233</v>
      </c>
      <c r="CA151" s="185" t="s">
        <v>240</v>
      </c>
      <c r="CB151" s="185" t="s">
        <v>268</v>
      </c>
      <c r="CC151" s="185" t="s">
        <v>269</v>
      </c>
      <c r="CD151" s="252" t="s">
        <v>251</v>
      </c>
      <c r="CE151" s="185" t="s">
        <v>233</v>
      </c>
      <c r="CF151" s="185" t="s">
        <v>233</v>
      </c>
      <c r="CG151" s="185" t="s">
        <v>240</v>
      </c>
      <c r="CH151" s="185" t="s">
        <v>270</v>
      </c>
      <c r="CI151" s="185" t="s">
        <v>271</v>
      </c>
      <c r="CJ151" s="252" t="s">
        <v>251</v>
      </c>
      <c r="CK151" s="185" t="s">
        <v>233</v>
      </c>
      <c r="CL151" s="185" t="s">
        <v>233</v>
      </c>
      <c r="CM151" s="185" t="s">
        <v>240</v>
      </c>
      <c r="CN151" s="116"/>
      <c r="CO151" s="100">
        <v>0.15</v>
      </c>
      <c r="CP151" s="100">
        <f t="shared" si="163"/>
        <v>0.17499999999999999</v>
      </c>
      <c r="CQ151" s="100">
        <v>0.2</v>
      </c>
    </row>
    <row r="152" spans="1:95" s="101" customFormat="1" ht="16.5" customHeight="1" thickBot="1" x14ac:dyDescent="0.3">
      <c r="A152" s="99"/>
      <c r="V152" s="103"/>
      <c r="AA152" s="104"/>
      <c r="AB152" s="104"/>
      <c r="AD152" s="148"/>
      <c r="AE152" s="105"/>
      <c r="AH152" s="106"/>
      <c r="AI152" s="106"/>
      <c r="AK152" s="148"/>
      <c r="AR152" s="148"/>
      <c r="AV152" s="104"/>
      <c r="AX152" s="148"/>
      <c r="BB152" s="104"/>
      <c r="BC152" s="104"/>
      <c r="BD152" s="119"/>
      <c r="BE152" s="148"/>
      <c r="BH152" s="99"/>
      <c r="BI152" s="190" t="s">
        <v>563</v>
      </c>
      <c r="BJ152" s="181" t="s">
        <v>252</v>
      </c>
      <c r="BK152" s="181">
        <v>10.148999999999999</v>
      </c>
      <c r="BL152" s="187" t="s">
        <v>405</v>
      </c>
      <c r="BM152" s="189">
        <v>2.0499999999999997E-3</v>
      </c>
      <c r="BN152" s="189">
        <v>2.0499999999999997E-3</v>
      </c>
      <c r="BO152" s="188" t="s">
        <v>241</v>
      </c>
      <c r="BP152" s="181">
        <v>0.01</v>
      </c>
      <c r="BQ152" s="191">
        <f>BP152/1000</f>
        <v>1.0000000000000001E-5</v>
      </c>
      <c r="BR152" s="187" t="s">
        <v>406</v>
      </c>
      <c r="BS152" s="189">
        <v>0.01</v>
      </c>
      <c r="BT152" s="189">
        <v>0.1</v>
      </c>
      <c r="BU152" s="187" t="s">
        <v>242</v>
      </c>
      <c r="BV152" s="181">
        <v>6.0000000000000001E-3</v>
      </c>
      <c r="BW152" s="191">
        <f>BV152/1000</f>
        <v>6.0000000000000002E-6</v>
      </c>
      <c r="BX152" s="187" t="s">
        <v>407</v>
      </c>
      <c r="BY152" s="189">
        <v>2E-3</v>
      </c>
      <c r="BZ152" s="189">
        <v>0.02</v>
      </c>
      <c r="CA152" s="187" t="s">
        <v>242</v>
      </c>
      <c r="CB152" s="181">
        <v>3.6999999999999998E-2</v>
      </c>
      <c r="CC152" s="191">
        <f>CB152/1000</f>
        <v>3.6999999999999998E-5</v>
      </c>
      <c r="CD152" s="187" t="s">
        <v>406</v>
      </c>
      <c r="CE152" s="189">
        <v>1.6E-2</v>
      </c>
      <c r="CF152" s="189">
        <v>9.5000000000000001E-2</v>
      </c>
      <c r="CG152" s="187" t="s">
        <v>242</v>
      </c>
      <c r="CH152" s="181">
        <v>3.6999999999999998E-2</v>
      </c>
      <c r="CI152" s="191">
        <f>CH152/1000</f>
        <v>3.6999999999999998E-5</v>
      </c>
      <c r="CJ152" s="187" t="s">
        <v>407</v>
      </c>
      <c r="CK152" s="189">
        <v>1.2999999999999999E-2</v>
      </c>
      <c r="CL152" s="189">
        <v>0.12</v>
      </c>
      <c r="CM152" s="187" t="s">
        <v>242</v>
      </c>
      <c r="CN152" s="116"/>
      <c r="CO152" s="100">
        <v>0.15</v>
      </c>
      <c r="CP152" s="100">
        <f t="shared" si="163"/>
        <v>0.17499999999999999</v>
      </c>
      <c r="CQ152" s="100">
        <v>0.2</v>
      </c>
    </row>
    <row r="153" spans="1:95" s="101" customFormat="1" ht="16.5" customHeight="1" thickBot="1" x14ac:dyDescent="0.3">
      <c r="A153" s="99"/>
      <c r="V153" s="103"/>
      <c r="AA153" s="104"/>
      <c r="AB153" s="104"/>
      <c r="AD153" s="148"/>
      <c r="AE153" s="105"/>
      <c r="AH153" s="106"/>
      <c r="AI153" s="106"/>
      <c r="AK153" s="148"/>
      <c r="AR153" s="148"/>
      <c r="AV153" s="104"/>
      <c r="AX153" s="148"/>
      <c r="BB153" s="104"/>
      <c r="BC153" s="104"/>
      <c r="BD153" s="119"/>
      <c r="BE153" s="148"/>
      <c r="BH153" s="99"/>
      <c r="BI153" s="190" t="s">
        <v>367</v>
      </c>
      <c r="BJ153" s="181" t="s">
        <v>252</v>
      </c>
      <c r="BK153" s="181">
        <v>8.8085000000000004</v>
      </c>
      <c r="BL153" s="187" t="s">
        <v>405</v>
      </c>
      <c r="BM153" s="189">
        <v>2.0300000000000001E-3</v>
      </c>
      <c r="BN153" s="189">
        <v>2.0300000000000001E-3</v>
      </c>
      <c r="BO153" s="188" t="s">
        <v>241</v>
      </c>
      <c r="BP153" s="181">
        <v>2.6599999999999999E-2</v>
      </c>
      <c r="BQ153" s="191">
        <f>BP153/1000</f>
        <v>2.6599999999999999E-5</v>
      </c>
      <c r="BR153" s="187" t="s">
        <v>406</v>
      </c>
      <c r="BS153" s="189">
        <v>0.01</v>
      </c>
      <c r="BT153" s="189">
        <v>0.1</v>
      </c>
      <c r="BU153" s="187" t="s">
        <v>242</v>
      </c>
      <c r="BV153" s="181">
        <v>5.3E-3</v>
      </c>
      <c r="BW153" s="191">
        <f>BV153/1000</f>
        <v>5.3000000000000001E-6</v>
      </c>
      <c r="BX153" s="187" t="s">
        <v>407</v>
      </c>
      <c r="BY153" s="189">
        <v>2E-3</v>
      </c>
      <c r="BZ153" s="189">
        <v>0.02</v>
      </c>
      <c r="CA153" s="187" t="s">
        <v>242</v>
      </c>
      <c r="CB153" s="181">
        <v>0.29260000000000003</v>
      </c>
      <c r="CC153" s="191">
        <f>CB153/1000</f>
        <v>2.9260000000000001E-4</v>
      </c>
      <c r="CD153" s="187" t="s">
        <v>406</v>
      </c>
      <c r="CE153" s="189">
        <v>9.6000000000000002E-2</v>
      </c>
      <c r="CF153" s="189">
        <v>1.1000000000000001</v>
      </c>
      <c r="CG153" s="187" t="s">
        <v>242</v>
      </c>
      <c r="CH153" s="181">
        <v>2.8400000000000002E-2</v>
      </c>
      <c r="CI153" s="191">
        <f>CH153/1000</f>
        <v>2.8400000000000003E-5</v>
      </c>
      <c r="CJ153" s="187" t="s">
        <v>407</v>
      </c>
      <c r="CK153" s="189">
        <v>9.5999999999999992E-3</v>
      </c>
      <c r="CL153" s="189">
        <v>0.11</v>
      </c>
      <c r="CM153" s="187" t="s">
        <v>242</v>
      </c>
      <c r="CN153" s="116"/>
      <c r="CO153" s="100">
        <v>0.15</v>
      </c>
      <c r="CP153" s="100">
        <f t="shared" si="163"/>
        <v>0.17499999999999999</v>
      </c>
      <c r="CQ153" s="100">
        <v>0.2</v>
      </c>
    </row>
    <row r="154" spans="1:95" s="101" customFormat="1" ht="16.5" customHeight="1" thickBot="1" x14ac:dyDescent="0.3">
      <c r="A154" s="99"/>
      <c r="V154" s="103"/>
      <c r="AA154" s="104"/>
      <c r="AB154" s="104"/>
      <c r="AD154" s="104"/>
      <c r="AE154" s="105"/>
      <c r="AH154" s="106"/>
      <c r="AI154" s="106"/>
      <c r="AK154" s="104"/>
      <c r="AR154" s="104"/>
      <c r="AV154" s="104"/>
      <c r="AX154" s="104"/>
      <c r="BB154" s="104"/>
      <c r="BC154" s="104"/>
      <c r="BE154" s="104"/>
      <c r="BH154" s="99"/>
      <c r="BI154" s="186" t="s">
        <v>234</v>
      </c>
      <c r="BJ154" s="181" t="s">
        <v>252</v>
      </c>
      <c r="BK154" s="181">
        <v>9.6232000000000006</v>
      </c>
      <c r="BL154" s="187" t="s">
        <v>405</v>
      </c>
      <c r="BM154" s="189">
        <v>2.0399999999999997E-3</v>
      </c>
      <c r="BN154" s="189">
        <v>2.0399999999999997E-3</v>
      </c>
      <c r="BO154" s="188" t="s">
        <v>241</v>
      </c>
      <c r="BP154" s="191">
        <v>2.7199999999999998E-2</v>
      </c>
      <c r="BQ154" s="191">
        <f>BP154/1000</f>
        <v>2.7199999999999997E-5</v>
      </c>
      <c r="BR154" s="187" t="s">
        <v>406</v>
      </c>
      <c r="BS154" s="189">
        <v>0.01</v>
      </c>
      <c r="BT154" s="189">
        <v>0.1</v>
      </c>
      <c r="BU154" s="187" t="s">
        <v>242</v>
      </c>
      <c r="BV154" s="181">
        <v>5.4000000000000003E-3</v>
      </c>
      <c r="BW154" s="191">
        <f>BV154/1000</f>
        <v>5.4E-6</v>
      </c>
      <c r="BX154" s="187" t="s">
        <v>407</v>
      </c>
      <c r="BY154" s="189">
        <v>2E-3</v>
      </c>
      <c r="BZ154" s="189">
        <v>0.02</v>
      </c>
      <c r="CA154" s="187" t="s">
        <v>242</v>
      </c>
      <c r="CB154" s="193">
        <v>0</v>
      </c>
      <c r="CC154" s="193">
        <f>CB154/1000</f>
        <v>0</v>
      </c>
      <c r="CD154" s="187" t="s">
        <v>406</v>
      </c>
      <c r="CE154" s="189">
        <v>0</v>
      </c>
      <c r="CF154" s="189">
        <v>0</v>
      </c>
      <c r="CG154" s="187" t="s">
        <v>242</v>
      </c>
      <c r="CH154" s="194">
        <v>0</v>
      </c>
      <c r="CI154" s="193">
        <f>CH154/1000</f>
        <v>0</v>
      </c>
      <c r="CJ154" s="187" t="s">
        <v>407</v>
      </c>
      <c r="CK154" s="189">
        <v>0</v>
      </c>
      <c r="CL154" s="189">
        <v>0</v>
      </c>
      <c r="CM154" s="187" t="s">
        <v>242</v>
      </c>
      <c r="CN154" s="116"/>
      <c r="CO154" s="100"/>
      <c r="CP154" s="100"/>
      <c r="CQ154" s="100"/>
    </row>
    <row r="155" spans="1:95" s="101" customFormat="1" ht="16.5" customHeight="1" thickBot="1" x14ac:dyDescent="0.3">
      <c r="A155" s="99"/>
      <c r="V155" s="103"/>
      <c r="AA155" s="104"/>
      <c r="AB155" s="104"/>
      <c r="AD155" s="148"/>
      <c r="AE155" s="105"/>
      <c r="AH155" s="106"/>
      <c r="AI155" s="106"/>
      <c r="AK155" s="148"/>
      <c r="AR155" s="148"/>
      <c r="AV155" s="104"/>
      <c r="AX155" s="148"/>
      <c r="BB155" s="104"/>
      <c r="BC155" s="104"/>
      <c r="BD155" s="119"/>
      <c r="BE155" s="148"/>
      <c r="BH155" s="99"/>
      <c r="BI155" s="190" t="s">
        <v>123</v>
      </c>
      <c r="BJ155" s="181" t="s">
        <v>252</v>
      </c>
      <c r="BK155" s="181">
        <v>11.624599999999999</v>
      </c>
      <c r="BL155" s="187" t="s">
        <v>405</v>
      </c>
      <c r="BM155" s="189">
        <v>2.0699999999999998E-3</v>
      </c>
      <c r="BN155" s="189">
        <v>2.0699999999999998E-3</v>
      </c>
      <c r="BO155" s="188" t="s">
        <v>241</v>
      </c>
      <c r="BP155" s="181">
        <v>3.0200000000000001E-2</v>
      </c>
      <c r="BQ155" s="191">
        <f t="shared" ref="BQ155:BQ164" si="164">BP155/1000</f>
        <v>3.0200000000000002E-5</v>
      </c>
      <c r="BR155" s="187" t="s">
        <v>406</v>
      </c>
      <c r="BS155" s="189">
        <v>0.01</v>
      </c>
      <c r="BT155" s="189">
        <v>0.1</v>
      </c>
      <c r="BU155" s="187" t="s">
        <v>242</v>
      </c>
      <c r="BV155" s="181">
        <v>6.0000000000000001E-3</v>
      </c>
      <c r="BW155" s="191">
        <f t="shared" ref="BW155:BW164" si="165">BV155/1000</f>
        <v>6.0000000000000002E-6</v>
      </c>
      <c r="BX155" s="187" t="s">
        <v>407</v>
      </c>
      <c r="BY155" s="189">
        <v>2E-3</v>
      </c>
      <c r="BZ155" s="189">
        <v>0.02</v>
      </c>
      <c r="CA155" s="187" t="s">
        <v>242</v>
      </c>
      <c r="CB155" s="194">
        <v>0</v>
      </c>
      <c r="CC155" s="193">
        <f t="shared" ref="CC155:CC164" si="166">CB155/1000</f>
        <v>0</v>
      </c>
      <c r="CD155" s="187" t="s">
        <v>406</v>
      </c>
      <c r="CE155" s="189">
        <v>0</v>
      </c>
      <c r="CF155" s="189">
        <v>0</v>
      </c>
      <c r="CG155" s="187" t="s">
        <v>242</v>
      </c>
      <c r="CH155" s="194">
        <v>0</v>
      </c>
      <c r="CI155" s="193">
        <f t="shared" ref="CI155:CI164" si="167">CH155/1000</f>
        <v>0</v>
      </c>
      <c r="CJ155" s="187" t="s">
        <v>407</v>
      </c>
      <c r="CK155" s="189">
        <v>0</v>
      </c>
      <c r="CL155" s="189">
        <v>0</v>
      </c>
      <c r="CM155" s="187" t="s">
        <v>242</v>
      </c>
      <c r="CN155" s="116"/>
      <c r="CO155" s="100"/>
      <c r="CP155" s="100"/>
      <c r="CQ155" s="100"/>
    </row>
    <row r="156" spans="1:95" s="101" customFormat="1" ht="16.5" customHeight="1" thickBot="1" x14ac:dyDescent="0.3">
      <c r="A156" s="99"/>
      <c r="V156" s="103"/>
      <c r="AA156" s="104"/>
      <c r="AB156" s="104"/>
      <c r="AD156" s="148"/>
      <c r="AE156" s="105"/>
      <c r="AH156" s="106"/>
      <c r="AI156" s="106"/>
      <c r="AK156" s="148"/>
      <c r="AR156" s="148"/>
      <c r="AV156" s="104"/>
      <c r="AX156" s="148"/>
      <c r="BB156" s="104"/>
      <c r="BC156" s="104"/>
      <c r="BD156" s="119"/>
      <c r="BE156" s="148"/>
      <c r="BH156" s="99"/>
      <c r="BI156" s="190" t="s">
        <v>0</v>
      </c>
      <c r="BJ156" s="181" t="s">
        <v>252</v>
      </c>
      <c r="BK156" s="181">
        <v>11.2818</v>
      </c>
      <c r="BL156" s="187" t="s">
        <v>405</v>
      </c>
      <c r="BM156" s="189">
        <v>2.0599999999999998E-3</v>
      </c>
      <c r="BN156" s="189">
        <v>2.0599999999999998E-3</v>
      </c>
      <c r="BO156" s="188" t="s">
        <v>241</v>
      </c>
      <c r="BP156" s="181">
        <v>3.0300000000000001E-2</v>
      </c>
      <c r="BQ156" s="191">
        <f t="shared" si="164"/>
        <v>3.0300000000000001E-5</v>
      </c>
      <c r="BR156" s="187" t="s">
        <v>406</v>
      </c>
      <c r="BS156" s="189">
        <v>0.01</v>
      </c>
      <c r="BT156" s="189">
        <v>0.1</v>
      </c>
      <c r="BU156" s="187" t="s">
        <v>242</v>
      </c>
      <c r="BV156" s="181">
        <v>6.1000000000000004E-3</v>
      </c>
      <c r="BW156" s="191">
        <f t="shared" si="165"/>
        <v>6.1E-6</v>
      </c>
      <c r="BX156" s="187" t="s">
        <v>407</v>
      </c>
      <c r="BY156" s="189">
        <v>2E-3</v>
      </c>
      <c r="BZ156" s="189">
        <v>0.02</v>
      </c>
      <c r="CA156" s="187" t="s">
        <v>242</v>
      </c>
      <c r="CB156" s="194">
        <v>0</v>
      </c>
      <c r="CC156" s="193">
        <f t="shared" si="166"/>
        <v>0</v>
      </c>
      <c r="CD156" s="187" t="s">
        <v>406</v>
      </c>
      <c r="CE156" s="189">
        <v>0</v>
      </c>
      <c r="CF156" s="189">
        <v>0</v>
      </c>
      <c r="CG156" s="187" t="s">
        <v>242</v>
      </c>
      <c r="CH156" s="194">
        <v>0</v>
      </c>
      <c r="CI156" s="193">
        <f t="shared" si="167"/>
        <v>0</v>
      </c>
      <c r="CJ156" s="187" t="s">
        <v>407</v>
      </c>
      <c r="CK156" s="189">
        <v>0</v>
      </c>
      <c r="CL156" s="189">
        <v>0</v>
      </c>
      <c r="CM156" s="187" t="s">
        <v>242</v>
      </c>
      <c r="CN156" s="116"/>
      <c r="CO156" s="100"/>
      <c r="CP156" s="100"/>
      <c r="CQ156" s="100"/>
    </row>
    <row r="157" spans="1:95" s="101" customFormat="1" ht="16.5" customHeight="1" thickBot="1" x14ac:dyDescent="0.3">
      <c r="A157" s="99"/>
      <c r="V157" s="103"/>
      <c r="AA157" s="104"/>
      <c r="AB157" s="104"/>
      <c r="AD157" s="148"/>
      <c r="AE157" s="105"/>
      <c r="AH157" s="106"/>
      <c r="AI157" s="106"/>
      <c r="AK157" s="148"/>
      <c r="AR157" s="148"/>
      <c r="AV157" s="104"/>
      <c r="AX157" s="148"/>
      <c r="BB157" s="104"/>
      <c r="BC157" s="104"/>
      <c r="BD157" s="119"/>
      <c r="BE157" s="148"/>
      <c r="BH157" s="99"/>
      <c r="BI157" s="190" t="s">
        <v>235</v>
      </c>
      <c r="BJ157" s="181" t="s">
        <v>252</v>
      </c>
      <c r="BK157" s="181">
        <v>6.3869999999999996</v>
      </c>
      <c r="BL157" s="187" t="s">
        <v>405</v>
      </c>
      <c r="BM157" s="189">
        <v>2.5600000000000002E-3</v>
      </c>
      <c r="BN157" s="189">
        <v>2.5600000000000002E-3</v>
      </c>
      <c r="BO157" s="188" t="s">
        <v>241</v>
      </c>
      <c r="BP157" s="181">
        <v>2.3699999999999999E-2</v>
      </c>
      <c r="BQ157" s="191">
        <f t="shared" si="164"/>
        <v>2.37E-5</v>
      </c>
      <c r="BR157" s="187" t="s">
        <v>406</v>
      </c>
      <c r="BS157" s="189">
        <v>0.01</v>
      </c>
      <c r="BT157" s="189">
        <v>0.1</v>
      </c>
      <c r="BU157" s="187" t="s">
        <v>242</v>
      </c>
      <c r="BV157" s="181">
        <v>4.7000000000000002E-3</v>
      </c>
      <c r="BW157" s="191">
        <f t="shared" si="165"/>
        <v>4.6999999999999999E-6</v>
      </c>
      <c r="BX157" s="187" t="s">
        <v>407</v>
      </c>
      <c r="BY157" s="189">
        <v>2E-3</v>
      </c>
      <c r="BZ157" s="189">
        <v>0.02</v>
      </c>
      <c r="CA157" s="187" t="s">
        <v>242</v>
      </c>
      <c r="CB157" s="194">
        <v>0</v>
      </c>
      <c r="CC157" s="193">
        <f t="shared" si="166"/>
        <v>0</v>
      </c>
      <c r="CD157" s="187" t="s">
        <v>406</v>
      </c>
      <c r="CE157" s="189">
        <v>0</v>
      </c>
      <c r="CF157" s="189">
        <v>0</v>
      </c>
      <c r="CG157" s="187" t="s">
        <v>242</v>
      </c>
      <c r="CH157" s="194">
        <v>0</v>
      </c>
      <c r="CI157" s="193">
        <f t="shared" si="167"/>
        <v>0</v>
      </c>
      <c r="CJ157" s="187" t="s">
        <v>407</v>
      </c>
      <c r="CK157" s="189">
        <v>0</v>
      </c>
      <c r="CL157" s="189">
        <v>0</v>
      </c>
      <c r="CM157" s="187" t="s">
        <v>242</v>
      </c>
      <c r="CN157" s="116"/>
      <c r="CO157" s="100"/>
      <c r="CP157" s="100"/>
      <c r="CQ157" s="100"/>
    </row>
    <row r="158" spans="1:95" s="101" customFormat="1" ht="16.5" customHeight="1" thickBot="1" x14ac:dyDescent="0.3">
      <c r="A158" s="99"/>
      <c r="V158" s="103"/>
      <c r="AA158" s="104"/>
      <c r="AB158" s="104"/>
      <c r="AD158" s="148"/>
      <c r="AE158" s="105"/>
      <c r="AH158" s="106"/>
      <c r="AI158" s="106"/>
      <c r="AK158" s="148"/>
      <c r="AR158" s="148"/>
      <c r="AV158" s="104"/>
      <c r="AX158" s="148"/>
      <c r="BB158" s="104"/>
      <c r="BC158" s="104"/>
      <c r="BD158" s="119"/>
      <c r="BE158" s="148"/>
      <c r="BH158" s="99"/>
      <c r="BI158" s="190" t="s">
        <v>236</v>
      </c>
      <c r="BJ158" s="181" t="s">
        <v>252</v>
      </c>
      <c r="BK158" s="181">
        <v>9.8404000000000007</v>
      </c>
      <c r="BL158" s="187" t="s">
        <v>405</v>
      </c>
      <c r="BM158" s="189">
        <v>2.1299999999999999E-3</v>
      </c>
      <c r="BN158" s="189">
        <v>2.1299999999999999E-3</v>
      </c>
      <c r="BO158" s="188" t="s">
        <v>241</v>
      </c>
      <c r="BP158" s="181">
        <v>2.3300000000000001E-2</v>
      </c>
      <c r="BQ158" s="191">
        <f t="shared" si="164"/>
        <v>2.3300000000000001E-5</v>
      </c>
      <c r="BR158" s="187" t="s">
        <v>406</v>
      </c>
      <c r="BS158" s="189">
        <v>0.01</v>
      </c>
      <c r="BT158" s="189">
        <v>0.1</v>
      </c>
      <c r="BU158" s="187" t="s">
        <v>242</v>
      </c>
      <c r="BV158" s="181">
        <v>4.7000000000000002E-3</v>
      </c>
      <c r="BW158" s="191">
        <f t="shared" si="165"/>
        <v>4.6999999999999999E-6</v>
      </c>
      <c r="BX158" s="187" t="s">
        <v>407</v>
      </c>
      <c r="BY158" s="189">
        <v>2E-3</v>
      </c>
      <c r="BZ158" s="189">
        <v>0.02</v>
      </c>
      <c r="CA158" s="187" t="s">
        <v>242</v>
      </c>
      <c r="CB158" s="194">
        <v>0</v>
      </c>
      <c r="CC158" s="193">
        <f t="shared" si="166"/>
        <v>0</v>
      </c>
      <c r="CD158" s="187" t="s">
        <v>406</v>
      </c>
      <c r="CE158" s="189">
        <v>0</v>
      </c>
      <c r="CF158" s="189">
        <v>0</v>
      </c>
      <c r="CG158" s="187" t="s">
        <v>242</v>
      </c>
      <c r="CH158" s="194">
        <v>0</v>
      </c>
      <c r="CI158" s="193">
        <f t="shared" si="167"/>
        <v>0</v>
      </c>
      <c r="CJ158" s="187" t="s">
        <v>407</v>
      </c>
      <c r="CK158" s="189">
        <v>0</v>
      </c>
      <c r="CL158" s="189">
        <v>0</v>
      </c>
      <c r="CM158" s="187" t="s">
        <v>242</v>
      </c>
      <c r="CN158" s="116"/>
      <c r="CO158" s="100">
        <v>0.6</v>
      </c>
      <c r="CP158" s="100">
        <f t="shared" ref="CP158:CP175" si="168">(CO158+CQ158)/2</f>
        <v>0.8</v>
      </c>
      <c r="CQ158" s="100">
        <v>1</v>
      </c>
    </row>
    <row r="159" spans="1:95" s="101" customFormat="1" ht="16.5" customHeight="1" thickBot="1" x14ac:dyDescent="0.3">
      <c r="A159" s="99"/>
      <c r="V159" s="103"/>
      <c r="AA159" s="104"/>
      <c r="AB159" s="104"/>
      <c r="AD159" s="148"/>
      <c r="AE159" s="105"/>
      <c r="AH159" s="106"/>
      <c r="AI159" s="106"/>
      <c r="AK159" s="148"/>
      <c r="AR159" s="148"/>
      <c r="AV159" s="104"/>
      <c r="AX159" s="148"/>
      <c r="BB159" s="104"/>
      <c r="BC159" s="104"/>
      <c r="BD159" s="119"/>
      <c r="BE159" s="148"/>
      <c r="BH159" s="99"/>
      <c r="BI159" s="190" t="s">
        <v>237</v>
      </c>
      <c r="BJ159" s="181" t="s">
        <v>252</v>
      </c>
      <c r="BK159" s="213">
        <v>0</v>
      </c>
      <c r="BL159" s="187" t="s">
        <v>405</v>
      </c>
      <c r="BM159" s="189">
        <v>2.98E-3</v>
      </c>
      <c r="BN159" s="189">
        <v>2.98E-3</v>
      </c>
      <c r="BO159" s="188" t="s">
        <v>241</v>
      </c>
      <c r="BP159" s="181">
        <v>2.63E-2</v>
      </c>
      <c r="BQ159" s="191">
        <f t="shared" si="164"/>
        <v>2.6299999999999999E-5</v>
      </c>
      <c r="BR159" s="187" t="s">
        <v>406</v>
      </c>
      <c r="BS159" s="189">
        <v>0.01</v>
      </c>
      <c r="BT159" s="189">
        <v>0.1</v>
      </c>
      <c r="BU159" s="187" t="s">
        <v>242</v>
      </c>
      <c r="BV159" s="181">
        <v>5.3E-3</v>
      </c>
      <c r="BW159" s="191">
        <f t="shared" si="165"/>
        <v>5.3000000000000001E-6</v>
      </c>
      <c r="BX159" s="187" t="s">
        <v>407</v>
      </c>
      <c r="BY159" s="189">
        <v>2E-3</v>
      </c>
      <c r="BZ159" s="189">
        <v>0.02</v>
      </c>
      <c r="CA159" s="187" t="s">
        <v>242</v>
      </c>
      <c r="CB159" s="181">
        <v>3.4200000000000001E-2</v>
      </c>
      <c r="CC159" s="191">
        <f t="shared" si="166"/>
        <v>3.4200000000000005E-5</v>
      </c>
      <c r="CD159" s="187" t="s">
        <v>406</v>
      </c>
      <c r="CE159" s="189">
        <v>1.6E-2</v>
      </c>
      <c r="CF159" s="189">
        <v>9.5000000000000001E-2</v>
      </c>
      <c r="CG159" s="187" t="s">
        <v>242</v>
      </c>
      <c r="CH159" s="181">
        <v>3.4200000000000001E-2</v>
      </c>
      <c r="CI159" s="191">
        <f t="shared" si="167"/>
        <v>3.4200000000000005E-5</v>
      </c>
      <c r="CJ159" s="187" t="s">
        <v>407</v>
      </c>
      <c r="CK159" s="189">
        <v>1.2999999999999999E-2</v>
      </c>
      <c r="CL159" s="189">
        <v>0.12</v>
      </c>
      <c r="CM159" s="187" t="s">
        <v>242</v>
      </c>
      <c r="CN159" s="116"/>
      <c r="CO159" s="100">
        <v>0.15</v>
      </c>
      <c r="CP159" s="100">
        <f t="shared" si="168"/>
        <v>0.17499999999999999</v>
      </c>
      <c r="CQ159" s="100">
        <v>0.2</v>
      </c>
    </row>
    <row r="160" spans="1:95" s="101" customFormat="1" ht="16.5" customHeight="1" thickBot="1" x14ac:dyDescent="0.3">
      <c r="A160" s="99"/>
      <c r="V160" s="103"/>
      <c r="AA160" s="104"/>
      <c r="AB160" s="104"/>
      <c r="AD160" s="148"/>
      <c r="AE160" s="105"/>
      <c r="AH160" s="106"/>
      <c r="AI160" s="106"/>
      <c r="AK160" s="148"/>
      <c r="AR160" s="148"/>
      <c r="AV160" s="104"/>
      <c r="AX160" s="148"/>
      <c r="BB160" s="104"/>
      <c r="BC160" s="104"/>
      <c r="BD160" s="119"/>
      <c r="BE160" s="148"/>
      <c r="BH160" s="99"/>
      <c r="BI160" s="190" t="s">
        <v>368</v>
      </c>
      <c r="BJ160" s="181" t="s">
        <v>252</v>
      </c>
      <c r="BK160" s="213">
        <v>0</v>
      </c>
      <c r="BL160" s="187" t="s">
        <v>405</v>
      </c>
      <c r="BM160" s="189">
        <v>3.4799999999999996E-3</v>
      </c>
      <c r="BN160" s="189">
        <v>3.4799999999999996E-3</v>
      </c>
      <c r="BO160" s="188" t="s">
        <v>241</v>
      </c>
      <c r="BP160" s="181">
        <v>1.46E-2</v>
      </c>
      <c r="BQ160" s="191">
        <f t="shared" si="164"/>
        <v>1.4600000000000001E-5</v>
      </c>
      <c r="BR160" s="187" t="s">
        <v>406</v>
      </c>
      <c r="BS160" s="189">
        <v>0.01</v>
      </c>
      <c r="BT160" s="189">
        <v>0.1</v>
      </c>
      <c r="BU160" s="187" t="s">
        <v>242</v>
      </c>
      <c r="BV160" s="181">
        <v>2.8999999999999998E-3</v>
      </c>
      <c r="BW160" s="191">
        <f t="shared" si="165"/>
        <v>2.8999999999999998E-6</v>
      </c>
      <c r="BX160" s="187" t="s">
        <v>407</v>
      </c>
      <c r="BY160" s="189">
        <v>2E-3</v>
      </c>
      <c r="BZ160" s="189">
        <v>0.02</v>
      </c>
      <c r="CA160" s="187" t="s">
        <v>242</v>
      </c>
      <c r="CB160" s="181">
        <v>8.77E-2</v>
      </c>
      <c r="CC160" s="191">
        <f t="shared" si="166"/>
        <v>8.7700000000000004E-5</v>
      </c>
      <c r="CD160" s="187" t="s">
        <v>406</v>
      </c>
      <c r="CE160" s="189">
        <v>0.13</v>
      </c>
      <c r="CF160" s="189">
        <v>0.84</v>
      </c>
      <c r="CG160" s="187" t="s">
        <v>242</v>
      </c>
      <c r="CH160" s="181">
        <v>0.19989999999999999</v>
      </c>
      <c r="CI160" s="191">
        <f t="shared" si="167"/>
        <v>1.9990000000000001E-4</v>
      </c>
      <c r="CJ160" s="187" t="s">
        <v>407</v>
      </c>
      <c r="CK160" s="189">
        <v>0.13</v>
      </c>
      <c r="CL160" s="189">
        <v>1.23</v>
      </c>
      <c r="CM160" s="187" t="s">
        <v>242</v>
      </c>
      <c r="CN160" s="116"/>
      <c r="CO160" s="100">
        <v>0.15</v>
      </c>
      <c r="CP160" s="100">
        <f t="shared" si="168"/>
        <v>0.17499999999999999</v>
      </c>
      <c r="CQ160" s="100">
        <v>0.2</v>
      </c>
    </row>
    <row r="161" spans="1:95" s="101" customFormat="1" ht="16.5" customHeight="1" thickBot="1" x14ac:dyDescent="0.3">
      <c r="A161" s="99"/>
      <c r="V161" s="103"/>
      <c r="AA161" s="104"/>
      <c r="AB161" s="104"/>
      <c r="AD161" s="148"/>
      <c r="AE161" s="105"/>
      <c r="AH161" s="106"/>
      <c r="AI161" s="106"/>
      <c r="AK161" s="148"/>
      <c r="AR161" s="148"/>
      <c r="AV161" s="104"/>
      <c r="AX161" s="148"/>
      <c r="BB161" s="104"/>
      <c r="BC161" s="104"/>
      <c r="BD161" s="119"/>
      <c r="BE161" s="148"/>
      <c r="BH161" s="99"/>
      <c r="BI161" s="190" t="s">
        <v>238</v>
      </c>
      <c r="BJ161" s="181" t="s">
        <v>252</v>
      </c>
      <c r="BK161" s="181">
        <v>10.178100000000001</v>
      </c>
      <c r="BL161" s="187" t="s">
        <v>405</v>
      </c>
      <c r="BM161" s="189">
        <v>2.0599999999999998E-3</v>
      </c>
      <c r="BN161" s="189">
        <v>2.0599999999999998E-3</v>
      </c>
      <c r="BO161" s="188" t="s">
        <v>241</v>
      </c>
      <c r="BP161" s="181">
        <v>2.7199999999999998E-2</v>
      </c>
      <c r="BQ161" s="191">
        <f t="shared" si="164"/>
        <v>2.7199999999999997E-5</v>
      </c>
      <c r="BR161" s="187" t="s">
        <v>406</v>
      </c>
      <c r="BS161" s="189">
        <v>0.01</v>
      </c>
      <c r="BT161" s="189">
        <v>0.1</v>
      </c>
      <c r="BU161" s="187" t="s">
        <v>242</v>
      </c>
      <c r="BV161" s="181">
        <v>5.4000000000000003E-3</v>
      </c>
      <c r="BW161" s="191">
        <f t="shared" si="165"/>
        <v>5.4E-6</v>
      </c>
      <c r="BX161" s="187" t="s">
        <v>407</v>
      </c>
      <c r="BY161" s="189">
        <v>2E-3</v>
      </c>
      <c r="BZ161" s="189">
        <v>0.02</v>
      </c>
      <c r="CA161" s="187" t="s">
        <v>242</v>
      </c>
      <c r="CB161" s="181">
        <v>0</v>
      </c>
      <c r="CC161" s="191">
        <f t="shared" si="166"/>
        <v>0</v>
      </c>
      <c r="CD161" s="187" t="s">
        <v>406</v>
      </c>
      <c r="CE161" s="189">
        <v>0</v>
      </c>
      <c r="CF161" s="189">
        <v>0</v>
      </c>
      <c r="CG161" s="187" t="s">
        <v>242</v>
      </c>
      <c r="CH161" s="181">
        <v>0</v>
      </c>
      <c r="CI161" s="191">
        <f t="shared" si="167"/>
        <v>0</v>
      </c>
      <c r="CJ161" s="187" t="s">
        <v>407</v>
      </c>
      <c r="CK161" s="189">
        <v>0</v>
      </c>
      <c r="CL161" s="189">
        <v>0</v>
      </c>
      <c r="CM161" s="187" t="s">
        <v>242</v>
      </c>
      <c r="CN161" s="116"/>
      <c r="CO161" s="100">
        <v>0.15</v>
      </c>
      <c r="CP161" s="100">
        <f t="shared" si="168"/>
        <v>0.17499999999999999</v>
      </c>
      <c r="CQ161" s="100">
        <v>0.2</v>
      </c>
    </row>
    <row r="162" spans="1:95" s="101" customFormat="1" ht="16.5" customHeight="1" thickBot="1" x14ac:dyDescent="0.3">
      <c r="A162" s="99"/>
      <c r="V162" s="103"/>
      <c r="AA162" s="104"/>
      <c r="AB162" s="104"/>
      <c r="AD162" s="148"/>
      <c r="AE162" s="105"/>
      <c r="AH162" s="106"/>
      <c r="AI162" s="106"/>
      <c r="AK162" s="148"/>
      <c r="AR162" s="148"/>
      <c r="AV162" s="104"/>
      <c r="AX162" s="148"/>
      <c r="BB162" s="104"/>
      <c r="BC162" s="104"/>
      <c r="BD162" s="119"/>
      <c r="BE162" s="148"/>
      <c r="BH162" s="99"/>
      <c r="BI162" s="190" t="s">
        <v>273</v>
      </c>
      <c r="BJ162" s="181" t="s">
        <v>252</v>
      </c>
      <c r="BK162" s="181">
        <v>8.8632000000000009</v>
      </c>
      <c r="BL162" s="187" t="s">
        <v>405</v>
      </c>
      <c r="BM162" s="189">
        <v>2.32E-3</v>
      </c>
      <c r="BN162" s="189">
        <v>2.32E-3</v>
      </c>
      <c r="BO162" s="188" t="s">
        <v>241</v>
      </c>
      <c r="BP162" s="181">
        <v>9.4999999999999998E-3</v>
      </c>
      <c r="BQ162" s="191">
        <f t="shared" si="164"/>
        <v>9.5000000000000005E-6</v>
      </c>
      <c r="BR162" s="187" t="s">
        <v>406</v>
      </c>
      <c r="BS162" s="189">
        <v>0.01</v>
      </c>
      <c r="BT162" s="189">
        <v>0.1</v>
      </c>
      <c r="BU162" s="187" t="s">
        <v>242</v>
      </c>
      <c r="BV162" s="181">
        <v>5.7000000000000002E-3</v>
      </c>
      <c r="BW162" s="191">
        <f t="shared" si="165"/>
        <v>5.7000000000000005E-6</v>
      </c>
      <c r="BX162" s="187" t="s">
        <v>407</v>
      </c>
      <c r="BY162" s="189">
        <v>2E-3</v>
      </c>
      <c r="BZ162" s="189">
        <v>0.02</v>
      </c>
      <c r="CA162" s="187" t="s">
        <v>242</v>
      </c>
      <c r="CB162" s="181">
        <v>3.6999999999999998E-2</v>
      </c>
      <c r="CC162" s="191">
        <f t="shared" si="166"/>
        <v>3.6999999999999998E-5</v>
      </c>
      <c r="CD162" s="187" t="s">
        <v>406</v>
      </c>
      <c r="CE162" s="189">
        <v>1.6E-2</v>
      </c>
      <c r="CF162" s="189">
        <v>9.5000000000000001E-2</v>
      </c>
      <c r="CG162" s="187" t="s">
        <v>242</v>
      </c>
      <c r="CH162" s="181">
        <v>3.6999999999999998E-2</v>
      </c>
      <c r="CI162" s="191">
        <f t="shared" si="167"/>
        <v>3.6999999999999998E-5</v>
      </c>
      <c r="CJ162" s="187" t="s">
        <v>407</v>
      </c>
      <c r="CK162" s="189">
        <v>1.2999999999999999E-2</v>
      </c>
      <c r="CL162" s="189">
        <v>0.12</v>
      </c>
      <c r="CM162" s="187" t="s">
        <v>242</v>
      </c>
      <c r="CN162" s="116"/>
      <c r="CO162" s="100">
        <v>0.15</v>
      </c>
      <c r="CP162" s="100">
        <f t="shared" si="168"/>
        <v>0.17499999999999999</v>
      </c>
      <c r="CQ162" s="100">
        <v>0.2</v>
      </c>
    </row>
    <row r="163" spans="1:95" s="101" customFormat="1" ht="16.5" customHeight="1" thickBot="1" x14ac:dyDescent="0.3">
      <c r="A163" s="99"/>
      <c r="V163" s="103"/>
      <c r="AA163" s="104"/>
      <c r="AB163" s="104"/>
      <c r="AD163" s="148"/>
      <c r="AE163" s="105"/>
      <c r="AH163" s="106"/>
      <c r="AI163" s="106"/>
      <c r="AK163" s="148"/>
      <c r="AR163" s="148"/>
      <c r="AV163" s="104"/>
      <c r="AX163" s="148"/>
      <c r="BB163" s="104"/>
      <c r="BC163" s="104"/>
      <c r="BD163" s="119"/>
      <c r="BE163" s="148"/>
      <c r="BH163" s="99"/>
      <c r="BI163" s="190" t="s">
        <v>272</v>
      </c>
      <c r="BJ163" s="181" t="s">
        <v>252</v>
      </c>
      <c r="BK163" s="181">
        <v>10.2765</v>
      </c>
      <c r="BL163" s="187" t="s">
        <v>405</v>
      </c>
      <c r="BM163" s="189">
        <v>2.0499999999999997E-3</v>
      </c>
      <c r="BN163" s="189">
        <v>2.0499999999999997E-3</v>
      </c>
      <c r="BO163" s="188" t="s">
        <v>241</v>
      </c>
      <c r="BP163" s="181">
        <v>9.5999999999999992E-3</v>
      </c>
      <c r="BQ163" s="191">
        <f>BP163/1000</f>
        <v>9.5999999999999996E-6</v>
      </c>
      <c r="BR163" s="187" t="s">
        <v>406</v>
      </c>
      <c r="BS163" s="189">
        <v>0.01</v>
      </c>
      <c r="BT163" s="189">
        <v>0.1</v>
      </c>
      <c r="BU163" s="187" t="s">
        <v>242</v>
      </c>
      <c r="BV163" s="181">
        <v>5.7999999999999996E-3</v>
      </c>
      <c r="BW163" s="191">
        <f>BV163/1000</f>
        <v>5.7999999999999995E-6</v>
      </c>
      <c r="BX163" s="187" t="s">
        <v>407</v>
      </c>
      <c r="BY163" s="189">
        <v>2E-3</v>
      </c>
      <c r="BZ163" s="189">
        <v>0.02</v>
      </c>
      <c r="CA163" s="187" t="s">
        <v>242</v>
      </c>
      <c r="CB163" s="181">
        <v>3.7400000000000003E-2</v>
      </c>
      <c r="CC163" s="191">
        <f>CB163/1000</f>
        <v>3.7400000000000001E-5</v>
      </c>
      <c r="CD163" s="187" t="s">
        <v>406</v>
      </c>
      <c r="CE163" s="189">
        <v>1.6E-2</v>
      </c>
      <c r="CF163" s="189">
        <v>9.5000000000000001E-2</v>
      </c>
      <c r="CG163" s="187" t="s">
        <v>242</v>
      </c>
      <c r="CH163" s="181">
        <v>3.7400000000000003E-2</v>
      </c>
      <c r="CI163" s="191">
        <f>CH163/1000</f>
        <v>3.7400000000000001E-5</v>
      </c>
      <c r="CJ163" s="187" t="s">
        <v>407</v>
      </c>
      <c r="CK163" s="189">
        <v>1.2999999999999999E-2</v>
      </c>
      <c r="CL163" s="189">
        <v>0.12</v>
      </c>
      <c r="CM163" s="187" t="s">
        <v>242</v>
      </c>
      <c r="CN163" s="116"/>
      <c r="CO163" s="100">
        <v>0.15</v>
      </c>
      <c r="CP163" s="100">
        <f t="shared" si="168"/>
        <v>0.17499999999999999</v>
      </c>
      <c r="CQ163" s="100">
        <v>0.2</v>
      </c>
    </row>
    <row r="164" spans="1:95" s="101" customFormat="1" ht="16.5" customHeight="1" thickBot="1" x14ac:dyDescent="0.3">
      <c r="A164" s="99"/>
      <c r="V164" s="103"/>
      <c r="AA164" s="104"/>
      <c r="AB164" s="104"/>
      <c r="AD164" s="148"/>
      <c r="AE164" s="105"/>
      <c r="AH164" s="106"/>
      <c r="AI164" s="106"/>
      <c r="AK164" s="148"/>
      <c r="AR164" s="148"/>
      <c r="AV164" s="104"/>
      <c r="AX164" s="148"/>
      <c r="BB164" s="104"/>
      <c r="BC164" s="104"/>
      <c r="BD164" s="119"/>
      <c r="BE164" s="148"/>
      <c r="BH164" s="99"/>
      <c r="BI164" s="190" t="s">
        <v>239</v>
      </c>
      <c r="BJ164" s="181" t="s">
        <v>252</v>
      </c>
      <c r="BK164" s="181">
        <v>7.6181000000000001</v>
      </c>
      <c r="BL164" s="187" t="s">
        <v>405</v>
      </c>
      <c r="BM164" s="189">
        <v>2.3400000000000001E-3</v>
      </c>
      <c r="BN164" s="189">
        <v>2.3400000000000001E-3</v>
      </c>
      <c r="BO164" s="188" t="s">
        <v>241</v>
      </c>
      <c r="BP164" s="181">
        <v>2.3900000000000001E-2</v>
      </c>
      <c r="BQ164" s="191">
        <f t="shared" si="164"/>
        <v>2.3900000000000002E-5</v>
      </c>
      <c r="BR164" s="187" t="s">
        <v>406</v>
      </c>
      <c r="BS164" s="189">
        <v>0.01</v>
      </c>
      <c r="BT164" s="189">
        <v>0.1</v>
      </c>
      <c r="BU164" s="187" t="s">
        <v>242</v>
      </c>
      <c r="BV164" s="181">
        <v>4.7999999999999996E-3</v>
      </c>
      <c r="BW164" s="191">
        <f t="shared" si="165"/>
        <v>4.7999999999999998E-6</v>
      </c>
      <c r="BX164" s="187" t="s">
        <v>407</v>
      </c>
      <c r="BY164" s="189">
        <v>2E-3</v>
      </c>
      <c r="BZ164" s="189">
        <v>0.02</v>
      </c>
      <c r="CA164" s="187" t="s">
        <v>242</v>
      </c>
      <c r="CB164" s="181">
        <v>0.26269999999999999</v>
      </c>
      <c r="CC164" s="191">
        <f t="shared" si="166"/>
        <v>2.6269999999999999E-4</v>
      </c>
      <c r="CD164" s="187" t="s">
        <v>406</v>
      </c>
      <c r="CE164" s="189">
        <v>9.6000000000000002E-2</v>
      </c>
      <c r="CF164" s="189">
        <v>1.1000000000000001</v>
      </c>
      <c r="CG164" s="187" t="s">
        <v>242</v>
      </c>
      <c r="CH164" s="181">
        <v>2.5499999999999998E-2</v>
      </c>
      <c r="CI164" s="191">
        <f t="shared" si="167"/>
        <v>2.55E-5</v>
      </c>
      <c r="CJ164" s="187" t="s">
        <v>407</v>
      </c>
      <c r="CK164" s="189">
        <v>9.5999999999999992E-3</v>
      </c>
      <c r="CL164" s="189">
        <v>0.11</v>
      </c>
      <c r="CM164" s="187" t="s">
        <v>242</v>
      </c>
      <c r="CN164" s="116"/>
      <c r="CO164" s="100">
        <v>0.15</v>
      </c>
      <c r="CP164" s="100">
        <f t="shared" si="168"/>
        <v>0.17499999999999999</v>
      </c>
      <c r="CQ164" s="100">
        <v>0.2</v>
      </c>
    </row>
    <row r="165" spans="1:95" s="101" customFormat="1" x14ac:dyDescent="0.25">
      <c r="A165" s="99"/>
      <c r="V165" s="103"/>
      <c r="AA165" s="104"/>
      <c r="AB165" s="104"/>
      <c r="AD165" s="104"/>
      <c r="AE165" s="105"/>
      <c r="AH165" s="106"/>
      <c r="AI165" s="106"/>
      <c r="AK165" s="104"/>
      <c r="AR165" s="104"/>
      <c r="AV165" s="104"/>
      <c r="AX165" s="104"/>
      <c r="BB165" s="104"/>
      <c r="BC165" s="104"/>
      <c r="BE165" s="104"/>
      <c r="BH165" s="99"/>
      <c r="BI165" s="102"/>
      <c r="BJ165" s="178"/>
      <c r="BK165" s="178"/>
      <c r="BL165" s="178"/>
      <c r="BM165" s="169"/>
      <c r="BN165" s="169"/>
      <c r="BO165" s="169"/>
      <c r="BP165" s="192"/>
      <c r="BQ165" s="192"/>
      <c r="BR165" s="192"/>
      <c r="BS165" s="192"/>
      <c r="BT165" s="192"/>
      <c r="BU165" s="192"/>
      <c r="BV165" s="178"/>
      <c r="BW165" s="192"/>
      <c r="BX165" s="192"/>
      <c r="BY165" s="178"/>
      <c r="BZ165" s="178"/>
      <c r="CA165" s="178"/>
      <c r="CB165" s="180"/>
      <c r="CC165" s="192"/>
      <c r="CD165" s="192"/>
      <c r="CE165" s="180"/>
      <c r="CF165" s="180"/>
      <c r="CG165" s="180"/>
      <c r="CH165" s="180"/>
      <c r="CI165" s="192"/>
      <c r="CJ165" s="192"/>
      <c r="CK165" s="180"/>
      <c r="CL165" s="180"/>
      <c r="CM165" s="180"/>
      <c r="CN165" s="116"/>
      <c r="CO165" s="100">
        <v>0.15</v>
      </c>
      <c r="CP165" s="100">
        <f t="shared" si="168"/>
        <v>0.17499999999999999</v>
      </c>
      <c r="CQ165" s="100">
        <v>0.2</v>
      </c>
    </row>
    <row r="166" spans="1:95" s="101" customFormat="1" ht="15.75" thickBot="1" x14ac:dyDescent="0.3">
      <c r="A166" s="99"/>
      <c r="V166" s="103"/>
      <c r="AA166" s="104"/>
      <c r="AB166" s="104"/>
      <c r="AD166" s="104"/>
      <c r="AE166" s="105"/>
      <c r="AH166" s="106"/>
      <c r="AI166" s="106"/>
      <c r="AK166" s="104"/>
      <c r="AR166" s="104"/>
      <c r="AV166" s="104"/>
      <c r="AX166" s="104"/>
      <c r="BB166" s="104"/>
      <c r="BC166" s="104"/>
      <c r="BE166" s="104"/>
      <c r="BH166" s="99"/>
      <c r="BI166" s="102"/>
      <c r="BJ166" s="178"/>
      <c r="BK166" s="178"/>
      <c r="BL166" s="178"/>
      <c r="BM166" s="169"/>
      <c r="BN166" s="169"/>
      <c r="BO166" s="169"/>
      <c r="BP166" s="192"/>
      <c r="BQ166" s="192"/>
      <c r="BR166" s="192"/>
      <c r="BS166" s="192"/>
      <c r="BT166" s="192"/>
      <c r="BU166" s="192"/>
      <c r="BV166" s="178"/>
      <c r="BW166" s="192"/>
      <c r="BX166" s="192"/>
      <c r="BY166" s="178"/>
      <c r="BZ166" s="178"/>
      <c r="CA166" s="178"/>
      <c r="CB166" s="180"/>
      <c r="CC166" s="192"/>
      <c r="CD166" s="192"/>
      <c r="CE166" s="180"/>
      <c r="CF166" s="180"/>
      <c r="CG166" s="180"/>
      <c r="CH166" s="180"/>
      <c r="CI166" s="192"/>
      <c r="CJ166" s="192"/>
      <c r="CK166" s="180"/>
      <c r="CL166" s="180"/>
      <c r="CM166" s="180"/>
      <c r="CN166" s="116"/>
      <c r="CO166" s="100">
        <v>0.15</v>
      </c>
      <c r="CP166" s="100">
        <f t="shared" si="168"/>
        <v>0.17499999999999999</v>
      </c>
      <c r="CQ166" s="100">
        <v>0.2</v>
      </c>
    </row>
    <row r="167" spans="1:95" s="101" customFormat="1" ht="26.25" customHeight="1" thickBot="1" x14ac:dyDescent="0.3">
      <c r="A167" s="99"/>
      <c r="V167" s="103"/>
      <c r="AA167" s="104"/>
      <c r="AB167" s="104"/>
      <c r="AD167" s="104"/>
      <c r="AE167" s="105"/>
      <c r="AH167" s="106"/>
      <c r="AI167" s="106"/>
      <c r="AK167" s="104"/>
      <c r="AR167" s="104"/>
      <c r="AV167" s="104"/>
      <c r="AX167" s="104"/>
      <c r="BB167" s="104"/>
      <c r="BC167" s="104"/>
      <c r="BE167" s="104"/>
      <c r="BH167" s="99"/>
      <c r="BI167" s="1606" t="s">
        <v>232</v>
      </c>
      <c r="BJ167" s="251"/>
      <c r="BK167" s="1606" t="s">
        <v>267</v>
      </c>
      <c r="BL167" s="251"/>
      <c r="BM167" s="1606" t="s">
        <v>233</v>
      </c>
      <c r="BN167" s="1606" t="s">
        <v>233</v>
      </c>
      <c r="BO167" s="1606" t="s">
        <v>240</v>
      </c>
      <c r="BP167" s="1608" t="s">
        <v>172</v>
      </c>
      <c r="BQ167" s="1609"/>
      <c r="BR167" s="1609"/>
      <c r="BS167" s="1609"/>
      <c r="BT167" s="1609"/>
      <c r="BU167" s="1609"/>
      <c r="BV167" s="1609"/>
      <c r="BW167" s="1609"/>
      <c r="BX167" s="1609"/>
      <c r="BY167" s="1609"/>
      <c r="BZ167" s="1609"/>
      <c r="CA167" s="1610"/>
      <c r="CB167" s="1608" t="s">
        <v>173</v>
      </c>
      <c r="CC167" s="1609"/>
      <c r="CD167" s="1609"/>
      <c r="CE167" s="1609"/>
      <c r="CF167" s="1609"/>
      <c r="CG167" s="1609"/>
      <c r="CH167" s="1609"/>
      <c r="CI167" s="1609"/>
      <c r="CJ167" s="1609"/>
      <c r="CK167" s="1609"/>
      <c r="CL167" s="1609"/>
      <c r="CM167" s="1610"/>
      <c r="CN167" s="116"/>
      <c r="CO167" s="100">
        <v>0.15</v>
      </c>
      <c r="CP167" s="100">
        <f t="shared" si="168"/>
        <v>0.17499999999999999</v>
      </c>
      <c r="CQ167" s="100">
        <v>0.2</v>
      </c>
    </row>
    <row r="168" spans="1:95" s="101" customFormat="1" ht="59.25" customHeight="1" thickBot="1" x14ac:dyDescent="0.3">
      <c r="A168" s="99"/>
      <c r="V168" s="103"/>
      <c r="AA168" s="104"/>
      <c r="AB168" s="104"/>
      <c r="AD168" s="104"/>
      <c r="AE168" s="105"/>
      <c r="AH168" s="106"/>
      <c r="AI168" s="106"/>
      <c r="AK168" s="104"/>
      <c r="AR168" s="104"/>
      <c r="AV168" s="104"/>
      <c r="AX168" s="104"/>
      <c r="BB168" s="104"/>
      <c r="BC168" s="104"/>
      <c r="BE168" s="104"/>
      <c r="BH168" s="99"/>
      <c r="BI168" s="1607"/>
      <c r="BJ168" s="252" t="s">
        <v>253</v>
      </c>
      <c r="BK168" s="1607"/>
      <c r="BL168" s="252" t="s">
        <v>251</v>
      </c>
      <c r="BM168" s="1607"/>
      <c r="BN168" s="1607"/>
      <c r="BO168" s="1607"/>
      <c r="BP168" s="185" t="s">
        <v>268</v>
      </c>
      <c r="BQ168" s="185" t="s">
        <v>269</v>
      </c>
      <c r="BR168" s="252" t="s">
        <v>251</v>
      </c>
      <c r="BS168" s="185" t="s">
        <v>233</v>
      </c>
      <c r="BT168" s="185" t="s">
        <v>233</v>
      </c>
      <c r="BU168" s="185" t="s">
        <v>240</v>
      </c>
      <c r="BV168" s="185" t="s">
        <v>270</v>
      </c>
      <c r="BW168" s="185" t="s">
        <v>271</v>
      </c>
      <c r="BX168" s="252" t="s">
        <v>251</v>
      </c>
      <c r="BY168" s="185" t="s">
        <v>233</v>
      </c>
      <c r="BZ168" s="185" t="s">
        <v>233</v>
      </c>
      <c r="CA168" s="185" t="s">
        <v>240</v>
      </c>
      <c r="CB168" s="185" t="s">
        <v>268</v>
      </c>
      <c r="CC168" s="185" t="s">
        <v>269</v>
      </c>
      <c r="CD168" s="252" t="s">
        <v>251</v>
      </c>
      <c r="CE168" s="185" t="s">
        <v>233</v>
      </c>
      <c r="CF168" s="185" t="s">
        <v>233</v>
      </c>
      <c r="CG168" s="185" t="s">
        <v>240</v>
      </c>
      <c r="CH168" s="185" t="s">
        <v>270</v>
      </c>
      <c r="CI168" s="185" t="s">
        <v>271</v>
      </c>
      <c r="CJ168" s="252" t="s">
        <v>251</v>
      </c>
      <c r="CK168" s="185" t="s">
        <v>233</v>
      </c>
      <c r="CL168" s="185" t="s">
        <v>233</v>
      </c>
      <c r="CM168" s="185" t="s">
        <v>240</v>
      </c>
      <c r="CN168" s="116"/>
      <c r="CO168" s="100">
        <v>0.15</v>
      </c>
      <c r="CP168" s="100">
        <f t="shared" si="168"/>
        <v>0.17499999999999999</v>
      </c>
      <c r="CQ168" s="100">
        <v>0.2</v>
      </c>
    </row>
    <row r="169" spans="1:95" s="101" customFormat="1" ht="17.25" thickBot="1" x14ac:dyDescent="0.3">
      <c r="A169" s="99"/>
      <c r="V169" s="103"/>
      <c r="AA169" s="104"/>
      <c r="AB169" s="104"/>
      <c r="AD169" s="104"/>
      <c r="AE169" s="105"/>
      <c r="AH169" s="106"/>
      <c r="AI169" s="106"/>
      <c r="AK169" s="104"/>
      <c r="AR169" s="104"/>
      <c r="AV169" s="104"/>
      <c r="AX169" s="104"/>
      <c r="BB169" s="104"/>
      <c r="BC169" s="104"/>
      <c r="BE169" s="104"/>
      <c r="BF169" s="119"/>
      <c r="BH169" s="99"/>
      <c r="BI169" s="186" t="s">
        <v>274</v>
      </c>
      <c r="BJ169" s="187" t="s">
        <v>408</v>
      </c>
      <c r="BK169" s="214">
        <v>0</v>
      </c>
      <c r="BL169" s="187" t="s">
        <v>409</v>
      </c>
      <c r="BM169" s="189">
        <v>8.8870000000000005E-2</v>
      </c>
      <c r="BN169" s="189">
        <v>8.8870000000000005E-2</v>
      </c>
      <c r="BO169" s="188" t="s">
        <v>241</v>
      </c>
      <c r="BP169" s="195">
        <v>2.1999999999999999E-2</v>
      </c>
      <c r="BQ169" s="195">
        <f>BP169/1000</f>
        <v>2.1999999999999999E-5</v>
      </c>
      <c r="BR169" s="187" t="s">
        <v>410</v>
      </c>
      <c r="BS169" s="189">
        <v>3.0000000000000001E-3</v>
      </c>
      <c r="BT169" s="189">
        <v>0.03</v>
      </c>
      <c r="BU169" s="187" t="s">
        <v>242</v>
      </c>
      <c r="BV169" s="195">
        <v>2.2000000000000001E-3</v>
      </c>
      <c r="BW169" s="195">
        <f>BV169/1000</f>
        <v>2.2000000000000001E-6</v>
      </c>
      <c r="BX169" s="187" t="s">
        <v>515</v>
      </c>
      <c r="BY169" s="189">
        <v>2.9999999999999997E-4</v>
      </c>
      <c r="BZ169" s="189">
        <v>0.03</v>
      </c>
      <c r="CA169" s="187" t="s">
        <v>242</v>
      </c>
      <c r="CB169" s="181">
        <v>0</v>
      </c>
      <c r="CC169" s="195">
        <f>CB169/1000</f>
        <v>0</v>
      </c>
      <c r="CD169" s="187" t="s">
        <v>410</v>
      </c>
      <c r="CE169" s="189">
        <v>0</v>
      </c>
      <c r="CF169" s="189">
        <v>0</v>
      </c>
      <c r="CG169" s="187" t="s">
        <v>242</v>
      </c>
      <c r="CH169" s="181">
        <v>0</v>
      </c>
      <c r="CI169" s="195">
        <f>CH169/1000</f>
        <v>0</v>
      </c>
      <c r="CJ169" s="187" t="s">
        <v>515</v>
      </c>
      <c r="CK169" s="189">
        <v>0</v>
      </c>
      <c r="CL169" s="189">
        <v>0</v>
      </c>
      <c r="CM169" s="187" t="s">
        <v>242</v>
      </c>
      <c r="CN169" s="116"/>
      <c r="CO169" s="100">
        <v>0.15</v>
      </c>
      <c r="CP169" s="100">
        <f t="shared" si="168"/>
        <v>0.17499999999999999</v>
      </c>
      <c r="CQ169" s="100">
        <v>0.2</v>
      </c>
    </row>
    <row r="170" spans="1:95" s="101" customFormat="1" ht="17.25" thickBot="1" x14ac:dyDescent="0.3">
      <c r="A170" s="99"/>
      <c r="V170" s="103"/>
      <c r="AA170" s="104"/>
      <c r="AB170" s="104"/>
      <c r="AD170" s="104"/>
      <c r="AE170" s="105"/>
      <c r="AH170" s="106"/>
      <c r="AI170" s="106"/>
      <c r="AK170" s="104"/>
      <c r="AR170" s="104"/>
      <c r="AV170" s="104"/>
      <c r="AX170" s="104"/>
      <c r="BB170" s="104"/>
      <c r="BC170" s="104"/>
      <c r="BE170" s="104"/>
      <c r="BF170" s="119"/>
      <c r="BH170" s="99"/>
      <c r="BI170" s="190" t="s">
        <v>243</v>
      </c>
      <c r="BJ170" s="187" t="s">
        <v>408</v>
      </c>
      <c r="BK170" s="196">
        <v>0.6129</v>
      </c>
      <c r="BL170" s="187" t="s">
        <v>409</v>
      </c>
      <c r="BM170" s="189">
        <v>0.18914999999999998</v>
      </c>
      <c r="BN170" s="189">
        <v>0.18914999999999998</v>
      </c>
      <c r="BO170" s="188" t="s">
        <v>241</v>
      </c>
      <c r="BP170" s="195">
        <v>1.4999999999999999E-2</v>
      </c>
      <c r="BQ170" s="195">
        <f t="shared" ref="BQ170:BQ186" si="169">BP170/1000</f>
        <v>1.4999999999999999E-5</v>
      </c>
      <c r="BR170" s="187" t="s">
        <v>410</v>
      </c>
      <c r="BS170" s="189">
        <v>3.0000000000000001E-3</v>
      </c>
      <c r="BT170" s="189">
        <v>0.03</v>
      </c>
      <c r="BU170" s="187" t="s">
        <v>242</v>
      </c>
      <c r="BV170" s="195">
        <v>1.5E-3</v>
      </c>
      <c r="BW170" s="195">
        <f t="shared" ref="BW170:BW186" si="170">BV170/1000</f>
        <v>1.5E-6</v>
      </c>
      <c r="BX170" s="187" t="s">
        <v>515</v>
      </c>
      <c r="BY170" s="189">
        <v>2.9999999999999997E-4</v>
      </c>
      <c r="BZ170" s="189">
        <v>0.03</v>
      </c>
      <c r="CA170" s="187" t="s">
        <v>242</v>
      </c>
      <c r="CB170" s="181">
        <v>0</v>
      </c>
      <c r="CC170" s="195">
        <f t="shared" ref="CC170:CC186" si="171">CB170/1000</f>
        <v>0</v>
      </c>
      <c r="CD170" s="187" t="s">
        <v>410</v>
      </c>
      <c r="CE170" s="189">
        <v>0</v>
      </c>
      <c r="CF170" s="189">
        <v>0</v>
      </c>
      <c r="CG170" s="187" t="s">
        <v>242</v>
      </c>
      <c r="CH170" s="181">
        <v>0</v>
      </c>
      <c r="CI170" s="195">
        <f t="shared" ref="CI170:CI186" si="172">CH170/1000</f>
        <v>0</v>
      </c>
      <c r="CJ170" s="187" t="s">
        <v>515</v>
      </c>
      <c r="CK170" s="189">
        <v>0</v>
      </c>
      <c r="CL170" s="189">
        <v>0</v>
      </c>
      <c r="CM170" s="187" t="s">
        <v>242</v>
      </c>
      <c r="CN170" s="116"/>
      <c r="CO170" s="100">
        <v>0.15</v>
      </c>
      <c r="CP170" s="100">
        <f t="shared" si="168"/>
        <v>0.17499999999999999</v>
      </c>
      <c r="CQ170" s="100">
        <v>0.2</v>
      </c>
    </row>
    <row r="171" spans="1:95" s="101" customFormat="1" ht="17.25" thickBot="1" x14ac:dyDescent="0.3">
      <c r="A171" s="99"/>
      <c r="V171" s="103"/>
      <c r="AA171" s="104"/>
      <c r="AB171" s="104"/>
      <c r="AD171" s="104"/>
      <c r="AE171" s="105"/>
      <c r="AH171" s="106"/>
      <c r="AI171" s="106"/>
      <c r="AK171" s="104"/>
      <c r="AR171" s="104"/>
      <c r="AV171" s="104"/>
      <c r="AX171" s="104"/>
      <c r="BB171" s="104"/>
      <c r="BC171" s="104"/>
      <c r="BE171" s="104"/>
      <c r="BF171" s="119"/>
      <c r="BH171" s="99"/>
      <c r="BI171" s="190" t="s">
        <v>427</v>
      </c>
      <c r="BJ171" s="187" t="s">
        <v>408</v>
      </c>
      <c r="BK171" s="196">
        <v>1.9805999999999999</v>
      </c>
      <c r="BL171" s="187" t="s">
        <v>409</v>
      </c>
      <c r="BM171" s="189">
        <v>6.5890000000000004E-2</v>
      </c>
      <c r="BN171" s="189">
        <v>6.5890000000000004E-2</v>
      </c>
      <c r="BO171" s="188" t="s">
        <v>241</v>
      </c>
      <c r="BP171" s="195">
        <v>3.5700000000000003E-2</v>
      </c>
      <c r="BQ171" s="195">
        <f>BP171/1000</f>
        <v>3.57E-5</v>
      </c>
      <c r="BR171" s="187" t="s">
        <v>410</v>
      </c>
      <c r="BS171" s="189">
        <v>3.0000000000000001E-3</v>
      </c>
      <c r="BT171" s="189">
        <v>0.03</v>
      </c>
      <c r="BU171" s="187" t="s">
        <v>242</v>
      </c>
      <c r="BV171" s="195">
        <v>3.5999999999999999E-3</v>
      </c>
      <c r="BW171" s="195">
        <f>BV171/1000</f>
        <v>3.5999999999999998E-6</v>
      </c>
      <c r="BX171" s="187" t="s">
        <v>515</v>
      </c>
      <c r="BY171" s="189">
        <v>2.9999999999999997E-4</v>
      </c>
      <c r="BZ171" s="189">
        <v>0.03</v>
      </c>
      <c r="CA171" s="187" t="s">
        <v>242</v>
      </c>
      <c r="CB171" s="181">
        <v>3.28</v>
      </c>
      <c r="CC171" s="195">
        <f>CB171/1000</f>
        <v>3.2799999999999999E-3</v>
      </c>
      <c r="CD171" s="187" t="s">
        <v>410</v>
      </c>
      <c r="CE171" s="189">
        <v>0.5</v>
      </c>
      <c r="CF171" s="189">
        <v>15.4</v>
      </c>
      <c r="CG171" s="187" t="s">
        <v>242</v>
      </c>
      <c r="CH171" s="181">
        <v>0.107</v>
      </c>
      <c r="CI171" s="195">
        <f>CH171/1000</f>
        <v>1.07E-4</v>
      </c>
      <c r="CJ171" s="187" t="s">
        <v>515</v>
      </c>
      <c r="CK171" s="189">
        <v>0.01</v>
      </c>
      <c r="CL171" s="189">
        <v>0.77</v>
      </c>
      <c r="CM171" s="187" t="s">
        <v>242</v>
      </c>
      <c r="CN171" s="116"/>
      <c r="CO171" s="100">
        <v>0.15</v>
      </c>
      <c r="CP171" s="100">
        <f t="shared" si="168"/>
        <v>0.17499999999999999</v>
      </c>
      <c r="CQ171" s="100">
        <v>0.2</v>
      </c>
    </row>
    <row r="172" spans="1:95" s="101" customFormat="1" ht="17.25" thickBot="1" x14ac:dyDescent="0.3">
      <c r="A172" s="99"/>
      <c r="V172" s="103"/>
      <c r="AA172" s="104"/>
      <c r="AB172" s="104"/>
      <c r="AD172" s="104"/>
      <c r="AE172" s="105"/>
      <c r="AH172" s="106"/>
      <c r="AI172" s="106"/>
      <c r="AK172" s="104"/>
      <c r="AR172" s="104"/>
      <c r="AV172" s="104"/>
      <c r="AX172" s="104"/>
      <c r="BB172" s="104"/>
      <c r="BC172" s="104"/>
      <c r="BE172" s="104"/>
      <c r="BF172" s="119"/>
      <c r="BH172" s="99"/>
      <c r="BI172" s="190" t="s">
        <v>4</v>
      </c>
      <c r="BJ172" s="187" t="s">
        <v>408</v>
      </c>
      <c r="BK172" s="196">
        <v>2.1913</v>
      </c>
      <c r="BL172" s="187" t="s">
        <v>409</v>
      </c>
      <c r="BM172" s="189">
        <v>1.15E-3</v>
      </c>
      <c r="BN172" s="189">
        <v>1.15E-3</v>
      </c>
      <c r="BO172" s="188" t="s">
        <v>241</v>
      </c>
      <c r="BP172" s="195">
        <v>3.8699999999999998E-2</v>
      </c>
      <c r="BQ172" s="195">
        <f t="shared" si="169"/>
        <v>3.8699999999999999E-5</v>
      </c>
      <c r="BR172" s="187" t="s">
        <v>410</v>
      </c>
      <c r="BS172" s="189">
        <v>3.0000000000000001E-3</v>
      </c>
      <c r="BT172" s="189">
        <v>0.03</v>
      </c>
      <c r="BU172" s="187" t="s">
        <v>242</v>
      </c>
      <c r="BV172" s="195">
        <v>3.8999999999999998E-3</v>
      </c>
      <c r="BW172" s="195">
        <f t="shared" si="170"/>
        <v>3.8999999999999999E-6</v>
      </c>
      <c r="BX172" s="187" t="s">
        <v>515</v>
      </c>
      <c r="BY172" s="189">
        <v>2.9999999999999997E-4</v>
      </c>
      <c r="BZ172" s="189">
        <v>0.03</v>
      </c>
      <c r="CA172" s="187" t="s">
        <v>242</v>
      </c>
      <c r="CB172" s="181">
        <v>3.5579999999999998</v>
      </c>
      <c r="CC172" s="195">
        <f t="shared" si="171"/>
        <v>3.558E-3</v>
      </c>
      <c r="CD172" s="187" t="s">
        <v>410</v>
      </c>
      <c r="CE172" s="189">
        <v>0.5</v>
      </c>
      <c r="CF172" s="189">
        <v>15.4</v>
      </c>
      <c r="CG172" s="187" t="s">
        <v>242</v>
      </c>
      <c r="CH172" s="181">
        <v>0.11600000000000001</v>
      </c>
      <c r="CI172" s="195">
        <f t="shared" si="172"/>
        <v>1.16E-4</v>
      </c>
      <c r="CJ172" s="187" t="s">
        <v>515</v>
      </c>
      <c r="CK172" s="189">
        <v>0.01</v>
      </c>
      <c r="CL172" s="189">
        <v>0.77</v>
      </c>
      <c r="CM172" s="187" t="s">
        <v>242</v>
      </c>
      <c r="CN172" s="116"/>
      <c r="CO172" s="100">
        <v>0.15</v>
      </c>
      <c r="CP172" s="100">
        <f t="shared" si="168"/>
        <v>0.17499999999999999</v>
      </c>
      <c r="CQ172" s="100">
        <v>0.2</v>
      </c>
    </row>
    <row r="173" spans="1:95" s="101" customFormat="1" ht="17.25" thickBot="1" x14ac:dyDescent="0.3">
      <c r="A173" s="99"/>
      <c r="V173" s="103"/>
      <c r="AA173" s="104"/>
      <c r="AB173" s="104"/>
      <c r="AD173" s="104"/>
      <c r="AE173" s="105"/>
      <c r="AH173" s="106"/>
      <c r="AI173" s="106"/>
      <c r="AK173" s="104"/>
      <c r="AR173" s="104"/>
      <c r="AV173" s="104"/>
      <c r="AX173" s="104"/>
      <c r="BB173" s="104"/>
      <c r="BC173" s="104"/>
      <c r="BE173" s="104"/>
      <c r="BF173" s="119"/>
      <c r="BH173" s="99"/>
      <c r="BI173" s="190" t="s">
        <v>5</v>
      </c>
      <c r="BJ173" s="187" t="s">
        <v>408</v>
      </c>
      <c r="BK173" s="196">
        <v>1.8396999999999999</v>
      </c>
      <c r="BL173" s="187" t="s">
        <v>409</v>
      </c>
      <c r="BM173" s="189">
        <v>1.16E-3</v>
      </c>
      <c r="BN173" s="189">
        <v>1.16E-3</v>
      </c>
      <c r="BO173" s="188" t="s">
        <v>241</v>
      </c>
      <c r="BP173" s="195">
        <v>3.3500000000000002E-2</v>
      </c>
      <c r="BQ173" s="195">
        <f t="shared" si="169"/>
        <v>3.3500000000000001E-5</v>
      </c>
      <c r="BR173" s="187" t="s">
        <v>410</v>
      </c>
      <c r="BS173" s="189">
        <v>3.0000000000000001E-3</v>
      </c>
      <c r="BT173" s="189">
        <v>0.03</v>
      </c>
      <c r="BU173" s="187" t="s">
        <v>242</v>
      </c>
      <c r="BV173" s="195">
        <v>3.3E-3</v>
      </c>
      <c r="BW173" s="195">
        <f t="shared" si="170"/>
        <v>3.3000000000000002E-6</v>
      </c>
      <c r="BX173" s="187" t="s">
        <v>515</v>
      </c>
      <c r="BY173" s="189">
        <v>2.9999999999999997E-4</v>
      </c>
      <c r="BZ173" s="189">
        <v>0.03</v>
      </c>
      <c r="CA173" s="187" t="s">
        <v>242</v>
      </c>
      <c r="CB173" s="181">
        <v>3.0815000000000001</v>
      </c>
      <c r="CC173" s="195">
        <f t="shared" si="171"/>
        <v>3.0815E-3</v>
      </c>
      <c r="CD173" s="187" t="s">
        <v>410</v>
      </c>
      <c r="CE173" s="189">
        <v>0.5</v>
      </c>
      <c r="CF173" s="189">
        <v>15.4</v>
      </c>
      <c r="CG173" s="187" t="s">
        <v>242</v>
      </c>
      <c r="CH173" s="181">
        <v>0.10050000000000001</v>
      </c>
      <c r="CI173" s="195">
        <f t="shared" si="172"/>
        <v>1.005E-4</v>
      </c>
      <c r="CJ173" s="187" t="s">
        <v>515</v>
      </c>
      <c r="CK173" s="189">
        <v>0.01</v>
      </c>
      <c r="CL173" s="189">
        <v>0.77</v>
      </c>
      <c r="CM173" s="187" t="s">
        <v>242</v>
      </c>
      <c r="CN173" s="116"/>
      <c r="CO173" s="100">
        <v>0.15</v>
      </c>
      <c r="CP173" s="100">
        <f t="shared" si="168"/>
        <v>0.17499999999999999</v>
      </c>
      <c r="CQ173" s="100">
        <v>0.2</v>
      </c>
    </row>
    <row r="174" spans="1:95" s="101" customFormat="1" ht="17.25" thickBot="1" x14ac:dyDescent="0.3">
      <c r="A174" s="99"/>
      <c r="V174" s="103"/>
      <c r="AA174" s="104"/>
      <c r="AB174" s="104"/>
      <c r="AD174" s="104"/>
      <c r="AE174" s="105"/>
      <c r="AH174" s="106"/>
      <c r="AI174" s="106"/>
      <c r="AK174" s="104"/>
      <c r="AR174" s="104"/>
      <c r="AV174" s="104"/>
      <c r="AX174" s="104"/>
      <c r="BB174" s="104"/>
      <c r="BC174" s="104"/>
      <c r="BE174" s="104"/>
      <c r="BF174" s="119"/>
      <c r="BH174" s="99"/>
      <c r="BI174" s="190" t="s">
        <v>6</v>
      </c>
      <c r="BJ174" s="187" t="s">
        <v>408</v>
      </c>
      <c r="BK174" s="196">
        <v>1.8259000000000001</v>
      </c>
      <c r="BL174" s="187" t="s">
        <v>409</v>
      </c>
      <c r="BM174" s="189">
        <v>7.107999999999999E-2</v>
      </c>
      <c r="BN174" s="189">
        <v>7.107999999999999E-2</v>
      </c>
      <c r="BO174" s="188" t="s">
        <v>241</v>
      </c>
      <c r="BP174" s="195">
        <v>3.3300000000000003E-2</v>
      </c>
      <c r="BQ174" s="195">
        <f t="shared" si="169"/>
        <v>3.3300000000000003E-5</v>
      </c>
      <c r="BR174" s="187" t="s">
        <v>410</v>
      </c>
      <c r="BS174" s="189">
        <v>3.0000000000000001E-3</v>
      </c>
      <c r="BT174" s="189">
        <v>0.03</v>
      </c>
      <c r="BU174" s="187" t="s">
        <v>242</v>
      </c>
      <c r="BV174" s="195">
        <v>3.3E-3</v>
      </c>
      <c r="BW174" s="195">
        <f t="shared" si="170"/>
        <v>3.3000000000000002E-6</v>
      </c>
      <c r="BX174" s="187" t="s">
        <v>515</v>
      </c>
      <c r="BY174" s="189">
        <v>2.9999999999999997E-4</v>
      </c>
      <c r="BZ174" s="189">
        <v>0.03</v>
      </c>
      <c r="CA174" s="187" t="s">
        <v>242</v>
      </c>
      <c r="CB174" s="181">
        <v>3.0607000000000002</v>
      </c>
      <c r="CC174" s="195">
        <f t="shared" si="171"/>
        <v>3.0607000000000004E-3</v>
      </c>
      <c r="CD174" s="187" t="s">
        <v>410</v>
      </c>
      <c r="CE174" s="189">
        <v>0.5</v>
      </c>
      <c r="CF174" s="189">
        <v>15.4</v>
      </c>
      <c r="CG174" s="187" t="s">
        <v>242</v>
      </c>
      <c r="CH174" s="181">
        <v>9.98E-2</v>
      </c>
      <c r="CI174" s="195">
        <f t="shared" si="172"/>
        <v>9.98E-5</v>
      </c>
      <c r="CJ174" s="187" t="s">
        <v>515</v>
      </c>
      <c r="CK174" s="189">
        <v>0.01</v>
      </c>
      <c r="CL174" s="189">
        <v>0.77</v>
      </c>
      <c r="CM174" s="187" t="s">
        <v>242</v>
      </c>
      <c r="CN174" s="116"/>
      <c r="CO174" s="100">
        <v>0.15</v>
      </c>
      <c r="CP174" s="100">
        <f t="shared" si="168"/>
        <v>0.17499999999999999</v>
      </c>
      <c r="CQ174" s="100">
        <v>0.2</v>
      </c>
    </row>
    <row r="175" spans="1:95" s="101" customFormat="1" ht="17.25" thickBot="1" x14ac:dyDescent="0.3">
      <c r="A175" s="99"/>
      <c r="V175" s="103"/>
      <c r="AA175" s="104"/>
      <c r="AB175" s="104"/>
      <c r="AD175" s="104"/>
      <c r="AE175" s="105"/>
      <c r="AH175" s="106"/>
      <c r="AI175" s="106"/>
      <c r="AK175" s="104"/>
      <c r="AR175" s="104"/>
      <c r="AV175" s="104"/>
      <c r="AX175" s="104"/>
      <c r="BB175" s="104"/>
      <c r="BC175" s="104"/>
      <c r="BE175" s="104"/>
      <c r="BF175" s="119"/>
      <c r="BH175" s="99"/>
      <c r="BI175" s="190" t="s">
        <v>244</v>
      </c>
      <c r="BJ175" s="187" t="s">
        <v>408</v>
      </c>
      <c r="BK175" s="196">
        <v>2.0354999999999999</v>
      </c>
      <c r="BL175" s="187" t="s">
        <v>409</v>
      </c>
      <c r="BM175" s="189">
        <v>6.3630000000000006E-2</v>
      </c>
      <c r="BN175" s="189">
        <v>6.3630000000000006E-2</v>
      </c>
      <c r="BO175" s="188" t="s">
        <v>241</v>
      </c>
      <c r="BP175" s="195">
        <v>3.73E-2</v>
      </c>
      <c r="BQ175" s="195">
        <f t="shared" si="169"/>
        <v>3.7299999999999999E-5</v>
      </c>
      <c r="BR175" s="187" t="s">
        <v>410</v>
      </c>
      <c r="BS175" s="189">
        <v>3.0000000000000001E-3</v>
      </c>
      <c r="BT175" s="189">
        <v>0.03</v>
      </c>
      <c r="BU175" s="187" t="s">
        <v>242</v>
      </c>
      <c r="BV175" s="195">
        <v>3.7000000000000002E-3</v>
      </c>
      <c r="BW175" s="195">
        <f t="shared" si="170"/>
        <v>3.7000000000000002E-6</v>
      </c>
      <c r="BX175" s="187" t="s">
        <v>515</v>
      </c>
      <c r="BY175" s="189">
        <v>2.9999999999999997E-4</v>
      </c>
      <c r="BZ175" s="189">
        <v>0.03</v>
      </c>
      <c r="CA175" s="187" t="s">
        <v>242</v>
      </c>
      <c r="CB175" s="181">
        <v>3.4278</v>
      </c>
      <c r="CC175" s="195">
        <f t="shared" si="171"/>
        <v>3.4277999999999999E-3</v>
      </c>
      <c r="CD175" s="187" t="s">
        <v>410</v>
      </c>
      <c r="CE175" s="189">
        <v>0.5</v>
      </c>
      <c r="CF175" s="189">
        <v>15.4</v>
      </c>
      <c r="CG175" s="187" t="s">
        <v>242</v>
      </c>
      <c r="CH175" s="181">
        <v>0.1118</v>
      </c>
      <c r="CI175" s="195">
        <f t="shared" si="172"/>
        <v>1.1179999999999999E-4</v>
      </c>
      <c r="CJ175" s="187" t="s">
        <v>515</v>
      </c>
      <c r="CK175" s="189">
        <v>0.01</v>
      </c>
      <c r="CL175" s="189">
        <v>0.77</v>
      </c>
      <c r="CM175" s="187" t="s">
        <v>242</v>
      </c>
      <c r="CN175" s="116"/>
      <c r="CO175" s="100">
        <v>0.15</v>
      </c>
      <c r="CP175" s="100">
        <f t="shared" si="168"/>
        <v>0.17499999999999999</v>
      </c>
      <c r="CQ175" s="100">
        <v>0.2</v>
      </c>
    </row>
    <row r="176" spans="1:95" s="101" customFormat="1" ht="17.25" thickBot="1" x14ac:dyDescent="0.3">
      <c r="A176" s="99"/>
      <c r="V176" s="103"/>
      <c r="AA176" s="104"/>
      <c r="AB176" s="104"/>
      <c r="AD176" s="104"/>
      <c r="AE176" s="105"/>
      <c r="AH176" s="106"/>
      <c r="AI176" s="106"/>
      <c r="AK176" s="104"/>
      <c r="AR176" s="104"/>
      <c r="AV176" s="104"/>
      <c r="AX176" s="104"/>
      <c r="BB176" s="104"/>
      <c r="BC176" s="104"/>
      <c r="BE176" s="104"/>
      <c r="BF176" s="119"/>
      <c r="BH176" s="99"/>
      <c r="BI176" s="190" t="s">
        <v>245</v>
      </c>
      <c r="BJ176" s="187" t="s">
        <v>408</v>
      </c>
      <c r="BK176" s="196">
        <v>1.9775</v>
      </c>
      <c r="BL176" s="187" t="s">
        <v>409</v>
      </c>
      <c r="BM176" s="189">
        <v>3.7130000000000003E-2</v>
      </c>
      <c r="BN176" s="189">
        <v>3.7130000000000003E-2</v>
      </c>
      <c r="BO176" s="188" t="s">
        <v>241</v>
      </c>
      <c r="BP176" s="195">
        <v>3.5400000000000001E-2</v>
      </c>
      <c r="BQ176" s="195">
        <f t="shared" si="169"/>
        <v>3.54E-5</v>
      </c>
      <c r="BR176" s="187" t="s">
        <v>410</v>
      </c>
      <c r="BS176" s="189">
        <v>3.0000000000000001E-3</v>
      </c>
      <c r="BT176" s="189">
        <v>0.03</v>
      </c>
      <c r="BU176" s="187" t="s">
        <v>242</v>
      </c>
      <c r="BV176" s="195">
        <v>3.5000000000000001E-3</v>
      </c>
      <c r="BW176" s="195">
        <f t="shared" si="170"/>
        <v>3.4999999999999999E-6</v>
      </c>
      <c r="BX176" s="187" t="s">
        <v>515</v>
      </c>
      <c r="BY176" s="189">
        <v>2.9999999999999997E-4</v>
      </c>
      <c r="BZ176" s="189">
        <v>0.03</v>
      </c>
      <c r="CA176" s="187" t="s">
        <v>242</v>
      </c>
      <c r="CB176" s="181">
        <v>3.2595000000000001</v>
      </c>
      <c r="CC176" s="195">
        <f t="shared" si="171"/>
        <v>3.2595000000000002E-3</v>
      </c>
      <c r="CD176" s="187" t="s">
        <v>410</v>
      </c>
      <c r="CE176" s="189">
        <v>0.5</v>
      </c>
      <c r="CF176" s="189">
        <v>15.4</v>
      </c>
      <c r="CG176" s="187" t="s">
        <v>242</v>
      </c>
      <c r="CH176" s="181">
        <v>0.10630000000000001</v>
      </c>
      <c r="CI176" s="195">
        <f t="shared" si="172"/>
        <v>1.0630000000000001E-4</v>
      </c>
      <c r="CJ176" s="187" t="s">
        <v>515</v>
      </c>
      <c r="CK176" s="189">
        <v>0.01</v>
      </c>
      <c r="CL176" s="189">
        <v>0.77</v>
      </c>
      <c r="CM176" s="187" t="s">
        <v>242</v>
      </c>
      <c r="CN176" s="116"/>
      <c r="CO176" s="100"/>
      <c r="CP176" s="100"/>
      <c r="CQ176" s="100"/>
    </row>
    <row r="177" spans="1:95" s="101" customFormat="1" ht="17.25" thickBot="1" x14ac:dyDescent="0.3">
      <c r="A177" s="99"/>
      <c r="V177" s="103"/>
      <c r="AA177" s="104"/>
      <c r="AB177" s="104"/>
      <c r="AD177" s="104"/>
      <c r="AE177" s="105"/>
      <c r="AH177" s="106"/>
      <c r="AI177" s="106"/>
      <c r="AK177" s="104"/>
      <c r="AR177" s="104"/>
      <c r="AV177" s="104"/>
      <c r="AX177" s="104"/>
      <c r="BB177" s="104"/>
      <c r="BC177" s="104"/>
      <c r="BE177" s="104"/>
      <c r="BF177" s="119"/>
      <c r="BH177" s="99"/>
      <c r="BI177" s="190" t="s">
        <v>246</v>
      </c>
      <c r="BJ177" s="187" t="s">
        <v>408</v>
      </c>
      <c r="BK177" s="196">
        <v>2.1621000000000001</v>
      </c>
      <c r="BL177" s="187" t="s">
        <v>409</v>
      </c>
      <c r="BM177" s="189">
        <v>3.0299999999999997E-3</v>
      </c>
      <c r="BN177" s="189">
        <v>3.0299999999999997E-3</v>
      </c>
      <c r="BO177" s="188" t="s">
        <v>241</v>
      </c>
      <c r="BP177" s="195">
        <v>3.7900000000000003E-2</v>
      </c>
      <c r="BQ177" s="195">
        <f t="shared" si="169"/>
        <v>3.7900000000000006E-5</v>
      </c>
      <c r="BR177" s="187" t="s">
        <v>410</v>
      </c>
      <c r="BS177" s="189">
        <v>3.0000000000000001E-3</v>
      </c>
      <c r="BT177" s="189">
        <v>0.03</v>
      </c>
      <c r="BU177" s="187" t="s">
        <v>242</v>
      </c>
      <c r="BV177" s="195">
        <v>3.8E-3</v>
      </c>
      <c r="BW177" s="195">
        <f t="shared" si="170"/>
        <v>3.8E-6</v>
      </c>
      <c r="BX177" s="187" t="s">
        <v>515</v>
      </c>
      <c r="BY177" s="189">
        <v>2.9999999999999997E-4</v>
      </c>
      <c r="BZ177" s="189">
        <v>0.03</v>
      </c>
      <c r="CA177" s="187" t="s">
        <v>242</v>
      </c>
      <c r="CB177" s="181">
        <v>3.49</v>
      </c>
      <c r="CC177" s="195">
        <f t="shared" si="171"/>
        <v>3.49E-3</v>
      </c>
      <c r="CD177" s="187" t="s">
        <v>410</v>
      </c>
      <c r="CE177" s="189">
        <v>0.5</v>
      </c>
      <c r="CF177" s="189">
        <v>15.4</v>
      </c>
      <c r="CG177" s="187" t="s">
        <v>242</v>
      </c>
      <c r="CH177" s="181">
        <v>0.1138</v>
      </c>
      <c r="CI177" s="195">
        <f t="shared" si="172"/>
        <v>1.138E-4</v>
      </c>
      <c r="CJ177" s="187" t="s">
        <v>515</v>
      </c>
      <c r="CK177" s="189">
        <v>0.01</v>
      </c>
      <c r="CL177" s="189">
        <v>0.77</v>
      </c>
      <c r="CM177" s="187" t="s">
        <v>242</v>
      </c>
      <c r="CN177" s="116"/>
      <c r="CO177" s="100"/>
      <c r="CP177" s="100"/>
      <c r="CQ177" s="100"/>
    </row>
    <row r="178" spans="1:95" s="101" customFormat="1" ht="17.25" thickBot="1" x14ac:dyDescent="0.3">
      <c r="A178" s="99"/>
      <c r="V178" s="103"/>
      <c r="AA178" s="104"/>
      <c r="AB178" s="104"/>
      <c r="AD178" s="104"/>
      <c r="AE178" s="105"/>
      <c r="AH178" s="106"/>
      <c r="AI178" s="106"/>
      <c r="AK178" s="104"/>
      <c r="AR178" s="104"/>
      <c r="AV178" s="104"/>
      <c r="AX178" s="104"/>
      <c r="BB178" s="104"/>
      <c r="BC178" s="104"/>
      <c r="BE178" s="104"/>
      <c r="BF178" s="119"/>
      <c r="BH178" s="99"/>
      <c r="BI178" s="190" t="s">
        <v>247</v>
      </c>
      <c r="BJ178" s="187" t="s">
        <v>408</v>
      </c>
      <c r="BK178" s="196">
        <v>1.8321000000000001</v>
      </c>
      <c r="BL178" s="187" t="s">
        <v>409</v>
      </c>
      <c r="BM178" s="189">
        <v>7.0720000000000005E-2</v>
      </c>
      <c r="BN178" s="189">
        <v>7.0720000000000005E-2</v>
      </c>
      <c r="BO178" s="188" t="s">
        <v>241</v>
      </c>
      <c r="BP178" s="195">
        <v>3.3500000000000002E-2</v>
      </c>
      <c r="BQ178" s="195">
        <f t="shared" si="169"/>
        <v>3.3500000000000001E-5</v>
      </c>
      <c r="BR178" s="187" t="s">
        <v>410</v>
      </c>
      <c r="BS178" s="189">
        <v>3.0000000000000001E-3</v>
      </c>
      <c r="BT178" s="189">
        <v>0.03</v>
      </c>
      <c r="BU178" s="187" t="s">
        <v>242</v>
      </c>
      <c r="BV178" s="195">
        <v>3.3999999999999998E-3</v>
      </c>
      <c r="BW178" s="195">
        <f t="shared" si="170"/>
        <v>3.3999999999999996E-6</v>
      </c>
      <c r="BX178" s="187" t="s">
        <v>515</v>
      </c>
      <c r="BY178" s="189">
        <v>2.9999999999999997E-4</v>
      </c>
      <c r="BZ178" s="189">
        <v>0.03</v>
      </c>
      <c r="CA178" s="187" t="s">
        <v>242</v>
      </c>
      <c r="CB178" s="181">
        <v>3.0825</v>
      </c>
      <c r="CC178" s="195">
        <f t="shared" si="171"/>
        <v>3.0825000000000002E-3</v>
      </c>
      <c r="CD178" s="187" t="s">
        <v>410</v>
      </c>
      <c r="CE178" s="189">
        <v>0.5</v>
      </c>
      <c r="CF178" s="189">
        <v>15.4</v>
      </c>
      <c r="CG178" s="187" t="s">
        <v>242</v>
      </c>
      <c r="CH178" s="181">
        <v>0.10050000000000001</v>
      </c>
      <c r="CI178" s="195">
        <f t="shared" si="172"/>
        <v>1.005E-4</v>
      </c>
      <c r="CJ178" s="187" t="s">
        <v>515</v>
      </c>
      <c r="CK178" s="189">
        <v>0.01</v>
      </c>
      <c r="CL178" s="189">
        <v>0.77</v>
      </c>
      <c r="CM178" s="187" t="s">
        <v>242</v>
      </c>
      <c r="CN178" s="116"/>
      <c r="CO178" s="100"/>
      <c r="CP178" s="100"/>
      <c r="CQ178" s="100"/>
    </row>
    <row r="179" spans="1:95" s="101" customFormat="1" ht="17.25" thickBot="1" x14ac:dyDescent="0.3">
      <c r="A179" s="99"/>
      <c r="V179" s="103"/>
      <c r="AA179" s="104"/>
      <c r="AB179" s="104"/>
      <c r="AD179" s="104"/>
      <c r="AE179" s="105"/>
      <c r="AH179" s="106"/>
      <c r="AI179" s="106"/>
      <c r="AK179" s="104"/>
      <c r="AR179" s="104"/>
      <c r="AV179" s="104"/>
      <c r="AX179" s="104"/>
      <c r="BB179" s="104"/>
      <c r="BC179" s="104"/>
      <c r="BE179" s="104"/>
      <c r="BF179" s="119"/>
      <c r="BH179" s="99"/>
      <c r="BI179" s="190" t="s">
        <v>275</v>
      </c>
      <c r="BJ179" s="187" t="s">
        <v>408</v>
      </c>
      <c r="BK179" s="196">
        <v>4.6929999999999996</v>
      </c>
      <c r="BL179" s="187" t="s">
        <v>409</v>
      </c>
      <c r="BM179" s="189">
        <v>2.6000000000000002E-2</v>
      </c>
      <c r="BN179" s="189">
        <v>2.6000000000000002E-2</v>
      </c>
      <c r="BO179" s="188" t="s">
        <v>241</v>
      </c>
      <c r="BP179" s="195">
        <v>9.9199999999999997E-2</v>
      </c>
      <c r="BQ179" s="195">
        <f t="shared" si="169"/>
        <v>9.9199999999999999E-5</v>
      </c>
      <c r="BR179" s="187" t="s">
        <v>410</v>
      </c>
      <c r="BS179" s="189">
        <v>3.0000000000000001E-3</v>
      </c>
      <c r="BT179" s="189">
        <v>0.03</v>
      </c>
      <c r="BU179" s="187" t="s">
        <v>242</v>
      </c>
      <c r="BV179" s="195">
        <v>9.9000000000000008E-3</v>
      </c>
      <c r="BW179" s="195">
        <f t="shared" si="170"/>
        <v>9.9000000000000001E-6</v>
      </c>
      <c r="BX179" s="187" t="s">
        <v>515</v>
      </c>
      <c r="BY179" s="189">
        <v>2.9999999999999997E-4</v>
      </c>
      <c r="BZ179" s="189">
        <v>0.03</v>
      </c>
      <c r="CA179" s="187" t="s">
        <v>242</v>
      </c>
      <c r="CB179" s="181">
        <v>6.1513</v>
      </c>
      <c r="CC179" s="195">
        <f t="shared" si="171"/>
        <v>6.1513000000000002E-3</v>
      </c>
      <c r="CD179" s="187" t="s">
        <v>410</v>
      </c>
      <c r="CE179" s="189">
        <v>0</v>
      </c>
      <c r="CF179" s="189">
        <v>0</v>
      </c>
      <c r="CG179" s="187" t="s">
        <v>242</v>
      </c>
      <c r="CH179" s="181">
        <v>1.9800000000000002E-2</v>
      </c>
      <c r="CI179" s="195">
        <f t="shared" si="172"/>
        <v>1.98E-5</v>
      </c>
      <c r="CJ179" s="187" t="s">
        <v>515</v>
      </c>
      <c r="CK179" s="189">
        <v>0</v>
      </c>
      <c r="CL179" s="189">
        <v>0</v>
      </c>
      <c r="CM179" s="187" t="s">
        <v>242</v>
      </c>
      <c r="CN179" s="116"/>
      <c r="CO179" s="100">
        <v>0.01</v>
      </c>
      <c r="CP179" s="100">
        <f t="shared" ref="CP179:CP200" si="173">(CO179+CQ179)/2</f>
        <v>0.255</v>
      </c>
      <c r="CQ179" s="100">
        <v>0.5</v>
      </c>
    </row>
    <row r="180" spans="1:95" s="101" customFormat="1" ht="17.25" thickBot="1" x14ac:dyDescent="0.3">
      <c r="A180" s="99"/>
      <c r="V180" s="103"/>
      <c r="AA180" s="104"/>
      <c r="AB180" s="104"/>
      <c r="AD180" s="104"/>
      <c r="AE180" s="105"/>
      <c r="AH180" s="106"/>
      <c r="AI180" s="106"/>
      <c r="AK180" s="104"/>
      <c r="AR180" s="104"/>
      <c r="AV180" s="104"/>
      <c r="AX180" s="104"/>
      <c r="BB180" s="104"/>
      <c r="BC180" s="104"/>
      <c r="BE180" s="104"/>
      <c r="BF180" s="119"/>
      <c r="BH180" s="99"/>
      <c r="BI180" s="190" t="s">
        <v>7</v>
      </c>
      <c r="BJ180" s="187" t="s">
        <v>408</v>
      </c>
      <c r="BK180" s="196">
        <v>5.5792000000000002</v>
      </c>
      <c r="BL180" s="187" t="s">
        <v>409</v>
      </c>
      <c r="BM180" s="189">
        <v>2.5219999999999999E-2</v>
      </c>
      <c r="BN180" s="189">
        <v>2.5219999999999999E-2</v>
      </c>
      <c r="BO180" s="188" t="s">
        <v>241</v>
      </c>
      <c r="BP180" s="195">
        <v>8.6300000000000002E-2</v>
      </c>
      <c r="BQ180" s="195">
        <f t="shared" si="169"/>
        <v>8.6299999999999997E-5</v>
      </c>
      <c r="BR180" s="187" t="s">
        <v>410</v>
      </c>
      <c r="BS180" s="189">
        <v>3.0000000000000001E-3</v>
      </c>
      <c r="BT180" s="189">
        <v>0.03</v>
      </c>
      <c r="BU180" s="187" t="s">
        <v>242</v>
      </c>
      <c r="BV180" s="195">
        <v>8.6E-3</v>
      </c>
      <c r="BW180" s="195">
        <f t="shared" si="170"/>
        <v>8.6000000000000007E-6</v>
      </c>
      <c r="BX180" s="187" t="s">
        <v>515</v>
      </c>
      <c r="BY180" s="189">
        <v>2.9999999999999997E-4</v>
      </c>
      <c r="BZ180" s="189">
        <v>0.03</v>
      </c>
      <c r="CA180" s="187" t="s">
        <v>242</v>
      </c>
      <c r="CB180" s="181">
        <v>5.3475999999999999</v>
      </c>
      <c r="CC180" s="195">
        <f t="shared" si="171"/>
        <v>5.3476000000000001E-3</v>
      </c>
      <c r="CD180" s="187" t="s">
        <v>410</v>
      </c>
      <c r="CE180" s="189">
        <v>0</v>
      </c>
      <c r="CF180" s="189">
        <v>0</v>
      </c>
      <c r="CG180" s="187" t="s">
        <v>242</v>
      </c>
      <c r="CH180" s="181">
        <v>1.7299999999999999E-2</v>
      </c>
      <c r="CI180" s="195">
        <f t="shared" si="172"/>
        <v>1.73E-5</v>
      </c>
      <c r="CJ180" s="187" t="s">
        <v>515</v>
      </c>
      <c r="CK180" s="189">
        <v>0</v>
      </c>
      <c r="CL180" s="189">
        <v>0</v>
      </c>
      <c r="CM180" s="187" t="s">
        <v>242</v>
      </c>
      <c r="CN180" s="116"/>
      <c r="CO180" s="100">
        <v>0.01</v>
      </c>
      <c r="CP180" s="100">
        <f t="shared" si="173"/>
        <v>0.255</v>
      </c>
      <c r="CQ180" s="100">
        <v>0.5</v>
      </c>
    </row>
    <row r="181" spans="1:95" s="101" customFormat="1" ht="17.25" thickBot="1" x14ac:dyDescent="0.3">
      <c r="A181" s="99"/>
      <c r="V181" s="103"/>
      <c r="AA181" s="104"/>
      <c r="AB181" s="104"/>
      <c r="AD181" s="104"/>
      <c r="AE181" s="105"/>
      <c r="AH181" s="106"/>
      <c r="AI181" s="106"/>
      <c r="AK181" s="104"/>
      <c r="AR181" s="104"/>
      <c r="AV181" s="104"/>
      <c r="AX181" s="104"/>
      <c r="BB181" s="104"/>
      <c r="BC181" s="104"/>
      <c r="BE181" s="104"/>
      <c r="BF181" s="119"/>
      <c r="BH181" s="99"/>
      <c r="BI181" s="190" t="s">
        <v>248</v>
      </c>
      <c r="BJ181" s="187" t="s">
        <v>408</v>
      </c>
      <c r="BK181" s="196">
        <v>2.2818000000000001</v>
      </c>
      <c r="BL181" s="187" t="s">
        <v>409</v>
      </c>
      <c r="BM181" s="189">
        <v>2.8499999999999997E-3</v>
      </c>
      <c r="BN181" s="189">
        <v>2.8499999999999997E-3</v>
      </c>
      <c r="BO181" s="188" t="s">
        <v>241</v>
      </c>
      <c r="BP181" s="195">
        <v>4.0599999999999997E-2</v>
      </c>
      <c r="BQ181" s="195">
        <f t="shared" si="169"/>
        <v>4.0599999999999998E-5</v>
      </c>
      <c r="BR181" s="187" t="s">
        <v>410</v>
      </c>
      <c r="BS181" s="189">
        <v>3.0000000000000001E-3</v>
      </c>
      <c r="BT181" s="189">
        <v>0.03</v>
      </c>
      <c r="BU181" s="187" t="s">
        <v>242</v>
      </c>
      <c r="BV181" s="195">
        <v>4.1000000000000003E-3</v>
      </c>
      <c r="BW181" s="195">
        <f t="shared" si="170"/>
        <v>4.1000000000000006E-6</v>
      </c>
      <c r="BX181" s="187" t="s">
        <v>515</v>
      </c>
      <c r="BY181" s="189">
        <v>2.9999999999999997E-4</v>
      </c>
      <c r="BZ181" s="189">
        <v>0.03</v>
      </c>
      <c r="CA181" s="187" t="s">
        <v>242</v>
      </c>
      <c r="CB181" s="181">
        <v>0</v>
      </c>
      <c r="CC181" s="195">
        <f t="shared" si="171"/>
        <v>0</v>
      </c>
      <c r="CD181" s="187" t="s">
        <v>410</v>
      </c>
      <c r="CE181" s="189">
        <v>0</v>
      </c>
      <c r="CF181" s="189">
        <v>0</v>
      </c>
      <c r="CG181" s="187" t="s">
        <v>242</v>
      </c>
      <c r="CH181" s="181">
        <v>0</v>
      </c>
      <c r="CI181" s="195">
        <f t="shared" si="172"/>
        <v>0</v>
      </c>
      <c r="CJ181" s="187" t="s">
        <v>515</v>
      </c>
      <c r="CK181" s="189">
        <v>0</v>
      </c>
      <c r="CL181" s="189">
        <v>0</v>
      </c>
      <c r="CM181" s="187" t="s">
        <v>242</v>
      </c>
      <c r="CN181" s="116"/>
      <c r="CO181" s="100">
        <v>0.01</v>
      </c>
      <c r="CP181" s="100">
        <f t="shared" si="173"/>
        <v>0.255</v>
      </c>
      <c r="CQ181" s="100">
        <v>0.5</v>
      </c>
    </row>
    <row r="182" spans="1:95" s="101" customFormat="1" ht="17.25" thickBot="1" x14ac:dyDescent="0.3">
      <c r="A182" s="99"/>
      <c r="V182" s="103"/>
      <c r="AA182" s="104"/>
      <c r="AB182" s="104"/>
      <c r="AD182" s="104"/>
      <c r="AE182" s="105"/>
      <c r="AH182" s="106"/>
      <c r="AI182" s="106"/>
      <c r="AK182" s="104"/>
      <c r="AR182" s="104"/>
      <c r="AV182" s="104"/>
      <c r="AX182" s="104"/>
      <c r="BB182" s="104"/>
      <c r="BC182" s="104"/>
      <c r="BE182" s="104"/>
      <c r="BF182" s="119"/>
      <c r="BH182" s="99"/>
      <c r="BI182" s="190" t="s">
        <v>369</v>
      </c>
      <c r="BJ182" s="187" t="s">
        <v>408</v>
      </c>
      <c r="BK182" s="196">
        <v>1.9420999999999999</v>
      </c>
      <c r="BL182" s="187" t="s">
        <v>409</v>
      </c>
      <c r="BM182" s="189">
        <v>0.10070999999999999</v>
      </c>
      <c r="BN182" s="189">
        <v>0.10070999999999999</v>
      </c>
      <c r="BO182" s="188" t="s">
        <v>241</v>
      </c>
      <c r="BP182" s="195">
        <v>3.5499999999999997E-2</v>
      </c>
      <c r="BQ182" s="195">
        <f t="shared" si="169"/>
        <v>3.5499999999999996E-5</v>
      </c>
      <c r="BR182" s="187" t="s">
        <v>410</v>
      </c>
      <c r="BS182" s="189">
        <v>3.0000000000000001E-3</v>
      </c>
      <c r="BT182" s="189">
        <v>0.03</v>
      </c>
      <c r="BU182" s="187" t="s">
        <v>242</v>
      </c>
      <c r="BV182" s="195">
        <v>3.5999999999999999E-3</v>
      </c>
      <c r="BW182" s="195">
        <f t="shared" si="170"/>
        <v>3.5999999999999998E-6</v>
      </c>
      <c r="BX182" s="187" t="s">
        <v>515</v>
      </c>
      <c r="BY182" s="189">
        <v>2.9999999999999997E-4</v>
      </c>
      <c r="BZ182" s="189">
        <v>0.03</v>
      </c>
      <c r="CA182" s="187" t="s">
        <v>242</v>
      </c>
      <c r="CB182" s="181">
        <v>3.2690000000000001</v>
      </c>
      <c r="CC182" s="195">
        <f t="shared" si="171"/>
        <v>3.2690000000000002E-3</v>
      </c>
      <c r="CD182" s="187" t="s">
        <v>410</v>
      </c>
      <c r="CE182" s="189">
        <v>0.5</v>
      </c>
      <c r="CF182" s="189">
        <v>15.4</v>
      </c>
      <c r="CG182" s="187" t="s">
        <v>242</v>
      </c>
      <c r="CH182" s="181">
        <v>0.1066</v>
      </c>
      <c r="CI182" s="195">
        <f t="shared" si="172"/>
        <v>1.066E-4</v>
      </c>
      <c r="CJ182" s="187" t="s">
        <v>515</v>
      </c>
      <c r="CK182" s="189">
        <v>0.01</v>
      </c>
      <c r="CL182" s="189">
        <v>0.77</v>
      </c>
      <c r="CM182" s="187" t="s">
        <v>242</v>
      </c>
      <c r="CN182" s="116"/>
      <c r="CO182" s="100">
        <v>0.01</v>
      </c>
      <c r="CP182" s="100">
        <f t="shared" si="173"/>
        <v>0.255</v>
      </c>
      <c r="CQ182" s="100">
        <v>0.5</v>
      </c>
    </row>
    <row r="183" spans="1:95" s="101" customFormat="1" ht="17.25" thickBot="1" x14ac:dyDescent="0.3">
      <c r="A183" s="99"/>
      <c r="V183" s="103"/>
      <c r="AA183" s="104"/>
      <c r="AB183" s="104"/>
      <c r="AD183" s="104"/>
      <c r="AE183" s="105"/>
      <c r="AH183" s="106"/>
      <c r="AI183" s="106"/>
      <c r="AK183" s="104"/>
      <c r="AR183" s="104"/>
      <c r="AV183" s="104"/>
      <c r="AX183" s="104"/>
      <c r="BB183" s="104"/>
      <c r="BC183" s="104"/>
      <c r="BE183" s="104"/>
      <c r="BF183" s="119"/>
      <c r="BH183" s="99"/>
      <c r="BI183" s="190" t="s">
        <v>370</v>
      </c>
      <c r="BJ183" s="187" t="s">
        <v>408</v>
      </c>
      <c r="BK183" s="196">
        <v>2.101</v>
      </c>
      <c r="BL183" s="187" t="s">
        <v>409</v>
      </c>
      <c r="BM183" s="189">
        <v>6.6460000000000005E-2</v>
      </c>
      <c r="BN183" s="189">
        <v>6.6460000000000005E-2</v>
      </c>
      <c r="BO183" s="188" t="s">
        <v>241</v>
      </c>
      <c r="BP183" s="195">
        <v>3.73E-2</v>
      </c>
      <c r="BQ183" s="195">
        <f t="shared" si="169"/>
        <v>3.7299999999999999E-5</v>
      </c>
      <c r="BR183" s="187" t="s">
        <v>410</v>
      </c>
      <c r="BS183" s="189">
        <v>3.0000000000000001E-3</v>
      </c>
      <c r="BT183" s="189">
        <v>0.03</v>
      </c>
      <c r="BU183" s="187" t="s">
        <v>242</v>
      </c>
      <c r="BV183" s="195">
        <v>3.7000000000000002E-3</v>
      </c>
      <c r="BW183" s="195">
        <f t="shared" si="170"/>
        <v>3.7000000000000002E-6</v>
      </c>
      <c r="BX183" s="187" t="s">
        <v>515</v>
      </c>
      <c r="BY183" s="189">
        <v>2.9999999999999997E-4</v>
      </c>
      <c r="BZ183" s="189">
        <v>0.03</v>
      </c>
      <c r="CA183" s="187" t="s">
        <v>242</v>
      </c>
      <c r="CB183" s="181">
        <v>3.4272999999999998</v>
      </c>
      <c r="CC183" s="195">
        <f t="shared" si="171"/>
        <v>3.4272999999999999E-3</v>
      </c>
      <c r="CD183" s="187" t="s">
        <v>410</v>
      </c>
      <c r="CE183" s="189">
        <v>0.5</v>
      </c>
      <c r="CF183" s="189">
        <v>15.4</v>
      </c>
      <c r="CG183" s="187" t="s">
        <v>242</v>
      </c>
      <c r="CH183" s="181">
        <v>0.1118</v>
      </c>
      <c r="CI183" s="195">
        <f t="shared" si="172"/>
        <v>1.1179999999999999E-4</v>
      </c>
      <c r="CJ183" s="187" t="s">
        <v>515</v>
      </c>
      <c r="CK183" s="189">
        <v>0.01</v>
      </c>
      <c r="CL183" s="189">
        <v>0.77</v>
      </c>
      <c r="CM183" s="187" t="s">
        <v>242</v>
      </c>
      <c r="CN183" s="116"/>
      <c r="CO183" s="100">
        <v>0.01</v>
      </c>
      <c r="CP183" s="100">
        <f t="shared" si="173"/>
        <v>0.255</v>
      </c>
      <c r="CQ183" s="100">
        <v>0.5</v>
      </c>
    </row>
    <row r="184" spans="1:95" s="101" customFormat="1" ht="17.25" thickBot="1" x14ac:dyDescent="0.3">
      <c r="A184" s="99"/>
      <c r="V184" s="103"/>
      <c r="AA184" s="104"/>
      <c r="AB184" s="104"/>
      <c r="AD184" s="104"/>
      <c r="AE184" s="105"/>
      <c r="AH184" s="106"/>
      <c r="AI184" s="106"/>
      <c r="AK184" s="104"/>
      <c r="AR184" s="104"/>
      <c r="AV184" s="104"/>
      <c r="AX184" s="104"/>
      <c r="BB184" s="104"/>
      <c r="BC184" s="104"/>
      <c r="BE184" s="104"/>
      <c r="BF184" s="119"/>
      <c r="BH184" s="99"/>
      <c r="BI184" s="190" t="s">
        <v>371</v>
      </c>
      <c r="BJ184" s="187" t="s">
        <v>408</v>
      </c>
      <c r="BK184" s="196">
        <v>2.1795</v>
      </c>
      <c r="BL184" s="187" t="s">
        <v>409</v>
      </c>
      <c r="BM184" s="189">
        <v>4.79E-3</v>
      </c>
      <c r="BN184" s="189">
        <v>4.79E-3</v>
      </c>
      <c r="BO184" s="188" t="s">
        <v>241</v>
      </c>
      <c r="BP184" s="195">
        <v>3.85E-2</v>
      </c>
      <c r="BQ184" s="195">
        <f>BP184/1000</f>
        <v>3.8500000000000001E-5</v>
      </c>
      <c r="BR184" s="187" t="s">
        <v>410</v>
      </c>
      <c r="BS184" s="189">
        <v>3.0000000000000001E-3</v>
      </c>
      <c r="BT184" s="189">
        <v>0.03</v>
      </c>
      <c r="BU184" s="187" t="s">
        <v>242</v>
      </c>
      <c r="BV184" s="195">
        <v>3.8E-3</v>
      </c>
      <c r="BW184" s="195">
        <f>BV184/1000</f>
        <v>3.8E-6</v>
      </c>
      <c r="BX184" s="187" t="s">
        <v>515</v>
      </c>
      <c r="BY184" s="189">
        <v>2.9999999999999997E-4</v>
      </c>
      <c r="BZ184" s="189">
        <v>0.03</v>
      </c>
      <c r="CA184" s="187" t="s">
        <v>242</v>
      </c>
      <c r="CB184" s="181">
        <v>3.5390999999999999</v>
      </c>
      <c r="CC184" s="195">
        <f>CB184/1000</f>
        <v>3.5390999999999999E-3</v>
      </c>
      <c r="CD184" s="187" t="s">
        <v>410</v>
      </c>
      <c r="CE184" s="189">
        <v>0.5</v>
      </c>
      <c r="CF184" s="189">
        <v>15.4</v>
      </c>
      <c r="CG184" s="187" t="s">
        <v>242</v>
      </c>
      <c r="CH184" s="181">
        <v>0.1154</v>
      </c>
      <c r="CI184" s="195">
        <f>CH184/1000</f>
        <v>1.154E-4</v>
      </c>
      <c r="CJ184" s="187" t="s">
        <v>515</v>
      </c>
      <c r="CK184" s="189">
        <v>0.01</v>
      </c>
      <c r="CL184" s="189">
        <v>0.77</v>
      </c>
      <c r="CM184" s="187" t="s">
        <v>242</v>
      </c>
      <c r="CN184" s="116"/>
      <c r="CO184" s="100">
        <v>0.01</v>
      </c>
      <c r="CP184" s="100">
        <f t="shared" si="173"/>
        <v>0.255</v>
      </c>
      <c r="CQ184" s="100">
        <v>0.5</v>
      </c>
    </row>
    <row r="185" spans="1:95" s="101" customFormat="1" ht="16.5" customHeight="1" thickBot="1" x14ac:dyDescent="0.3">
      <c r="A185" s="99"/>
      <c r="V185" s="103"/>
      <c r="AA185" s="104"/>
      <c r="AB185" s="104"/>
      <c r="AD185" s="104"/>
      <c r="AE185" s="105"/>
      <c r="AH185" s="106"/>
      <c r="AI185" s="106"/>
      <c r="AK185" s="104"/>
      <c r="AR185" s="104"/>
      <c r="AV185" s="104"/>
      <c r="AX185" s="104"/>
      <c r="BB185" s="104"/>
      <c r="BC185" s="104"/>
      <c r="BE185" s="104"/>
      <c r="BF185" s="119"/>
      <c r="BH185" s="99"/>
      <c r="BI185" s="190" t="s">
        <v>356</v>
      </c>
      <c r="BJ185" s="181" t="s">
        <v>49</v>
      </c>
      <c r="BK185" s="196">
        <f>(3.13757879682717*99.5%)</f>
        <v>3.1218909028430342</v>
      </c>
      <c r="BL185" s="196" t="s">
        <v>423</v>
      </c>
      <c r="BM185" s="189">
        <v>0.02</v>
      </c>
      <c r="BN185" s="189">
        <v>0.5</v>
      </c>
      <c r="BO185" s="188" t="s">
        <v>382</v>
      </c>
      <c r="BP185" s="195">
        <v>0</v>
      </c>
      <c r="BQ185" s="195">
        <f>BP185/1000</f>
        <v>0</v>
      </c>
      <c r="BR185" s="187" t="s">
        <v>410</v>
      </c>
      <c r="BS185" s="189">
        <v>0</v>
      </c>
      <c r="BT185" s="189">
        <v>0</v>
      </c>
      <c r="BU185" s="187"/>
      <c r="BV185" s="195">
        <v>0</v>
      </c>
      <c r="BW185" s="195">
        <f>BV185/1000</f>
        <v>0</v>
      </c>
      <c r="BX185" s="187" t="s">
        <v>515</v>
      </c>
      <c r="BY185" s="189">
        <v>0</v>
      </c>
      <c r="BZ185" s="189">
        <v>0</v>
      </c>
      <c r="CA185" s="187"/>
      <c r="CB185" s="181">
        <v>0</v>
      </c>
      <c r="CC185" s="195">
        <f>CB185/1000</f>
        <v>0</v>
      </c>
      <c r="CD185" s="187" t="s">
        <v>410</v>
      </c>
      <c r="CE185" s="189">
        <v>0</v>
      </c>
      <c r="CF185" s="189">
        <v>0</v>
      </c>
      <c r="CG185" s="187"/>
      <c r="CH185" s="181">
        <v>0</v>
      </c>
      <c r="CI185" s="195">
        <f>CH185/1000</f>
        <v>0</v>
      </c>
      <c r="CJ185" s="187" t="s">
        <v>515</v>
      </c>
      <c r="CK185" s="189">
        <v>0</v>
      </c>
      <c r="CL185" s="189">
        <v>0</v>
      </c>
      <c r="CM185" s="187"/>
      <c r="CN185" s="116"/>
      <c r="CO185" s="100">
        <v>0.01</v>
      </c>
      <c r="CP185" s="100">
        <f t="shared" si="173"/>
        <v>0.255</v>
      </c>
      <c r="CQ185" s="100">
        <v>0.5</v>
      </c>
    </row>
    <row r="186" spans="1:95" s="101" customFormat="1" ht="17.25" thickBot="1" x14ac:dyDescent="0.3">
      <c r="A186" s="99"/>
      <c r="V186" s="103"/>
      <c r="AA186" s="104"/>
      <c r="AB186" s="104"/>
      <c r="AD186" s="104"/>
      <c r="AE186" s="105"/>
      <c r="AH186" s="106"/>
      <c r="AI186" s="106"/>
      <c r="AK186" s="104"/>
      <c r="AR186" s="104"/>
      <c r="AV186" s="104"/>
      <c r="AX186" s="104"/>
      <c r="BB186" s="104"/>
      <c r="BC186" s="104"/>
      <c r="BE186" s="104"/>
      <c r="BF186" s="119"/>
      <c r="BH186" s="99"/>
      <c r="BI186" s="190" t="s">
        <v>349</v>
      </c>
      <c r="BJ186" s="187" t="s">
        <v>49</v>
      </c>
      <c r="BK186" s="196">
        <v>3.38</v>
      </c>
      <c r="BL186" s="187" t="s">
        <v>404</v>
      </c>
      <c r="BM186" s="189">
        <v>0.1</v>
      </c>
      <c r="BN186" s="189">
        <v>0.2</v>
      </c>
      <c r="BO186" s="188" t="s">
        <v>494</v>
      </c>
      <c r="BP186" s="195">
        <v>0</v>
      </c>
      <c r="BQ186" s="195">
        <f t="shared" si="169"/>
        <v>0</v>
      </c>
      <c r="BR186" s="187" t="s">
        <v>410</v>
      </c>
      <c r="BS186" s="189">
        <v>0</v>
      </c>
      <c r="BT186" s="189">
        <v>0</v>
      </c>
      <c r="BU186" s="187"/>
      <c r="BV186" s="195">
        <v>0</v>
      </c>
      <c r="BW186" s="195">
        <f t="shared" si="170"/>
        <v>0</v>
      </c>
      <c r="BX186" s="187" t="s">
        <v>515</v>
      </c>
      <c r="BY186" s="189">
        <v>0</v>
      </c>
      <c r="BZ186" s="189">
        <v>0</v>
      </c>
      <c r="CA186" s="187"/>
      <c r="CB186" s="181">
        <v>0</v>
      </c>
      <c r="CC186" s="195">
        <f t="shared" si="171"/>
        <v>0</v>
      </c>
      <c r="CD186" s="187" t="s">
        <v>410</v>
      </c>
      <c r="CE186" s="189">
        <v>0</v>
      </c>
      <c r="CF186" s="189">
        <v>0</v>
      </c>
      <c r="CG186" s="187"/>
      <c r="CH186" s="181">
        <v>0</v>
      </c>
      <c r="CI186" s="195">
        <f t="shared" si="172"/>
        <v>0</v>
      </c>
      <c r="CJ186" s="187" t="s">
        <v>515</v>
      </c>
      <c r="CK186" s="189">
        <v>0</v>
      </c>
      <c r="CL186" s="189">
        <v>0</v>
      </c>
      <c r="CM186" s="187"/>
      <c r="CN186" s="116"/>
      <c r="CO186" s="100">
        <v>0.01</v>
      </c>
      <c r="CP186" s="100">
        <f t="shared" si="173"/>
        <v>0.255</v>
      </c>
      <c r="CQ186" s="100">
        <v>0.5</v>
      </c>
    </row>
    <row r="187" spans="1:95" s="101" customFormat="1" ht="15.75" thickBot="1" x14ac:dyDescent="0.3">
      <c r="A187" s="99"/>
      <c r="V187" s="103"/>
      <c r="AA187" s="104"/>
      <c r="AB187" s="104"/>
      <c r="AD187" s="104"/>
      <c r="AE187" s="105"/>
      <c r="AH187" s="106"/>
      <c r="AI187" s="106"/>
      <c r="AK187" s="104"/>
      <c r="AR187" s="104"/>
      <c r="AV187" s="104"/>
      <c r="AX187" s="104"/>
      <c r="BB187" s="104"/>
      <c r="BC187" s="104"/>
      <c r="BE187" s="104"/>
      <c r="BH187" s="99"/>
      <c r="BI187" s="102"/>
      <c r="BJ187" s="178"/>
      <c r="BK187" s="178"/>
      <c r="BL187" s="178"/>
      <c r="BM187" s="169"/>
      <c r="BN187" s="169"/>
      <c r="BO187" s="169"/>
      <c r="BP187" s="192"/>
      <c r="BQ187" s="192"/>
      <c r="BR187" s="192"/>
      <c r="BS187" s="192"/>
      <c r="BT187" s="192"/>
      <c r="BU187" s="192"/>
      <c r="BV187" s="178"/>
      <c r="BW187" s="192"/>
      <c r="BX187" s="192"/>
      <c r="BY187" s="178"/>
      <c r="BZ187" s="178"/>
      <c r="CA187" s="178"/>
      <c r="CB187" s="180"/>
      <c r="CC187" s="192"/>
      <c r="CD187" s="192"/>
      <c r="CE187" s="180"/>
      <c r="CF187" s="180"/>
      <c r="CG187" s="180"/>
      <c r="CH187" s="180"/>
      <c r="CI187" s="192"/>
      <c r="CJ187" s="192"/>
      <c r="CK187" s="180"/>
      <c r="CL187" s="180"/>
      <c r="CM187" s="180"/>
      <c r="CN187" s="116"/>
      <c r="CO187" s="100">
        <v>0.01</v>
      </c>
      <c r="CP187" s="100">
        <f t="shared" si="173"/>
        <v>0.255</v>
      </c>
      <c r="CQ187" s="100">
        <v>0.5</v>
      </c>
    </row>
    <row r="188" spans="1:95" s="101" customFormat="1" ht="27" customHeight="1" x14ac:dyDescent="0.25">
      <c r="A188" s="99"/>
      <c r="V188" s="103"/>
      <c r="AA188" s="104"/>
      <c r="AB188" s="104"/>
      <c r="AD188" s="104"/>
      <c r="AE188" s="105"/>
      <c r="AH188" s="106"/>
      <c r="AI188" s="106"/>
      <c r="AK188" s="104"/>
      <c r="AR188" s="104"/>
      <c r="AV188" s="104"/>
      <c r="AX188" s="104"/>
      <c r="BB188" s="104"/>
      <c r="BC188" s="104"/>
      <c r="BE188" s="104"/>
      <c r="BH188" s="99"/>
      <c r="BI188" s="1606" t="s">
        <v>255</v>
      </c>
      <c r="BJ188" s="251"/>
      <c r="BK188" s="1606" t="s">
        <v>276</v>
      </c>
      <c r="BL188" s="251"/>
      <c r="BM188" s="1606" t="s">
        <v>233</v>
      </c>
      <c r="BN188" s="1606" t="s">
        <v>233</v>
      </c>
      <c r="BO188" s="1606" t="s">
        <v>240</v>
      </c>
      <c r="BP188" s="251"/>
      <c r="BQ188" s="1606" t="s">
        <v>276</v>
      </c>
      <c r="BR188" s="251"/>
      <c r="BS188" s="1606" t="s">
        <v>233</v>
      </c>
      <c r="BT188" s="1606" t="s">
        <v>233</v>
      </c>
      <c r="BU188" s="1606" t="s">
        <v>240</v>
      </c>
      <c r="BV188" s="178"/>
      <c r="BW188" s="192"/>
      <c r="BX188" s="192"/>
      <c r="BY188" s="178"/>
      <c r="BZ188" s="178"/>
      <c r="CA188" s="178"/>
      <c r="CB188" s="180"/>
      <c r="CC188" s="192"/>
      <c r="CD188" s="192"/>
      <c r="CE188" s="180"/>
      <c r="CF188" s="180"/>
      <c r="CG188" s="180"/>
      <c r="CH188" s="180"/>
      <c r="CI188" s="192"/>
      <c r="CJ188" s="192"/>
      <c r="CK188" s="180"/>
      <c r="CL188" s="180"/>
      <c r="CM188" s="180"/>
      <c r="CN188" s="116"/>
      <c r="CO188" s="100">
        <v>0.01</v>
      </c>
      <c r="CP188" s="100">
        <f t="shared" si="173"/>
        <v>0.255</v>
      </c>
      <c r="CQ188" s="100">
        <v>0.5</v>
      </c>
    </row>
    <row r="189" spans="1:95" s="101" customFormat="1" ht="53.25" customHeight="1" thickBot="1" x14ac:dyDescent="0.3">
      <c r="A189" s="99"/>
      <c r="V189" s="103"/>
      <c r="AA189" s="104"/>
      <c r="AB189" s="104"/>
      <c r="AD189" s="104"/>
      <c r="AE189" s="105"/>
      <c r="AH189" s="106"/>
      <c r="AI189" s="106"/>
      <c r="AK189" s="104"/>
      <c r="AR189" s="104"/>
      <c r="AV189" s="104"/>
      <c r="AX189" s="104"/>
      <c r="BB189" s="104"/>
      <c r="BC189" s="104"/>
      <c r="BE189" s="104"/>
      <c r="BH189" s="99"/>
      <c r="BI189" s="1607"/>
      <c r="BJ189" s="252" t="s">
        <v>253</v>
      </c>
      <c r="BK189" s="1607"/>
      <c r="BL189" s="252" t="s">
        <v>251</v>
      </c>
      <c r="BM189" s="1607"/>
      <c r="BN189" s="1607"/>
      <c r="BO189" s="1607"/>
      <c r="BP189" s="252" t="s">
        <v>253</v>
      </c>
      <c r="BQ189" s="1607"/>
      <c r="BR189" s="252" t="s">
        <v>251</v>
      </c>
      <c r="BS189" s="1607"/>
      <c r="BT189" s="1607"/>
      <c r="BU189" s="1607"/>
      <c r="BV189" s="178"/>
      <c r="BW189" s="192"/>
      <c r="BX189" s="192"/>
      <c r="BY189" s="178"/>
      <c r="BZ189" s="178"/>
      <c r="CA189" s="178"/>
      <c r="CB189" s="180"/>
      <c r="CC189" s="192"/>
      <c r="CD189" s="192"/>
      <c r="CE189" s="180"/>
      <c r="CF189" s="180"/>
      <c r="CG189" s="180"/>
      <c r="CH189" s="180"/>
      <c r="CI189" s="192"/>
      <c r="CJ189" s="192"/>
      <c r="CK189" s="180"/>
      <c r="CL189" s="180"/>
      <c r="CM189" s="180"/>
      <c r="CN189" s="116"/>
      <c r="CO189" s="100">
        <v>0.01</v>
      </c>
      <c r="CP189" s="100">
        <f t="shared" si="173"/>
        <v>0.255</v>
      </c>
      <c r="CQ189" s="100">
        <v>0.5</v>
      </c>
    </row>
    <row r="190" spans="1:95" s="101" customFormat="1" ht="18.75" thickBot="1" x14ac:dyDescent="0.3">
      <c r="A190" s="99"/>
      <c r="V190" s="103"/>
      <c r="AA190" s="104"/>
      <c r="AB190" s="104"/>
      <c r="AD190" s="104"/>
      <c r="AE190" s="105"/>
      <c r="AH190" s="106"/>
      <c r="AI190" s="106"/>
      <c r="AK190" s="104"/>
      <c r="AR190" s="104"/>
      <c r="AV190" s="104"/>
      <c r="AX190" s="104"/>
      <c r="BB190" s="104"/>
      <c r="BC190" s="104"/>
      <c r="BE190" s="104"/>
      <c r="BH190" s="99"/>
      <c r="BI190" s="190" t="s">
        <v>176</v>
      </c>
      <c r="BJ190" s="187" t="s">
        <v>49</v>
      </c>
      <c r="BK190" s="196">
        <v>4660</v>
      </c>
      <c r="BL190" s="187" t="s">
        <v>411</v>
      </c>
      <c r="BM190" s="189">
        <v>0.01</v>
      </c>
      <c r="BN190" s="189">
        <v>0.5</v>
      </c>
      <c r="BO190" s="188" t="s">
        <v>311</v>
      </c>
      <c r="BP190" s="187" t="s">
        <v>49</v>
      </c>
      <c r="BQ190" s="196">
        <v>4750</v>
      </c>
      <c r="BR190" s="187" t="s">
        <v>411</v>
      </c>
      <c r="BS190" s="189">
        <v>0.01</v>
      </c>
      <c r="BT190" s="189">
        <v>0.5</v>
      </c>
      <c r="BU190" s="188" t="s">
        <v>254</v>
      </c>
      <c r="BV190" s="102"/>
      <c r="BW190" s="102"/>
      <c r="BX190" s="102"/>
      <c r="BY190" s="102"/>
      <c r="BZ190" s="102"/>
      <c r="CA190" s="102"/>
      <c r="CB190" s="102"/>
      <c r="CC190" s="102"/>
      <c r="CD190" s="102"/>
      <c r="CE190" s="180"/>
      <c r="CF190" s="180"/>
      <c r="CG190" s="180"/>
      <c r="CH190" s="180"/>
      <c r="CI190" s="178"/>
      <c r="CJ190" s="178"/>
      <c r="CK190" s="180"/>
      <c r="CL190" s="180"/>
      <c r="CM190" s="180"/>
      <c r="CN190" s="116"/>
      <c r="CO190" s="100">
        <v>0.01</v>
      </c>
      <c r="CP190" s="100">
        <f t="shared" si="173"/>
        <v>0.255</v>
      </c>
      <c r="CQ190" s="100">
        <v>0.5</v>
      </c>
    </row>
    <row r="191" spans="1:95" s="101" customFormat="1" ht="18.75" thickBot="1" x14ac:dyDescent="0.3">
      <c r="A191" s="99"/>
      <c r="V191" s="103"/>
      <c r="AA191" s="104"/>
      <c r="AB191" s="104"/>
      <c r="AD191" s="104"/>
      <c r="AE191" s="105"/>
      <c r="AH191" s="106"/>
      <c r="AI191" s="106"/>
      <c r="AK191" s="104"/>
      <c r="AR191" s="104"/>
      <c r="AV191" s="104"/>
      <c r="AX191" s="104"/>
      <c r="BB191" s="104"/>
      <c r="BC191" s="104"/>
      <c r="BE191" s="104"/>
      <c r="BH191" s="99"/>
      <c r="BI191" s="190" t="s">
        <v>177</v>
      </c>
      <c r="BJ191" s="187" t="s">
        <v>49</v>
      </c>
      <c r="BK191" s="196">
        <v>10200</v>
      </c>
      <c r="BL191" s="187" t="s">
        <v>411</v>
      </c>
      <c r="BM191" s="189">
        <v>0.01</v>
      </c>
      <c r="BN191" s="189">
        <v>0.5</v>
      </c>
      <c r="BO191" s="188" t="s">
        <v>311</v>
      </c>
      <c r="BP191" s="187" t="s">
        <v>49</v>
      </c>
      <c r="BQ191" s="196">
        <v>10900</v>
      </c>
      <c r="BR191" s="187" t="s">
        <v>411</v>
      </c>
      <c r="BS191" s="189">
        <v>0.01</v>
      </c>
      <c r="BT191" s="189">
        <v>0.5</v>
      </c>
      <c r="BU191" s="188" t="s">
        <v>254</v>
      </c>
      <c r="BV191" s="102"/>
      <c r="BW191" s="102"/>
      <c r="BX191" s="102"/>
      <c r="BY191" s="102"/>
      <c r="BZ191" s="102"/>
      <c r="CA191" s="102"/>
      <c r="CB191" s="102"/>
      <c r="CC191" s="102"/>
      <c r="CD191" s="102"/>
      <c r="CE191" s="192"/>
      <c r="CF191" s="192"/>
      <c r="CG191" s="192"/>
      <c r="CH191" s="197"/>
      <c r="CI191" s="192"/>
      <c r="CJ191" s="192"/>
      <c r="CK191" s="197"/>
      <c r="CL191" s="197"/>
      <c r="CM191" s="192"/>
      <c r="CN191" s="116"/>
      <c r="CO191" s="100">
        <v>0.01</v>
      </c>
      <c r="CP191" s="100">
        <f t="shared" si="173"/>
        <v>0.255</v>
      </c>
      <c r="CQ191" s="100">
        <v>0.5</v>
      </c>
    </row>
    <row r="192" spans="1:95" s="101" customFormat="1" ht="18.75" thickBot="1" x14ac:dyDescent="0.3">
      <c r="A192" s="99"/>
      <c r="V192" s="103"/>
      <c r="AA192" s="104"/>
      <c r="AB192" s="104"/>
      <c r="AD192" s="104"/>
      <c r="AE192" s="105"/>
      <c r="AH192" s="106"/>
      <c r="AI192" s="106"/>
      <c r="AK192" s="104"/>
      <c r="AR192" s="104"/>
      <c r="AV192" s="104"/>
      <c r="AX192" s="104"/>
      <c r="BB192" s="104"/>
      <c r="BC192" s="104"/>
      <c r="BE192" s="104"/>
      <c r="BH192" s="99"/>
      <c r="BI192" s="190" t="s">
        <v>178</v>
      </c>
      <c r="BJ192" s="187" t="s">
        <v>49</v>
      </c>
      <c r="BK192" s="196">
        <v>1760</v>
      </c>
      <c r="BL192" s="187" t="s">
        <v>411</v>
      </c>
      <c r="BM192" s="189">
        <v>0.01</v>
      </c>
      <c r="BN192" s="189">
        <v>0.5</v>
      </c>
      <c r="BO192" s="188" t="s">
        <v>311</v>
      </c>
      <c r="BP192" s="187" t="s">
        <v>49</v>
      </c>
      <c r="BQ192" s="196">
        <v>1810</v>
      </c>
      <c r="BR192" s="187" t="s">
        <v>411</v>
      </c>
      <c r="BS192" s="189">
        <v>0.01</v>
      </c>
      <c r="BT192" s="189">
        <v>0.5</v>
      </c>
      <c r="BU192" s="188" t="s">
        <v>254</v>
      </c>
      <c r="BV192" s="102"/>
      <c r="BW192" s="102"/>
      <c r="BX192" s="102"/>
      <c r="BY192" s="102"/>
      <c r="BZ192" s="102"/>
      <c r="CA192" s="102"/>
      <c r="CB192" s="102"/>
      <c r="CC192" s="102"/>
      <c r="CD192" s="102"/>
      <c r="CE192" s="192"/>
      <c r="CF192" s="192"/>
      <c r="CG192" s="192"/>
      <c r="CH192" s="197"/>
      <c r="CI192" s="192"/>
      <c r="CJ192" s="192"/>
      <c r="CK192" s="197"/>
      <c r="CL192" s="197"/>
      <c r="CM192" s="192"/>
      <c r="CN192" s="116"/>
      <c r="CO192" s="100">
        <v>0.01</v>
      </c>
      <c r="CP192" s="100">
        <f t="shared" si="173"/>
        <v>0.255</v>
      </c>
      <c r="CQ192" s="100">
        <v>0.5</v>
      </c>
    </row>
    <row r="193" spans="1:95" s="101" customFormat="1" ht="18.75" thickBot="1" x14ac:dyDescent="0.3">
      <c r="A193" s="99"/>
      <c r="V193" s="103"/>
      <c r="AA193" s="104"/>
      <c r="AB193" s="104"/>
      <c r="AD193" s="104"/>
      <c r="AE193" s="105"/>
      <c r="AH193" s="106"/>
      <c r="AI193" s="106"/>
      <c r="AK193" s="104"/>
      <c r="AR193" s="104"/>
      <c r="AV193" s="104"/>
      <c r="AX193" s="104"/>
      <c r="BB193" s="104"/>
      <c r="BC193" s="104"/>
      <c r="BE193" s="104"/>
      <c r="BH193" s="99"/>
      <c r="BI193" s="190" t="s">
        <v>357</v>
      </c>
      <c r="BJ193" s="187" t="s">
        <v>49</v>
      </c>
      <c r="BK193" s="196">
        <v>782</v>
      </c>
      <c r="BL193" s="187" t="s">
        <v>411</v>
      </c>
      <c r="BM193" s="189">
        <v>0.01</v>
      </c>
      <c r="BN193" s="189">
        <v>0.5</v>
      </c>
      <c r="BO193" s="188" t="s">
        <v>311</v>
      </c>
      <c r="BP193" s="187"/>
      <c r="BQ193" s="196"/>
      <c r="BR193" s="187"/>
      <c r="BS193" s="189"/>
      <c r="BT193" s="189"/>
      <c r="BU193" s="188"/>
      <c r="BV193" s="102"/>
      <c r="BW193" s="102"/>
      <c r="BX193" s="102"/>
      <c r="BY193" s="102"/>
      <c r="BZ193" s="102"/>
      <c r="CA193" s="102"/>
      <c r="CB193" s="102"/>
      <c r="CC193" s="102"/>
      <c r="CD193" s="102"/>
      <c r="CE193" s="192"/>
      <c r="CF193" s="192"/>
      <c r="CG193" s="192"/>
      <c r="CH193" s="197"/>
      <c r="CI193" s="192"/>
      <c r="CJ193" s="192"/>
      <c r="CK193" s="197"/>
      <c r="CL193" s="197"/>
      <c r="CM193" s="192"/>
      <c r="CN193" s="116"/>
      <c r="CO193" s="100">
        <v>0.01</v>
      </c>
      <c r="CP193" s="100">
        <f t="shared" si="173"/>
        <v>0.255</v>
      </c>
      <c r="CQ193" s="100">
        <v>0.5</v>
      </c>
    </row>
    <row r="194" spans="1:95" s="101" customFormat="1" ht="18.75" thickBot="1" x14ac:dyDescent="0.3">
      <c r="A194" s="99"/>
      <c r="V194" s="103"/>
      <c r="AA194" s="104"/>
      <c r="AB194" s="104"/>
      <c r="AD194" s="104"/>
      <c r="AE194" s="105"/>
      <c r="AH194" s="106"/>
      <c r="AI194" s="106"/>
      <c r="AK194" s="104"/>
      <c r="AR194" s="104"/>
      <c r="AV194" s="104"/>
      <c r="AX194" s="104"/>
      <c r="BB194" s="104"/>
      <c r="BC194" s="104"/>
      <c r="BE194" s="104"/>
      <c r="BH194" s="99"/>
      <c r="BI194" s="190" t="s">
        <v>179</v>
      </c>
      <c r="BJ194" s="187" t="s">
        <v>49</v>
      </c>
      <c r="BK194" s="196">
        <v>12400</v>
      </c>
      <c r="BL194" s="187" t="s">
        <v>411</v>
      </c>
      <c r="BM194" s="189">
        <v>0.01</v>
      </c>
      <c r="BN194" s="189">
        <v>0.5</v>
      </c>
      <c r="BO194" s="188" t="s">
        <v>311</v>
      </c>
      <c r="BP194" s="187" t="s">
        <v>49</v>
      </c>
      <c r="BQ194" s="196">
        <v>14800</v>
      </c>
      <c r="BR194" s="187" t="s">
        <v>411</v>
      </c>
      <c r="BS194" s="189">
        <v>0.01</v>
      </c>
      <c r="BT194" s="189">
        <v>0.5</v>
      </c>
      <c r="BU194" s="188" t="s">
        <v>254</v>
      </c>
      <c r="BV194" s="102"/>
      <c r="BW194" s="102"/>
      <c r="BX194" s="102"/>
      <c r="BY194" s="102"/>
      <c r="BZ194" s="102"/>
      <c r="CA194" s="102"/>
      <c r="CB194" s="102"/>
      <c r="CC194" s="102"/>
      <c r="CD194" s="102"/>
      <c r="CE194" s="192"/>
      <c r="CF194" s="192"/>
      <c r="CG194" s="192"/>
      <c r="CH194" s="197"/>
      <c r="CI194" s="192"/>
      <c r="CJ194" s="192"/>
      <c r="CK194" s="197"/>
      <c r="CL194" s="197"/>
      <c r="CM194" s="192"/>
      <c r="CN194" s="116"/>
      <c r="CO194" s="100">
        <v>0.01</v>
      </c>
      <c r="CP194" s="100">
        <f t="shared" si="173"/>
        <v>0.255</v>
      </c>
      <c r="CQ194" s="100">
        <v>0.5</v>
      </c>
    </row>
    <row r="195" spans="1:95" s="101" customFormat="1" ht="18.75" thickBot="1" x14ac:dyDescent="0.3">
      <c r="A195" s="99"/>
      <c r="V195" s="103"/>
      <c r="AA195" s="104"/>
      <c r="AB195" s="104"/>
      <c r="AD195" s="104"/>
      <c r="AE195" s="105"/>
      <c r="AH195" s="106"/>
      <c r="AI195" s="106"/>
      <c r="AK195" s="104"/>
      <c r="AR195" s="104"/>
      <c r="AV195" s="104"/>
      <c r="AX195" s="104"/>
      <c r="BB195" s="104"/>
      <c r="BC195" s="104"/>
      <c r="BE195" s="104"/>
      <c r="BH195" s="99"/>
      <c r="BI195" s="190" t="s">
        <v>180</v>
      </c>
      <c r="BJ195" s="187" t="s">
        <v>49</v>
      </c>
      <c r="BK195" s="196">
        <v>677</v>
      </c>
      <c r="BL195" s="187" t="s">
        <v>411</v>
      </c>
      <c r="BM195" s="189">
        <v>0.01</v>
      </c>
      <c r="BN195" s="189">
        <v>0.5</v>
      </c>
      <c r="BO195" s="188" t="s">
        <v>311</v>
      </c>
      <c r="BP195" s="187" t="s">
        <v>49</v>
      </c>
      <c r="BQ195" s="196">
        <v>675</v>
      </c>
      <c r="BR195" s="187" t="s">
        <v>411</v>
      </c>
      <c r="BS195" s="189">
        <v>0.01</v>
      </c>
      <c r="BT195" s="189">
        <v>0.5</v>
      </c>
      <c r="BU195" s="188" t="s">
        <v>254</v>
      </c>
      <c r="BV195" s="102"/>
      <c r="BW195" s="102"/>
      <c r="BX195" s="102"/>
      <c r="BY195" s="102"/>
      <c r="BZ195" s="102"/>
      <c r="CA195" s="102"/>
      <c r="CB195" s="102"/>
      <c r="CC195" s="102"/>
      <c r="CD195" s="102"/>
      <c r="CE195" s="192"/>
      <c r="CF195" s="192"/>
      <c r="CG195" s="192"/>
      <c r="CH195" s="197"/>
      <c r="CI195" s="192"/>
      <c r="CJ195" s="192"/>
      <c r="CK195" s="197"/>
      <c r="CL195" s="197"/>
      <c r="CM195" s="192"/>
      <c r="CN195" s="116"/>
      <c r="CO195" s="100">
        <v>0.01</v>
      </c>
      <c r="CP195" s="100">
        <f t="shared" si="173"/>
        <v>0.255</v>
      </c>
      <c r="CQ195" s="100">
        <v>0.5</v>
      </c>
    </row>
    <row r="196" spans="1:95" s="101" customFormat="1" ht="18.75" thickBot="1" x14ac:dyDescent="0.3">
      <c r="A196" s="99"/>
      <c r="V196" s="103"/>
      <c r="AA196" s="104"/>
      <c r="AB196" s="104"/>
      <c r="AD196" s="104"/>
      <c r="AE196" s="105"/>
      <c r="AH196" s="106"/>
      <c r="AI196" s="106"/>
      <c r="AK196" s="104"/>
      <c r="AR196" s="104"/>
      <c r="AV196" s="104"/>
      <c r="AX196" s="104"/>
      <c r="BB196" s="104"/>
      <c r="BC196" s="104"/>
      <c r="BE196" s="104"/>
      <c r="BH196" s="99"/>
      <c r="BI196" s="190" t="s">
        <v>360</v>
      </c>
      <c r="BJ196" s="187" t="s">
        <v>49</v>
      </c>
      <c r="BK196" s="196">
        <v>3170</v>
      </c>
      <c r="BL196" s="187" t="s">
        <v>411</v>
      </c>
      <c r="BM196" s="189">
        <v>0.01</v>
      </c>
      <c r="BN196" s="189">
        <v>0.5</v>
      </c>
      <c r="BO196" s="188" t="s">
        <v>311</v>
      </c>
      <c r="BP196" s="187"/>
      <c r="BQ196" s="196"/>
      <c r="BR196" s="187"/>
      <c r="BS196" s="189"/>
      <c r="BT196" s="189"/>
      <c r="BU196" s="188"/>
      <c r="BV196" s="102"/>
      <c r="BW196" s="102"/>
      <c r="BX196" s="102"/>
      <c r="BY196" s="102"/>
      <c r="BZ196" s="102"/>
      <c r="CA196" s="102"/>
      <c r="CB196" s="102"/>
      <c r="CC196" s="102"/>
      <c r="CD196" s="102"/>
      <c r="CE196" s="192"/>
      <c r="CF196" s="192"/>
      <c r="CG196" s="192"/>
      <c r="CH196" s="197"/>
      <c r="CI196" s="192"/>
      <c r="CJ196" s="192"/>
      <c r="CK196" s="197"/>
      <c r="CL196" s="197"/>
      <c r="CM196" s="192"/>
      <c r="CN196" s="116"/>
      <c r="CO196" s="100">
        <v>0.01</v>
      </c>
      <c r="CP196" s="100">
        <f t="shared" si="173"/>
        <v>0.255</v>
      </c>
      <c r="CQ196" s="100">
        <v>0.5</v>
      </c>
    </row>
    <row r="197" spans="1:95" s="101" customFormat="1" ht="18.75" thickBot="1" x14ac:dyDescent="0.3">
      <c r="A197" s="99"/>
      <c r="V197" s="103"/>
      <c r="AA197" s="104"/>
      <c r="AB197" s="104"/>
      <c r="AD197" s="104"/>
      <c r="AE197" s="105"/>
      <c r="AH197" s="106"/>
      <c r="AI197" s="106"/>
      <c r="AK197" s="104"/>
      <c r="AR197" s="104"/>
      <c r="AV197" s="104"/>
      <c r="AX197" s="104"/>
      <c r="BB197" s="104"/>
      <c r="BC197" s="104"/>
      <c r="BE197" s="104"/>
      <c r="BH197" s="99"/>
      <c r="BI197" s="190" t="s">
        <v>181</v>
      </c>
      <c r="BJ197" s="187" t="s">
        <v>49</v>
      </c>
      <c r="BK197" s="196">
        <v>1120</v>
      </c>
      <c r="BL197" s="187" t="s">
        <v>411</v>
      </c>
      <c r="BM197" s="189">
        <v>0.01</v>
      </c>
      <c r="BN197" s="189">
        <v>0.5</v>
      </c>
      <c r="BO197" s="188" t="s">
        <v>311</v>
      </c>
      <c r="BP197" s="187" t="s">
        <v>49</v>
      </c>
      <c r="BQ197" s="196">
        <v>1100</v>
      </c>
      <c r="BR197" s="187" t="s">
        <v>411</v>
      </c>
      <c r="BS197" s="189">
        <v>0.01</v>
      </c>
      <c r="BT197" s="189">
        <v>0.5</v>
      </c>
      <c r="BU197" s="188" t="s">
        <v>254</v>
      </c>
      <c r="BV197" s="102"/>
      <c r="BW197" s="102"/>
      <c r="BX197" s="102"/>
      <c r="BY197" s="102"/>
      <c r="BZ197" s="102"/>
      <c r="CA197" s="102"/>
      <c r="CB197" s="102"/>
      <c r="CC197" s="102"/>
      <c r="CD197" s="102"/>
      <c r="CE197" s="192"/>
      <c r="CF197" s="192"/>
      <c r="CG197" s="192"/>
      <c r="CH197" s="197"/>
      <c r="CI197" s="192"/>
      <c r="CJ197" s="192"/>
      <c r="CK197" s="197"/>
      <c r="CL197" s="197"/>
      <c r="CM197" s="192"/>
      <c r="CN197" s="116"/>
      <c r="CO197" s="100">
        <v>0.01</v>
      </c>
      <c r="CP197" s="100">
        <f t="shared" si="173"/>
        <v>0.255</v>
      </c>
      <c r="CQ197" s="100">
        <v>0.5</v>
      </c>
    </row>
    <row r="198" spans="1:95" s="101" customFormat="1" ht="18.75" thickBot="1" x14ac:dyDescent="0.3">
      <c r="A198" s="99"/>
      <c r="V198" s="103"/>
      <c r="AA198" s="104"/>
      <c r="AB198" s="104"/>
      <c r="AD198" s="104"/>
      <c r="AE198" s="105"/>
      <c r="AH198" s="106"/>
      <c r="AI198" s="106"/>
      <c r="AK198" s="104"/>
      <c r="AR198" s="104"/>
      <c r="AV198" s="104"/>
      <c r="AX198" s="104"/>
      <c r="BB198" s="104"/>
      <c r="BC198" s="104"/>
      <c r="BE198" s="104"/>
      <c r="BH198" s="99"/>
      <c r="BI198" s="190" t="s">
        <v>182</v>
      </c>
      <c r="BJ198" s="187" t="s">
        <v>49</v>
      </c>
      <c r="BK198" s="196">
        <v>1300</v>
      </c>
      <c r="BL198" s="187" t="s">
        <v>411</v>
      </c>
      <c r="BM198" s="189">
        <v>0.01</v>
      </c>
      <c r="BN198" s="189">
        <v>0.5</v>
      </c>
      <c r="BO198" s="188" t="s">
        <v>311</v>
      </c>
      <c r="BP198" s="187" t="s">
        <v>49</v>
      </c>
      <c r="BQ198" s="196">
        <v>1430</v>
      </c>
      <c r="BR198" s="187" t="s">
        <v>411</v>
      </c>
      <c r="BS198" s="189">
        <v>0.01</v>
      </c>
      <c r="BT198" s="189">
        <v>0.5</v>
      </c>
      <c r="BU198" s="188" t="s">
        <v>254</v>
      </c>
      <c r="BV198" s="102"/>
      <c r="BW198" s="102"/>
      <c r="BX198" s="102"/>
      <c r="BY198" s="102"/>
      <c r="BZ198" s="102"/>
      <c r="CA198" s="102"/>
      <c r="CB198" s="102"/>
      <c r="CC198" s="102"/>
      <c r="CD198" s="102"/>
      <c r="CE198" s="192"/>
      <c r="CF198" s="192"/>
      <c r="CG198" s="192"/>
      <c r="CH198" s="197"/>
      <c r="CI198" s="192"/>
      <c r="CJ198" s="192"/>
      <c r="CK198" s="197"/>
      <c r="CL198" s="197"/>
      <c r="CM198" s="192"/>
      <c r="CN198" s="116"/>
      <c r="CO198" s="100">
        <v>0.01</v>
      </c>
      <c r="CP198" s="100">
        <f t="shared" si="173"/>
        <v>0.255</v>
      </c>
      <c r="CQ198" s="100">
        <v>0.5</v>
      </c>
    </row>
    <row r="199" spans="1:95" s="101" customFormat="1" ht="18.75" thickBot="1" x14ac:dyDescent="0.3">
      <c r="A199" s="99"/>
      <c r="V199" s="103"/>
      <c r="AA199" s="104"/>
      <c r="AB199" s="104"/>
      <c r="AD199" s="104"/>
      <c r="AE199" s="105"/>
      <c r="AH199" s="106"/>
      <c r="AI199" s="106"/>
      <c r="AK199" s="104"/>
      <c r="AR199" s="104"/>
      <c r="AV199" s="104"/>
      <c r="AX199" s="104"/>
      <c r="BB199" s="104"/>
      <c r="BC199" s="104"/>
      <c r="BE199" s="104"/>
      <c r="BH199" s="99"/>
      <c r="BI199" s="190" t="s">
        <v>186</v>
      </c>
      <c r="BJ199" s="187" t="s">
        <v>49</v>
      </c>
      <c r="BK199" s="196">
        <v>328</v>
      </c>
      <c r="BL199" s="187" t="s">
        <v>411</v>
      </c>
      <c r="BM199" s="189">
        <v>0.01</v>
      </c>
      <c r="BN199" s="189">
        <v>0.5</v>
      </c>
      <c r="BO199" s="188" t="s">
        <v>311</v>
      </c>
      <c r="BP199" s="187" t="s">
        <v>49</v>
      </c>
      <c r="BQ199" s="196">
        <v>353</v>
      </c>
      <c r="BR199" s="187" t="s">
        <v>411</v>
      </c>
      <c r="BS199" s="189">
        <v>0.01</v>
      </c>
      <c r="BT199" s="189">
        <v>0.5</v>
      </c>
      <c r="BU199" s="188" t="s">
        <v>254</v>
      </c>
      <c r="BV199" s="102"/>
      <c r="BW199" s="102"/>
      <c r="BX199" s="102"/>
      <c r="BY199" s="102"/>
      <c r="BZ199" s="102"/>
      <c r="CA199" s="102"/>
      <c r="CB199" s="102"/>
      <c r="CC199" s="102"/>
      <c r="CD199" s="102"/>
      <c r="CE199" s="192"/>
      <c r="CF199" s="192"/>
      <c r="CG199" s="192"/>
      <c r="CH199" s="197"/>
      <c r="CI199" s="192"/>
      <c r="CJ199" s="192"/>
      <c r="CK199" s="197"/>
      <c r="CL199" s="197"/>
      <c r="CM199" s="192"/>
      <c r="CN199" s="116"/>
      <c r="CO199" s="100">
        <v>0.01</v>
      </c>
      <c r="CP199" s="100">
        <f t="shared" si="173"/>
        <v>0.255</v>
      </c>
      <c r="CQ199" s="100">
        <v>0.5</v>
      </c>
    </row>
    <row r="200" spans="1:95" s="101" customFormat="1" ht="18.75" thickBot="1" x14ac:dyDescent="0.3">
      <c r="A200" s="99"/>
      <c r="V200" s="103"/>
      <c r="AA200" s="104"/>
      <c r="AB200" s="104"/>
      <c r="AD200" s="104"/>
      <c r="AE200" s="105"/>
      <c r="AH200" s="106"/>
      <c r="AI200" s="106"/>
      <c r="AK200" s="104"/>
      <c r="AR200" s="104"/>
      <c r="AV200" s="104"/>
      <c r="AX200" s="104"/>
      <c r="BB200" s="104"/>
      <c r="BC200" s="104"/>
      <c r="BE200" s="104"/>
      <c r="BH200" s="99"/>
      <c r="BI200" s="190" t="s">
        <v>187</v>
      </c>
      <c r="BJ200" s="187" t="s">
        <v>49</v>
      </c>
      <c r="BK200" s="196">
        <v>4800</v>
      </c>
      <c r="BL200" s="187" t="s">
        <v>411</v>
      </c>
      <c r="BM200" s="189">
        <v>0.01</v>
      </c>
      <c r="BN200" s="189">
        <v>0.5</v>
      </c>
      <c r="BO200" s="188" t="s">
        <v>311</v>
      </c>
      <c r="BP200" s="187" t="s">
        <v>49</v>
      </c>
      <c r="BQ200" s="196">
        <v>4470</v>
      </c>
      <c r="BR200" s="187" t="s">
        <v>411</v>
      </c>
      <c r="BS200" s="189">
        <v>0.01</v>
      </c>
      <c r="BT200" s="189">
        <v>0.5</v>
      </c>
      <c r="BU200" s="188" t="s">
        <v>254</v>
      </c>
      <c r="BV200" s="102"/>
      <c r="BW200" s="102"/>
      <c r="BX200" s="102"/>
      <c r="BY200" s="102"/>
      <c r="BZ200" s="102"/>
      <c r="CA200" s="102"/>
      <c r="CB200" s="102"/>
      <c r="CC200" s="102"/>
      <c r="CD200" s="102"/>
      <c r="CE200" s="192"/>
      <c r="CF200" s="192"/>
      <c r="CG200" s="192"/>
      <c r="CH200" s="197"/>
      <c r="CI200" s="192"/>
      <c r="CJ200" s="192"/>
      <c r="CK200" s="197"/>
      <c r="CL200" s="197"/>
      <c r="CM200" s="192"/>
      <c r="CN200" s="116"/>
      <c r="CO200" s="100">
        <v>0.01</v>
      </c>
      <c r="CP200" s="100">
        <f t="shared" si="173"/>
        <v>0.255</v>
      </c>
      <c r="CQ200" s="100">
        <v>0.5</v>
      </c>
    </row>
    <row r="201" spans="1:95" s="101" customFormat="1" ht="18.75" thickBot="1" x14ac:dyDescent="0.3">
      <c r="A201" s="99"/>
      <c r="V201" s="103"/>
      <c r="AA201" s="104"/>
      <c r="AB201" s="104"/>
      <c r="AD201" s="104"/>
      <c r="AE201" s="105"/>
      <c r="AH201" s="106"/>
      <c r="AI201" s="106"/>
      <c r="AK201" s="104"/>
      <c r="AR201" s="104"/>
      <c r="AV201" s="104"/>
      <c r="AX201" s="104"/>
      <c r="BB201" s="104"/>
      <c r="BC201" s="104"/>
      <c r="BE201" s="104"/>
      <c r="BH201" s="99"/>
      <c r="BI201" s="190" t="s">
        <v>395</v>
      </c>
      <c r="BJ201" s="187" t="s">
        <v>49</v>
      </c>
      <c r="BK201" s="196">
        <v>3350</v>
      </c>
      <c r="BL201" s="187" t="s">
        <v>411</v>
      </c>
      <c r="BM201" s="189">
        <v>0.01</v>
      </c>
      <c r="BN201" s="189">
        <v>0.5</v>
      </c>
      <c r="BO201" s="188" t="s">
        <v>311</v>
      </c>
      <c r="BP201" s="187"/>
      <c r="BQ201" s="196"/>
      <c r="BR201" s="187"/>
      <c r="BS201" s="189"/>
      <c r="BT201" s="189"/>
      <c r="BU201" s="188"/>
      <c r="BV201" s="102"/>
      <c r="BW201" s="102"/>
      <c r="BX201" s="102"/>
      <c r="BY201" s="102"/>
      <c r="BZ201" s="102"/>
      <c r="CA201" s="102"/>
      <c r="CB201" s="102"/>
      <c r="CC201" s="102"/>
      <c r="CD201" s="102"/>
      <c r="CE201" s="192"/>
      <c r="CF201" s="192"/>
      <c r="CG201" s="192"/>
      <c r="CH201" s="197"/>
      <c r="CI201" s="192"/>
      <c r="CJ201" s="192"/>
      <c r="CK201" s="197"/>
      <c r="CL201" s="197"/>
      <c r="CM201" s="192"/>
      <c r="CN201" s="116"/>
      <c r="CO201" s="100"/>
      <c r="CP201" s="100"/>
      <c r="CQ201" s="100"/>
    </row>
    <row r="202" spans="1:95" s="101" customFormat="1" ht="90.75" thickBot="1" x14ac:dyDescent="0.3">
      <c r="A202" s="99"/>
      <c r="V202" s="103"/>
      <c r="AA202" s="104"/>
      <c r="AB202" s="104"/>
      <c r="AD202" s="104"/>
      <c r="AE202" s="105"/>
      <c r="AH202" s="106"/>
      <c r="AI202" s="106"/>
      <c r="AK202" s="104"/>
      <c r="AR202" s="104"/>
      <c r="AV202" s="104"/>
      <c r="AX202" s="104"/>
      <c r="BB202" s="104"/>
      <c r="BC202" s="104"/>
      <c r="BE202" s="104"/>
      <c r="BH202" s="99"/>
      <c r="BI202" s="190" t="s">
        <v>359</v>
      </c>
      <c r="BJ202" s="187" t="s">
        <v>49</v>
      </c>
      <c r="BK202" s="196">
        <f>(BK198*4%)+(BK196*44%)+(BK200*52%)</f>
        <v>3942.8</v>
      </c>
      <c r="BL202" s="187" t="s">
        <v>411</v>
      </c>
      <c r="BM202" s="189">
        <v>0.01</v>
      </c>
      <c r="BN202" s="189">
        <v>0.5</v>
      </c>
      <c r="BO202" s="188" t="s">
        <v>383</v>
      </c>
      <c r="BP202" s="187" t="s">
        <v>49</v>
      </c>
      <c r="BQ202" s="196">
        <v>3922</v>
      </c>
      <c r="BR202" s="187" t="s">
        <v>411</v>
      </c>
      <c r="BS202" s="189">
        <v>0.01</v>
      </c>
      <c r="BT202" s="189">
        <v>0.5</v>
      </c>
      <c r="BU202" s="198" t="s">
        <v>358</v>
      </c>
      <c r="BV202" s="102"/>
      <c r="BW202" s="102"/>
      <c r="BX202" s="102"/>
      <c r="BY202" s="102"/>
      <c r="BZ202" s="102"/>
      <c r="CA202" s="102"/>
      <c r="CB202" s="102"/>
      <c r="CC202" s="102"/>
      <c r="CD202" s="102"/>
      <c r="CE202" s="192"/>
      <c r="CF202" s="192"/>
      <c r="CG202" s="192"/>
      <c r="CH202" s="197"/>
      <c r="CI202" s="192"/>
      <c r="CJ202" s="192"/>
      <c r="CK202" s="197"/>
      <c r="CL202" s="197"/>
      <c r="CM202" s="192"/>
      <c r="CN202" s="116"/>
      <c r="CO202" s="100"/>
      <c r="CP202" s="100"/>
      <c r="CQ202" s="100"/>
    </row>
    <row r="203" spans="1:95" s="101" customFormat="1" ht="128.25" thickBot="1" x14ac:dyDescent="0.3">
      <c r="A203" s="99"/>
      <c r="V203" s="103"/>
      <c r="AA203" s="104"/>
      <c r="AB203" s="104"/>
      <c r="AD203" s="104"/>
      <c r="AE203" s="105"/>
      <c r="AH203" s="106"/>
      <c r="AI203" s="106"/>
      <c r="AK203" s="104"/>
      <c r="AR203" s="104"/>
      <c r="AV203" s="104"/>
      <c r="AX203" s="104"/>
      <c r="BB203" s="104"/>
      <c r="BC203" s="104"/>
      <c r="BE203" s="104"/>
      <c r="BH203" s="99"/>
      <c r="BI203" s="190" t="s">
        <v>185</v>
      </c>
      <c r="BJ203" s="187" t="s">
        <v>49</v>
      </c>
      <c r="BK203" s="196">
        <f>(BK198*52%)+(BK196*25%)+(BK195*23%)</f>
        <v>1624.21</v>
      </c>
      <c r="BL203" s="187" t="s">
        <v>411</v>
      </c>
      <c r="BM203" s="189">
        <v>0.01</v>
      </c>
      <c r="BN203" s="189">
        <v>0.5</v>
      </c>
      <c r="BO203" s="188" t="s">
        <v>384</v>
      </c>
      <c r="BP203" s="187" t="s">
        <v>49</v>
      </c>
      <c r="BQ203" s="196">
        <v>1774</v>
      </c>
      <c r="BR203" s="187" t="s">
        <v>411</v>
      </c>
      <c r="BS203" s="189">
        <v>0.01</v>
      </c>
      <c r="BT203" s="189">
        <v>0.5</v>
      </c>
      <c r="BU203" s="188" t="s">
        <v>254</v>
      </c>
      <c r="BV203" s="102"/>
      <c r="BW203" s="102"/>
      <c r="BX203" s="102"/>
      <c r="BY203" s="102"/>
      <c r="BZ203" s="102"/>
      <c r="CA203" s="102"/>
      <c r="CB203" s="102"/>
      <c r="CC203" s="102"/>
      <c r="CD203" s="102"/>
      <c r="CE203" s="192"/>
      <c r="CF203" s="192"/>
      <c r="CG203" s="192"/>
      <c r="CH203" s="197"/>
      <c r="CI203" s="192"/>
      <c r="CJ203" s="192"/>
      <c r="CK203" s="197"/>
      <c r="CL203" s="197"/>
      <c r="CM203" s="192"/>
      <c r="CN203" s="116"/>
      <c r="CO203" s="100"/>
      <c r="CP203" s="100"/>
      <c r="CQ203" s="100"/>
    </row>
    <row r="204" spans="1:95" s="101" customFormat="1" ht="128.25" thickBot="1" x14ac:dyDescent="0.3">
      <c r="A204" s="99"/>
      <c r="V204" s="103"/>
      <c r="AA204" s="104"/>
      <c r="AB204" s="104"/>
      <c r="AD204" s="104"/>
      <c r="AE204" s="105"/>
      <c r="AH204" s="106"/>
      <c r="AI204" s="106"/>
      <c r="AK204" s="104"/>
      <c r="AR204" s="104"/>
      <c r="AV204" s="104"/>
      <c r="AX204" s="104"/>
      <c r="BB204" s="104"/>
      <c r="BC204" s="104"/>
      <c r="BE204" s="104"/>
      <c r="BH204" s="99"/>
      <c r="BI204" s="190" t="s">
        <v>184</v>
      </c>
      <c r="BJ204" s="187" t="s">
        <v>49</v>
      </c>
      <c r="BK204" s="196">
        <f>(BK196*50%)+(BK195*50%)</f>
        <v>1923.5</v>
      </c>
      <c r="BL204" s="187" t="s">
        <v>411</v>
      </c>
      <c r="BM204" s="189">
        <v>0.01</v>
      </c>
      <c r="BN204" s="189">
        <v>0.5</v>
      </c>
      <c r="BO204" s="188" t="s">
        <v>385</v>
      </c>
      <c r="BP204" s="187" t="s">
        <v>49</v>
      </c>
      <c r="BQ204" s="196">
        <v>2088</v>
      </c>
      <c r="BR204" s="187" t="s">
        <v>411</v>
      </c>
      <c r="BS204" s="189">
        <v>0.01</v>
      </c>
      <c r="BT204" s="189">
        <v>0.5</v>
      </c>
      <c r="BU204" s="188" t="s">
        <v>254</v>
      </c>
      <c r="BV204" s="102"/>
      <c r="BW204" s="102"/>
      <c r="BX204" s="102"/>
      <c r="BY204" s="102"/>
      <c r="BZ204" s="102"/>
      <c r="CA204" s="102"/>
      <c r="CB204" s="102"/>
      <c r="CC204" s="102"/>
      <c r="CD204" s="102"/>
      <c r="CE204" s="192"/>
      <c r="CF204" s="192"/>
      <c r="CG204" s="192"/>
      <c r="CH204" s="197"/>
      <c r="CI204" s="192"/>
      <c r="CJ204" s="192"/>
      <c r="CK204" s="197"/>
      <c r="CL204" s="197"/>
      <c r="CM204" s="192"/>
      <c r="CN204" s="116"/>
      <c r="CO204" s="100"/>
      <c r="CP204" s="100"/>
      <c r="CQ204" s="100"/>
    </row>
    <row r="205" spans="1:95" s="101" customFormat="1" ht="128.25" thickBot="1" x14ac:dyDescent="0.3">
      <c r="A205" s="99"/>
      <c r="V205" s="103"/>
      <c r="AA205" s="104"/>
      <c r="AB205" s="104"/>
      <c r="AD205" s="104"/>
      <c r="AE205" s="105"/>
      <c r="AH205" s="106"/>
      <c r="AI205" s="106"/>
      <c r="AK205" s="104"/>
      <c r="AR205" s="104"/>
      <c r="AV205" s="104"/>
      <c r="AX205" s="104"/>
      <c r="BB205" s="104"/>
      <c r="BC205" s="104"/>
      <c r="BE205" s="104"/>
      <c r="BH205" s="99"/>
      <c r="BI205" s="190" t="s">
        <v>188</v>
      </c>
      <c r="BJ205" s="187" t="s">
        <v>49</v>
      </c>
      <c r="BK205" s="196">
        <f>(BK196*65.1%)+(BK198*31.5%)+(BK209*3.4%)</f>
        <v>2473.2039999999997</v>
      </c>
      <c r="BL205" s="187" t="s">
        <v>411</v>
      </c>
      <c r="BM205" s="189">
        <v>0.01</v>
      </c>
      <c r="BN205" s="189">
        <v>0.5</v>
      </c>
      <c r="BO205" s="188" t="s">
        <v>386</v>
      </c>
      <c r="BP205" s="187" t="s">
        <v>49</v>
      </c>
      <c r="BQ205" s="196">
        <v>2729</v>
      </c>
      <c r="BR205" s="187" t="s">
        <v>411</v>
      </c>
      <c r="BS205" s="189">
        <v>0.01</v>
      </c>
      <c r="BT205" s="189">
        <v>0.5</v>
      </c>
      <c r="BU205" s="188" t="s">
        <v>254</v>
      </c>
      <c r="BV205" s="102"/>
      <c r="BW205" s="102"/>
      <c r="BX205" s="102"/>
      <c r="BY205" s="102"/>
      <c r="BZ205" s="102"/>
      <c r="CA205" s="102"/>
      <c r="CB205" s="102"/>
      <c r="CC205" s="102"/>
      <c r="CD205" s="102"/>
      <c r="CE205" s="192"/>
      <c r="CF205" s="192"/>
      <c r="CG205" s="192"/>
      <c r="CH205" s="197"/>
      <c r="CI205" s="192"/>
      <c r="CJ205" s="192"/>
      <c r="CK205" s="197"/>
      <c r="CL205" s="197"/>
      <c r="CM205" s="192"/>
      <c r="CN205" s="116"/>
      <c r="CO205" s="100">
        <v>0.01</v>
      </c>
      <c r="CP205" s="100">
        <f>(CO205+CQ205)/2</f>
        <v>0.255</v>
      </c>
      <c r="CQ205" s="100">
        <v>0.5</v>
      </c>
    </row>
    <row r="206" spans="1:95" s="101" customFormat="1" ht="18.75" thickBot="1" x14ac:dyDescent="0.3">
      <c r="A206" s="99"/>
      <c r="V206" s="103"/>
      <c r="AA206" s="104"/>
      <c r="AB206" s="104"/>
      <c r="AD206" s="104"/>
      <c r="AE206" s="105"/>
      <c r="AH206" s="106"/>
      <c r="AI206" s="106"/>
      <c r="AK206" s="104"/>
      <c r="AR206" s="104"/>
      <c r="AV206" s="104"/>
      <c r="AX206" s="104"/>
      <c r="BB206" s="104"/>
      <c r="BC206" s="104"/>
      <c r="BE206" s="104"/>
      <c r="BH206" s="99"/>
      <c r="BI206" s="190" t="s">
        <v>183</v>
      </c>
      <c r="BJ206" s="187" t="s">
        <v>49</v>
      </c>
      <c r="BK206" s="196">
        <v>6630</v>
      </c>
      <c r="BL206" s="187" t="s">
        <v>411</v>
      </c>
      <c r="BM206" s="189">
        <v>0.01</v>
      </c>
      <c r="BN206" s="189">
        <v>0.5</v>
      </c>
      <c r="BO206" s="188" t="s">
        <v>311</v>
      </c>
      <c r="BP206" s="187" t="s">
        <v>49</v>
      </c>
      <c r="BQ206" s="196">
        <v>7390</v>
      </c>
      <c r="BR206" s="187" t="s">
        <v>411</v>
      </c>
      <c r="BS206" s="189">
        <v>0.01</v>
      </c>
      <c r="BT206" s="189">
        <v>0.5</v>
      </c>
      <c r="BU206" s="188" t="s">
        <v>254</v>
      </c>
      <c r="BV206" s="102"/>
      <c r="BW206" s="102"/>
      <c r="BX206" s="102"/>
      <c r="BY206" s="102"/>
      <c r="BZ206" s="102"/>
      <c r="CA206" s="102"/>
      <c r="CB206" s="102"/>
      <c r="CC206" s="102"/>
      <c r="CD206" s="102"/>
      <c r="CE206" s="192"/>
      <c r="CF206" s="192"/>
      <c r="CG206" s="192"/>
      <c r="CH206" s="180"/>
      <c r="CI206" s="192"/>
      <c r="CJ206" s="192"/>
      <c r="CK206" s="180"/>
      <c r="CL206" s="180"/>
      <c r="CM206" s="192"/>
      <c r="CN206" s="116"/>
      <c r="CO206" s="100">
        <v>0.01</v>
      </c>
      <c r="CP206" s="100">
        <f>(CO206+CQ206)/2</f>
        <v>0.255</v>
      </c>
      <c r="CQ206" s="100">
        <v>0.5</v>
      </c>
    </row>
    <row r="207" spans="1:95" s="101" customFormat="1" ht="18.75" thickBot="1" x14ac:dyDescent="0.3">
      <c r="A207" s="99"/>
      <c r="V207" s="103"/>
      <c r="AA207" s="104"/>
      <c r="AB207" s="104"/>
      <c r="AD207" s="104"/>
      <c r="AE207" s="105"/>
      <c r="AH207" s="106"/>
      <c r="AI207" s="106"/>
      <c r="AK207" s="104"/>
      <c r="AR207" s="104"/>
      <c r="AV207" s="104"/>
      <c r="AX207" s="104"/>
      <c r="BB207" s="104"/>
      <c r="BC207" s="104"/>
      <c r="BE207" s="104"/>
      <c r="BH207" s="99"/>
      <c r="BI207" s="190" t="s">
        <v>394</v>
      </c>
      <c r="BJ207" s="187" t="s">
        <v>49</v>
      </c>
      <c r="BK207" s="196">
        <v>182</v>
      </c>
      <c r="BL207" s="187" t="s">
        <v>411</v>
      </c>
      <c r="BM207" s="189">
        <v>0.01</v>
      </c>
      <c r="BN207" s="189">
        <v>0.5</v>
      </c>
      <c r="BO207" s="188" t="s">
        <v>311</v>
      </c>
      <c r="BP207" s="187"/>
      <c r="BQ207" s="196"/>
      <c r="BR207" s="187"/>
      <c r="BS207" s="189"/>
      <c r="BT207" s="189"/>
      <c r="BU207" s="188"/>
      <c r="BV207" s="102"/>
      <c r="BW207" s="102"/>
      <c r="BX207" s="102"/>
      <c r="BY207" s="102"/>
      <c r="BZ207" s="102"/>
      <c r="CA207" s="102"/>
      <c r="CB207" s="102"/>
      <c r="CC207" s="102"/>
      <c r="CD207" s="102"/>
      <c r="CE207" s="192"/>
      <c r="CF207" s="192"/>
      <c r="CG207" s="192"/>
      <c r="CH207" s="180"/>
      <c r="CI207" s="192"/>
      <c r="CJ207" s="192"/>
      <c r="CK207" s="180"/>
      <c r="CL207" s="180"/>
      <c r="CM207" s="192"/>
      <c r="CN207" s="116"/>
      <c r="CO207" s="100"/>
      <c r="CP207" s="100"/>
      <c r="CQ207" s="100"/>
    </row>
    <row r="208" spans="1:95" s="101" customFormat="1" ht="105.75" thickBot="1" x14ac:dyDescent="0.3">
      <c r="A208" s="99"/>
      <c r="V208" s="103"/>
      <c r="AA208" s="104"/>
      <c r="AB208" s="104"/>
      <c r="AD208" s="104"/>
      <c r="AE208" s="105"/>
      <c r="AH208" s="106"/>
      <c r="AI208" s="106"/>
      <c r="AK208" s="104"/>
      <c r="AR208" s="104"/>
      <c r="AV208" s="104"/>
      <c r="AX208" s="104"/>
      <c r="BB208" s="104"/>
      <c r="BC208" s="104"/>
      <c r="BE208" s="104"/>
      <c r="BH208" s="99"/>
      <c r="BI208" s="190" t="s">
        <v>361</v>
      </c>
      <c r="BJ208" s="187" t="s">
        <v>49</v>
      </c>
      <c r="BK208" s="196">
        <v>3</v>
      </c>
      <c r="BL208" s="187" t="s">
        <v>411</v>
      </c>
      <c r="BM208" s="189">
        <v>0.01</v>
      </c>
      <c r="BN208" s="189">
        <v>0.5</v>
      </c>
      <c r="BO208" s="198" t="s">
        <v>312</v>
      </c>
      <c r="BP208" s="187" t="s">
        <v>49</v>
      </c>
      <c r="BQ208" s="196">
        <v>3</v>
      </c>
      <c r="BR208" s="187" t="s">
        <v>411</v>
      </c>
      <c r="BS208" s="189">
        <v>0.01</v>
      </c>
      <c r="BT208" s="189">
        <v>0.5</v>
      </c>
      <c r="BU208" s="188" t="s">
        <v>254</v>
      </c>
      <c r="BV208" s="102"/>
      <c r="BW208" s="102"/>
      <c r="BX208" s="102"/>
      <c r="BY208" s="102"/>
      <c r="BZ208" s="102"/>
      <c r="CA208" s="102"/>
      <c r="CB208" s="102"/>
      <c r="CC208" s="102"/>
      <c r="CD208" s="102"/>
      <c r="CE208" s="192"/>
      <c r="CF208" s="192"/>
      <c r="CG208" s="192"/>
      <c r="CH208" s="197"/>
      <c r="CI208" s="192"/>
      <c r="CJ208" s="192"/>
      <c r="CK208" s="197"/>
      <c r="CL208" s="197"/>
      <c r="CM208" s="192"/>
      <c r="CN208" s="116"/>
      <c r="CO208" s="100"/>
      <c r="CP208" s="100"/>
      <c r="CQ208" s="100"/>
    </row>
    <row r="209" spans="1:95" s="101" customFormat="1" ht="64.5" thickBot="1" x14ac:dyDescent="0.3">
      <c r="A209" s="99"/>
      <c r="V209" s="103"/>
      <c r="AA209" s="104"/>
      <c r="AB209" s="104"/>
      <c r="AD209" s="104"/>
      <c r="AE209" s="105"/>
      <c r="AH209" s="106"/>
      <c r="AI209" s="106"/>
      <c r="AK209" s="104"/>
      <c r="AR209" s="104"/>
      <c r="AV209" s="104"/>
      <c r="AX209" s="104"/>
      <c r="BB209" s="104"/>
      <c r="BC209" s="104"/>
      <c r="BE209" s="104"/>
      <c r="BH209" s="99"/>
      <c r="BI209" s="190" t="s">
        <v>362</v>
      </c>
      <c r="BJ209" s="187" t="s">
        <v>49</v>
      </c>
      <c r="BK209" s="196">
        <v>1</v>
      </c>
      <c r="BL209" s="187" t="s">
        <v>411</v>
      </c>
      <c r="BM209" s="189">
        <v>0.01</v>
      </c>
      <c r="BN209" s="189">
        <v>0.5</v>
      </c>
      <c r="BO209" s="188" t="s">
        <v>312</v>
      </c>
      <c r="BP209" s="187" t="s">
        <v>49</v>
      </c>
      <c r="BQ209" s="196">
        <v>3</v>
      </c>
      <c r="BR209" s="187" t="s">
        <v>411</v>
      </c>
      <c r="BS209" s="189">
        <v>0.01</v>
      </c>
      <c r="BT209" s="189">
        <v>0.5</v>
      </c>
      <c r="BU209" s="188" t="s">
        <v>254</v>
      </c>
      <c r="BV209" s="102"/>
      <c r="BW209" s="102"/>
      <c r="BX209" s="102"/>
      <c r="BY209" s="102"/>
      <c r="BZ209" s="102"/>
      <c r="CA209" s="102"/>
      <c r="CB209" s="102"/>
      <c r="CC209" s="102"/>
      <c r="CD209" s="102"/>
      <c r="CE209" s="192"/>
      <c r="CF209" s="192"/>
      <c r="CG209" s="192"/>
      <c r="CH209" s="197"/>
      <c r="CI209" s="192"/>
      <c r="CJ209" s="192"/>
      <c r="CK209" s="197"/>
      <c r="CL209" s="197"/>
      <c r="CM209" s="192"/>
      <c r="CN209" s="116"/>
      <c r="CO209" s="100"/>
      <c r="CP209" s="100"/>
      <c r="CQ209" s="100"/>
    </row>
    <row r="210" spans="1:95" s="101" customFormat="1" ht="18.75" thickBot="1" x14ac:dyDescent="0.3">
      <c r="A210" s="99"/>
      <c r="V210" s="103"/>
      <c r="AA210" s="104"/>
      <c r="AB210" s="104"/>
      <c r="AD210" s="104"/>
      <c r="AE210" s="105"/>
      <c r="AH210" s="106"/>
      <c r="AI210" s="106"/>
      <c r="AK210" s="104"/>
      <c r="AR210" s="104"/>
      <c r="AV210" s="104"/>
      <c r="AX210" s="104"/>
      <c r="BB210" s="104"/>
      <c r="BC210" s="104"/>
      <c r="BE210" s="104"/>
      <c r="BH210" s="99"/>
      <c r="BI210" s="190" t="s">
        <v>192</v>
      </c>
      <c r="BJ210" s="187" t="s">
        <v>49</v>
      </c>
      <c r="BK210" s="196">
        <v>6290</v>
      </c>
      <c r="BL210" s="187" t="s">
        <v>411</v>
      </c>
      <c r="BM210" s="189">
        <v>0.01</v>
      </c>
      <c r="BN210" s="189">
        <v>0.5</v>
      </c>
      <c r="BO210" s="188" t="s">
        <v>311</v>
      </c>
      <c r="BP210" s="187" t="s">
        <v>49</v>
      </c>
      <c r="BQ210" s="196">
        <v>7140</v>
      </c>
      <c r="BR210" s="187" t="s">
        <v>411</v>
      </c>
      <c r="BS210" s="189">
        <v>0.01</v>
      </c>
      <c r="BT210" s="189">
        <v>0.5</v>
      </c>
      <c r="BU210" s="188" t="s">
        <v>254</v>
      </c>
      <c r="BV210" s="102"/>
      <c r="BW210" s="102"/>
      <c r="BX210" s="102"/>
      <c r="BY210" s="102"/>
      <c r="BZ210" s="102"/>
      <c r="CA210" s="102"/>
      <c r="CB210" s="102"/>
      <c r="CC210" s="102"/>
      <c r="CD210" s="102"/>
      <c r="CE210" s="192"/>
      <c r="CF210" s="192"/>
      <c r="CG210" s="192"/>
      <c r="CH210" s="197"/>
      <c r="CI210" s="192"/>
      <c r="CJ210" s="192"/>
      <c r="CK210" s="197"/>
      <c r="CL210" s="197"/>
      <c r="CM210" s="192"/>
      <c r="CN210" s="116"/>
      <c r="CO210" s="100"/>
      <c r="CP210" s="100"/>
      <c r="CQ210" s="100"/>
    </row>
    <row r="211" spans="1:95" s="101" customFormat="1" ht="15.75" thickBot="1" x14ac:dyDescent="0.3">
      <c r="A211" s="99"/>
      <c r="V211" s="103"/>
      <c r="AA211" s="104"/>
      <c r="AB211" s="104"/>
      <c r="AD211" s="104"/>
      <c r="AE211" s="105"/>
      <c r="AH211" s="106"/>
      <c r="AI211" s="106"/>
      <c r="AK211" s="104"/>
      <c r="AR211" s="104"/>
      <c r="AV211" s="104"/>
      <c r="AX211" s="104"/>
      <c r="BB211" s="104"/>
      <c r="BC211" s="104"/>
      <c r="BE211" s="104"/>
      <c r="BH211" s="99"/>
      <c r="BI211" s="190"/>
      <c r="BJ211" s="187"/>
      <c r="BK211" s="196"/>
      <c r="BL211" s="187"/>
      <c r="BM211" s="189"/>
      <c r="BN211" s="189"/>
      <c r="BO211" s="188"/>
      <c r="BP211" s="187"/>
      <c r="BQ211" s="196"/>
      <c r="BR211" s="187"/>
      <c r="BS211" s="189"/>
      <c r="BT211" s="189"/>
      <c r="BU211" s="188"/>
      <c r="BV211" s="102"/>
      <c r="BW211" s="102"/>
      <c r="BX211" s="102"/>
      <c r="BY211" s="102"/>
      <c r="BZ211" s="102"/>
      <c r="CA211" s="102"/>
      <c r="CB211" s="102"/>
      <c r="CC211" s="102"/>
      <c r="CD211" s="102"/>
      <c r="CE211" s="192"/>
      <c r="CF211" s="192"/>
      <c r="CG211" s="192"/>
      <c r="CH211" s="180"/>
      <c r="CI211" s="192"/>
      <c r="CJ211" s="192"/>
      <c r="CK211" s="180"/>
      <c r="CL211" s="180"/>
      <c r="CM211" s="192"/>
      <c r="CN211" s="116"/>
      <c r="CO211" s="100">
        <v>0.15</v>
      </c>
      <c r="CP211" s="100">
        <f>(CO211+CQ211)/2</f>
        <v>0.17499999999999999</v>
      </c>
      <c r="CQ211" s="100">
        <v>0.2</v>
      </c>
    </row>
    <row r="212" spans="1:95" s="101" customFormat="1" x14ac:dyDescent="0.25">
      <c r="A212" s="99"/>
      <c r="V212" s="103"/>
      <c r="AA212" s="104"/>
      <c r="AB212" s="104"/>
      <c r="AD212" s="104"/>
      <c r="AE212" s="105"/>
      <c r="AH212" s="106"/>
      <c r="AI212" s="106"/>
      <c r="AK212" s="104"/>
      <c r="AR212" s="104"/>
      <c r="AV212" s="104"/>
      <c r="AX212" s="104"/>
      <c r="BB212" s="104"/>
      <c r="BC212" s="104"/>
      <c r="BE212" s="104"/>
      <c r="BH212" s="99"/>
      <c r="BI212" s="102"/>
      <c r="BJ212" s="178"/>
      <c r="BK212" s="178"/>
      <c r="BL212" s="178"/>
      <c r="BM212" s="169"/>
      <c r="BN212" s="169"/>
      <c r="BO212" s="169"/>
      <c r="BP212" s="192"/>
      <c r="BQ212" s="192"/>
      <c r="BR212" s="192"/>
      <c r="BS212" s="192"/>
      <c r="BT212" s="192"/>
      <c r="BU212" s="192"/>
      <c r="BV212" s="178"/>
      <c r="BW212" s="192"/>
      <c r="BX212" s="192"/>
      <c r="BY212" s="178"/>
      <c r="BZ212" s="178"/>
      <c r="CA212" s="178"/>
      <c r="CB212" s="192"/>
      <c r="CC212" s="192"/>
      <c r="CD212" s="192"/>
      <c r="CE212" s="192"/>
      <c r="CF212" s="192"/>
      <c r="CG212" s="192"/>
      <c r="CH212" s="180"/>
      <c r="CI212" s="192"/>
      <c r="CJ212" s="192"/>
      <c r="CK212" s="180"/>
      <c r="CL212" s="180"/>
      <c r="CM212" s="192"/>
      <c r="CN212" s="116"/>
      <c r="CO212" s="100">
        <v>0.15</v>
      </c>
      <c r="CP212" s="100">
        <f>(CO212+CQ212)/2</f>
        <v>0.17499999999999999</v>
      </c>
      <c r="CQ212" s="100">
        <v>0.2</v>
      </c>
    </row>
    <row r="213" spans="1:95" s="101" customFormat="1" ht="15.75" thickBot="1" x14ac:dyDescent="0.3">
      <c r="A213" s="99"/>
      <c r="V213" s="103"/>
      <c r="AA213" s="104"/>
      <c r="AB213" s="104"/>
      <c r="AD213" s="104"/>
      <c r="AE213" s="105"/>
      <c r="AH213" s="106"/>
      <c r="AI213" s="106"/>
      <c r="AK213" s="104"/>
      <c r="AR213" s="104"/>
      <c r="AV213" s="104"/>
      <c r="AX213" s="104"/>
      <c r="BB213" s="104"/>
      <c r="BC213" s="104"/>
      <c r="BE213" s="104"/>
      <c r="BH213" s="99"/>
      <c r="BI213" s="102"/>
      <c r="BJ213" s="178"/>
      <c r="BK213" s="178"/>
      <c r="BL213" s="178"/>
      <c r="BM213" s="169"/>
      <c r="BN213" s="169"/>
      <c r="BO213" s="169"/>
      <c r="BP213" s="178"/>
      <c r="BQ213" s="178"/>
      <c r="BR213" s="178"/>
      <c r="BS213" s="178"/>
      <c r="BT213" s="178"/>
      <c r="BU213" s="178"/>
      <c r="BV213" s="178"/>
      <c r="BW213" s="178"/>
      <c r="BX213" s="178"/>
      <c r="BY213" s="178"/>
      <c r="BZ213" s="178"/>
      <c r="CA213" s="178"/>
      <c r="CB213" s="180"/>
      <c r="CC213" s="178"/>
      <c r="CD213" s="178"/>
      <c r="CE213" s="180"/>
      <c r="CF213" s="180"/>
      <c r="CG213" s="180"/>
      <c r="CH213" s="180"/>
      <c r="CI213" s="178"/>
      <c r="CJ213" s="178"/>
      <c r="CK213" s="180"/>
      <c r="CL213" s="180"/>
      <c r="CM213" s="180"/>
      <c r="CN213" s="116"/>
      <c r="CO213" s="100"/>
      <c r="CP213" s="100"/>
      <c r="CQ213" s="100"/>
    </row>
    <row r="214" spans="1:95" s="101" customFormat="1" ht="33.75" customHeight="1" x14ac:dyDescent="0.25">
      <c r="A214" s="99"/>
      <c r="V214" s="103"/>
      <c r="AA214" s="104"/>
      <c r="AB214" s="104"/>
      <c r="AD214" s="104"/>
      <c r="AE214" s="105"/>
      <c r="AH214" s="106"/>
      <c r="AI214" s="106"/>
      <c r="AK214" s="104"/>
      <c r="AR214" s="104"/>
      <c r="AV214" s="104"/>
      <c r="AX214" s="104"/>
      <c r="BB214" s="104"/>
      <c r="BC214" s="104"/>
      <c r="BE214" s="104"/>
      <c r="BH214" s="99"/>
      <c r="BI214" s="1606" t="s">
        <v>250</v>
      </c>
      <c r="BJ214" s="251"/>
      <c r="BK214" s="1606" t="s">
        <v>276</v>
      </c>
      <c r="BL214" s="251"/>
      <c r="BM214" s="1606" t="s">
        <v>233</v>
      </c>
      <c r="BN214" s="1606" t="s">
        <v>233</v>
      </c>
      <c r="BO214" s="1606" t="s">
        <v>240</v>
      </c>
      <c r="BP214" s="251"/>
      <c r="BQ214" s="1606" t="s">
        <v>276</v>
      </c>
      <c r="BR214" s="251"/>
      <c r="BS214" s="1606" t="s">
        <v>233</v>
      </c>
      <c r="BT214" s="1606" t="s">
        <v>233</v>
      </c>
      <c r="BU214" s="1606" t="s">
        <v>240</v>
      </c>
      <c r="BV214" s="178"/>
      <c r="BW214" s="178"/>
      <c r="BX214" s="178"/>
      <c r="BY214" s="178"/>
      <c r="BZ214" s="178"/>
      <c r="CA214" s="178"/>
      <c r="CB214" s="180"/>
      <c r="CC214" s="178"/>
      <c r="CD214" s="178"/>
      <c r="CE214" s="180"/>
      <c r="CF214" s="180"/>
      <c r="CG214" s="180"/>
      <c r="CH214" s="180"/>
      <c r="CI214" s="178"/>
      <c r="CJ214" s="178"/>
      <c r="CK214" s="180"/>
      <c r="CL214" s="180"/>
      <c r="CM214" s="180"/>
      <c r="CN214" s="116"/>
      <c r="CO214" s="100"/>
      <c r="CP214" s="100"/>
      <c r="CQ214" s="100"/>
    </row>
    <row r="215" spans="1:95" s="101" customFormat="1" ht="37.5" customHeight="1" thickBot="1" x14ac:dyDescent="0.3">
      <c r="A215" s="99"/>
      <c r="V215" s="103"/>
      <c r="AA215" s="104"/>
      <c r="AB215" s="104"/>
      <c r="AD215" s="104"/>
      <c r="AE215" s="105"/>
      <c r="AH215" s="106"/>
      <c r="AI215" s="106"/>
      <c r="AK215" s="104"/>
      <c r="AR215" s="104"/>
      <c r="AV215" s="104"/>
      <c r="AX215" s="104"/>
      <c r="BB215" s="104"/>
      <c r="BC215" s="104"/>
      <c r="BE215" s="104"/>
      <c r="BH215" s="99"/>
      <c r="BI215" s="1607"/>
      <c r="BJ215" s="252" t="s">
        <v>253</v>
      </c>
      <c r="BK215" s="1607"/>
      <c r="BL215" s="252" t="s">
        <v>251</v>
      </c>
      <c r="BM215" s="1607"/>
      <c r="BN215" s="1607"/>
      <c r="BO215" s="1607"/>
      <c r="BP215" s="252" t="s">
        <v>253</v>
      </c>
      <c r="BQ215" s="1607"/>
      <c r="BR215" s="252" t="s">
        <v>251</v>
      </c>
      <c r="BS215" s="1607"/>
      <c r="BT215" s="1607"/>
      <c r="BU215" s="1607"/>
      <c r="BV215" s="178"/>
      <c r="BW215" s="178"/>
      <c r="BX215" s="178"/>
      <c r="BY215" s="178"/>
      <c r="BZ215" s="178"/>
      <c r="CA215" s="178"/>
      <c r="CB215" s="180"/>
      <c r="CC215" s="178"/>
      <c r="CD215" s="178"/>
      <c r="CE215" s="180"/>
      <c r="CF215" s="180"/>
      <c r="CG215" s="180"/>
      <c r="CH215" s="180"/>
      <c r="CI215" s="178"/>
      <c r="CJ215" s="178"/>
      <c r="CK215" s="180"/>
      <c r="CL215" s="180"/>
      <c r="CM215" s="180"/>
      <c r="CN215" s="116"/>
      <c r="CO215" s="100"/>
      <c r="CP215" s="100"/>
      <c r="CQ215" s="100"/>
    </row>
    <row r="216" spans="1:95" s="101" customFormat="1" ht="18.75" thickBot="1" x14ac:dyDescent="0.3">
      <c r="A216" s="99"/>
      <c r="V216" s="103"/>
      <c r="AA216" s="104"/>
      <c r="AB216" s="104"/>
      <c r="AD216" s="104"/>
      <c r="AE216" s="105"/>
      <c r="AH216" s="106"/>
      <c r="AI216" s="106"/>
      <c r="AK216" s="104"/>
      <c r="AR216" s="104"/>
      <c r="AV216" s="104"/>
      <c r="AX216" s="104"/>
      <c r="BB216" s="104"/>
      <c r="BC216" s="104"/>
      <c r="BE216" s="104"/>
      <c r="BH216" s="99"/>
      <c r="BI216" s="190" t="s">
        <v>373</v>
      </c>
      <c r="BJ216" s="187" t="s">
        <v>49</v>
      </c>
      <c r="BK216" s="196">
        <v>1</v>
      </c>
      <c r="BL216" s="187" t="s">
        <v>411</v>
      </c>
      <c r="BM216" s="189">
        <v>0.01</v>
      </c>
      <c r="BN216" s="189">
        <v>0.5</v>
      </c>
      <c r="BO216" s="188" t="s">
        <v>311</v>
      </c>
      <c r="BP216" s="187" t="s">
        <v>49</v>
      </c>
      <c r="BQ216" s="196">
        <v>1</v>
      </c>
      <c r="BR216" s="187" t="s">
        <v>411</v>
      </c>
      <c r="BS216" s="189">
        <v>0.01</v>
      </c>
      <c r="BT216" s="189">
        <v>0.5</v>
      </c>
      <c r="BU216" s="188" t="s">
        <v>254</v>
      </c>
      <c r="BV216" s="178"/>
      <c r="BW216" s="178"/>
      <c r="BX216" s="178"/>
      <c r="BY216" s="178"/>
      <c r="BZ216" s="178"/>
      <c r="CA216" s="178"/>
      <c r="CB216" s="180"/>
      <c r="CC216" s="178"/>
      <c r="CD216" s="178"/>
      <c r="CE216" s="180"/>
      <c r="CF216" s="180"/>
      <c r="CG216" s="180"/>
      <c r="CH216" s="180"/>
      <c r="CI216" s="178"/>
      <c r="CJ216" s="178"/>
      <c r="CK216" s="180"/>
      <c r="CL216" s="180"/>
      <c r="CM216" s="180"/>
      <c r="CN216" s="116"/>
      <c r="CO216" s="100"/>
      <c r="CP216" s="100"/>
      <c r="CQ216" s="100"/>
    </row>
    <row r="217" spans="1:95" s="101" customFormat="1" ht="18.75" thickBot="1" x14ac:dyDescent="0.3">
      <c r="A217" s="99"/>
      <c r="V217" s="103"/>
      <c r="AA217" s="104"/>
      <c r="AB217" s="104"/>
      <c r="AD217" s="104"/>
      <c r="AE217" s="105"/>
      <c r="AH217" s="106"/>
      <c r="AI217" s="106"/>
      <c r="AK217" s="104"/>
      <c r="AR217" s="104"/>
      <c r="AV217" s="104"/>
      <c r="AX217" s="104"/>
      <c r="BB217" s="104"/>
      <c r="BC217" s="104"/>
      <c r="BE217" s="104"/>
      <c r="BH217" s="99"/>
      <c r="BI217" s="190" t="s">
        <v>374</v>
      </c>
      <c r="BJ217" s="187" t="s">
        <v>49</v>
      </c>
      <c r="BK217" s="196">
        <v>79</v>
      </c>
      <c r="BL217" s="187" t="s">
        <v>411</v>
      </c>
      <c r="BM217" s="189">
        <v>0.01</v>
      </c>
      <c r="BN217" s="189">
        <v>0.5</v>
      </c>
      <c r="BO217" s="188" t="s">
        <v>311</v>
      </c>
      <c r="BP217" s="187" t="s">
        <v>49</v>
      </c>
      <c r="BQ217" s="196">
        <v>77</v>
      </c>
      <c r="BR217" s="187" t="s">
        <v>411</v>
      </c>
      <c r="BS217" s="189">
        <v>0.01</v>
      </c>
      <c r="BT217" s="189">
        <v>0.5</v>
      </c>
      <c r="BU217" s="188" t="s">
        <v>254</v>
      </c>
      <c r="BV217" s="178"/>
      <c r="BW217" s="178"/>
      <c r="BX217" s="178"/>
      <c r="BY217" s="178"/>
      <c r="BZ217" s="178"/>
      <c r="CA217" s="178"/>
      <c r="CB217" s="178"/>
      <c r="CC217" s="178"/>
      <c r="CD217" s="178"/>
      <c r="CE217" s="178"/>
      <c r="CF217" s="178"/>
      <c r="CG217" s="178"/>
      <c r="CH217" s="178"/>
      <c r="CI217" s="178"/>
      <c r="CJ217" s="178"/>
      <c r="CK217" s="178"/>
      <c r="CL217" s="178"/>
      <c r="CM217" s="178"/>
      <c r="CN217" s="116"/>
      <c r="CO217" s="100">
        <v>0.01</v>
      </c>
      <c r="CP217" s="100">
        <f>(CO217+CQ217)/2</f>
        <v>0.255</v>
      </c>
      <c r="CQ217" s="100">
        <v>0.5</v>
      </c>
    </row>
    <row r="218" spans="1:95" s="101" customFormat="1" x14ac:dyDescent="0.25">
      <c r="A218" s="99"/>
      <c r="V218" s="103"/>
      <c r="AA218" s="104"/>
      <c r="AB218" s="104"/>
      <c r="AD218" s="104"/>
      <c r="AE218" s="105"/>
      <c r="AH218" s="106"/>
      <c r="AI218" s="106"/>
      <c r="AK218" s="104"/>
      <c r="AR218" s="104"/>
      <c r="AV218" s="104"/>
      <c r="AX218" s="104"/>
      <c r="BB218" s="104"/>
      <c r="BC218" s="104"/>
      <c r="BE218" s="104"/>
      <c r="BH218" s="99"/>
      <c r="BI218" s="102"/>
      <c r="BJ218" s="178"/>
      <c r="BK218" s="178"/>
      <c r="BL218" s="178"/>
      <c r="BM218" s="169"/>
      <c r="BN218" s="169"/>
      <c r="BO218" s="169"/>
      <c r="BP218" s="178"/>
      <c r="BQ218" s="178"/>
      <c r="BR218" s="178"/>
      <c r="BS218" s="178"/>
      <c r="BT218" s="178"/>
      <c r="BU218" s="178"/>
      <c r="BV218" s="180"/>
      <c r="BW218" s="178"/>
      <c r="BX218" s="178"/>
      <c r="BY218" s="180"/>
      <c r="BZ218" s="180"/>
      <c r="CA218" s="180"/>
      <c r="CB218" s="178"/>
      <c r="CC218" s="178"/>
      <c r="CD218" s="178"/>
      <c r="CE218" s="178"/>
      <c r="CF218" s="178"/>
      <c r="CG218" s="178"/>
      <c r="CH218" s="178"/>
      <c r="CI218" s="178"/>
      <c r="CJ218" s="178"/>
      <c r="CK218" s="178"/>
      <c r="CL218" s="178"/>
      <c r="CM218" s="178"/>
      <c r="CN218" s="118"/>
      <c r="CO218" s="100"/>
      <c r="CP218" s="100"/>
      <c r="CQ218" s="100"/>
    </row>
    <row r="219" spans="1:95" s="101" customFormat="1" ht="15.75" thickBot="1" x14ac:dyDescent="0.3">
      <c r="A219" s="99"/>
      <c r="V219" s="103"/>
      <c r="AA219" s="104"/>
      <c r="AB219" s="104"/>
      <c r="AD219" s="104"/>
      <c r="AE219" s="105"/>
      <c r="AH219" s="106"/>
      <c r="AI219" s="106"/>
      <c r="AK219" s="104"/>
      <c r="AR219" s="104"/>
      <c r="AV219" s="104"/>
      <c r="AX219" s="104"/>
      <c r="BB219" s="104"/>
      <c r="BC219" s="104"/>
      <c r="BE219" s="104"/>
      <c r="BH219" s="99"/>
      <c r="BI219" s="102"/>
      <c r="BJ219" s="178"/>
      <c r="BK219" s="178"/>
      <c r="BL219" s="178"/>
      <c r="BM219" s="169"/>
      <c r="BN219" s="169"/>
      <c r="BO219" s="169"/>
      <c r="BP219" s="178"/>
      <c r="BQ219" s="178"/>
      <c r="BR219" s="178"/>
      <c r="BS219" s="178"/>
      <c r="BT219" s="178"/>
      <c r="BU219" s="178"/>
      <c r="BV219" s="180"/>
      <c r="BW219" s="178"/>
      <c r="BX219" s="178"/>
      <c r="BY219" s="180"/>
      <c r="BZ219" s="180"/>
      <c r="CA219" s="180"/>
      <c r="CB219" s="178"/>
      <c r="CC219" s="178"/>
      <c r="CD219" s="178"/>
      <c r="CE219" s="178"/>
      <c r="CF219" s="178"/>
      <c r="CG219" s="178"/>
      <c r="CH219" s="178"/>
      <c r="CI219" s="178"/>
      <c r="CJ219" s="178"/>
      <c r="CK219" s="178"/>
      <c r="CL219" s="178"/>
      <c r="CM219" s="178"/>
      <c r="CN219" s="118"/>
      <c r="CO219" s="100"/>
      <c r="CP219" s="100"/>
      <c r="CQ219" s="100"/>
    </row>
    <row r="220" spans="1:95" s="101" customFormat="1" x14ac:dyDescent="0.25">
      <c r="A220" s="99"/>
      <c r="V220" s="103"/>
      <c r="AA220" s="104"/>
      <c r="AB220" s="104"/>
      <c r="AD220" s="104"/>
      <c r="AE220" s="105"/>
      <c r="AH220" s="106"/>
      <c r="AI220" s="106"/>
      <c r="AK220" s="104"/>
      <c r="AR220" s="104"/>
      <c r="AV220" s="104"/>
      <c r="AX220" s="104"/>
      <c r="BB220" s="104"/>
      <c r="BC220" s="104"/>
      <c r="BE220" s="104"/>
      <c r="BH220" s="99"/>
      <c r="BI220" s="1606" t="s">
        <v>249</v>
      </c>
      <c r="BJ220" s="251"/>
      <c r="BK220" s="1606" t="s">
        <v>277</v>
      </c>
      <c r="BL220" s="251"/>
      <c r="BM220" s="1606" t="s">
        <v>233</v>
      </c>
      <c r="BN220" s="1606" t="s">
        <v>233</v>
      </c>
      <c r="BO220" s="1606" t="s">
        <v>240</v>
      </c>
      <c r="BP220" s="178"/>
      <c r="BQ220" s="178"/>
      <c r="BR220" s="178"/>
      <c r="BS220" s="178"/>
      <c r="BT220" s="178"/>
      <c r="BU220" s="178"/>
      <c r="BV220" s="180"/>
      <c r="BW220" s="178"/>
      <c r="BX220" s="178"/>
      <c r="BY220" s="180"/>
      <c r="BZ220" s="180"/>
      <c r="CA220" s="180"/>
      <c r="CB220" s="199"/>
      <c r="CC220" s="178"/>
      <c r="CD220" s="178"/>
      <c r="CE220" s="199"/>
      <c r="CF220" s="199"/>
      <c r="CG220" s="199"/>
      <c r="CH220" s="199"/>
      <c r="CI220" s="178"/>
      <c r="CJ220" s="178"/>
      <c r="CK220" s="199"/>
      <c r="CL220" s="199"/>
      <c r="CM220" s="199"/>
      <c r="CN220" s="118"/>
      <c r="CO220" s="100"/>
      <c r="CP220" s="100"/>
      <c r="CQ220" s="100"/>
    </row>
    <row r="221" spans="1:95" s="101" customFormat="1" ht="49.5" customHeight="1" thickBot="1" x14ac:dyDescent="0.3">
      <c r="A221" s="99"/>
      <c r="V221" s="103"/>
      <c r="AA221" s="104"/>
      <c r="AB221" s="104"/>
      <c r="AD221" s="104"/>
      <c r="AE221" s="105"/>
      <c r="AH221" s="106"/>
      <c r="AI221" s="106"/>
      <c r="AK221" s="104"/>
      <c r="AR221" s="104"/>
      <c r="AV221" s="104"/>
      <c r="AX221" s="104"/>
      <c r="BB221" s="104"/>
      <c r="BC221" s="104"/>
      <c r="BE221" s="104"/>
      <c r="BH221" s="99"/>
      <c r="BI221" s="1607"/>
      <c r="BJ221" s="252" t="s">
        <v>253</v>
      </c>
      <c r="BK221" s="1607"/>
      <c r="BL221" s="252" t="s">
        <v>251</v>
      </c>
      <c r="BM221" s="1607"/>
      <c r="BN221" s="1607"/>
      <c r="BO221" s="1607"/>
      <c r="BP221" s="178"/>
      <c r="BQ221" s="178"/>
      <c r="BR221" s="178"/>
      <c r="BS221" s="178"/>
      <c r="BT221" s="178"/>
      <c r="BU221" s="178"/>
      <c r="BV221" s="180"/>
      <c r="BW221" s="178"/>
      <c r="BX221" s="178"/>
      <c r="BY221" s="180"/>
      <c r="BZ221" s="180"/>
      <c r="CA221" s="180"/>
      <c r="CB221" s="199"/>
      <c r="CC221" s="178"/>
      <c r="CD221" s="178"/>
      <c r="CE221" s="199"/>
      <c r="CF221" s="199"/>
      <c r="CG221" s="199"/>
      <c r="CH221" s="199"/>
      <c r="CI221" s="178"/>
      <c r="CJ221" s="178"/>
      <c r="CK221" s="199"/>
      <c r="CL221" s="199"/>
      <c r="CM221" s="199"/>
      <c r="CN221" s="118"/>
      <c r="CO221" s="100"/>
      <c r="CP221" s="100"/>
      <c r="CQ221" s="100"/>
    </row>
    <row r="222" spans="1:95" s="101" customFormat="1" ht="15.75" thickBot="1" x14ac:dyDescent="0.3">
      <c r="A222" s="99"/>
      <c r="V222" s="103"/>
      <c r="AA222" s="104"/>
      <c r="AB222" s="104"/>
      <c r="AD222" s="104"/>
      <c r="AE222" s="105"/>
      <c r="AH222" s="106"/>
      <c r="AI222" s="106"/>
      <c r="AK222" s="104"/>
      <c r="AR222" s="104"/>
      <c r="AV222" s="104"/>
      <c r="AX222" s="104"/>
      <c r="BB222" s="104"/>
      <c r="BC222" s="104"/>
      <c r="BE222" s="104"/>
      <c r="BH222" s="99"/>
      <c r="BI222" s="190" t="s">
        <v>256</v>
      </c>
      <c r="BJ222" s="187" t="s">
        <v>75</v>
      </c>
      <c r="BK222" s="196">
        <v>1.7829504000000003E-3</v>
      </c>
      <c r="BL222" s="187" t="s">
        <v>278</v>
      </c>
      <c r="BM222" s="189">
        <v>0.01</v>
      </c>
      <c r="BN222" s="189">
        <v>0.5</v>
      </c>
      <c r="BO222" s="188" t="s">
        <v>258</v>
      </c>
      <c r="BP222" s="178"/>
      <c r="BQ222" s="178"/>
      <c r="BR222" s="178"/>
      <c r="BS222" s="178"/>
      <c r="BT222" s="178"/>
      <c r="BU222" s="178"/>
      <c r="BV222" s="180"/>
      <c r="BW222" s="178"/>
      <c r="BX222" s="178"/>
      <c r="BY222" s="180"/>
      <c r="BZ222" s="180"/>
      <c r="CA222" s="180"/>
      <c r="CB222" s="180"/>
      <c r="CC222" s="178"/>
      <c r="CD222" s="178"/>
      <c r="CE222" s="180"/>
      <c r="CF222" s="180"/>
      <c r="CG222" s="180"/>
      <c r="CH222" s="180"/>
      <c r="CI222" s="178"/>
      <c r="CJ222" s="178"/>
      <c r="CK222" s="180"/>
      <c r="CL222" s="180"/>
      <c r="CM222" s="180"/>
      <c r="CN222" s="116"/>
      <c r="CO222" s="100">
        <v>0.01</v>
      </c>
      <c r="CP222" s="100">
        <f>(CO222+CQ222)/2</f>
        <v>0.255</v>
      </c>
      <c r="CQ222" s="100">
        <v>0.5</v>
      </c>
    </row>
    <row r="223" spans="1:95" s="101" customFormat="1" ht="15.75" thickBot="1" x14ac:dyDescent="0.3">
      <c r="A223" s="99"/>
      <c r="V223" s="103"/>
      <c r="AA223" s="104"/>
      <c r="AB223" s="104"/>
      <c r="AD223" s="104"/>
      <c r="AE223" s="105"/>
      <c r="AH223" s="106"/>
      <c r="AI223" s="106"/>
      <c r="AK223" s="104"/>
      <c r="AR223" s="104"/>
      <c r="AV223" s="104"/>
      <c r="AX223" s="104"/>
      <c r="BB223" s="104"/>
      <c r="BC223" s="104"/>
      <c r="BE223" s="104"/>
      <c r="BH223" s="99"/>
      <c r="BI223" s="190" t="s">
        <v>257</v>
      </c>
      <c r="BJ223" s="187" t="s">
        <v>49</v>
      </c>
      <c r="BK223" s="196">
        <v>5.8960000000000013E-4</v>
      </c>
      <c r="BL223" s="187" t="s">
        <v>259</v>
      </c>
      <c r="BM223" s="189">
        <v>0.01</v>
      </c>
      <c r="BN223" s="189">
        <v>0.5</v>
      </c>
      <c r="BO223" s="188" t="s">
        <v>258</v>
      </c>
      <c r="BP223" s="178"/>
      <c r="BQ223" s="178"/>
      <c r="BR223" s="178"/>
      <c r="BS223" s="178"/>
      <c r="BT223" s="178"/>
      <c r="BU223" s="178"/>
      <c r="BV223" s="180"/>
      <c r="BW223" s="178"/>
      <c r="BX223" s="178"/>
      <c r="BY223" s="180"/>
      <c r="BZ223" s="180"/>
      <c r="CA223" s="180"/>
      <c r="CB223" s="180"/>
      <c r="CC223" s="178"/>
      <c r="CD223" s="178"/>
      <c r="CE223" s="180"/>
      <c r="CF223" s="180"/>
      <c r="CG223" s="180"/>
      <c r="CH223" s="180"/>
      <c r="CI223" s="178"/>
      <c r="CJ223" s="178"/>
      <c r="CK223" s="180"/>
      <c r="CL223" s="180"/>
      <c r="CM223" s="180"/>
      <c r="CN223" s="116"/>
      <c r="CO223" s="100"/>
      <c r="CP223" s="100"/>
      <c r="CQ223" s="100"/>
    </row>
    <row r="224" spans="1:95" s="101" customFormat="1" x14ac:dyDescent="0.25">
      <c r="A224" s="99"/>
      <c r="V224" s="103"/>
      <c r="AA224" s="104"/>
      <c r="AB224" s="104"/>
      <c r="AD224" s="104"/>
      <c r="AE224" s="105"/>
      <c r="AH224" s="106"/>
      <c r="AI224" s="106"/>
      <c r="AK224" s="104"/>
      <c r="AR224" s="104"/>
      <c r="AV224" s="104"/>
      <c r="AX224" s="104"/>
      <c r="BB224" s="104"/>
      <c r="BC224" s="104"/>
      <c r="BE224" s="104"/>
      <c r="BH224" s="99"/>
      <c r="BI224" s="102"/>
      <c r="BJ224" s="178"/>
      <c r="BK224" s="178"/>
      <c r="BL224" s="178"/>
      <c r="BM224" s="169"/>
      <c r="BN224" s="169"/>
      <c r="BO224" s="169"/>
      <c r="BP224" s="178"/>
      <c r="BQ224" s="178"/>
      <c r="BR224" s="178"/>
      <c r="BS224" s="178"/>
      <c r="BT224" s="178"/>
      <c r="BU224" s="178"/>
      <c r="BV224" s="180"/>
      <c r="BW224" s="178"/>
      <c r="BX224" s="178"/>
      <c r="BY224" s="180"/>
      <c r="BZ224" s="180"/>
      <c r="CA224" s="180"/>
      <c r="CB224" s="180"/>
      <c r="CC224" s="178"/>
      <c r="CD224" s="178"/>
      <c r="CE224" s="180"/>
      <c r="CF224" s="180"/>
      <c r="CG224" s="180"/>
      <c r="CH224" s="180"/>
      <c r="CI224" s="178"/>
      <c r="CJ224" s="178"/>
      <c r="CK224" s="180"/>
      <c r="CL224" s="180"/>
      <c r="CM224" s="180"/>
      <c r="CN224" s="116"/>
      <c r="CO224" s="100"/>
      <c r="CP224" s="100"/>
      <c r="CQ224" s="100"/>
    </row>
    <row r="225" spans="1:95" s="101" customFormat="1" ht="15.75" thickBot="1" x14ac:dyDescent="0.3">
      <c r="A225" s="99"/>
      <c r="V225" s="103"/>
      <c r="AA225" s="104"/>
      <c r="AB225" s="104"/>
      <c r="AD225" s="104"/>
      <c r="AE225" s="105"/>
      <c r="AH225" s="106"/>
      <c r="AI225" s="106"/>
      <c r="AK225" s="104"/>
      <c r="AR225" s="104"/>
      <c r="AV225" s="104"/>
      <c r="AX225" s="104"/>
      <c r="BB225" s="104"/>
      <c r="BC225" s="104"/>
      <c r="BE225" s="104"/>
      <c r="BH225" s="99"/>
      <c r="BI225" s="102"/>
      <c r="BJ225" s="178"/>
      <c r="BK225" s="178"/>
      <c r="BL225" s="178"/>
      <c r="BM225" s="169"/>
      <c r="BN225" s="169"/>
      <c r="BO225" s="169"/>
      <c r="BP225" s="178"/>
      <c r="BQ225" s="178"/>
      <c r="BR225" s="178"/>
      <c r="BS225" s="178"/>
      <c r="BT225" s="178"/>
      <c r="BU225" s="178"/>
      <c r="BV225" s="180"/>
      <c r="BW225" s="178"/>
      <c r="BX225" s="178"/>
      <c r="BY225" s="180"/>
      <c r="BZ225" s="180"/>
      <c r="CA225" s="180"/>
      <c r="CB225" s="180"/>
      <c r="CC225" s="178"/>
      <c r="CD225" s="178"/>
      <c r="CE225" s="180"/>
      <c r="CF225" s="180"/>
      <c r="CG225" s="180"/>
      <c r="CH225" s="180"/>
      <c r="CI225" s="178"/>
      <c r="CJ225" s="178"/>
      <c r="CK225" s="180"/>
      <c r="CL225" s="180"/>
      <c r="CM225" s="180"/>
      <c r="CN225" s="116"/>
      <c r="CO225" s="100"/>
      <c r="CP225" s="100"/>
      <c r="CQ225" s="100"/>
    </row>
    <row r="226" spans="1:95" s="101" customFormat="1" x14ac:dyDescent="0.25">
      <c r="A226" s="99"/>
      <c r="V226" s="103"/>
      <c r="AA226" s="104"/>
      <c r="AB226" s="104"/>
      <c r="AD226" s="104"/>
      <c r="AE226" s="105"/>
      <c r="AH226" s="106"/>
      <c r="AI226" s="106"/>
      <c r="AK226" s="104"/>
      <c r="AR226" s="104"/>
      <c r="AV226" s="104"/>
      <c r="AX226" s="104"/>
      <c r="BB226" s="104"/>
      <c r="BC226" s="104"/>
      <c r="BE226" s="104"/>
      <c r="BH226" s="99"/>
      <c r="BI226" s="1606" t="s">
        <v>171</v>
      </c>
      <c r="BJ226" s="251"/>
      <c r="BK226" s="1606" t="s">
        <v>276</v>
      </c>
      <c r="BL226" s="251"/>
      <c r="BM226" s="1606" t="s">
        <v>233</v>
      </c>
      <c r="BN226" s="1606" t="s">
        <v>233</v>
      </c>
      <c r="BO226" s="1606" t="s">
        <v>240</v>
      </c>
      <c r="BP226" s="178"/>
      <c r="BQ226" s="178"/>
      <c r="BR226" s="178"/>
      <c r="BS226" s="178"/>
      <c r="BT226" s="178"/>
      <c r="BU226" s="178"/>
      <c r="BV226" s="180"/>
      <c r="BW226" s="178"/>
      <c r="BX226" s="178"/>
      <c r="BY226" s="180"/>
      <c r="BZ226" s="180"/>
      <c r="CA226" s="180"/>
      <c r="CB226" s="180"/>
      <c r="CC226" s="178"/>
      <c r="CD226" s="178"/>
      <c r="CE226" s="180"/>
      <c r="CF226" s="180"/>
      <c r="CG226" s="180"/>
      <c r="CH226" s="180"/>
      <c r="CI226" s="178"/>
      <c r="CJ226" s="178"/>
      <c r="CK226" s="180"/>
      <c r="CL226" s="180"/>
      <c r="CM226" s="180"/>
      <c r="CN226" s="116"/>
      <c r="CO226" s="100"/>
      <c r="CP226" s="100"/>
      <c r="CQ226" s="100"/>
    </row>
    <row r="227" spans="1:95" s="101" customFormat="1" ht="41.25" customHeight="1" thickBot="1" x14ac:dyDescent="0.3">
      <c r="A227" s="99"/>
      <c r="V227" s="103"/>
      <c r="AA227" s="104"/>
      <c r="AB227" s="104"/>
      <c r="AD227" s="104"/>
      <c r="AE227" s="105"/>
      <c r="AH227" s="106"/>
      <c r="AI227" s="106"/>
      <c r="AK227" s="104"/>
      <c r="AR227" s="104"/>
      <c r="AV227" s="104"/>
      <c r="AX227" s="104"/>
      <c r="BB227" s="104"/>
      <c r="BC227" s="104"/>
      <c r="BE227" s="104"/>
      <c r="BH227" s="99"/>
      <c r="BI227" s="1607"/>
      <c r="BJ227" s="252" t="s">
        <v>253</v>
      </c>
      <c r="BK227" s="1607"/>
      <c r="BL227" s="252" t="s">
        <v>251</v>
      </c>
      <c r="BM227" s="1607"/>
      <c r="BN227" s="1607"/>
      <c r="BO227" s="1607"/>
      <c r="BP227" s="178"/>
      <c r="BQ227" s="178"/>
      <c r="BR227" s="178"/>
      <c r="BS227" s="178"/>
      <c r="BT227" s="178"/>
      <c r="BU227" s="178"/>
      <c r="BV227" s="180"/>
      <c r="BW227" s="178"/>
      <c r="BX227" s="178"/>
      <c r="BY227" s="180"/>
      <c r="BZ227" s="180"/>
      <c r="CA227" s="180"/>
      <c r="CB227" s="180"/>
      <c r="CC227" s="178"/>
      <c r="CD227" s="178"/>
      <c r="CE227" s="180"/>
      <c r="CF227" s="180"/>
      <c r="CG227" s="180"/>
      <c r="CH227" s="180"/>
      <c r="CI227" s="178"/>
      <c r="CJ227" s="178"/>
      <c r="CK227" s="180"/>
      <c r="CL227" s="180"/>
      <c r="CM227" s="180"/>
      <c r="CN227" s="116"/>
      <c r="CO227" s="100"/>
      <c r="CP227" s="100"/>
      <c r="CQ227" s="100"/>
    </row>
    <row r="228" spans="1:95" s="101" customFormat="1" ht="18.75" thickBot="1" x14ac:dyDescent="0.3">
      <c r="A228" s="99"/>
      <c r="V228" s="103"/>
      <c r="AA228" s="104"/>
      <c r="AB228" s="104"/>
      <c r="AD228" s="104"/>
      <c r="AE228" s="105"/>
      <c r="AH228" s="106"/>
      <c r="AI228" s="106"/>
      <c r="AK228" s="104"/>
      <c r="AR228" s="104"/>
      <c r="AV228" s="104"/>
      <c r="AX228" s="104"/>
      <c r="BB228" s="104"/>
      <c r="BC228" s="104"/>
      <c r="BE228" s="104"/>
      <c r="BH228" s="99"/>
      <c r="BI228" s="190" t="s">
        <v>170</v>
      </c>
      <c r="BJ228" s="187" t="s">
        <v>49</v>
      </c>
      <c r="BK228" s="196">
        <v>1</v>
      </c>
      <c r="BL228" s="187" t="s">
        <v>411</v>
      </c>
      <c r="BM228" s="189">
        <v>0.01</v>
      </c>
      <c r="BN228" s="189">
        <v>0.5</v>
      </c>
      <c r="BO228" s="188" t="s">
        <v>311</v>
      </c>
      <c r="BP228" s="178"/>
      <c r="BQ228" s="178"/>
      <c r="BR228" s="178"/>
      <c r="BS228" s="178"/>
      <c r="BT228" s="178"/>
      <c r="BU228" s="178"/>
      <c r="BV228" s="180"/>
      <c r="BW228" s="178"/>
      <c r="BX228" s="178"/>
      <c r="BY228" s="180"/>
      <c r="BZ228" s="180"/>
      <c r="CA228" s="180"/>
      <c r="CB228" s="180"/>
      <c r="CC228" s="178"/>
      <c r="CD228" s="178"/>
      <c r="CE228" s="180"/>
      <c r="CF228" s="180"/>
      <c r="CG228" s="180"/>
      <c r="CH228" s="180"/>
      <c r="CI228" s="178"/>
      <c r="CJ228" s="178"/>
      <c r="CK228" s="180"/>
      <c r="CL228" s="180"/>
      <c r="CM228" s="180"/>
      <c r="CN228" s="116"/>
      <c r="CO228" s="100"/>
      <c r="CP228" s="100"/>
      <c r="CQ228" s="100"/>
    </row>
    <row r="229" spans="1:95" s="101" customFormat="1" x14ac:dyDescent="0.25">
      <c r="A229" s="99"/>
      <c r="V229" s="103"/>
      <c r="AA229" s="104"/>
      <c r="AB229" s="104"/>
      <c r="AD229" s="104"/>
      <c r="AE229" s="105"/>
      <c r="AH229" s="106"/>
      <c r="AI229" s="106"/>
      <c r="AK229" s="104"/>
      <c r="AR229" s="104"/>
      <c r="AV229" s="104"/>
      <c r="AX229" s="104"/>
      <c r="BB229" s="104"/>
      <c r="BC229" s="104"/>
      <c r="BE229" s="104"/>
      <c r="BH229" s="99"/>
      <c r="BI229" s="200"/>
      <c r="BJ229" s="201"/>
      <c r="BK229" s="201"/>
      <c r="BL229" s="201"/>
      <c r="BM229" s="202"/>
      <c r="BN229" s="202"/>
      <c r="BO229" s="202"/>
      <c r="BP229" s="178"/>
      <c r="BQ229" s="178"/>
      <c r="BR229" s="178"/>
      <c r="BS229" s="178"/>
      <c r="BT229" s="178"/>
      <c r="BU229" s="178"/>
      <c r="BV229" s="180"/>
      <c r="BW229" s="178"/>
      <c r="BX229" s="178"/>
      <c r="BY229" s="180"/>
      <c r="BZ229" s="180"/>
      <c r="CA229" s="180"/>
      <c r="CB229" s="180"/>
      <c r="CC229" s="178"/>
      <c r="CD229" s="178"/>
      <c r="CE229" s="180"/>
      <c r="CF229" s="180"/>
      <c r="CG229" s="180"/>
      <c r="CH229" s="180"/>
      <c r="CI229" s="178"/>
      <c r="CJ229" s="178"/>
      <c r="CK229" s="180"/>
      <c r="CL229" s="180"/>
      <c r="CM229" s="180"/>
      <c r="CN229" s="116"/>
      <c r="CO229" s="218">
        <f>BM229</f>
        <v>0</v>
      </c>
      <c r="CP229" s="100">
        <f>(CO229+CQ229)/2</f>
        <v>0</v>
      </c>
      <c r="CQ229" s="218">
        <f>BN229</f>
        <v>0</v>
      </c>
    </row>
    <row r="230" spans="1:95" s="101" customFormat="1" ht="15.75" thickBot="1" x14ac:dyDescent="0.3">
      <c r="A230" s="99"/>
      <c r="V230" s="103"/>
      <c r="AA230" s="104"/>
      <c r="AB230" s="104"/>
      <c r="AD230" s="104"/>
      <c r="AE230" s="105"/>
      <c r="AH230" s="106"/>
      <c r="AI230" s="106"/>
      <c r="AK230" s="104"/>
      <c r="AR230" s="104"/>
      <c r="AV230" s="104"/>
      <c r="AX230" s="104"/>
      <c r="BB230" s="104"/>
      <c r="BC230" s="104"/>
      <c r="BE230" s="104"/>
      <c r="BH230" s="99"/>
      <c r="BI230" s="200"/>
      <c r="BJ230" s="201"/>
      <c r="BK230" s="201"/>
      <c r="BL230" s="201"/>
      <c r="BM230" s="202"/>
      <c r="BN230" s="202"/>
      <c r="BO230" s="202"/>
      <c r="BP230" s="178"/>
      <c r="BQ230" s="178"/>
      <c r="BR230" s="178"/>
      <c r="BS230" s="178"/>
      <c r="BT230" s="178"/>
      <c r="BU230" s="178"/>
      <c r="BV230" s="180"/>
      <c r="BW230" s="178"/>
      <c r="BX230" s="178"/>
      <c r="BY230" s="180"/>
      <c r="BZ230" s="180"/>
      <c r="CA230" s="180"/>
      <c r="CB230" s="180"/>
      <c r="CC230" s="178"/>
      <c r="CD230" s="178"/>
      <c r="CE230" s="180"/>
      <c r="CF230" s="180"/>
      <c r="CG230" s="180"/>
      <c r="CH230" s="180"/>
      <c r="CI230" s="178"/>
      <c r="CJ230" s="178"/>
      <c r="CK230" s="180"/>
      <c r="CL230" s="180"/>
      <c r="CM230" s="180"/>
      <c r="CN230" s="116"/>
      <c r="CO230" s="218">
        <f t="shared" ref="CO230:CO293" si="174">BM230</f>
        <v>0</v>
      </c>
      <c r="CP230" s="100">
        <f t="shared" ref="CP230:CP293" si="175">(CO230+CQ230)/2</f>
        <v>0</v>
      </c>
      <c r="CQ230" s="218">
        <f t="shared" ref="CQ230:CQ293" si="176">BN230</f>
        <v>0</v>
      </c>
    </row>
    <row r="231" spans="1:95" s="101" customFormat="1" x14ac:dyDescent="0.25">
      <c r="A231" s="99"/>
      <c r="V231" s="103"/>
      <c r="AA231" s="104"/>
      <c r="AB231" s="104"/>
      <c r="AD231" s="104"/>
      <c r="AE231" s="105"/>
      <c r="AH231" s="106"/>
      <c r="AI231" s="106"/>
      <c r="AK231" s="104"/>
      <c r="AR231" s="104"/>
      <c r="AV231" s="104"/>
      <c r="AX231" s="104"/>
      <c r="BB231" s="104"/>
      <c r="BC231" s="104"/>
      <c r="BE231" s="104"/>
      <c r="BH231" s="99"/>
      <c r="BI231" s="1606" t="s">
        <v>264</v>
      </c>
      <c r="BJ231" s="251"/>
      <c r="BK231" s="1606" t="s">
        <v>276</v>
      </c>
      <c r="BL231" s="251"/>
      <c r="BM231" s="1606" t="s">
        <v>233</v>
      </c>
      <c r="BN231" s="1606" t="s">
        <v>233</v>
      </c>
      <c r="BO231" s="1606" t="s">
        <v>240</v>
      </c>
      <c r="BP231" s="251"/>
      <c r="BQ231" s="1606" t="s">
        <v>276</v>
      </c>
      <c r="BR231" s="251"/>
      <c r="BS231" s="1606" t="s">
        <v>233</v>
      </c>
      <c r="BT231" s="1606" t="s">
        <v>233</v>
      </c>
      <c r="BU231" s="1606" t="s">
        <v>240</v>
      </c>
      <c r="BV231" s="180"/>
      <c r="BW231" s="178"/>
      <c r="BX231" s="178"/>
      <c r="BY231" s="180"/>
      <c r="BZ231" s="180"/>
      <c r="CA231" s="180"/>
      <c r="CB231" s="180"/>
      <c r="CC231" s="178"/>
      <c r="CD231" s="178"/>
      <c r="CE231" s="180"/>
      <c r="CF231" s="180"/>
      <c r="CG231" s="180"/>
      <c r="CH231" s="180"/>
      <c r="CI231" s="178"/>
      <c r="CJ231" s="178"/>
      <c r="CK231" s="180"/>
      <c r="CL231" s="180"/>
      <c r="CM231" s="180"/>
      <c r="CN231" s="116"/>
      <c r="CO231" s="218" t="str">
        <f t="shared" si="174"/>
        <v>Incertidumbre (+/- %)</v>
      </c>
      <c r="CP231" s="100" t="e">
        <f t="shared" si="175"/>
        <v>#VALUE!</v>
      </c>
      <c r="CQ231" s="218" t="str">
        <f t="shared" si="176"/>
        <v>Incertidumbre (+/- %)</v>
      </c>
    </row>
    <row r="232" spans="1:95" s="101" customFormat="1" ht="15.75" thickBot="1" x14ac:dyDescent="0.3">
      <c r="A232" s="99"/>
      <c r="V232" s="103"/>
      <c r="AA232" s="104"/>
      <c r="AB232" s="104"/>
      <c r="AD232" s="104"/>
      <c r="AE232" s="105"/>
      <c r="AH232" s="106"/>
      <c r="AI232" s="106"/>
      <c r="AK232" s="104"/>
      <c r="AR232" s="104"/>
      <c r="AV232" s="104"/>
      <c r="AX232" s="104"/>
      <c r="BB232" s="104"/>
      <c r="BC232" s="104"/>
      <c r="BE232" s="104"/>
      <c r="BH232" s="99"/>
      <c r="BI232" s="1607"/>
      <c r="BJ232" s="252" t="s">
        <v>253</v>
      </c>
      <c r="BK232" s="1607"/>
      <c r="BL232" s="252" t="s">
        <v>251</v>
      </c>
      <c r="BM232" s="1607"/>
      <c r="BN232" s="1607"/>
      <c r="BO232" s="1607"/>
      <c r="BP232" s="252" t="s">
        <v>253</v>
      </c>
      <c r="BQ232" s="1607"/>
      <c r="BR232" s="252" t="s">
        <v>251</v>
      </c>
      <c r="BS232" s="1607"/>
      <c r="BT232" s="1607"/>
      <c r="BU232" s="1607"/>
      <c r="BV232" s="180"/>
      <c r="BW232" s="178"/>
      <c r="BX232" s="178"/>
      <c r="BY232" s="180"/>
      <c r="BZ232" s="180"/>
      <c r="CA232" s="180"/>
      <c r="CB232" s="180"/>
      <c r="CC232" s="178"/>
      <c r="CD232" s="178"/>
      <c r="CE232" s="180"/>
      <c r="CF232" s="180"/>
      <c r="CG232" s="180"/>
      <c r="CH232" s="180"/>
      <c r="CI232" s="178"/>
      <c r="CJ232" s="178"/>
      <c r="CK232" s="180"/>
      <c r="CL232" s="180"/>
      <c r="CM232" s="180"/>
      <c r="CN232" s="116"/>
      <c r="CO232" s="218">
        <f t="shared" si="174"/>
        <v>0</v>
      </c>
      <c r="CP232" s="100">
        <f t="shared" si="175"/>
        <v>0</v>
      </c>
      <c r="CQ232" s="218">
        <f t="shared" si="176"/>
        <v>0</v>
      </c>
    </row>
    <row r="233" spans="1:95" s="101" customFormat="1" ht="18.75" thickBot="1" x14ac:dyDescent="0.3">
      <c r="A233" s="99"/>
      <c r="V233" s="103"/>
      <c r="AA233" s="104"/>
      <c r="AB233" s="104"/>
      <c r="AD233" s="104"/>
      <c r="AE233" s="105"/>
      <c r="AH233" s="106"/>
      <c r="AI233" s="106"/>
      <c r="AK233" s="104"/>
      <c r="AR233" s="104"/>
      <c r="AV233" s="104"/>
      <c r="AX233" s="104"/>
      <c r="BB233" s="104"/>
      <c r="BC233" s="104"/>
      <c r="BE233" s="104"/>
      <c r="BH233" s="99"/>
      <c r="BI233" s="190" t="s">
        <v>8</v>
      </c>
      <c r="BJ233" s="187" t="s">
        <v>49</v>
      </c>
      <c r="BK233" s="196">
        <f>BJ479</f>
        <v>23500</v>
      </c>
      <c r="BL233" s="187" t="s">
        <v>411</v>
      </c>
      <c r="BM233" s="189">
        <v>0.01</v>
      </c>
      <c r="BN233" s="189">
        <v>0.5</v>
      </c>
      <c r="BO233" s="188" t="s">
        <v>311</v>
      </c>
      <c r="BP233" s="187" t="s">
        <v>49</v>
      </c>
      <c r="BQ233" s="196">
        <v>22800</v>
      </c>
      <c r="BR233" s="187" t="s">
        <v>411</v>
      </c>
      <c r="BS233" s="189">
        <v>0.01</v>
      </c>
      <c r="BT233" s="189">
        <v>0.5</v>
      </c>
      <c r="BU233" s="188" t="s">
        <v>254</v>
      </c>
      <c r="BV233" s="180"/>
      <c r="BW233" s="178"/>
      <c r="BX233" s="178"/>
      <c r="BY233" s="180"/>
      <c r="BZ233" s="180"/>
      <c r="CA233" s="180"/>
      <c r="CB233" s="180"/>
      <c r="CC233" s="178"/>
      <c r="CD233" s="178"/>
      <c r="CE233" s="180"/>
      <c r="CF233" s="180"/>
      <c r="CG233" s="180"/>
      <c r="CH233" s="180"/>
      <c r="CI233" s="178"/>
      <c r="CJ233" s="178"/>
      <c r="CK233" s="180"/>
      <c r="CL233" s="180"/>
      <c r="CM233" s="180"/>
      <c r="CN233" s="116"/>
      <c r="CO233" s="218">
        <f t="shared" si="174"/>
        <v>0.01</v>
      </c>
      <c r="CP233" s="100">
        <f t="shared" si="175"/>
        <v>0.255</v>
      </c>
      <c r="CQ233" s="218">
        <f t="shared" si="176"/>
        <v>0.5</v>
      </c>
    </row>
    <row r="234" spans="1:95" s="101" customFormat="1" x14ac:dyDescent="0.25">
      <c r="A234" s="99"/>
      <c r="V234" s="103"/>
      <c r="AA234" s="104"/>
      <c r="AB234" s="104"/>
      <c r="AD234" s="104"/>
      <c r="AE234" s="105"/>
      <c r="AH234" s="106"/>
      <c r="AI234" s="106"/>
      <c r="AK234" s="104"/>
      <c r="AR234" s="104"/>
      <c r="AV234" s="104"/>
      <c r="AX234" s="104"/>
      <c r="BB234" s="104"/>
      <c r="BC234" s="104"/>
      <c r="BE234" s="104"/>
      <c r="BH234" s="99"/>
      <c r="BI234" s="200"/>
      <c r="BJ234" s="201"/>
      <c r="BK234" s="201"/>
      <c r="BL234" s="201"/>
      <c r="BM234" s="202"/>
      <c r="BN234" s="202"/>
      <c r="BO234" s="202"/>
      <c r="BP234" s="178"/>
      <c r="BQ234" s="178"/>
      <c r="BR234" s="178"/>
      <c r="BS234" s="178"/>
      <c r="BT234" s="178"/>
      <c r="BU234" s="178"/>
      <c r="BV234" s="180"/>
      <c r="BW234" s="178"/>
      <c r="BX234" s="178"/>
      <c r="BY234" s="180"/>
      <c r="BZ234" s="180"/>
      <c r="CA234" s="180"/>
      <c r="CB234" s="180"/>
      <c r="CC234" s="178"/>
      <c r="CD234" s="178"/>
      <c r="CE234" s="180"/>
      <c r="CF234" s="180"/>
      <c r="CG234" s="180"/>
      <c r="CH234" s="180"/>
      <c r="CI234" s="178"/>
      <c r="CJ234" s="178"/>
      <c r="CK234" s="180"/>
      <c r="CL234" s="180"/>
      <c r="CM234" s="180"/>
      <c r="CN234" s="116"/>
      <c r="CO234" s="218">
        <f t="shared" si="174"/>
        <v>0</v>
      </c>
      <c r="CP234" s="100">
        <f t="shared" si="175"/>
        <v>0</v>
      </c>
      <c r="CQ234" s="218">
        <f t="shared" si="176"/>
        <v>0</v>
      </c>
    </row>
    <row r="235" spans="1:95" s="101" customFormat="1" x14ac:dyDescent="0.25">
      <c r="A235" s="99"/>
      <c r="V235" s="103"/>
      <c r="AA235" s="104"/>
      <c r="AB235" s="104"/>
      <c r="AD235" s="104"/>
      <c r="AE235" s="105"/>
      <c r="AH235" s="106"/>
      <c r="AI235" s="106"/>
      <c r="AK235" s="104"/>
      <c r="AR235" s="104"/>
      <c r="AV235" s="104"/>
      <c r="AX235" s="104"/>
      <c r="BB235" s="104"/>
      <c r="BC235" s="104"/>
      <c r="BE235" s="104"/>
      <c r="BH235" s="99"/>
      <c r="BI235" s="200"/>
      <c r="BJ235" s="201"/>
      <c r="BK235" s="201"/>
      <c r="BL235" s="201"/>
      <c r="BM235" s="202"/>
      <c r="BN235" s="202"/>
      <c r="BO235" s="202"/>
      <c r="BP235" s="178"/>
      <c r="BQ235" s="178"/>
      <c r="BR235" s="178"/>
      <c r="BS235" s="178"/>
      <c r="BT235" s="178"/>
      <c r="BU235" s="178"/>
      <c r="BV235" s="180"/>
      <c r="BW235" s="178"/>
      <c r="BX235" s="178"/>
      <c r="BY235" s="180"/>
      <c r="BZ235" s="180"/>
      <c r="CA235" s="180"/>
      <c r="CB235" s="180"/>
      <c r="CC235" s="178"/>
      <c r="CD235" s="178"/>
      <c r="CE235" s="180"/>
      <c r="CF235" s="180"/>
      <c r="CG235" s="180"/>
      <c r="CH235" s="180"/>
      <c r="CI235" s="178"/>
      <c r="CJ235" s="178"/>
      <c r="CK235" s="180"/>
      <c r="CL235" s="180"/>
      <c r="CM235" s="180"/>
      <c r="CN235" s="116"/>
      <c r="CO235" s="218">
        <f t="shared" si="174"/>
        <v>0</v>
      </c>
      <c r="CP235" s="100">
        <f t="shared" si="175"/>
        <v>0</v>
      </c>
      <c r="CQ235" s="218">
        <f t="shared" si="176"/>
        <v>0</v>
      </c>
    </row>
    <row r="236" spans="1:95" s="101" customFormat="1" x14ac:dyDescent="0.25">
      <c r="A236" s="99"/>
      <c r="V236" s="103"/>
      <c r="AA236" s="104"/>
      <c r="AB236" s="104"/>
      <c r="AD236" s="104"/>
      <c r="AE236" s="105"/>
      <c r="AH236" s="106"/>
      <c r="AI236" s="106"/>
      <c r="AK236" s="104"/>
      <c r="AR236" s="104"/>
      <c r="AV236" s="104"/>
      <c r="AX236" s="104"/>
      <c r="BB236" s="104"/>
      <c r="BC236" s="104"/>
      <c r="BE236" s="104"/>
      <c r="BH236" s="99"/>
      <c r="BI236" s="200"/>
      <c r="BJ236" s="201"/>
      <c r="BK236" s="201"/>
      <c r="BL236" s="201"/>
      <c r="BM236" s="202"/>
      <c r="BN236" s="202"/>
      <c r="BO236" s="202"/>
      <c r="BP236" s="178"/>
      <c r="BQ236" s="178"/>
      <c r="BR236" s="178"/>
      <c r="BS236" s="178"/>
      <c r="BT236" s="178"/>
      <c r="BU236" s="178"/>
      <c r="BV236" s="180"/>
      <c r="BW236" s="178"/>
      <c r="BX236" s="178"/>
      <c r="BY236" s="180"/>
      <c r="BZ236" s="180"/>
      <c r="CA236" s="180"/>
      <c r="CB236" s="180"/>
      <c r="CC236" s="178"/>
      <c r="CD236" s="178"/>
      <c r="CE236" s="180"/>
      <c r="CF236" s="180"/>
      <c r="CG236" s="180"/>
      <c r="CH236" s="180"/>
      <c r="CI236" s="178"/>
      <c r="CJ236" s="178"/>
      <c r="CK236" s="180"/>
      <c r="CL236" s="180"/>
      <c r="CM236" s="180"/>
      <c r="CN236" s="116"/>
      <c r="CO236" s="218">
        <f t="shared" si="174"/>
        <v>0</v>
      </c>
      <c r="CP236" s="100">
        <f t="shared" si="175"/>
        <v>0</v>
      </c>
      <c r="CQ236" s="218">
        <f t="shared" si="176"/>
        <v>0</v>
      </c>
    </row>
    <row r="237" spans="1:95" s="101" customFormat="1" ht="15.75" thickBot="1" x14ac:dyDescent="0.3">
      <c r="A237" s="99"/>
      <c r="V237" s="103"/>
      <c r="AA237" s="104"/>
      <c r="AB237" s="104"/>
      <c r="AD237" s="104"/>
      <c r="AE237" s="105"/>
      <c r="AH237" s="106"/>
      <c r="AI237" s="106"/>
      <c r="AK237" s="104"/>
      <c r="AR237" s="104"/>
      <c r="AV237" s="104"/>
      <c r="AX237" s="104"/>
      <c r="BB237" s="104"/>
      <c r="BC237" s="104"/>
      <c r="BE237" s="104"/>
      <c r="BH237" s="99"/>
      <c r="BI237" s="102"/>
      <c r="BJ237" s="178"/>
      <c r="BK237" s="178"/>
      <c r="BL237" s="178"/>
      <c r="BM237" s="169"/>
      <c r="BN237" s="169"/>
      <c r="BO237" s="169"/>
      <c r="BP237" s="178"/>
      <c r="BQ237" s="178"/>
      <c r="BR237" s="178"/>
      <c r="BS237" s="178"/>
      <c r="BT237" s="178"/>
      <c r="BU237" s="178"/>
      <c r="BV237" s="180"/>
      <c r="BW237" s="178"/>
      <c r="BX237" s="178"/>
      <c r="BY237" s="180"/>
      <c r="BZ237" s="180"/>
      <c r="CA237" s="180"/>
      <c r="CB237" s="180"/>
      <c r="CC237" s="178"/>
      <c r="CD237" s="178"/>
      <c r="CE237" s="180"/>
      <c r="CF237" s="180"/>
      <c r="CG237" s="180"/>
      <c r="CH237" s="180"/>
      <c r="CI237" s="178"/>
      <c r="CJ237" s="178"/>
      <c r="CK237" s="180"/>
      <c r="CL237" s="180"/>
      <c r="CM237" s="180"/>
      <c r="CN237" s="116"/>
      <c r="CO237" s="218">
        <f t="shared" si="174"/>
        <v>0</v>
      </c>
      <c r="CP237" s="100">
        <f t="shared" si="175"/>
        <v>0</v>
      </c>
      <c r="CQ237" s="218">
        <f t="shared" si="176"/>
        <v>0</v>
      </c>
    </row>
    <row r="238" spans="1:95" s="101" customFormat="1" ht="27" customHeight="1" x14ac:dyDescent="0.25">
      <c r="A238" s="99"/>
      <c r="V238" s="103"/>
      <c r="AA238" s="104"/>
      <c r="AB238" s="104"/>
      <c r="AD238" s="104"/>
      <c r="AE238" s="105"/>
      <c r="AH238" s="106"/>
      <c r="AI238" s="106"/>
      <c r="AK238" s="104"/>
      <c r="AR238" s="104"/>
      <c r="AV238" s="104"/>
      <c r="AX238" s="104"/>
      <c r="BB238" s="104"/>
      <c r="BC238" s="104"/>
      <c r="BE238" s="104"/>
      <c r="BH238" s="99"/>
      <c r="BI238" s="1606" t="s">
        <v>260</v>
      </c>
      <c r="BJ238" s="251"/>
      <c r="BK238" s="1606" t="s">
        <v>276</v>
      </c>
      <c r="BL238" s="251"/>
      <c r="BM238" s="1606" t="s">
        <v>233</v>
      </c>
      <c r="BN238" s="1606" t="s">
        <v>233</v>
      </c>
      <c r="BO238" s="1606" t="s">
        <v>240</v>
      </c>
      <c r="BP238" s="178"/>
      <c r="BQ238" s="178"/>
      <c r="BR238" s="178"/>
      <c r="BS238" s="178"/>
      <c r="BT238" s="178"/>
      <c r="BU238" s="178"/>
      <c r="BV238" s="180"/>
      <c r="BW238" s="178"/>
      <c r="BX238" s="178"/>
      <c r="BY238" s="180"/>
      <c r="BZ238" s="180"/>
      <c r="CA238" s="180"/>
      <c r="CB238" s="180"/>
      <c r="CC238" s="178"/>
      <c r="CD238" s="178"/>
      <c r="CE238" s="180"/>
      <c r="CF238" s="180"/>
      <c r="CG238" s="180"/>
      <c r="CH238" s="180"/>
      <c r="CI238" s="178"/>
      <c r="CJ238" s="178"/>
      <c r="CK238" s="180"/>
      <c r="CL238" s="180"/>
      <c r="CM238" s="180"/>
      <c r="CN238" s="116"/>
      <c r="CO238" s="218" t="str">
        <f t="shared" si="174"/>
        <v>Incertidumbre (+/- %)</v>
      </c>
      <c r="CP238" s="100" t="e">
        <f t="shared" si="175"/>
        <v>#VALUE!</v>
      </c>
      <c r="CQ238" s="218" t="str">
        <f t="shared" si="176"/>
        <v>Incertidumbre (+/- %)</v>
      </c>
    </row>
    <row r="239" spans="1:95" s="101" customFormat="1" ht="34.5" customHeight="1" thickBot="1" x14ac:dyDescent="0.3">
      <c r="A239" s="99"/>
      <c r="V239" s="103"/>
      <c r="AA239" s="104"/>
      <c r="AB239" s="104"/>
      <c r="AD239" s="104"/>
      <c r="AE239" s="105"/>
      <c r="AH239" s="106"/>
      <c r="AI239" s="106"/>
      <c r="AK239" s="104"/>
      <c r="AR239" s="104"/>
      <c r="AV239" s="104"/>
      <c r="AX239" s="104"/>
      <c r="BB239" s="104"/>
      <c r="BC239" s="104"/>
      <c r="BE239" s="104"/>
      <c r="BH239" s="99"/>
      <c r="BI239" s="1607"/>
      <c r="BJ239" s="252" t="s">
        <v>253</v>
      </c>
      <c r="BK239" s="1607"/>
      <c r="BL239" s="252" t="s">
        <v>251</v>
      </c>
      <c r="BM239" s="1607"/>
      <c r="BN239" s="1607"/>
      <c r="BO239" s="1607"/>
      <c r="BP239" s="178"/>
      <c r="BQ239" s="178"/>
      <c r="BR239" s="178"/>
      <c r="BS239" s="178"/>
      <c r="BT239" s="178"/>
      <c r="BU239" s="178"/>
      <c r="BV239" s="180"/>
      <c r="BW239" s="178"/>
      <c r="BX239" s="178"/>
      <c r="BY239" s="180"/>
      <c r="BZ239" s="180"/>
      <c r="CA239" s="180"/>
      <c r="CB239" s="180"/>
      <c r="CC239" s="178"/>
      <c r="CD239" s="178"/>
      <c r="CE239" s="180"/>
      <c r="CF239" s="180"/>
      <c r="CG239" s="180"/>
      <c r="CH239" s="180"/>
      <c r="CI239" s="178"/>
      <c r="CJ239" s="178"/>
      <c r="CK239" s="180"/>
      <c r="CL239" s="180"/>
      <c r="CM239" s="180"/>
      <c r="CN239" s="116"/>
      <c r="CO239" s="218">
        <f t="shared" si="174"/>
        <v>0</v>
      </c>
      <c r="CP239" s="100">
        <f t="shared" si="175"/>
        <v>0</v>
      </c>
      <c r="CQ239" s="218">
        <f t="shared" si="176"/>
        <v>0</v>
      </c>
    </row>
    <row r="240" spans="1:95" s="101" customFormat="1" ht="102.75" thickBot="1" x14ac:dyDescent="0.3">
      <c r="A240" s="99"/>
      <c r="V240" s="103"/>
      <c r="AA240" s="104"/>
      <c r="AB240" s="104"/>
      <c r="AD240" s="104"/>
      <c r="AE240" s="105"/>
      <c r="AH240" s="106"/>
      <c r="AI240" s="106"/>
      <c r="AK240" s="104"/>
      <c r="AR240" s="104"/>
      <c r="AV240" s="104"/>
      <c r="AX240" s="104"/>
      <c r="BB240" s="104"/>
      <c r="BC240" s="104"/>
      <c r="BD240" s="100">
        <f>(10+0.9)*(0.67)</f>
        <v>7.3030000000000008</v>
      </c>
      <c r="BE240" s="100">
        <f>25*(0.67)</f>
        <v>16.75</v>
      </c>
      <c r="BF240" s="100">
        <f>(18+2.5)*(0.67)</f>
        <v>13.735000000000001</v>
      </c>
      <c r="BG240" s="100">
        <f>(25+4)*(0.67)</f>
        <v>19.43</v>
      </c>
      <c r="BH240" s="120" t="s">
        <v>52</v>
      </c>
      <c r="BI240" s="203" t="s">
        <v>10</v>
      </c>
      <c r="BJ240" s="190" t="s">
        <v>615</v>
      </c>
      <c r="BK240" s="196">
        <f>BG240</f>
        <v>19.43</v>
      </c>
      <c r="BL240" s="190" t="s">
        <v>634</v>
      </c>
      <c r="BM240" s="189">
        <v>0.5</v>
      </c>
      <c r="BN240" s="189">
        <v>3</v>
      </c>
      <c r="BO240" s="188" t="s">
        <v>429</v>
      </c>
      <c r="BP240" s="178"/>
      <c r="BQ240" s="102"/>
      <c r="BR240" s="102"/>
      <c r="BS240" s="178"/>
      <c r="BT240" s="178"/>
      <c r="BU240" s="178"/>
      <c r="BV240" s="180"/>
      <c r="BW240" s="178"/>
      <c r="BX240" s="196">
        <v>312.39</v>
      </c>
      <c r="BY240" s="190" t="s">
        <v>635</v>
      </c>
      <c r="BZ240" s="180"/>
      <c r="CA240" s="180"/>
      <c r="CB240" s="180"/>
      <c r="CC240" s="178"/>
      <c r="CD240" s="178"/>
      <c r="CE240" s="180"/>
      <c r="CF240" s="180"/>
      <c r="CG240" s="180"/>
      <c r="CH240" s="180"/>
      <c r="CI240" s="178"/>
      <c r="CJ240" s="178"/>
      <c r="CK240" s="180"/>
      <c r="CL240" s="180"/>
      <c r="CM240" s="180"/>
      <c r="CN240" s="116"/>
      <c r="CO240" s="218">
        <f t="shared" si="174"/>
        <v>0.5</v>
      </c>
      <c r="CP240" s="100">
        <f t="shared" si="175"/>
        <v>1.75</v>
      </c>
      <c r="CQ240" s="218">
        <f t="shared" si="176"/>
        <v>3</v>
      </c>
    </row>
    <row r="241" spans="1:95" s="101" customFormat="1" ht="102.75" thickBot="1" x14ac:dyDescent="0.3">
      <c r="A241" s="99"/>
      <c r="V241" s="103"/>
      <c r="AA241" s="104"/>
      <c r="AB241" s="104"/>
      <c r="AD241" s="104"/>
      <c r="AE241" s="105"/>
      <c r="AH241" s="106"/>
      <c r="AI241" s="106"/>
      <c r="AK241" s="104"/>
      <c r="AR241" s="104"/>
      <c r="AV241" s="104"/>
      <c r="AX241" s="104"/>
      <c r="BB241" s="104"/>
      <c r="BC241" s="104"/>
      <c r="BD241" s="100">
        <f>(0.31+0)*(0.67)</f>
        <v>0.20770000000000002</v>
      </c>
      <c r="BE241" s="100">
        <f>25*(0.67)</f>
        <v>16.75</v>
      </c>
      <c r="BF241" s="100">
        <f>(1.2+0.1)*(0.67)</f>
        <v>0.87100000000000011</v>
      </c>
      <c r="BG241" s="100">
        <f>(2+0.2)*(0.67)</f>
        <v>1.4740000000000002</v>
      </c>
      <c r="BH241" s="120" t="s">
        <v>52</v>
      </c>
      <c r="BI241" s="203" t="s">
        <v>11</v>
      </c>
      <c r="BJ241" s="190" t="s">
        <v>615</v>
      </c>
      <c r="BK241" s="196">
        <f>BG241</f>
        <v>1.4740000000000002</v>
      </c>
      <c r="BL241" s="190" t="s">
        <v>634</v>
      </c>
      <c r="BM241" s="189">
        <v>0.5</v>
      </c>
      <c r="BN241" s="189">
        <v>3</v>
      </c>
      <c r="BO241" s="188" t="s">
        <v>430</v>
      </c>
      <c r="BP241" s="178"/>
      <c r="BQ241" s="102"/>
      <c r="BR241" s="102"/>
      <c r="BS241" s="178"/>
      <c r="BT241" s="178"/>
      <c r="BU241" s="178"/>
      <c r="BV241" s="180"/>
      <c r="BW241" s="178"/>
      <c r="BX241" s="196">
        <v>20.94</v>
      </c>
      <c r="BY241" s="190" t="s">
        <v>635</v>
      </c>
      <c r="BZ241" s="180"/>
      <c r="CA241" s="180"/>
      <c r="CB241" s="180"/>
      <c r="CC241" s="178"/>
      <c r="CD241" s="178"/>
      <c r="CE241" s="180"/>
      <c r="CF241" s="180"/>
      <c r="CG241" s="180"/>
      <c r="CH241" s="180"/>
      <c r="CI241" s="178"/>
      <c r="CJ241" s="178"/>
      <c r="CK241" s="180"/>
      <c r="CL241" s="180"/>
      <c r="CM241" s="180"/>
      <c r="CN241" s="116"/>
      <c r="CO241" s="218">
        <f t="shared" si="174"/>
        <v>0.5</v>
      </c>
      <c r="CP241" s="100">
        <f t="shared" si="175"/>
        <v>1.75</v>
      </c>
      <c r="CQ241" s="218">
        <f t="shared" si="176"/>
        <v>3</v>
      </c>
    </row>
    <row r="242" spans="1:95" s="101" customFormat="1" ht="141" thickBot="1" x14ac:dyDescent="0.3">
      <c r="A242" s="99"/>
      <c r="V242" s="103"/>
      <c r="AA242" s="104"/>
      <c r="AB242" s="104"/>
      <c r="AD242" s="104"/>
      <c r="AE242" s="105"/>
      <c r="AH242" s="106"/>
      <c r="AI242" s="106"/>
      <c r="AK242" s="104"/>
      <c r="AR242" s="104"/>
      <c r="AV242" s="104"/>
      <c r="AX242" s="104"/>
      <c r="BB242" s="104"/>
      <c r="BC242" s="104"/>
      <c r="BE242" s="104"/>
      <c r="BH242" s="120" t="s">
        <v>347</v>
      </c>
      <c r="BI242" s="203" t="s">
        <v>345</v>
      </c>
      <c r="BJ242" s="203" t="s">
        <v>346</v>
      </c>
      <c r="BK242" s="196">
        <v>36.5</v>
      </c>
      <c r="BL242" s="190" t="s">
        <v>424</v>
      </c>
      <c r="BM242" s="189">
        <v>0.9</v>
      </c>
      <c r="BN242" s="189">
        <v>1.06</v>
      </c>
      <c r="BO242" s="188" t="s">
        <v>348</v>
      </c>
      <c r="BP242" s="178"/>
      <c r="BQ242" s="102"/>
      <c r="BR242" s="102"/>
      <c r="BS242" s="178"/>
      <c r="BT242" s="178"/>
      <c r="BU242" s="178"/>
      <c r="BV242" s="180"/>
      <c r="BW242" s="178"/>
      <c r="BX242" s="196">
        <v>20.94</v>
      </c>
      <c r="BY242" s="190" t="s">
        <v>635</v>
      </c>
      <c r="BZ242" s="180"/>
      <c r="CA242" s="180"/>
      <c r="CB242" s="180"/>
      <c r="CC242" s="178"/>
      <c r="CD242" s="178"/>
      <c r="CE242" s="180"/>
      <c r="CF242" s="180"/>
      <c r="CG242" s="180"/>
      <c r="CH242" s="180"/>
      <c r="CI242" s="178"/>
      <c r="CJ242" s="178"/>
      <c r="CK242" s="180"/>
      <c r="CL242" s="180"/>
      <c r="CM242" s="180"/>
      <c r="CN242" s="116"/>
      <c r="CO242" s="218">
        <f t="shared" si="174"/>
        <v>0.9</v>
      </c>
      <c r="CP242" s="100">
        <f t="shared" si="175"/>
        <v>0.98</v>
      </c>
      <c r="CQ242" s="218">
        <f t="shared" si="176"/>
        <v>1.06</v>
      </c>
    </row>
    <row r="243" spans="1:95" s="101" customFormat="1" ht="18.75" thickBot="1" x14ac:dyDescent="0.3">
      <c r="A243" s="99"/>
      <c r="V243" s="103"/>
      <c r="AA243" s="104"/>
      <c r="AB243" s="104"/>
      <c r="AD243" s="104"/>
      <c r="AE243" s="105"/>
      <c r="AH243" s="106"/>
      <c r="AI243" s="106"/>
      <c r="AK243" s="104"/>
      <c r="AR243" s="104"/>
      <c r="AV243" s="104"/>
      <c r="AX243" s="104"/>
      <c r="BB243" s="104"/>
      <c r="BC243" s="104"/>
      <c r="BE243" s="104"/>
      <c r="BG243" s="100"/>
      <c r="BH243" s="120" t="s">
        <v>53</v>
      </c>
      <c r="BI243" s="203" t="s">
        <v>12</v>
      </c>
      <c r="BJ243" s="203" t="s">
        <v>615</v>
      </c>
      <c r="BK243" s="196">
        <v>1E-4</v>
      </c>
      <c r="BL243" s="190" t="s">
        <v>627</v>
      </c>
      <c r="BM243" s="189">
        <v>0.1</v>
      </c>
      <c r="BN243" s="189">
        <v>0.25</v>
      </c>
      <c r="BO243" s="188" t="s">
        <v>258</v>
      </c>
      <c r="BP243" s="215" t="s">
        <v>615</v>
      </c>
      <c r="BQ243" s="216">
        <v>560</v>
      </c>
      <c r="BR243" s="215" t="s">
        <v>637</v>
      </c>
      <c r="BS243" s="217">
        <v>0.1</v>
      </c>
      <c r="BT243" s="217">
        <v>0.25</v>
      </c>
      <c r="BU243" s="188" t="s">
        <v>258</v>
      </c>
      <c r="BV243" s="180"/>
      <c r="BW243" s="178"/>
      <c r="BX243" s="196">
        <v>12.5</v>
      </c>
      <c r="BY243" s="190" t="s">
        <v>635</v>
      </c>
      <c r="BZ243" s="180"/>
      <c r="CA243" s="180"/>
      <c r="CB243" s="180"/>
      <c r="CC243" s="178"/>
      <c r="CD243" s="178"/>
      <c r="CE243" s="180"/>
      <c r="CF243" s="180"/>
      <c r="CG243" s="180"/>
      <c r="CH243" s="180"/>
      <c r="CI243" s="178"/>
      <c r="CJ243" s="178"/>
      <c r="CK243" s="180"/>
      <c r="CL243" s="180"/>
      <c r="CM243" s="180"/>
      <c r="CN243" s="116"/>
      <c r="CO243" s="218">
        <f t="shared" si="174"/>
        <v>0.1</v>
      </c>
      <c r="CP243" s="100">
        <f t="shared" si="175"/>
        <v>0.17499999999999999</v>
      </c>
      <c r="CQ243" s="218">
        <f t="shared" si="176"/>
        <v>0.25</v>
      </c>
    </row>
    <row r="244" spans="1:95" s="101" customFormat="1" ht="26.25" thickBot="1" x14ac:dyDescent="0.3">
      <c r="A244" s="99"/>
      <c r="V244" s="103"/>
      <c r="AA244" s="104"/>
      <c r="AB244" s="104"/>
      <c r="AD244" s="104"/>
      <c r="AE244" s="105"/>
      <c r="AH244" s="106"/>
      <c r="AI244" s="106"/>
      <c r="AK244" s="104"/>
      <c r="AR244" s="104"/>
      <c r="AV244" s="104"/>
      <c r="AX244" s="104"/>
      <c r="BB244" s="104"/>
      <c r="BC244" s="104"/>
      <c r="BE244" s="104"/>
      <c r="BH244" s="120" t="s">
        <v>53</v>
      </c>
      <c r="BI244" s="203" t="s">
        <v>343</v>
      </c>
      <c r="BJ244" s="203" t="s">
        <v>615</v>
      </c>
      <c r="BK244" s="196">
        <v>1000</v>
      </c>
      <c r="BL244" s="190" t="s">
        <v>627</v>
      </c>
      <c r="BM244" s="189">
        <v>0.02</v>
      </c>
      <c r="BN244" s="189">
        <v>0.5</v>
      </c>
      <c r="BO244" s="188" t="s">
        <v>387</v>
      </c>
      <c r="BP244" s="178"/>
      <c r="BQ244" s="102"/>
      <c r="BR244" s="102"/>
      <c r="BS244" s="178"/>
      <c r="BT244" s="178"/>
      <c r="BU244" s="178"/>
      <c r="BV244" s="180"/>
      <c r="BW244" s="178"/>
      <c r="BX244" s="196"/>
      <c r="BY244" s="190"/>
      <c r="BZ244" s="180"/>
      <c r="CA244" s="180"/>
      <c r="CB244" s="180"/>
      <c r="CC244" s="178"/>
      <c r="CD244" s="178"/>
      <c r="CE244" s="180"/>
      <c r="CF244" s="180"/>
      <c r="CG244" s="180"/>
      <c r="CH244" s="180"/>
      <c r="CI244" s="178"/>
      <c r="CJ244" s="178"/>
      <c r="CK244" s="180"/>
      <c r="CL244" s="180"/>
      <c r="CM244" s="180"/>
      <c r="CN244" s="116"/>
      <c r="CO244" s="218">
        <f t="shared" si="174"/>
        <v>0.02</v>
      </c>
      <c r="CP244" s="100">
        <f t="shared" si="175"/>
        <v>0.26</v>
      </c>
      <c r="CQ244" s="218">
        <f t="shared" si="176"/>
        <v>0.5</v>
      </c>
    </row>
    <row r="245" spans="1:95" s="101" customFormat="1" ht="16.5" thickBot="1" x14ac:dyDescent="0.3">
      <c r="A245" s="99"/>
      <c r="V245" s="103"/>
      <c r="AA245" s="104"/>
      <c r="AB245" s="104"/>
      <c r="AD245" s="104"/>
      <c r="AE245" s="105"/>
      <c r="AH245" s="106"/>
      <c r="AI245" s="106"/>
      <c r="AK245" s="104"/>
      <c r="AR245" s="104"/>
      <c r="AV245" s="104"/>
      <c r="AX245" s="104"/>
      <c r="BB245" s="104"/>
      <c r="BC245" s="104"/>
      <c r="BE245" s="104"/>
      <c r="BH245" s="120"/>
      <c r="BI245" s="203" t="s">
        <v>438</v>
      </c>
      <c r="BJ245" s="190" t="s">
        <v>626</v>
      </c>
      <c r="BK245" s="196">
        <v>520</v>
      </c>
      <c r="BL245" s="190" t="s">
        <v>628</v>
      </c>
      <c r="BM245" s="189">
        <v>0.01</v>
      </c>
      <c r="BN245" s="189">
        <v>0.35</v>
      </c>
      <c r="BO245" s="188" t="s">
        <v>258</v>
      </c>
      <c r="BP245" s="178"/>
      <c r="BQ245" s="102"/>
      <c r="BR245" s="102"/>
      <c r="BS245" s="178"/>
      <c r="BT245" s="178"/>
      <c r="BU245" s="178"/>
      <c r="BV245" s="180"/>
      <c r="BW245" s="178"/>
      <c r="BX245" s="196"/>
      <c r="BY245" s="190"/>
      <c r="BZ245" s="180"/>
      <c r="CA245" s="180"/>
      <c r="CB245" s="180"/>
      <c r="CC245" s="178"/>
      <c r="CD245" s="178"/>
      <c r="CE245" s="180"/>
      <c r="CF245" s="180"/>
      <c r="CG245" s="180"/>
      <c r="CH245" s="180"/>
      <c r="CI245" s="178"/>
      <c r="CJ245" s="178"/>
      <c r="CK245" s="180"/>
      <c r="CL245" s="180"/>
      <c r="CM245" s="180"/>
      <c r="CN245" s="116"/>
      <c r="CO245" s="218">
        <f t="shared" si="174"/>
        <v>0.01</v>
      </c>
      <c r="CP245" s="100">
        <f t="shared" si="175"/>
        <v>0.18</v>
      </c>
      <c r="CQ245" s="218">
        <f t="shared" si="176"/>
        <v>0.35</v>
      </c>
    </row>
    <row r="246" spans="1:95" s="101" customFormat="1" ht="16.5" thickBot="1" x14ac:dyDescent="0.3">
      <c r="A246" s="99"/>
      <c r="V246" s="103"/>
      <c r="AA246" s="104"/>
      <c r="AB246" s="104"/>
      <c r="AD246" s="104"/>
      <c r="AE246" s="105"/>
      <c r="AH246" s="106"/>
      <c r="AI246" s="106"/>
      <c r="AK246" s="104"/>
      <c r="AR246" s="104"/>
      <c r="AV246" s="104"/>
      <c r="AX246" s="104"/>
      <c r="BB246" s="104"/>
      <c r="BC246" s="104"/>
      <c r="BE246" s="104"/>
      <c r="BH246" s="120" t="s">
        <v>53</v>
      </c>
      <c r="BI246" s="203" t="s">
        <v>13</v>
      </c>
      <c r="BJ246" s="190" t="s">
        <v>615</v>
      </c>
      <c r="BK246" s="196">
        <v>750</v>
      </c>
      <c r="BL246" s="190" t="s">
        <v>629</v>
      </c>
      <c r="BM246" s="189">
        <v>0.02</v>
      </c>
      <c r="BN246" s="189">
        <v>0.15</v>
      </c>
      <c r="BO246" s="188" t="s">
        <v>258</v>
      </c>
      <c r="BP246" s="178"/>
      <c r="BQ246" s="102"/>
      <c r="BR246" s="102"/>
      <c r="BS246" s="178"/>
      <c r="BT246" s="178"/>
      <c r="BU246" s="178"/>
      <c r="BV246" s="180"/>
      <c r="BW246" s="178"/>
      <c r="BX246" s="196">
        <v>790</v>
      </c>
      <c r="BY246" s="190" t="s">
        <v>635</v>
      </c>
      <c r="BZ246" s="180"/>
      <c r="CA246" s="180"/>
      <c r="CB246" s="180"/>
      <c r="CC246" s="178"/>
      <c r="CD246" s="178"/>
      <c r="CE246" s="180"/>
      <c r="CF246" s="180"/>
      <c r="CG246" s="180"/>
      <c r="CH246" s="180"/>
      <c r="CI246" s="178"/>
      <c r="CJ246" s="178"/>
      <c r="CK246" s="180"/>
      <c r="CL246" s="180"/>
      <c r="CM246" s="180"/>
      <c r="CN246" s="116"/>
      <c r="CO246" s="218">
        <f t="shared" si="174"/>
        <v>0.02</v>
      </c>
      <c r="CP246" s="100">
        <f t="shared" si="175"/>
        <v>8.4999999999999992E-2</v>
      </c>
      <c r="CQ246" s="218">
        <f t="shared" si="176"/>
        <v>0.15</v>
      </c>
    </row>
    <row r="247" spans="1:95" s="101" customFormat="1" ht="16.5" thickBot="1" x14ac:dyDescent="0.3">
      <c r="A247" s="99"/>
      <c r="V247" s="103"/>
      <c r="AA247" s="104"/>
      <c r="AB247" s="104"/>
      <c r="AD247" s="104"/>
      <c r="AE247" s="105"/>
      <c r="AH247" s="106"/>
      <c r="AI247" s="106"/>
      <c r="AK247" s="104"/>
      <c r="AR247" s="104"/>
      <c r="AV247" s="104"/>
      <c r="AX247" s="104"/>
      <c r="BB247" s="104"/>
      <c r="BC247" s="104"/>
      <c r="BE247" s="104"/>
      <c r="BH247" s="120" t="s">
        <v>53</v>
      </c>
      <c r="BI247" s="203" t="s">
        <v>14</v>
      </c>
      <c r="BJ247" s="190" t="s">
        <v>615</v>
      </c>
      <c r="BK247" s="196">
        <v>860</v>
      </c>
      <c r="BL247" s="190" t="s">
        <v>629</v>
      </c>
      <c r="BM247" s="189">
        <v>0.02</v>
      </c>
      <c r="BN247" s="189">
        <v>0.15</v>
      </c>
      <c r="BO247" s="188" t="s">
        <v>258</v>
      </c>
      <c r="BP247" s="178"/>
      <c r="BQ247" s="102"/>
      <c r="BR247" s="102"/>
      <c r="BS247" s="178"/>
      <c r="BT247" s="178"/>
      <c r="BU247" s="178"/>
      <c r="BV247" s="180"/>
      <c r="BW247" s="178"/>
      <c r="BX247" s="196">
        <v>910</v>
      </c>
      <c r="BY247" s="190" t="s">
        <v>635</v>
      </c>
      <c r="BZ247" s="180"/>
      <c r="CA247" s="180"/>
      <c r="CB247" s="180"/>
      <c r="CC247" s="178"/>
      <c r="CD247" s="178"/>
      <c r="CE247" s="180"/>
      <c r="CF247" s="180"/>
      <c r="CG247" s="180"/>
      <c r="CH247" s="180"/>
      <c r="CI247" s="178"/>
      <c r="CJ247" s="178"/>
      <c r="CK247" s="180"/>
      <c r="CL247" s="180"/>
      <c r="CM247" s="180"/>
      <c r="CN247" s="116"/>
      <c r="CO247" s="218">
        <f t="shared" si="174"/>
        <v>0.02</v>
      </c>
      <c r="CP247" s="100">
        <f t="shared" si="175"/>
        <v>8.4999999999999992E-2</v>
      </c>
      <c r="CQ247" s="218">
        <f t="shared" si="176"/>
        <v>0.15</v>
      </c>
    </row>
    <row r="248" spans="1:95" s="101" customFormat="1" ht="16.5" thickBot="1" x14ac:dyDescent="0.3">
      <c r="A248" s="99"/>
      <c r="V248" s="103"/>
      <c r="AA248" s="104"/>
      <c r="AB248" s="104"/>
      <c r="AD248" s="104"/>
      <c r="AE248" s="105"/>
      <c r="AH248" s="106"/>
      <c r="AI248" s="106"/>
      <c r="AK248" s="104"/>
      <c r="AR248" s="104"/>
      <c r="AV248" s="104"/>
      <c r="AX248" s="104"/>
      <c r="BB248" s="104"/>
      <c r="BC248" s="104"/>
      <c r="BE248" s="104"/>
      <c r="BH248" s="120"/>
      <c r="BI248" s="203" t="s">
        <v>431</v>
      </c>
      <c r="BJ248" s="190" t="s">
        <v>615</v>
      </c>
      <c r="BK248" s="196">
        <v>439.71</v>
      </c>
      <c r="BL248" s="190" t="s">
        <v>629</v>
      </c>
      <c r="BM248" s="189">
        <v>0.02</v>
      </c>
      <c r="BN248" s="189">
        <v>0.15</v>
      </c>
      <c r="BO248" s="188" t="s">
        <v>258</v>
      </c>
      <c r="BP248" s="178"/>
      <c r="BQ248" s="102"/>
      <c r="BR248" s="102"/>
      <c r="BS248" s="178"/>
      <c r="BT248" s="178"/>
      <c r="BU248" s="178"/>
      <c r="BV248" s="180"/>
      <c r="BW248" s="178"/>
      <c r="BX248" s="196"/>
      <c r="BY248" s="190"/>
      <c r="BZ248" s="180"/>
      <c r="CA248" s="180"/>
      <c r="CB248" s="180"/>
      <c r="CC248" s="178"/>
      <c r="CD248" s="178"/>
      <c r="CE248" s="180"/>
      <c r="CF248" s="180"/>
      <c r="CG248" s="180"/>
      <c r="CH248" s="180"/>
      <c r="CI248" s="178"/>
      <c r="CJ248" s="178"/>
      <c r="CK248" s="180"/>
      <c r="CL248" s="180"/>
      <c r="CM248" s="180"/>
      <c r="CN248" s="116"/>
      <c r="CO248" s="218">
        <f t="shared" si="174"/>
        <v>0.02</v>
      </c>
      <c r="CP248" s="100">
        <f t="shared" si="175"/>
        <v>8.4999999999999992E-2</v>
      </c>
      <c r="CQ248" s="218">
        <f t="shared" si="176"/>
        <v>0.15</v>
      </c>
    </row>
    <row r="249" spans="1:95" s="101" customFormat="1" ht="16.5" thickBot="1" x14ac:dyDescent="0.3">
      <c r="A249" s="99"/>
      <c r="V249" s="103"/>
      <c r="AA249" s="104"/>
      <c r="AB249" s="104"/>
      <c r="AD249" s="104"/>
      <c r="AE249" s="105"/>
      <c r="AH249" s="106"/>
      <c r="AI249" s="106"/>
      <c r="AK249" s="104"/>
      <c r="AR249" s="104"/>
      <c r="AV249" s="104"/>
      <c r="AX249" s="104"/>
      <c r="BB249" s="104"/>
      <c r="BC249" s="104"/>
      <c r="BE249" s="104"/>
      <c r="BH249" s="120"/>
      <c r="BI249" s="203" t="s">
        <v>432</v>
      </c>
      <c r="BJ249" s="190" t="s">
        <v>615</v>
      </c>
      <c r="BK249" s="196">
        <v>521.97</v>
      </c>
      <c r="BL249" s="190" t="s">
        <v>629</v>
      </c>
      <c r="BM249" s="189">
        <v>0.02</v>
      </c>
      <c r="BN249" s="189">
        <v>0.15</v>
      </c>
      <c r="BO249" s="188" t="s">
        <v>258</v>
      </c>
      <c r="BP249" s="178"/>
      <c r="BQ249" s="102"/>
      <c r="BR249" s="102"/>
      <c r="BS249" s="178"/>
      <c r="BT249" s="178"/>
      <c r="BU249" s="178"/>
      <c r="BV249" s="180"/>
      <c r="BW249" s="178"/>
      <c r="BX249" s="196"/>
      <c r="BY249" s="190"/>
      <c r="BZ249" s="180"/>
      <c r="CA249" s="180"/>
      <c r="CB249" s="180"/>
      <c r="CC249" s="178"/>
      <c r="CD249" s="178"/>
      <c r="CE249" s="180"/>
      <c r="CF249" s="180"/>
      <c r="CG249" s="180"/>
      <c r="CH249" s="180"/>
      <c r="CI249" s="178"/>
      <c r="CJ249" s="178"/>
      <c r="CK249" s="180"/>
      <c r="CL249" s="180"/>
      <c r="CM249" s="180"/>
      <c r="CN249" s="116"/>
      <c r="CO249" s="218">
        <f t="shared" si="174"/>
        <v>0.02</v>
      </c>
      <c r="CP249" s="100">
        <f t="shared" si="175"/>
        <v>8.4999999999999992E-2</v>
      </c>
      <c r="CQ249" s="218">
        <f t="shared" si="176"/>
        <v>0.15</v>
      </c>
    </row>
    <row r="250" spans="1:95" s="101" customFormat="1" ht="16.5" thickBot="1" x14ac:dyDescent="0.3">
      <c r="A250" s="99"/>
      <c r="V250" s="103"/>
      <c r="AA250" s="104"/>
      <c r="AB250" s="104"/>
      <c r="AD250" s="104"/>
      <c r="AE250" s="105"/>
      <c r="AH250" s="106"/>
      <c r="AI250" s="106"/>
      <c r="AK250" s="104"/>
      <c r="AR250" s="104"/>
      <c r="AV250" s="104"/>
      <c r="AX250" s="104"/>
      <c r="BB250" s="104"/>
      <c r="BC250" s="104"/>
      <c r="BE250" s="104"/>
      <c r="BH250" s="120"/>
      <c r="BI250" s="203" t="s">
        <v>433</v>
      </c>
      <c r="BJ250" s="190" t="s">
        <v>615</v>
      </c>
      <c r="BK250" s="196">
        <v>477.32</v>
      </c>
      <c r="BL250" s="190" t="s">
        <v>629</v>
      </c>
      <c r="BM250" s="189">
        <v>0.02</v>
      </c>
      <c r="BN250" s="189">
        <v>0.15</v>
      </c>
      <c r="BO250" s="188" t="s">
        <v>258</v>
      </c>
      <c r="BP250" s="178"/>
      <c r="BQ250" s="102"/>
      <c r="BR250" s="102"/>
      <c r="BS250" s="178"/>
      <c r="BT250" s="178"/>
      <c r="BU250" s="178"/>
      <c r="BV250" s="180"/>
      <c r="BW250" s="178"/>
      <c r="BX250" s="196"/>
      <c r="BY250" s="190"/>
      <c r="BZ250" s="180"/>
      <c r="CA250" s="180"/>
      <c r="CB250" s="180"/>
      <c r="CC250" s="178"/>
      <c r="CD250" s="178"/>
      <c r="CE250" s="180"/>
      <c r="CF250" s="180"/>
      <c r="CG250" s="180"/>
      <c r="CH250" s="180"/>
      <c r="CI250" s="178"/>
      <c r="CJ250" s="178"/>
      <c r="CK250" s="180"/>
      <c r="CL250" s="180"/>
      <c r="CM250" s="180"/>
      <c r="CN250" s="116"/>
      <c r="CO250" s="218">
        <f t="shared" si="174"/>
        <v>0.02</v>
      </c>
      <c r="CP250" s="100">
        <f t="shared" si="175"/>
        <v>8.4999999999999992E-2</v>
      </c>
      <c r="CQ250" s="218">
        <f t="shared" si="176"/>
        <v>0.15</v>
      </c>
    </row>
    <row r="251" spans="1:95" s="101" customFormat="1" ht="16.5" thickBot="1" x14ac:dyDescent="0.3">
      <c r="A251" s="99"/>
      <c r="V251" s="103"/>
      <c r="AA251" s="104"/>
      <c r="AB251" s="104"/>
      <c r="AD251" s="104"/>
      <c r="AE251" s="105"/>
      <c r="AH251" s="106"/>
      <c r="AI251" s="106"/>
      <c r="AK251" s="104"/>
      <c r="AR251" s="104"/>
      <c r="AV251" s="104"/>
      <c r="AX251" s="104"/>
      <c r="BB251" s="104"/>
      <c r="BC251" s="104"/>
      <c r="BE251" s="104"/>
      <c r="BH251" s="120"/>
      <c r="BI251" s="203" t="s">
        <v>434</v>
      </c>
      <c r="BJ251" s="190" t="s">
        <v>615</v>
      </c>
      <c r="BK251" s="196">
        <v>379.87</v>
      </c>
      <c r="BL251" s="190" t="s">
        <v>629</v>
      </c>
      <c r="BM251" s="189">
        <v>0.02</v>
      </c>
      <c r="BN251" s="189">
        <v>0.15</v>
      </c>
      <c r="BO251" s="188" t="s">
        <v>258</v>
      </c>
      <c r="BP251" s="178"/>
      <c r="BQ251" s="102"/>
      <c r="BR251" s="102"/>
      <c r="BS251" s="178"/>
      <c r="BT251" s="178"/>
      <c r="BU251" s="178"/>
      <c r="BV251" s="180"/>
      <c r="BW251" s="178"/>
      <c r="BX251" s="196"/>
      <c r="BY251" s="190"/>
      <c r="BZ251" s="180"/>
      <c r="CA251" s="180"/>
      <c r="CB251" s="180"/>
      <c r="CC251" s="178"/>
      <c r="CD251" s="178"/>
      <c r="CE251" s="180"/>
      <c r="CF251" s="180"/>
      <c r="CG251" s="180"/>
      <c r="CH251" s="180"/>
      <c r="CI251" s="178"/>
      <c r="CJ251" s="178"/>
      <c r="CK251" s="180"/>
      <c r="CL251" s="180"/>
      <c r="CM251" s="180"/>
      <c r="CN251" s="116"/>
      <c r="CO251" s="218">
        <f t="shared" si="174"/>
        <v>0.02</v>
      </c>
      <c r="CP251" s="100">
        <f t="shared" si="175"/>
        <v>8.4999999999999992E-2</v>
      </c>
      <c r="CQ251" s="218">
        <f t="shared" si="176"/>
        <v>0.15</v>
      </c>
    </row>
    <row r="252" spans="1:95" s="101" customFormat="1" ht="16.5" thickBot="1" x14ac:dyDescent="0.3">
      <c r="A252" s="99"/>
      <c r="V252" s="103"/>
      <c r="AA252" s="104"/>
      <c r="AB252" s="104"/>
      <c r="AD252" s="104"/>
      <c r="AE252" s="105"/>
      <c r="AH252" s="106"/>
      <c r="AI252" s="106"/>
      <c r="AK252" s="104"/>
      <c r="AR252" s="104"/>
      <c r="AV252" s="104"/>
      <c r="AX252" s="104"/>
      <c r="BB252" s="104"/>
      <c r="BC252" s="104"/>
      <c r="BE252" s="104"/>
      <c r="BH252" s="120"/>
      <c r="BI252" s="203" t="s">
        <v>436</v>
      </c>
      <c r="BJ252" s="190" t="s">
        <v>615</v>
      </c>
      <c r="BK252" s="196">
        <v>382.86</v>
      </c>
      <c r="BL252" s="190" t="s">
        <v>629</v>
      </c>
      <c r="BM252" s="189">
        <v>0.02</v>
      </c>
      <c r="BN252" s="189">
        <v>0.15</v>
      </c>
      <c r="BO252" s="188" t="s">
        <v>258</v>
      </c>
      <c r="BP252" s="178"/>
      <c r="BQ252" s="102"/>
      <c r="BR252" s="102"/>
      <c r="BS252" s="178"/>
      <c r="BT252" s="178"/>
      <c r="BU252" s="178"/>
      <c r="BV252" s="180"/>
      <c r="BW252" s="178"/>
      <c r="BX252" s="196"/>
      <c r="BY252" s="190"/>
      <c r="BZ252" s="180"/>
      <c r="CA252" s="180"/>
      <c r="CB252" s="180"/>
      <c r="CC252" s="178"/>
      <c r="CD252" s="178"/>
      <c r="CE252" s="180"/>
      <c r="CF252" s="180"/>
      <c r="CG252" s="180"/>
      <c r="CH252" s="180"/>
      <c r="CI252" s="178"/>
      <c r="CJ252" s="178"/>
      <c r="CK252" s="180"/>
      <c r="CL252" s="180"/>
      <c r="CM252" s="180"/>
      <c r="CN252" s="116"/>
      <c r="CO252" s="218">
        <f t="shared" si="174"/>
        <v>0.02</v>
      </c>
      <c r="CP252" s="100">
        <f t="shared" si="175"/>
        <v>8.4999999999999992E-2</v>
      </c>
      <c r="CQ252" s="218">
        <f t="shared" si="176"/>
        <v>0.15</v>
      </c>
    </row>
    <row r="253" spans="1:95" s="101" customFormat="1" ht="16.5" thickBot="1" x14ac:dyDescent="0.3">
      <c r="A253" s="99"/>
      <c r="V253" s="103"/>
      <c r="AA253" s="104"/>
      <c r="AB253" s="104"/>
      <c r="AD253" s="104"/>
      <c r="AE253" s="105"/>
      <c r="AH253" s="106"/>
      <c r="AI253" s="106"/>
      <c r="AK253" s="104"/>
      <c r="AR253" s="104"/>
      <c r="AV253" s="104"/>
      <c r="AX253" s="104"/>
      <c r="BB253" s="104"/>
      <c r="BC253" s="104"/>
      <c r="BE253" s="104"/>
      <c r="BH253" s="120"/>
      <c r="BI253" s="203" t="s">
        <v>437</v>
      </c>
      <c r="BJ253" s="190" t="s">
        <v>615</v>
      </c>
      <c r="BK253" s="196">
        <v>414.92</v>
      </c>
      <c r="BL253" s="190" t="s">
        <v>629</v>
      </c>
      <c r="BM253" s="189">
        <v>0.02</v>
      </c>
      <c r="BN253" s="189">
        <v>0.15</v>
      </c>
      <c r="BO253" s="188" t="s">
        <v>258</v>
      </c>
      <c r="BP253" s="178"/>
      <c r="BQ253" s="102"/>
      <c r="BR253" s="102"/>
      <c r="BS253" s="178"/>
      <c r="BT253" s="178"/>
      <c r="BU253" s="178"/>
      <c r="BV253" s="180"/>
      <c r="BW253" s="178"/>
      <c r="BX253" s="196"/>
      <c r="BY253" s="190"/>
      <c r="BZ253" s="180"/>
      <c r="CA253" s="180"/>
      <c r="CB253" s="180"/>
      <c r="CC253" s="178"/>
      <c r="CD253" s="178"/>
      <c r="CE253" s="180"/>
      <c r="CF253" s="180"/>
      <c r="CG253" s="180"/>
      <c r="CH253" s="180"/>
      <c r="CI253" s="178"/>
      <c r="CJ253" s="178"/>
      <c r="CK253" s="180"/>
      <c r="CL253" s="180"/>
      <c r="CM253" s="180"/>
      <c r="CN253" s="116"/>
      <c r="CO253" s="218">
        <f t="shared" si="174"/>
        <v>0.02</v>
      </c>
      <c r="CP253" s="100">
        <f t="shared" si="175"/>
        <v>8.4999999999999992E-2</v>
      </c>
      <c r="CQ253" s="218">
        <f t="shared" si="176"/>
        <v>0.15</v>
      </c>
    </row>
    <row r="254" spans="1:95" s="101" customFormat="1" ht="16.5" thickBot="1" x14ac:dyDescent="0.3">
      <c r="A254" s="99"/>
      <c r="V254" s="103"/>
      <c r="AA254" s="104"/>
      <c r="AB254" s="104"/>
      <c r="AD254" s="104"/>
      <c r="AE254" s="105"/>
      <c r="AH254" s="106"/>
      <c r="AI254" s="106"/>
      <c r="AK254" s="104"/>
      <c r="AR254" s="104"/>
      <c r="AV254" s="104"/>
      <c r="AX254" s="104"/>
      <c r="BB254" s="104"/>
      <c r="BC254" s="104"/>
      <c r="BE254" s="104"/>
      <c r="BH254" s="120"/>
      <c r="BI254" s="203" t="s">
        <v>435</v>
      </c>
      <c r="BJ254" s="190" t="s">
        <v>615</v>
      </c>
      <c r="BK254" s="196">
        <v>475.72</v>
      </c>
      <c r="BL254" s="190" t="s">
        <v>629</v>
      </c>
      <c r="BM254" s="189">
        <v>0.02</v>
      </c>
      <c r="BN254" s="189">
        <v>0.15</v>
      </c>
      <c r="BO254" s="188" t="s">
        <v>258</v>
      </c>
      <c r="BP254" s="178"/>
      <c r="BQ254" s="102"/>
      <c r="BR254" s="102"/>
      <c r="BS254" s="178"/>
      <c r="BT254" s="178"/>
      <c r="BU254" s="178"/>
      <c r="BV254" s="180"/>
      <c r="BW254" s="178"/>
      <c r="BX254" s="196"/>
      <c r="BY254" s="190"/>
      <c r="BZ254" s="180"/>
      <c r="CA254" s="180"/>
      <c r="CB254" s="180"/>
      <c r="CC254" s="178"/>
      <c r="CD254" s="178"/>
      <c r="CE254" s="180"/>
      <c r="CF254" s="180"/>
      <c r="CG254" s="180"/>
      <c r="CH254" s="180"/>
      <c r="CI254" s="178"/>
      <c r="CJ254" s="178"/>
      <c r="CK254" s="180"/>
      <c r="CL254" s="180"/>
      <c r="CM254" s="180"/>
      <c r="CN254" s="116"/>
      <c r="CO254" s="218">
        <f t="shared" si="174"/>
        <v>0.02</v>
      </c>
      <c r="CP254" s="100">
        <f t="shared" si="175"/>
        <v>8.4999999999999992E-2</v>
      </c>
      <c r="CQ254" s="218">
        <f t="shared" si="176"/>
        <v>0.15</v>
      </c>
    </row>
    <row r="255" spans="1:95" s="101" customFormat="1" ht="16.5" thickBot="1" x14ac:dyDescent="0.3">
      <c r="A255" s="99"/>
      <c r="V255" s="103"/>
      <c r="AA255" s="104"/>
      <c r="AB255" s="104"/>
      <c r="AD255" s="104"/>
      <c r="AE255" s="105"/>
      <c r="AH255" s="106"/>
      <c r="AI255" s="106"/>
      <c r="AK255" s="104"/>
      <c r="AR255" s="104"/>
      <c r="AV255" s="104"/>
      <c r="AX255" s="104"/>
      <c r="BB255" s="104"/>
      <c r="BC255" s="104"/>
      <c r="BE255" s="104"/>
      <c r="BH255" s="120"/>
      <c r="BI255" s="203" t="s">
        <v>439</v>
      </c>
      <c r="BJ255" s="203" t="s">
        <v>49</v>
      </c>
      <c r="BK255" s="196">
        <v>0.21</v>
      </c>
      <c r="BL255" s="190" t="s">
        <v>629</v>
      </c>
      <c r="BM255" s="189">
        <v>0.1</v>
      </c>
      <c r="BN255" s="189">
        <v>0.6</v>
      </c>
      <c r="BO255" s="188" t="s">
        <v>258</v>
      </c>
      <c r="BP255" s="178"/>
      <c r="BQ255" s="102"/>
      <c r="BR255" s="102"/>
      <c r="BS255" s="178"/>
      <c r="BT255" s="178"/>
      <c r="BU255" s="178"/>
      <c r="BV255" s="180"/>
      <c r="BW255" s="178"/>
      <c r="BX255" s="196"/>
      <c r="BY255" s="190"/>
      <c r="BZ255" s="180"/>
      <c r="CA255" s="180"/>
      <c r="CB255" s="180"/>
      <c r="CC255" s="178"/>
      <c r="CD255" s="178"/>
      <c r="CE255" s="180"/>
      <c r="CF255" s="180"/>
      <c r="CG255" s="180"/>
      <c r="CH255" s="180"/>
      <c r="CI255" s="178"/>
      <c r="CJ255" s="178"/>
      <c r="CK255" s="180"/>
      <c r="CL255" s="180"/>
      <c r="CM255" s="180"/>
      <c r="CN255" s="116"/>
      <c r="CO255" s="218">
        <f t="shared" si="174"/>
        <v>0.1</v>
      </c>
      <c r="CP255" s="100">
        <f t="shared" si="175"/>
        <v>0.35</v>
      </c>
      <c r="CQ255" s="218">
        <f t="shared" si="176"/>
        <v>0.6</v>
      </c>
    </row>
    <row r="256" spans="1:95" s="101" customFormat="1" ht="16.5" thickBot="1" x14ac:dyDescent="0.3">
      <c r="A256" s="99"/>
      <c r="V256" s="103"/>
      <c r="AA256" s="104"/>
      <c r="AB256" s="104"/>
      <c r="AD256" s="104"/>
      <c r="AE256" s="105"/>
      <c r="AH256" s="106"/>
      <c r="AI256" s="106"/>
      <c r="AK256" s="104"/>
      <c r="AR256" s="104"/>
      <c r="AV256" s="104"/>
      <c r="AX256" s="104"/>
      <c r="BB256" s="104"/>
      <c r="BC256" s="104"/>
      <c r="BE256" s="104"/>
      <c r="BH256" s="120"/>
      <c r="BI256" s="203" t="s">
        <v>577</v>
      </c>
      <c r="BJ256" s="203" t="s">
        <v>49</v>
      </c>
      <c r="BK256" s="196">
        <v>0.25</v>
      </c>
      <c r="BL256" s="190" t="s">
        <v>629</v>
      </c>
      <c r="BM256" s="189">
        <v>0.1</v>
      </c>
      <c r="BN256" s="189">
        <v>0.6</v>
      </c>
      <c r="BO256" s="188" t="s">
        <v>258</v>
      </c>
      <c r="BP256" s="178"/>
      <c r="BQ256" s="102"/>
      <c r="BR256" s="102"/>
      <c r="BS256" s="178"/>
      <c r="BT256" s="178"/>
      <c r="BU256" s="178"/>
      <c r="BV256" s="180"/>
      <c r="BW256" s="178"/>
      <c r="BX256" s="196"/>
      <c r="BY256" s="190"/>
      <c r="BZ256" s="180"/>
      <c r="CA256" s="180"/>
      <c r="CB256" s="180"/>
      <c r="CC256" s="178"/>
      <c r="CD256" s="178"/>
      <c r="CE256" s="180"/>
      <c r="CF256" s="180"/>
      <c r="CG256" s="180"/>
      <c r="CH256" s="180"/>
      <c r="CI256" s="178"/>
      <c r="CJ256" s="178"/>
      <c r="CK256" s="180"/>
      <c r="CL256" s="180"/>
      <c r="CM256" s="180"/>
      <c r="CN256" s="116"/>
      <c r="CO256" s="218">
        <f t="shared" si="174"/>
        <v>0.1</v>
      </c>
      <c r="CP256" s="100">
        <f t="shared" si="175"/>
        <v>0.35</v>
      </c>
      <c r="CQ256" s="218">
        <f t="shared" si="176"/>
        <v>0.6</v>
      </c>
    </row>
    <row r="257" spans="1:95" s="101" customFormat="1" ht="16.5" thickBot="1" x14ac:dyDescent="0.3">
      <c r="A257" s="99"/>
      <c r="V257" s="103"/>
      <c r="AA257" s="104"/>
      <c r="AB257" s="104"/>
      <c r="AD257" s="104"/>
      <c r="AE257" s="105"/>
      <c r="AH257" s="106"/>
      <c r="AI257" s="106"/>
      <c r="AK257" s="104"/>
      <c r="AR257" s="104"/>
      <c r="AV257" s="104"/>
      <c r="AX257" s="104"/>
      <c r="BB257" s="104"/>
      <c r="BC257" s="104"/>
      <c r="BE257" s="104"/>
      <c r="BH257" s="120"/>
      <c r="BI257" s="203" t="s">
        <v>441</v>
      </c>
      <c r="BJ257" s="203" t="s">
        <v>49</v>
      </c>
      <c r="BK257" s="196">
        <v>0.1</v>
      </c>
      <c r="BL257" s="190" t="s">
        <v>629</v>
      </c>
      <c r="BM257" s="189">
        <v>0.1</v>
      </c>
      <c r="BN257" s="189">
        <v>0.6</v>
      </c>
      <c r="BO257" s="188" t="s">
        <v>258</v>
      </c>
      <c r="BP257" s="178"/>
      <c r="BQ257" s="102"/>
      <c r="BR257" s="102"/>
      <c r="BS257" s="178"/>
      <c r="BT257" s="178"/>
      <c r="BU257" s="178"/>
      <c r="BV257" s="180"/>
      <c r="BW257" s="178"/>
      <c r="BX257" s="196"/>
      <c r="BY257" s="190"/>
      <c r="BZ257" s="180"/>
      <c r="CA257" s="180"/>
      <c r="CB257" s="180"/>
      <c r="CC257" s="178"/>
      <c r="CD257" s="178"/>
      <c r="CE257" s="180"/>
      <c r="CF257" s="180"/>
      <c r="CG257" s="180"/>
      <c r="CH257" s="180"/>
      <c r="CI257" s="178"/>
      <c r="CJ257" s="178"/>
      <c r="CK257" s="180"/>
      <c r="CL257" s="180"/>
      <c r="CM257" s="180"/>
      <c r="CN257" s="116"/>
      <c r="CO257" s="218">
        <f t="shared" si="174"/>
        <v>0.1</v>
      </c>
      <c r="CP257" s="100">
        <f t="shared" si="175"/>
        <v>0.35</v>
      </c>
      <c r="CQ257" s="218">
        <f t="shared" si="176"/>
        <v>0.6</v>
      </c>
    </row>
    <row r="258" spans="1:95" s="101" customFormat="1" ht="16.5" thickBot="1" x14ac:dyDescent="0.3">
      <c r="A258" s="99"/>
      <c r="V258" s="103"/>
      <c r="AA258" s="104"/>
      <c r="AB258" s="104"/>
      <c r="AD258" s="104"/>
      <c r="AE258" s="105"/>
      <c r="AH258" s="106"/>
      <c r="AI258" s="106"/>
      <c r="AK258" s="104"/>
      <c r="AR258" s="104"/>
      <c r="AV258" s="104"/>
      <c r="AX258" s="104"/>
      <c r="BB258" s="104"/>
      <c r="BC258" s="104"/>
      <c r="BE258" s="104"/>
      <c r="BH258" s="120"/>
      <c r="BI258" s="203" t="s">
        <v>442</v>
      </c>
      <c r="BJ258" s="203" t="s">
        <v>49</v>
      </c>
      <c r="BK258" s="196">
        <v>0.2</v>
      </c>
      <c r="BL258" s="190" t="s">
        <v>629</v>
      </c>
      <c r="BM258" s="189">
        <v>0.1</v>
      </c>
      <c r="BN258" s="189">
        <v>0.6</v>
      </c>
      <c r="BO258" s="188" t="s">
        <v>258</v>
      </c>
      <c r="BP258" s="178"/>
      <c r="BQ258" s="102"/>
      <c r="BR258" s="102"/>
      <c r="BS258" s="178"/>
      <c r="BT258" s="178"/>
      <c r="BU258" s="178"/>
      <c r="BV258" s="180"/>
      <c r="BW258" s="178"/>
      <c r="BX258" s="196"/>
      <c r="BY258" s="190"/>
      <c r="BZ258" s="180"/>
      <c r="CA258" s="180"/>
      <c r="CB258" s="180"/>
      <c r="CC258" s="178"/>
      <c r="CD258" s="178"/>
      <c r="CE258" s="180"/>
      <c r="CF258" s="180"/>
      <c r="CG258" s="180"/>
      <c r="CH258" s="180"/>
      <c r="CI258" s="178"/>
      <c r="CJ258" s="178"/>
      <c r="CK258" s="180"/>
      <c r="CL258" s="180"/>
      <c r="CM258" s="180"/>
      <c r="CN258" s="116"/>
      <c r="CO258" s="218">
        <f t="shared" si="174"/>
        <v>0.1</v>
      </c>
      <c r="CP258" s="100">
        <f t="shared" si="175"/>
        <v>0.35</v>
      </c>
      <c r="CQ258" s="218">
        <f t="shared" si="176"/>
        <v>0.6</v>
      </c>
    </row>
    <row r="259" spans="1:95" s="101" customFormat="1" ht="16.5" thickBot="1" x14ac:dyDescent="0.3">
      <c r="A259" s="99"/>
      <c r="V259" s="103"/>
      <c r="AA259" s="104"/>
      <c r="AB259" s="104"/>
      <c r="AD259" s="104"/>
      <c r="AE259" s="105"/>
      <c r="AH259" s="106"/>
      <c r="AI259" s="106"/>
      <c r="AK259" s="104"/>
      <c r="AR259" s="104"/>
      <c r="AV259" s="104"/>
      <c r="AX259" s="104"/>
      <c r="BB259" s="104"/>
      <c r="BC259" s="104"/>
      <c r="BE259" s="104"/>
      <c r="BH259" s="120"/>
      <c r="BI259" s="203" t="s">
        <v>440</v>
      </c>
      <c r="BJ259" s="203" t="s">
        <v>49</v>
      </c>
      <c r="BK259" s="196">
        <v>0.03</v>
      </c>
      <c r="BL259" s="190" t="s">
        <v>629</v>
      </c>
      <c r="BM259" s="189">
        <v>0.1</v>
      </c>
      <c r="BN259" s="189">
        <v>0.6</v>
      </c>
      <c r="BO259" s="188" t="s">
        <v>258</v>
      </c>
      <c r="BP259" s="178"/>
      <c r="BQ259" s="102"/>
      <c r="BR259" s="102"/>
      <c r="BS259" s="178"/>
      <c r="BT259" s="178"/>
      <c r="BU259" s="178"/>
      <c r="BV259" s="180"/>
      <c r="BW259" s="178"/>
      <c r="BX259" s="196"/>
      <c r="BY259" s="190"/>
      <c r="BZ259" s="180"/>
      <c r="CA259" s="180"/>
      <c r="CB259" s="180"/>
      <c r="CC259" s="178"/>
      <c r="CD259" s="178"/>
      <c r="CE259" s="180"/>
      <c r="CF259" s="180"/>
      <c r="CG259" s="180"/>
      <c r="CH259" s="180"/>
      <c r="CI259" s="178"/>
      <c r="CJ259" s="178"/>
      <c r="CK259" s="180"/>
      <c r="CL259" s="180"/>
      <c r="CM259" s="180"/>
      <c r="CN259" s="116"/>
      <c r="CO259" s="218">
        <f t="shared" si="174"/>
        <v>0.1</v>
      </c>
      <c r="CP259" s="100">
        <f t="shared" si="175"/>
        <v>0.35</v>
      </c>
      <c r="CQ259" s="218">
        <f t="shared" si="176"/>
        <v>0.6</v>
      </c>
    </row>
    <row r="260" spans="1:95" s="101" customFormat="1" ht="15.75" thickBot="1" x14ac:dyDescent="0.3">
      <c r="A260" s="99"/>
      <c r="V260" s="103"/>
      <c r="AA260" s="104"/>
      <c r="AB260" s="104"/>
      <c r="AD260" s="104"/>
      <c r="AE260" s="105"/>
      <c r="AH260" s="106"/>
      <c r="AI260" s="106"/>
      <c r="AK260" s="104"/>
      <c r="AR260" s="104"/>
      <c r="AV260" s="104"/>
      <c r="AX260" s="104"/>
      <c r="BB260" s="104"/>
      <c r="BC260" s="104"/>
      <c r="BE260" s="104"/>
      <c r="BH260" s="120"/>
      <c r="BI260" s="203" t="s">
        <v>15</v>
      </c>
      <c r="BJ260" s="190" t="s">
        <v>636</v>
      </c>
      <c r="BK260" s="196">
        <v>3273</v>
      </c>
      <c r="BL260" s="190" t="s">
        <v>630</v>
      </c>
      <c r="BM260" s="189">
        <v>0.02</v>
      </c>
      <c r="BN260" s="189">
        <v>0.05</v>
      </c>
      <c r="BO260" s="188" t="s">
        <v>258</v>
      </c>
      <c r="BP260" s="178"/>
      <c r="BQ260" s="102"/>
      <c r="BR260" s="102"/>
      <c r="BS260" s="178"/>
      <c r="BT260" s="178"/>
      <c r="BU260" s="178"/>
      <c r="BV260" s="180"/>
      <c r="BW260" s="178"/>
      <c r="BX260" s="196"/>
      <c r="BY260" s="190"/>
      <c r="BZ260" s="180"/>
      <c r="CA260" s="180"/>
      <c r="CB260" s="180"/>
      <c r="CC260" s="178"/>
      <c r="CD260" s="178"/>
      <c r="CE260" s="180"/>
      <c r="CF260" s="180"/>
      <c r="CG260" s="180"/>
      <c r="CH260" s="180"/>
      <c r="CI260" s="178"/>
      <c r="CJ260" s="178"/>
      <c r="CK260" s="180"/>
      <c r="CL260" s="180"/>
      <c r="CM260" s="180"/>
      <c r="CN260" s="116"/>
      <c r="CO260" s="218">
        <f t="shared" si="174"/>
        <v>0.02</v>
      </c>
      <c r="CP260" s="100">
        <f t="shared" si="175"/>
        <v>3.5000000000000003E-2</v>
      </c>
      <c r="CQ260" s="218">
        <f t="shared" si="176"/>
        <v>0.05</v>
      </c>
    </row>
    <row r="261" spans="1:95" s="101" customFormat="1" ht="26.25" thickBot="1" x14ac:dyDescent="0.3">
      <c r="A261" s="99"/>
      <c r="V261" s="103"/>
      <c r="AA261" s="104"/>
      <c r="AB261" s="104"/>
      <c r="AD261" s="104"/>
      <c r="AE261" s="105"/>
      <c r="AH261" s="106"/>
      <c r="AI261" s="106"/>
      <c r="AK261" s="104"/>
      <c r="AR261" s="104"/>
      <c r="AV261" s="104"/>
      <c r="AX261" s="104"/>
      <c r="BB261" s="104"/>
      <c r="BC261" s="104"/>
      <c r="BE261" s="104"/>
      <c r="BH261" s="120" t="s">
        <v>53</v>
      </c>
      <c r="BI261" s="203" t="s">
        <v>344</v>
      </c>
      <c r="BJ261" s="203" t="s">
        <v>615</v>
      </c>
      <c r="BK261" s="196">
        <f>(3.13757879682717*1000)</f>
        <v>3137.5787968271702</v>
      </c>
      <c r="BL261" s="190" t="s">
        <v>629</v>
      </c>
      <c r="BM261" s="189">
        <v>0.02</v>
      </c>
      <c r="BN261" s="189">
        <v>0.5</v>
      </c>
      <c r="BO261" s="188" t="s">
        <v>382</v>
      </c>
      <c r="BP261" s="178"/>
      <c r="BQ261" s="102"/>
      <c r="BR261" s="102"/>
      <c r="BS261" s="178"/>
      <c r="BT261" s="178"/>
      <c r="BU261" s="178"/>
      <c r="BV261" s="180"/>
      <c r="BW261" s="178"/>
      <c r="BX261" s="196"/>
      <c r="BY261" s="190"/>
      <c r="BZ261" s="180"/>
      <c r="CA261" s="180"/>
      <c r="CB261" s="180"/>
      <c r="CC261" s="178"/>
      <c r="CD261" s="178"/>
      <c r="CE261" s="180"/>
      <c r="CF261" s="180"/>
      <c r="CG261" s="180"/>
      <c r="CH261" s="180"/>
      <c r="CI261" s="178"/>
      <c r="CJ261" s="178"/>
      <c r="CK261" s="180"/>
      <c r="CL261" s="180"/>
      <c r="CM261" s="180"/>
      <c r="CN261" s="116"/>
      <c r="CO261" s="218">
        <f t="shared" si="174"/>
        <v>0.02</v>
      </c>
      <c r="CP261" s="100">
        <f t="shared" si="175"/>
        <v>0.26</v>
      </c>
      <c r="CQ261" s="218">
        <f t="shared" si="176"/>
        <v>0.5</v>
      </c>
    </row>
    <row r="262" spans="1:95" s="101" customFormat="1" ht="16.5" thickBot="1" x14ac:dyDescent="0.3">
      <c r="A262" s="99"/>
      <c r="V262" s="103"/>
      <c r="AA262" s="104"/>
      <c r="AB262" s="104"/>
      <c r="AD262" s="104"/>
      <c r="AE262" s="105"/>
      <c r="AH262" s="106"/>
      <c r="AI262" s="106"/>
      <c r="AK262" s="104"/>
      <c r="AR262" s="104"/>
      <c r="AV262" s="104"/>
      <c r="AX262" s="104"/>
      <c r="BB262" s="104"/>
      <c r="BC262" s="104"/>
      <c r="BE262" s="104"/>
      <c r="BH262" s="120" t="s">
        <v>53</v>
      </c>
      <c r="BI262" s="203" t="s">
        <v>495</v>
      </c>
      <c r="BJ262" s="203" t="s">
        <v>615</v>
      </c>
      <c r="BK262" s="196">
        <v>9</v>
      </c>
      <c r="BL262" s="190" t="s">
        <v>631</v>
      </c>
      <c r="BM262" s="189">
        <v>0.1</v>
      </c>
      <c r="BN262" s="189">
        <v>0.4</v>
      </c>
      <c r="BO262" s="188" t="s">
        <v>258</v>
      </c>
      <c r="BP262" s="178"/>
      <c r="BQ262" s="102"/>
      <c r="BR262" s="102"/>
      <c r="BS262" s="178"/>
      <c r="BT262" s="178"/>
      <c r="BU262" s="178"/>
      <c r="BV262" s="180"/>
      <c r="BW262" s="178"/>
      <c r="BX262" s="196">
        <v>1500</v>
      </c>
      <c r="BY262" s="190" t="s">
        <v>635</v>
      </c>
      <c r="BZ262" s="180"/>
      <c r="CA262" s="180"/>
      <c r="CB262" s="180"/>
      <c r="CC262" s="178"/>
      <c r="CD262" s="178"/>
      <c r="CE262" s="180"/>
      <c r="CF262" s="180"/>
      <c r="CG262" s="180"/>
      <c r="CH262" s="180"/>
      <c r="CI262" s="178"/>
      <c r="CJ262" s="178"/>
      <c r="CK262" s="180"/>
      <c r="CL262" s="180"/>
      <c r="CM262" s="180"/>
      <c r="CN262" s="116"/>
      <c r="CO262" s="218">
        <f t="shared" si="174"/>
        <v>0.1</v>
      </c>
      <c r="CP262" s="100">
        <f t="shared" si="175"/>
        <v>0.25</v>
      </c>
      <c r="CQ262" s="218">
        <f t="shared" si="176"/>
        <v>0.4</v>
      </c>
    </row>
    <row r="263" spans="1:95" s="101" customFormat="1" ht="16.5" thickBot="1" x14ac:dyDescent="0.3">
      <c r="A263" s="99"/>
      <c r="V263" s="103"/>
      <c r="AA263" s="104"/>
      <c r="AB263" s="104"/>
      <c r="AD263" s="104"/>
      <c r="AE263" s="105"/>
      <c r="AH263" s="106"/>
      <c r="AI263" s="106"/>
      <c r="AK263" s="104"/>
      <c r="AR263" s="104"/>
      <c r="AV263" s="104"/>
      <c r="AX263" s="104"/>
      <c r="BB263" s="104"/>
      <c r="BC263" s="104"/>
      <c r="BE263" s="104"/>
      <c r="BH263" s="120" t="s">
        <v>97</v>
      </c>
      <c r="BI263" s="203" t="s">
        <v>517</v>
      </c>
      <c r="BJ263" s="190" t="s">
        <v>428</v>
      </c>
      <c r="BK263" s="196">
        <f>0.25*0.1</f>
        <v>2.5000000000000001E-2</v>
      </c>
      <c r="BL263" s="190" t="s">
        <v>412</v>
      </c>
      <c r="BM263" s="189">
        <v>0.05</v>
      </c>
      <c r="BN263" s="189">
        <v>1.04</v>
      </c>
      <c r="BO263" s="188" t="s">
        <v>258</v>
      </c>
      <c r="BP263" s="178"/>
      <c r="BQ263" s="102"/>
      <c r="BR263" s="102"/>
      <c r="BS263" s="178"/>
      <c r="BT263" s="178"/>
      <c r="BU263" s="178"/>
      <c r="BV263" s="180"/>
      <c r="BW263" s="178"/>
      <c r="BX263" s="196">
        <f>0.25*0.9*25</f>
        <v>5.625</v>
      </c>
      <c r="BY263" s="190" t="s">
        <v>298</v>
      </c>
      <c r="BZ263" s="180"/>
      <c r="CA263" s="180"/>
      <c r="CB263" s="180"/>
      <c r="CC263" s="178"/>
      <c r="CD263" s="178"/>
      <c r="CE263" s="180"/>
      <c r="CF263" s="180"/>
      <c r="CG263" s="180"/>
      <c r="CH263" s="180"/>
      <c r="CI263" s="178"/>
      <c r="CJ263" s="178"/>
      <c r="CK263" s="180"/>
      <c r="CL263" s="180"/>
      <c r="CM263" s="180"/>
      <c r="CN263" s="116"/>
      <c r="CO263" s="218">
        <f t="shared" si="174"/>
        <v>0.05</v>
      </c>
      <c r="CP263" s="100">
        <f t="shared" si="175"/>
        <v>0.54500000000000004</v>
      </c>
      <c r="CQ263" s="218">
        <f t="shared" si="176"/>
        <v>1.04</v>
      </c>
    </row>
    <row r="264" spans="1:95" s="101" customFormat="1" ht="16.5" thickBot="1" x14ac:dyDescent="0.3">
      <c r="A264" s="99"/>
      <c r="V264" s="103"/>
      <c r="AA264" s="104"/>
      <c r="AB264" s="104"/>
      <c r="AD264" s="104"/>
      <c r="AE264" s="105"/>
      <c r="AH264" s="106"/>
      <c r="AI264" s="106"/>
      <c r="AK264" s="104"/>
      <c r="AR264" s="104"/>
      <c r="AV264" s="104"/>
      <c r="AX264" s="104"/>
      <c r="BB264" s="104"/>
      <c r="BC264" s="104"/>
      <c r="BF264" s="219">
        <f t="shared" ref="BF264:BF279" si="177">BK264*25</f>
        <v>0</v>
      </c>
      <c r="BH264" s="120"/>
      <c r="BI264" s="203" t="s">
        <v>516</v>
      </c>
      <c r="BJ264" s="190" t="s">
        <v>428</v>
      </c>
      <c r="BK264" s="196">
        <f>0*0.25</f>
        <v>0</v>
      </c>
      <c r="BL264" s="190" t="s">
        <v>412</v>
      </c>
      <c r="BM264" s="189">
        <v>0.05</v>
      </c>
      <c r="BN264" s="189">
        <v>1</v>
      </c>
      <c r="BO264" s="188" t="s">
        <v>258</v>
      </c>
      <c r="BP264" s="178"/>
      <c r="BQ264" s="102"/>
      <c r="BR264" s="102"/>
      <c r="BS264" s="178"/>
      <c r="BT264" s="178"/>
      <c r="BU264" s="178"/>
      <c r="BV264" s="180"/>
      <c r="BW264" s="178"/>
      <c r="BX264" s="196"/>
      <c r="BY264" s="190"/>
      <c r="BZ264" s="180"/>
      <c r="CA264" s="180"/>
      <c r="CB264" s="180"/>
      <c r="CC264" s="178"/>
      <c r="CD264" s="178"/>
      <c r="CE264" s="180"/>
      <c r="CF264" s="180"/>
      <c r="CG264" s="180"/>
      <c r="CH264" s="180"/>
      <c r="CI264" s="178"/>
      <c r="CJ264" s="178"/>
      <c r="CK264" s="180"/>
      <c r="CL264" s="180"/>
      <c r="CM264" s="180"/>
      <c r="CN264" s="116"/>
      <c r="CO264" s="218">
        <f t="shared" si="174"/>
        <v>0.05</v>
      </c>
      <c r="CP264" s="100">
        <f t="shared" si="175"/>
        <v>0.52500000000000002</v>
      </c>
      <c r="CQ264" s="218">
        <f t="shared" si="176"/>
        <v>1</v>
      </c>
    </row>
    <row r="265" spans="1:95" s="101" customFormat="1" ht="16.5" thickBot="1" x14ac:dyDescent="0.3">
      <c r="A265" s="99"/>
      <c r="V265" s="103"/>
      <c r="AA265" s="104"/>
      <c r="AB265" s="104"/>
      <c r="AD265" s="104"/>
      <c r="AE265" s="105"/>
      <c r="AH265" s="106"/>
      <c r="AI265" s="106"/>
      <c r="AK265" s="104"/>
      <c r="AR265" s="104"/>
      <c r="AV265" s="104"/>
      <c r="AX265" s="104"/>
      <c r="BB265" s="104"/>
      <c r="BC265" s="104"/>
      <c r="BF265" s="219">
        <f t="shared" si="177"/>
        <v>1.875</v>
      </c>
      <c r="BH265" s="120"/>
      <c r="BI265" s="203" t="s">
        <v>518</v>
      </c>
      <c r="BJ265" s="190" t="s">
        <v>428</v>
      </c>
      <c r="BK265" s="196">
        <f>0.25*0.3</f>
        <v>7.4999999999999997E-2</v>
      </c>
      <c r="BL265" s="190" t="s">
        <v>412</v>
      </c>
      <c r="BM265" s="189">
        <f>0.2/0.3</f>
        <v>0.66666666666666674</v>
      </c>
      <c r="BN265" s="189">
        <f>0.4/0.3</f>
        <v>1.3333333333333335</v>
      </c>
      <c r="BO265" s="188" t="s">
        <v>258</v>
      </c>
      <c r="BP265" s="178"/>
      <c r="BQ265" s="102"/>
      <c r="BR265" s="102"/>
      <c r="BS265" s="178"/>
      <c r="BT265" s="178"/>
      <c r="BU265" s="178"/>
      <c r="BV265" s="180"/>
      <c r="BW265" s="178"/>
      <c r="BX265" s="196"/>
      <c r="BY265" s="190"/>
      <c r="BZ265" s="180"/>
      <c r="CA265" s="180"/>
      <c r="CB265" s="180"/>
      <c r="CC265" s="178"/>
      <c r="CD265" s="178"/>
      <c r="CE265" s="180"/>
      <c r="CF265" s="180"/>
      <c r="CG265" s="180"/>
      <c r="CH265" s="180"/>
      <c r="CI265" s="178"/>
      <c r="CJ265" s="178"/>
      <c r="CK265" s="180"/>
      <c r="CL265" s="180"/>
      <c r="CM265" s="180"/>
      <c r="CN265" s="116"/>
      <c r="CO265" s="218">
        <f t="shared" si="174"/>
        <v>0.66666666666666674</v>
      </c>
      <c r="CP265" s="100">
        <f t="shared" si="175"/>
        <v>1</v>
      </c>
      <c r="CQ265" s="218">
        <f t="shared" si="176"/>
        <v>1.3333333333333335</v>
      </c>
    </row>
    <row r="266" spans="1:95" s="101" customFormat="1" ht="16.5" thickBot="1" x14ac:dyDescent="0.3">
      <c r="A266" s="99"/>
      <c r="V266" s="103"/>
      <c r="AA266" s="104"/>
      <c r="AB266" s="104"/>
      <c r="AD266" s="104"/>
      <c r="AE266" s="105"/>
      <c r="AH266" s="106"/>
      <c r="AI266" s="106"/>
      <c r="AK266" s="104"/>
      <c r="AR266" s="104"/>
      <c r="AV266" s="104"/>
      <c r="AX266" s="104"/>
      <c r="BB266" s="104"/>
      <c r="BC266" s="104"/>
      <c r="BF266" s="219">
        <f t="shared" si="177"/>
        <v>5</v>
      </c>
      <c r="BG266" s="100">
        <f>0.4*21</f>
        <v>8.4</v>
      </c>
      <c r="BH266" s="120"/>
      <c r="BI266" s="203" t="s">
        <v>519</v>
      </c>
      <c r="BJ266" s="190" t="s">
        <v>428</v>
      </c>
      <c r="BK266" s="196">
        <f>0.25*0.8</f>
        <v>0.2</v>
      </c>
      <c r="BL266" s="190" t="s">
        <v>412</v>
      </c>
      <c r="BM266" s="189">
        <f>0.8/0.8</f>
        <v>1</v>
      </c>
      <c r="BN266" s="189">
        <f>1/0.8</f>
        <v>1.25</v>
      </c>
      <c r="BO266" s="188" t="s">
        <v>258</v>
      </c>
      <c r="BP266" s="178"/>
      <c r="BQ266" s="102"/>
      <c r="BR266" s="102"/>
      <c r="BS266" s="178"/>
      <c r="BT266" s="178"/>
      <c r="BU266" s="178"/>
      <c r="BV266" s="180"/>
      <c r="BW266" s="178"/>
      <c r="BX266" s="196"/>
      <c r="BY266" s="190"/>
      <c r="BZ266" s="180"/>
      <c r="CA266" s="180"/>
      <c r="CB266" s="180"/>
      <c r="CC266" s="178"/>
      <c r="CD266" s="178"/>
      <c r="CE266" s="180"/>
      <c r="CF266" s="180"/>
      <c r="CG266" s="180"/>
      <c r="CH266" s="180"/>
      <c r="CI266" s="178"/>
      <c r="CJ266" s="178"/>
      <c r="CK266" s="180"/>
      <c r="CL266" s="180"/>
      <c r="CM266" s="180"/>
      <c r="CN266" s="116"/>
      <c r="CO266" s="218">
        <f t="shared" si="174"/>
        <v>1</v>
      </c>
      <c r="CP266" s="100">
        <f t="shared" si="175"/>
        <v>1.125</v>
      </c>
      <c r="CQ266" s="218">
        <f t="shared" si="176"/>
        <v>1.25</v>
      </c>
    </row>
    <row r="267" spans="1:95" s="101" customFormat="1" ht="16.5" thickBot="1" x14ac:dyDescent="0.3">
      <c r="A267" s="99"/>
      <c r="V267" s="103"/>
      <c r="AA267" s="104"/>
      <c r="AB267" s="104"/>
      <c r="AD267" s="104"/>
      <c r="AE267" s="105"/>
      <c r="AH267" s="106"/>
      <c r="AI267" s="106"/>
      <c r="AK267" s="104"/>
      <c r="AR267" s="104"/>
      <c r="AV267" s="104"/>
      <c r="AX267" s="104"/>
      <c r="BB267" s="104"/>
      <c r="BC267" s="104"/>
      <c r="BF267" s="219">
        <f t="shared" si="177"/>
        <v>5</v>
      </c>
      <c r="BH267" s="120"/>
      <c r="BI267" s="203" t="s">
        <v>520</v>
      </c>
      <c r="BJ267" s="190" t="s">
        <v>428</v>
      </c>
      <c r="BK267" s="196">
        <f>0.25*0.8</f>
        <v>0.2</v>
      </c>
      <c r="BL267" s="190" t="s">
        <v>412</v>
      </c>
      <c r="BM267" s="189">
        <f>0.8/0.8</f>
        <v>1</v>
      </c>
      <c r="BN267" s="189">
        <f>1/0.8</f>
        <v>1.25</v>
      </c>
      <c r="BO267" s="188" t="s">
        <v>258</v>
      </c>
      <c r="BP267" s="178"/>
      <c r="BQ267" s="102"/>
      <c r="BR267" s="102"/>
      <c r="BS267" s="178"/>
      <c r="BT267" s="178"/>
      <c r="BU267" s="178"/>
      <c r="BV267" s="180"/>
      <c r="BW267" s="178"/>
      <c r="BX267" s="196"/>
      <c r="BY267" s="190"/>
      <c r="BZ267" s="180"/>
      <c r="CA267" s="180"/>
      <c r="CB267" s="180"/>
      <c r="CC267" s="178"/>
      <c r="CD267" s="178"/>
      <c r="CE267" s="180"/>
      <c r="CF267" s="180"/>
      <c r="CG267" s="180"/>
      <c r="CH267" s="180"/>
      <c r="CI267" s="178"/>
      <c r="CJ267" s="178"/>
      <c r="CK267" s="180"/>
      <c r="CL267" s="180"/>
      <c r="CM267" s="180"/>
      <c r="CN267" s="116"/>
      <c r="CO267" s="218">
        <f t="shared" si="174"/>
        <v>1</v>
      </c>
      <c r="CP267" s="100">
        <f t="shared" si="175"/>
        <v>1.125</v>
      </c>
      <c r="CQ267" s="218">
        <f t="shared" si="176"/>
        <v>1.25</v>
      </c>
    </row>
    <row r="268" spans="1:95" s="101" customFormat="1" ht="16.5" thickBot="1" x14ac:dyDescent="0.3">
      <c r="A268" s="99"/>
      <c r="V268" s="103"/>
      <c r="AA268" s="104"/>
      <c r="AB268" s="104"/>
      <c r="AD268" s="104"/>
      <c r="AE268" s="105"/>
      <c r="AH268" s="106"/>
      <c r="AI268" s="106"/>
      <c r="AK268" s="104"/>
      <c r="AR268" s="104"/>
      <c r="AU268" s="233"/>
      <c r="AV268" s="104"/>
      <c r="AX268" s="104"/>
      <c r="BB268" s="104"/>
      <c r="BC268" s="104"/>
      <c r="BF268" s="219">
        <f t="shared" si="177"/>
        <v>1.25</v>
      </c>
      <c r="BH268" s="120"/>
      <c r="BI268" s="203" t="s">
        <v>521</v>
      </c>
      <c r="BJ268" s="190" t="s">
        <v>428</v>
      </c>
      <c r="BK268" s="196">
        <f>0.25*0.2</f>
        <v>0.05</v>
      </c>
      <c r="BL268" s="190" t="s">
        <v>412</v>
      </c>
      <c r="BM268" s="189">
        <f>0/0.2</f>
        <v>0</v>
      </c>
      <c r="BN268" s="189">
        <f>0.3/0.2</f>
        <v>1.4999999999999998</v>
      </c>
      <c r="BO268" s="188" t="s">
        <v>258</v>
      </c>
      <c r="BP268" s="178"/>
      <c r="BQ268" s="102"/>
      <c r="BR268" s="102"/>
      <c r="BS268" s="178"/>
      <c r="BT268" s="178"/>
      <c r="BU268" s="178"/>
      <c r="BV268" s="180"/>
      <c r="BW268" s="178"/>
      <c r="BX268" s="196"/>
      <c r="BY268" s="190"/>
      <c r="BZ268" s="180"/>
      <c r="CA268" s="180"/>
      <c r="CB268" s="180"/>
      <c r="CC268" s="178"/>
      <c r="CD268" s="178"/>
      <c r="CE268" s="180"/>
      <c r="CF268" s="180"/>
      <c r="CG268" s="180"/>
      <c r="CH268" s="180"/>
      <c r="CI268" s="178"/>
      <c r="CJ268" s="178"/>
      <c r="CK268" s="180"/>
      <c r="CL268" s="180"/>
      <c r="CM268" s="180"/>
      <c r="CN268" s="116"/>
      <c r="CO268" s="218">
        <f t="shared" si="174"/>
        <v>0</v>
      </c>
      <c r="CP268" s="100">
        <f t="shared" si="175"/>
        <v>0.74999999999999989</v>
      </c>
      <c r="CQ268" s="218">
        <f t="shared" si="176"/>
        <v>1.4999999999999998</v>
      </c>
    </row>
    <row r="269" spans="1:95" s="101" customFormat="1" ht="16.5" thickBot="1" x14ac:dyDescent="0.3">
      <c r="A269" s="99"/>
      <c r="V269" s="103"/>
      <c r="AA269" s="104"/>
      <c r="AB269" s="104"/>
      <c r="AD269" s="104"/>
      <c r="AE269" s="105"/>
      <c r="AH269" s="106"/>
      <c r="AI269" s="106"/>
      <c r="AK269" s="104"/>
      <c r="AR269" s="104"/>
      <c r="AV269" s="104"/>
      <c r="AX269" s="104"/>
      <c r="BB269" s="104"/>
      <c r="BC269" s="104"/>
      <c r="BF269" s="219">
        <f t="shared" si="177"/>
        <v>5</v>
      </c>
      <c r="BH269" s="120"/>
      <c r="BI269" s="203" t="s">
        <v>522</v>
      </c>
      <c r="BJ269" s="190" t="s">
        <v>428</v>
      </c>
      <c r="BK269" s="196">
        <f>0.25*0.8</f>
        <v>0.2</v>
      </c>
      <c r="BL269" s="190" t="s">
        <v>412</v>
      </c>
      <c r="BM269" s="189">
        <f>0.8/0.8</f>
        <v>1</v>
      </c>
      <c r="BN269" s="189">
        <f>1/0.8</f>
        <v>1.25</v>
      </c>
      <c r="BO269" s="188" t="s">
        <v>258</v>
      </c>
      <c r="BP269" s="178"/>
      <c r="BQ269" s="102"/>
      <c r="BR269" s="102"/>
      <c r="BS269" s="178"/>
      <c r="BT269" s="178"/>
      <c r="BU269" s="178"/>
      <c r="BV269" s="180"/>
      <c r="BW269" s="178"/>
      <c r="BX269" s="196"/>
      <c r="BY269" s="190"/>
      <c r="BZ269" s="180"/>
      <c r="CA269" s="180"/>
      <c r="CB269" s="180"/>
      <c r="CC269" s="178"/>
      <c r="CD269" s="178"/>
      <c r="CE269" s="180"/>
      <c r="CF269" s="180"/>
      <c r="CG269" s="180"/>
      <c r="CH269" s="180"/>
      <c r="CI269" s="178"/>
      <c r="CJ269" s="178"/>
      <c r="CK269" s="180"/>
      <c r="CL269" s="180"/>
      <c r="CM269" s="180"/>
      <c r="CN269" s="116"/>
      <c r="CO269" s="218">
        <f t="shared" si="174"/>
        <v>1</v>
      </c>
      <c r="CP269" s="100">
        <f t="shared" si="175"/>
        <v>1.125</v>
      </c>
      <c r="CQ269" s="218">
        <f t="shared" si="176"/>
        <v>1.25</v>
      </c>
    </row>
    <row r="270" spans="1:95" s="101" customFormat="1" ht="16.5" thickBot="1" x14ac:dyDescent="0.3">
      <c r="A270" s="99"/>
      <c r="V270" s="103"/>
      <c r="AA270" s="104"/>
      <c r="AB270" s="104"/>
      <c r="AD270" s="104"/>
      <c r="AE270" s="105"/>
      <c r="AH270" s="106"/>
      <c r="AI270" s="106"/>
      <c r="AK270" s="104"/>
      <c r="AR270" s="104"/>
      <c r="AV270" s="104"/>
      <c r="AX270" s="104"/>
      <c r="BB270" s="104"/>
      <c r="BC270" s="104"/>
      <c r="BF270" s="219">
        <f t="shared" si="177"/>
        <v>1.5</v>
      </c>
      <c r="BH270" s="120"/>
      <c r="BI270" s="203" t="s">
        <v>578</v>
      </c>
      <c r="BJ270" s="190" t="s">
        <v>569</v>
      </c>
      <c r="BK270" s="196">
        <v>0.06</v>
      </c>
      <c r="BL270" s="190" t="s">
        <v>568</v>
      </c>
      <c r="BM270" s="189">
        <v>0.57999999999999996</v>
      </c>
      <c r="BN270" s="189">
        <v>1.04</v>
      </c>
      <c r="BO270" s="188" t="s">
        <v>258</v>
      </c>
      <c r="BP270" s="178"/>
      <c r="BQ270" s="102"/>
      <c r="BR270" s="102"/>
      <c r="BS270" s="178"/>
      <c r="BT270" s="178"/>
      <c r="BU270" s="178"/>
      <c r="BV270" s="180"/>
      <c r="BW270" s="178"/>
      <c r="BX270" s="196"/>
      <c r="BY270" s="190"/>
      <c r="BZ270" s="180"/>
      <c r="CA270" s="180"/>
      <c r="CB270" s="180"/>
      <c r="CC270" s="178"/>
      <c r="CD270" s="178"/>
      <c r="CE270" s="180"/>
      <c r="CF270" s="180"/>
      <c r="CG270" s="180"/>
      <c r="CH270" s="180"/>
      <c r="CI270" s="178"/>
      <c r="CJ270" s="178"/>
      <c r="CK270" s="180"/>
      <c r="CL270" s="180"/>
      <c r="CM270" s="180"/>
      <c r="CN270" s="116"/>
      <c r="CO270" s="218">
        <f t="shared" si="174"/>
        <v>0.57999999999999996</v>
      </c>
      <c r="CP270" s="100">
        <f t="shared" si="175"/>
        <v>0.81</v>
      </c>
      <c r="CQ270" s="218">
        <f t="shared" si="176"/>
        <v>1.04</v>
      </c>
    </row>
    <row r="271" spans="1:95" s="101" customFormat="1" ht="16.5" thickBot="1" x14ac:dyDescent="0.3">
      <c r="A271" s="99"/>
      <c r="V271" s="103"/>
      <c r="AA271" s="104"/>
      <c r="AB271" s="104"/>
      <c r="AD271" s="104"/>
      <c r="AE271" s="105"/>
      <c r="AH271" s="106"/>
      <c r="AI271" s="106"/>
      <c r="AK271" s="104"/>
      <c r="AR271" s="104"/>
      <c r="AV271" s="104"/>
      <c r="AX271" s="104"/>
      <c r="BB271" s="104"/>
      <c r="BC271" s="104"/>
      <c r="BF271" s="219">
        <f t="shared" si="177"/>
        <v>7.5</v>
      </c>
      <c r="BH271" s="120"/>
      <c r="BI271" s="203" t="s">
        <v>579</v>
      </c>
      <c r="BJ271" s="190" t="s">
        <v>569</v>
      </c>
      <c r="BK271" s="196">
        <v>0.3</v>
      </c>
      <c r="BL271" s="190" t="s">
        <v>568</v>
      </c>
      <c r="BM271" s="189">
        <v>0.57999999999999996</v>
      </c>
      <c r="BN271" s="189">
        <f>0.4/0.3</f>
        <v>1.3333333333333335</v>
      </c>
      <c r="BO271" s="188" t="s">
        <v>258</v>
      </c>
      <c r="BP271" s="178"/>
      <c r="BQ271" s="102"/>
      <c r="BR271" s="102"/>
      <c r="BS271" s="178"/>
      <c r="BT271" s="178"/>
      <c r="BU271" s="178"/>
      <c r="BV271" s="180"/>
      <c r="BW271" s="178"/>
      <c r="BX271" s="196"/>
      <c r="BY271" s="190"/>
      <c r="BZ271" s="180"/>
      <c r="CA271" s="180"/>
      <c r="CB271" s="180"/>
      <c r="CC271" s="178"/>
      <c r="CD271" s="178"/>
      <c r="CE271" s="180"/>
      <c r="CF271" s="180"/>
      <c r="CG271" s="180"/>
      <c r="CH271" s="180"/>
      <c r="CI271" s="178"/>
      <c r="CJ271" s="178"/>
      <c r="CK271" s="180"/>
      <c r="CL271" s="180"/>
      <c r="CM271" s="180"/>
      <c r="CN271" s="116"/>
      <c r="CO271" s="218">
        <f t="shared" si="174"/>
        <v>0.57999999999999996</v>
      </c>
      <c r="CP271" s="100">
        <f t="shared" si="175"/>
        <v>0.95666666666666678</v>
      </c>
      <c r="CQ271" s="218">
        <f t="shared" si="176"/>
        <v>1.3333333333333335</v>
      </c>
    </row>
    <row r="272" spans="1:95" s="101" customFormat="1" ht="26.25" thickBot="1" x14ac:dyDescent="0.3">
      <c r="A272" s="99"/>
      <c r="V272" s="103"/>
      <c r="AA272" s="104"/>
      <c r="AB272" s="104"/>
      <c r="AD272" s="104"/>
      <c r="AE272" s="105"/>
      <c r="AH272" s="106"/>
      <c r="AI272" s="106"/>
      <c r="AK272" s="104"/>
      <c r="AR272" s="104"/>
      <c r="AV272" s="104"/>
      <c r="AX272" s="104"/>
      <c r="BB272" s="104"/>
      <c r="BC272" s="104"/>
      <c r="BF272" s="219">
        <f t="shared" si="177"/>
        <v>0</v>
      </c>
      <c r="BG272" s="100">
        <f>0.4*21</f>
        <v>8.4</v>
      </c>
      <c r="BH272" s="120"/>
      <c r="BI272" s="203" t="s">
        <v>580</v>
      </c>
      <c r="BJ272" s="190" t="s">
        <v>569</v>
      </c>
      <c r="BK272" s="196">
        <v>0</v>
      </c>
      <c r="BL272" s="190" t="s">
        <v>568</v>
      </c>
      <c r="BM272" s="189">
        <f>0.8/0.8</f>
        <v>1</v>
      </c>
      <c r="BN272" s="189">
        <f>1/0.8</f>
        <v>1.25</v>
      </c>
      <c r="BO272" s="188" t="s">
        <v>258</v>
      </c>
      <c r="BP272" s="178"/>
      <c r="BQ272" s="102"/>
      <c r="BR272" s="102"/>
      <c r="BS272" s="178"/>
      <c r="BT272" s="178"/>
      <c r="BU272" s="178"/>
      <c r="BV272" s="180"/>
      <c r="BW272" s="178"/>
      <c r="BX272" s="196"/>
      <c r="BY272" s="190"/>
      <c r="BZ272" s="180"/>
      <c r="CA272" s="180"/>
      <c r="CB272" s="180"/>
      <c r="CC272" s="178"/>
      <c r="CD272" s="178"/>
      <c r="CE272" s="180"/>
      <c r="CF272" s="180"/>
      <c r="CG272" s="180"/>
      <c r="CH272" s="180"/>
      <c r="CI272" s="178"/>
      <c r="CJ272" s="178"/>
      <c r="CK272" s="180"/>
      <c r="CL272" s="180"/>
      <c r="CM272" s="180"/>
      <c r="CN272" s="116"/>
      <c r="CO272" s="218">
        <f t="shared" si="174"/>
        <v>1</v>
      </c>
      <c r="CP272" s="100">
        <f t="shared" si="175"/>
        <v>1.125</v>
      </c>
      <c r="CQ272" s="218">
        <f t="shared" si="176"/>
        <v>1.25</v>
      </c>
    </row>
    <row r="273" spans="1:95" s="101" customFormat="1" ht="16.5" thickBot="1" x14ac:dyDescent="0.3">
      <c r="A273" s="99"/>
      <c r="V273" s="103"/>
      <c r="AA273" s="104"/>
      <c r="AB273" s="104"/>
      <c r="AD273" s="104"/>
      <c r="AE273" s="105"/>
      <c r="AH273" s="106"/>
      <c r="AI273" s="106"/>
      <c r="AK273" s="104"/>
      <c r="AR273" s="104"/>
      <c r="AV273" s="104"/>
      <c r="AX273" s="104"/>
      <c r="BB273" s="104"/>
      <c r="BC273" s="104"/>
      <c r="BF273" s="219">
        <f t="shared" si="177"/>
        <v>0</v>
      </c>
      <c r="BH273" s="120"/>
      <c r="BI273" s="203" t="s">
        <v>581</v>
      </c>
      <c r="BJ273" s="190" t="s">
        <v>569</v>
      </c>
      <c r="BK273" s="196">
        <v>0</v>
      </c>
      <c r="BL273" s="190" t="s">
        <v>568</v>
      </c>
      <c r="BM273" s="189">
        <f>0.8/0.8</f>
        <v>1</v>
      </c>
      <c r="BN273" s="189">
        <f>1/0.8</f>
        <v>1.25</v>
      </c>
      <c r="BO273" s="188" t="s">
        <v>258</v>
      </c>
      <c r="BP273" s="178"/>
      <c r="BQ273" s="102"/>
      <c r="BR273" s="102"/>
      <c r="BS273" s="178"/>
      <c r="BT273" s="178"/>
      <c r="BU273" s="178"/>
      <c r="BV273" s="180"/>
      <c r="BW273" s="178"/>
      <c r="BX273" s="196"/>
      <c r="BY273" s="190"/>
      <c r="BZ273" s="180"/>
      <c r="CA273" s="180"/>
      <c r="CB273" s="180"/>
      <c r="CC273" s="178"/>
      <c r="CD273" s="178"/>
      <c r="CE273" s="180"/>
      <c r="CF273" s="180"/>
      <c r="CG273" s="180"/>
      <c r="CH273" s="180"/>
      <c r="CI273" s="178"/>
      <c r="CJ273" s="178"/>
      <c r="CK273" s="180"/>
      <c r="CL273" s="180"/>
      <c r="CM273" s="180"/>
      <c r="CN273" s="116"/>
      <c r="CO273" s="218">
        <f t="shared" si="174"/>
        <v>1</v>
      </c>
      <c r="CP273" s="100">
        <f t="shared" si="175"/>
        <v>1.125</v>
      </c>
      <c r="CQ273" s="218">
        <f t="shared" si="176"/>
        <v>1.25</v>
      </c>
    </row>
    <row r="274" spans="1:95" s="101" customFormat="1" ht="16.5" thickBot="1" x14ac:dyDescent="0.3">
      <c r="A274" s="99"/>
      <c r="V274" s="103"/>
      <c r="AA274" s="104"/>
      <c r="AB274" s="104"/>
      <c r="AD274" s="104"/>
      <c r="AE274" s="105"/>
      <c r="AH274" s="106"/>
      <c r="AI274" s="106"/>
      <c r="AK274" s="104"/>
      <c r="AR274" s="104"/>
      <c r="AU274" s="233"/>
      <c r="AV274" s="104"/>
      <c r="AX274" s="104"/>
      <c r="BB274" s="104"/>
      <c r="BC274" s="104"/>
      <c r="BF274" s="219">
        <f t="shared" si="177"/>
        <v>4.5</v>
      </c>
      <c r="BH274" s="120"/>
      <c r="BI274" s="203" t="s">
        <v>582</v>
      </c>
      <c r="BJ274" s="190" t="s">
        <v>569</v>
      </c>
      <c r="BK274" s="196">
        <v>0.18</v>
      </c>
      <c r="BL274" s="190" t="s">
        <v>568</v>
      </c>
      <c r="BM274" s="189">
        <v>0.42</v>
      </c>
      <c r="BN274" s="189">
        <f>0.3/0.2</f>
        <v>1.4999999999999998</v>
      </c>
      <c r="BO274" s="188" t="s">
        <v>258</v>
      </c>
      <c r="BP274" s="178"/>
      <c r="BQ274" s="102"/>
      <c r="BR274" s="102"/>
      <c r="BS274" s="178"/>
      <c r="BT274" s="178"/>
      <c r="BU274" s="178"/>
      <c r="BV274" s="180"/>
      <c r="BW274" s="178"/>
      <c r="BX274" s="196"/>
      <c r="BY274" s="190"/>
      <c r="BZ274" s="180"/>
      <c r="CA274" s="180"/>
      <c r="CB274" s="180"/>
      <c r="CC274" s="178"/>
      <c r="CD274" s="178"/>
      <c r="CE274" s="180"/>
      <c r="CF274" s="180"/>
      <c r="CG274" s="180"/>
      <c r="CH274" s="180"/>
      <c r="CI274" s="178"/>
      <c r="CJ274" s="178"/>
      <c r="CK274" s="180"/>
      <c r="CL274" s="180"/>
      <c r="CM274" s="180"/>
      <c r="CN274" s="116"/>
      <c r="CO274" s="218">
        <f t="shared" si="174"/>
        <v>0.42</v>
      </c>
      <c r="CP274" s="100">
        <f t="shared" si="175"/>
        <v>0.95999999999999985</v>
      </c>
      <c r="CQ274" s="218">
        <f t="shared" si="176"/>
        <v>1.4999999999999998</v>
      </c>
    </row>
    <row r="275" spans="1:95" s="101" customFormat="1" ht="16.5" thickBot="1" x14ac:dyDescent="0.3">
      <c r="A275" s="99"/>
      <c r="V275" s="103"/>
      <c r="AA275" s="104"/>
      <c r="AB275" s="104"/>
      <c r="AD275" s="104"/>
      <c r="AE275" s="105"/>
      <c r="AH275" s="106"/>
      <c r="AI275" s="106"/>
      <c r="AK275" s="104"/>
      <c r="AR275" s="104"/>
      <c r="AV275" s="104"/>
      <c r="AX275" s="104"/>
      <c r="BB275" s="104"/>
      <c r="BC275" s="104"/>
      <c r="BF275" s="219">
        <f t="shared" si="177"/>
        <v>12</v>
      </c>
      <c r="BH275" s="120"/>
      <c r="BI275" s="203" t="s">
        <v>583</v>
      </c>
      <c r="BJ275" s="190" t="s">
        <v>569</v>
      </c>
      <c r="BK275" s="196">
        <v>0.48</v>
      </c>
      <c r="BL275" s="190" t="s">
        <v>568</v>
      </c>
      <c r="BM275" s="189">
        <v>0.32</v>
      </c>
      <c r="BN275" s="189">
        <f>0.4/0.3</f>
        <v>1.3333333333333335</v>
      </c>
      <c r="BO275" s="188" t="s">
        <v>258</v>
      </c>
      <c r="BP275" s="178"/>
      <c r="BQ275" s="102"/>
      <c r="BR275" s="102"/>
      <c r="BS275" s="178"/>
      <c r="BT275" s="178"/>
      <c r="BU275" s="178"/>
      <c r="BV275" s="180"/>
      <c r="BW275" s="178"/>
      <c r="BX275" s="196"/>
      <c r="BY275" s="190"/>
      <c r="BZ275" s="180"/>
      <c r="CA275" s="180"/>
      <c r="CB275" s="180"/>
      <c r="CC275" s="178"/>
      <c r="CD275" s="178"/>
      <c r="CE275" s="180"/>
      <c r="CF275" s="180"/>
      <c r="CG275" s="180"/>
      <c r="CH275" s="180"/>
      <c r="CI275" s="178"/>
      <c r="CJ275" s="178"/>
      <c r="CK275" s="180"/>
      <c r="CL275" s="180"/>
      <c r="CM275" s="180"/>
      <c r="CN275" s="116"/>
      <c r="CO275" s="218">
        <f t="shared" si="174"/>
        <v>0.32</v>
      </c>
      <c r="CP275" s="100">
        <f t="shared" si="175"/>
        <v>0.82666666666666677</v>
      </c>
      <c r="CQ275" s="218">
        <f t="shared" si="176"/>
        <v>1.3333333333333335</v>
      </c>
    </row>
    <row r="276" spans="1:95" s="101" customFormat="1" ht="16.5" thickBot="1" x14ac:dyDescent="0.3">
      <c r="A276" s="99"/>
      <c r="V276" s="103"/>
      <c r="AA276" s="104"/>
      <c r="AB276" s="104"/>
      <c r="AD276" s="104"/>
      <c r="AE276" s="105"/>
      <c r="AH276" s="106"/>
      <c r="AI276" s="106"/>
      <c r="AK276" s="104"/>
      <c r="AR276" s="104"/>
      <c r="AV276" s="104"/>
      <c r="AX276" s="104"/>
      <c r="BB276" s="104"/>
      <c r="BC276" s="104"/>
      <c r="BF276" s="219">
        <f t="shared" si="177"/>
        <v>12</v>
      </c>
      <c r="BG276" s="100">
        <f>0.4*21</f>
        <v>8.4</v>
      </c>
      <c r="BH276" s="120"/>
      <c r="BI276" s="203" t="s">
        <v>584</v>
      </c>
      <c r="BJ276" s="190" t="s">
        <v>569</v>
      </c>
      <c r="BK276" s="196">
        <v>0.48</v>
      </c>
      <c r="BL276" s="190" t="s">
        <v>568</v>
      </c>
      <c r="BM276" s="189">
        <v>0.32</v>
      </c>
      <c r="BN276" s="189">
        <f>1/0.8</f>
        <v>1.25</v>
      </c>
      <c r="BO276" s="188" t="s">
        <v>258</v>
      </c>
      <c r="BP276" s="178"/>
      <c r="BQ276" s="102"/>
      <c r="BR276" s="102"/>
      <c r="BS276" s="178"/>
      <c r="BT276" s="178"/>
      <c r="BU276" s="178"/>
      <c r="BV276" s="180"/>
      <c r="BW276" s="178"/>
      <c r="BX276" s="196"/>
      <c r="BY276" s="190"/>
      <c r="BZ276" s="180"/>
      <c r="CA276" s="180"/>
      <c r="CB276" s="180"/>
      <c r="CC276" s="178"/>
      <c r="CD276" s="178"/>
      <c r="CE276" s="180"/>
      <c r="CF276" s="180"/>
      <c r="CG276" s="180"/>
      <c r="CH276" s="180"/>
      <c r="CI276" s="178"/>
      <c r="CJ276" s="178"/>
      <c r="CK276" s="180"/>
      <c r="CL276" s="180"/>
      <c r="CM276" s="180"/>
      <c r="CN276" s="116"/>
      <c r="CO276" s="218">
        <f t="shared" si="174"/>
        <v>0.32</v>
      </c>
      <c r="CP276" s="100">
        <f t="shared" si="175"/>
        <v>0.78500000000000003</v>
      </c>
      <c r="CQ276" s="218">
        <f t="shared" si="176"/>
        <v>1.25</v>
      </c>
    </row>
    <row r="277" spans="1:95" s="101" customFormat="1" ht="16.5" thickBot="1" x14ac:dyDescent="0.3">
      <c r="A277" s="99"/>
      <c r="V277" s="103"/>
      <c r="AA277" s="104"/>
      <c r="AB277" s="104"/>
      <c r="AD277" s="104"/>
      <c r="AE277" s="105"/>
      <c r="AH277" s="106"/>
      <c r="AI277" s="106"/>
      <c r="AK277" s="104"/>
      <c r="AR277" s="104"/>
      <c r="AV277" s="104"/>
      <c r="AX277" s="104"/>
      <c r="BB277" s="104"/>
      <c r="BC277" s="104"/>
      <c r="BF277" s="219">
        <f t="shared" si="177"/>
        <v>3</v>
      </c>
      <c r="BH277" s="120"/>
      <c r="BI277" s="203" t="s">
        <v>585</v>
      </c>
      <c r="BJ277" s="190" t="s">
        <v>569</v>
      </c>
      <c r="BK277" s="196">
        <v>0.12</v>
      </c>
      <c r="BL277" s="190" t="s">
        <v>568</v>
      </c>
      <c r="BM277" s="189">
        <v>0.42</v>
      </c>
      <c r="BN277" s="189">
        <f>1/0.8</f>
        <v>1.25</v>
      </c>
      <c r="BO277" s="188" t="s">
        <v>258</v>
      </c>
      <c r="BP277" s="178"/>
      <c r="BQ277" s="102"/>
      <c r="BR277" s="102"/>
      <c r="BS277" s="178"/>
      <c r="BT277" s="178"/>
      <c r="BU277" s="178"/>
      <c r="BV277" s="180"/>
      <c r="BW277" s="178"/>
      <c r="BX277" s="196"/>
      <c r="BY277" s="190"/>
      <c r="BZ277" s="180"/>
      <c r="CA277" s="180"/>
      <c r="CB277" s="180"/>
      <c r="CC277" s="178"/>
      <c r="CD277" s="178"/>
      <c r="CE277" s="180"/>
      <c r="CF277" s="180"/>
      <c r="CG277" s="180"/>
      <c r="CH277" s="180"/>
      <c r="CI277" s="178"/>
      <c r="CJ277" s="178"/>
      <c r="CK277" s="180"/>
      <c r="CL277" s="180"/>
      <c r="CM277" s="180"/>
      <c r="CN277" s="116"/>
      <c r="CO277" s="218">
        <f t="shared" si="174"/>
        <v>0.42</v>
      </c>
      <c r="CP277" s="100">
        <f t="shared" si="175"/>
        <v>0.83499999999999996</v>
      </c>
      <c r="CQ277" s="218">
        <f t="shared" si="176"/>
        <v>1.25</v>
      </c>
    </row>
    <row r="278" spans="1:95" s="101" customFormat="1" ht="16.5" thickBot="1" x14ac:dyDescent="0.3">
      <c r="A278" s="99"/>
      <c r="V278" s="103"/>
      <c r="AA278" s="104"/>
      <c r="AB278" s="104"/>
      <c r="AD278" s="104"/>
      <c r="AE278" s="105"/>
      <c r="AH278" s="106"/>
      <c r="AI278" s="106"/>
      <c r="AK278" s="104"/>
      <c r="AR278" s="104"/>
      <c r="AU278" s="233"/>
      <c r="AV278" s="104"/>
      <c r="AX278" s="104"/>
      <c r="BB278" s="104"/>
      <c r="BC278" s="104"/>
      <c r="BF278" s="219">
        <f t="shared" si="177"/>
        <v>12</v>
      </c>
      <c r="BH278" s="120"/>
      <c r="BI278" s="203" t="s">
        <v>586</v>
      </c>
      <c r="BJ278" s="190" t="s">
        <v>569</v>
      </c>
      <c r="BK278" s="196">
        <v>0.48</v>
      </c>
      <c r="BL278" s="190" t="s">
        <v>568</v>
      </c>
      <c r="BM278" s="189">
        <v>0.42</v>
      </c>
      <c r="BN278" s="189">
        <f>0.3/0.2</f>
        <v>1.4999999999999998</v>
      </c>
      <c r="BO278" s="188" t="s">
        <v>258</v>
      </c>
      <c r="BP278" s="178"/>
      <c r="BQ278" s="102"/>
      <c r="BR278" s="102"/>
      <c r="BS278" s="178"/>
      <c r="BT278" s="178"/>
      <c r="BU278" s="178"/>
      <c r="BV278" s="180"/>
      <c r="BW278" s="178"/>
      <c r="BX278" s="196"/>
      <c r="BY278" s="190"/>
      <c r="BZ278" s="180"/>
      <c r="CA278" s="180"/>
      <c r="CB278" s="180"/>
      <c r="CC278" s="178"/>
      <c r="CD278" s="178"/>
      <c r="CE278" s="180"/>
      <c r="CF278" s="180"/>
      <c r="CG278" s="180"/>
      <c r="CH278" s="180"/>
      <c r="CI278" s="178"/>
      <c r="CJ278" s="178"/>
      <c r="CK278" s="180"/>
      <c r="CL278" s="180"/>
      <c r="CM278" s="180"/>
      <c r="CN278" s="116"/>
      <c r="CO278" s="218">
        <f t="shared" si="174"/>
        <v>0.42</v>
      </c>
      <c r="CP278" s="100">
        <f t="shared" si="175"/>
        <v>0.95999999999999985</v>
      </c>
      <c r="CQ278" s="218">
        <f t="shared" si="176"/>
        <v>1.4999999999999998</v>
      </c>
    </row>
    <row r="279" spans="1:95" s="101" customFormat="1" ht="16.5" thickBot="1" x14ac:dyDescent="0.3">
      <c r="A279" s="99"/>
      <c r="V279" s="103"/>
      <c r="AA279" s="104"/>
      <c r="AB279" s="104"/>
      <c r="AD279" s="104"/>
      <c r="AE279" s="105"/>
      <c r="AH279" s="106"/>
      <c r="AI279" s="106"/>
      <c r="AK279" s="104"/>
      <c r="AR279" s="104"/>
      <c r="AV279" s="104"/>
      <c r="AX279" s="104"/>
      <c r="BB279" s="104"/>
      <c r="BC279" s="104"/>
      <c r="BF279" s="219">
        <f t="shared" si="177"/>
        <v>7.5</v>
      </c>
      <c r="BH279" s="120"/>
      <c r="BI279" s="203" t="s">
        <v>587</v>
      </c>
      <c r="BJ279" s="190" t="s">
        <v>569</v>
      </c>
      <c r="BK279" s="196">
        <v>0.3</v>
      </c>
      <c r="BL279" s="190" t="s">
        <v>568</v>
      </c>
      <c r="BM279" s="189">
        <v>0.3</v>
      </c>
      <c r="BN279" s="189">
        <f>1/0.8</f>
        <v>1.25</v>
      </c>
      <c r="BO279" s="188" t="s">
        <v>258</v>
      </c>
      <c r="BP279" s="178"/>
      <c r="BQ279" s="102"/>
      <c r="BR279" s="102"/>
      <c r="BS279" s="178"/>
      <c r="BT279" s="178"/>
      <c r="BU279" s="178"/>
      <c r="BV279" s="180"/>
      <c r="BW279" s="178"/>
      <c r="BX279" s="196"/>
      <c r="BY279" s="190"/>
      <c r="BZ279" s="180"/>
      <c r="CA279" s="180"/>
      <c r="CB279" s="180"/>
      <c r="CC279" s="178"/>
      <c r="CD279" s="178"/>
      <c r="CE279" s="180"/>
      <c r="CF279" s="180"/>
      <c r="CG279" s="180"/>
      <c r="CH279" s="180"/>
      <c r="CI279" s="178"/>
      <c r="CJ279" s="178"/>
      <c r="CK279" s="180"/>
      <c r="CL279" s="180"/>
      <c r="CM279" s="180"/>
      <c r="CN279" s="116"/>
      <c r="CO279" s="218">
        <f t="shared" si="174"/>
        <v>0.3</v>
      </c>
      <c r="CP279" s="100">
        <f t="shared" si="175"/>
        <v>0.77500000000000002</v>
      </c>
      <c r="CQ279" s="218">
        <f t="shared" si="176"/>
        <v>1.25</v>
      </c>
    </row>
    <row r="280" spans="1:95" s="100" customFormat="1" ht="16.5" thickBot="1" x14ac:dyDescent="0.3">
      <c r="A280" s="147"/>
      <c r="V280" s="218"/>
      <c r="AA280" s="219"/>
      <c r="AB280" s="219"/>
      <c r="AD280" s="219"/>
      <c r="AE280" s="220"/>
      <c r="AH280" s="221"/>
      <c r="AI280" s="221"/>
      <c r="AK280" s="219"/>
      <c r="AR280" s="219"/>
      <c r="BD280" s="219"/>
      <c r="BF280" s="219"/>
      <c r="BH280" s="249" t="s">
        <v>315</v>
      </c>
      <c r="BI280" s="203" t="s">
        <v>570</v>
      </c>
      <c r="BJ280" s="190" t="s">
        <v>428</v>
      </c>
      <c r="BK280" s="196">
        <v>0.2</v>
      </c>
      <c r="BL280" s="190" t="s">
        <v>412</v>
      </c>
      <c r="BM280" s="189">
        <v>0.05</v>
      </c>
      <c r="BN280" s="189">
        <v>0.39</v>
      </c>
      <c r="BO280" s="188" t="s">
        <v>258</v>
      </c>
      <c r="BP280" s="224"/>
      <c r="BS280" s="224"/>
      <c r="BT280" s="224"/>
      <c r="BU280" s="224"/>
      <c r="BV280" s="225"/>
      <c r="BW280" s="224"/>
      <c r="BX280" s="223">
        <f>0.25*0.9*25</f>
        <v>5.625</v>
      </c>
      <c r="BY280" s="222" t="s">
        <v>298</v>
      </c>
      <c r="BZ280" s="225"/>
      <c r="CA280" s="225"/>
      <c r="CB280" s="225"/>
      <c r="CC280" s="224"/>
      <c r="CD280" s="224"/>
      <c r="CE280" s="225"/>
      <c r="CF280" s="225"/>
      <c r="CG280" s="225"/>
      <c r="CH280" s="225"/>
      <c r="CI280" s="224"/>
      <c r="CJ280" s="224"/>
      <c r="CK280" s="225"/>
      <c r="CL280" s="225"/>
      <c r="CM280" s="225"/>
      <c r="CN280" s="225"/>
      <c r="CO280" s="218">
        <f t="shared" si="174"/>
        <v>0.05</v>
      </c>
      <c r="CP280" s="100">
        <f t="shared" si="175"/>
        <v>0.22</v>
      </c>
      <c r="CQ280" s="218">
        <f t="shared" si="176"/>
        <v>0.39</v>
      </c>
    </row>
    <row r="281" spans="1:95" s="100" customFormat="1" ht="16.5" thickBot="1" x14ac:dyDescent="0.3">
      <c r="A281" s="147"/>
      <c r="V281" s="218"/>
      <c r="AA281" s="219"/>
      <c r="AB281" s="219"/>
      <c r="AD281" s="219"/>
      <c r="AE281" s="220"/>
      <c r="AH281" s="221"/>
      <c r="AI281" s="221"/>
      <c r="AK281" s="219"/>
      <c r="AR281" s="219"/>
      <c r="BD281" s="219"/>
      <c r="BF281" s="219"/>
      <c r="BH281" s="249" t="s">
        <v>315</v>
      </c>
      <c r="BI281" s="203" t="s">
        <v>588</v>
      </c>
      <c r="BJ281" s="190" t="s">
        <v>569</v>
      </c>
      <c r="BK281" s="196">
        <v>0.48</v>
      </c>
      <c r="BL281" s="190" t="s">
        <v>568</v>
      </c>
      <c r="BM281" s="189">
        <v>0.05</v>
      </c>
      <c r="BN281" s="189">
        <v>0.32</v>
      </c>
      <c r="BO281" s="188" t="s">
        <v>258</v>
      </c>
      <c r="BP281" s="224"/>
      <c r="BS281" s="224"/>
      <c r="BT281" s="224"/>
      <c r="BU281" s="224"/>
      <c r="BV281" s="225"/>
      <c r="BW281" s="224"/>
      <c r="BX281" s="223">
        <f>0.25*0.9*25</f>
        <v>5.625</v>
      </c>
      <c r="BY281" s="222" t="s">
        <v>298</v>
      </c>
      <c r="BZ281" s="225"/>
      <c r="CA281" s="225"/>
      <c r="CB281" s="225"/>
      <c r="CC281" s="224"/>
      <c r="CD281" s="224"/>
      <c r="CE281" s="225"/>
      <c r="CF281" s="225"/>
      <c r="CG281" s="225"/>
      <c r="CH281" s="225"/>
      <c r="CI281" s="224"/>
      <c r="CJ281" s="224"/>
      <c r="CK281" s="225"/>
      <c r="CL281" s="225"/>
      <c r="CM281" s="225"/>
      <c r="CN281" s="225"/>
      <c r="CO281" s="218">
        <f t="shared" si="174"/>
        <v>0.05</v>
      </c>
      <c r="CP281" s="100">
        <f t="shared" si="175"/>
        <v>0.185</v>
      </c>
      <c r="CQ281" s="218">
        <f t="shared" si="176"/>
        <v>0.32</v>
      </c>
    </row>
    <row r="282" spans="1:95" s="100" customFormat="1" ht="16.5" thickBot="1" x14ac:dyDescent="0.3">
      <c r="A282" s="147"/>
      <c r="V282" s="218"/>
      <c r="AA282" s="219"/>
      <c r="AB282" s="219"/>
      <c r="AD282" s="219"/>
      <c r="AE282" s="220"/>
      <c r="AH282" s="221"/>
      <c r="AI282" s="221"/>
      <c r="AK282" s="219"/>
      <c r="AR282" s="219"/>
      <c r="BF282" s="100" t="s">
        <v>497</v>
      </c>
      <c r="BG282" s="220">
        <f>AV297</f>
        <v>5.497666666666666E-2</v>
      </c>
      <c r="BH282" s="249" t="s">
        <v>97</v>
      </c>
      <c r="BI282" s="203" t="s">
        <v>589</v>
      </c>
      <c r="BJ282" s="190" t="s">
        <v>333</v>
      </c>
      <c r="BK282" s="250">
        <f>AV297</f>
        <v>5.497666666666666E-2</v>
      </c>
      <c r="BL282" s="190" t="s">
        <v>425</v>
      </c>
      <c r="BM282" s="189">
        <v>0.05</v>
      </c>
      <c r="BN282" s="189">
        <v>0.3</v>
      </c>
      <c r="BO282" s="188" t="s">
        <v>258</v>
      </c>
      <c r="BP282" s="224"/>
      <c r="BS282" s="224"/>
      <c r="BT282" s="224"/>
      <c r="BU282" s="224"/>
      <c r="BV282" s="225"/>
      <c r="BW282" s="224"/>
      <c r="BX282" s="223"/>
      <c r="BY282" s="222"/>
      <c r="BZ282" s="225"/>
      <c r="CA282" s="225"/>
      <c r="CB282" s="225"/>
      <c r="CC282" s="224"/>
      <c r="CD282" s="224"/>
      <c r="CE282" s="225"/>
      <c r="CF282" s="225"/>
      <c r="CG282" s="225"/>
      <c r="CH282" s="225"/>
      <c r="CI282" s="224"/>
      <c r="CJ282" s="224"/>
      <c r="CK282" s="225"/>
      <c r="CL282" s="225"/>
      <c r="CM282" s="225"/>
      <c r="CN282" s="225"/>
      <c r="CO282" s="218">
        <f t="shared" si="174"/>
        <v>0.05</v>
      </c>
      <c r="CP282" s="100">
        <f t="shared" si="175"/>
        <v>0.17499999999999999</v>
      </c>
      <c r="CQ282" s="218">
        <f t="shared" si="176"/>
        <v>0.3</v>
      </c>
    </row>
    <row r="283" spans="1:95" s="100" customFormat="1" ht="16.5" thickBot="1" x14ac:dyDescent="0.3">
      <c r="A283" s="147"/>
      <c r="V283" s="218"/>
      <c r="AA283" s="219"/>
      <c r="AB283" s="219"/>
      <c r="AD283" s="219"/>
      <c r="AE283" s="220"/>
      <c r="AH283" s="221"/>
      <c r="AI283" s="221"/>
      <c r="AK283" s="219"/>
      <c r="AR283" s="219"/>
      <c r="BG283" s="220"/>
      <c r="BH283" s="249"/>
      <c r="BI283" s="203" t="s">
        <v>564</v>
      </c>
      <c r="BJ283" s="190" t="s">
        <v>333</v>
      </c>
      <c r="BK283" s="250">
        <f>AW297</f>
        <v>2.748833333333333E-2</v>
      </c>
      <c r="BL283" s="190" t="s">
        <v>425</v>
      </c>
      <c r="BM283" s="189">
        <v>0.05</v>
      </c>
      <c r="BN283" s="189">
        <v>0.3</v>
      </c>
      <c r="BO283" s="188" t="s">
        <v>258</v>
      </c>
      <c r="BP283" s="224"/>
      <c r="BS283" s="224"/>
      <c r="BT283" s="224"/>
      <c r="BU283" s="224"/>
      <c r="BV283" s="225"/>
      <c r="BW283" s="224"/>
      <c r="BX283" s="223"/>
      <c r="BY283" s="222"/>
      <c r="BZ283" s="225"/>
      <c r="CA283" s="225"/>
      <c r="CB283" s="225"/>
      <c r="CC283" s="224"/>
      <c r="CD283" s="224"/>
      <c r="CE283" s="225"/>
      <c r="CF283" s="225"/>
      <c r="CG283" s="225"/>
      <c r="CH283" s="225"/>
      <c r="CI283" s="224"/>
      <c r="CJ283" s="224"/>
      <c r="CK283" s="225"/>
      <c r="CL283" s="225"/>
      <c r="CM283" s="225"/>
      <c r="CN283" s="225"/>
      <c r="CO283" s="218">
        <f t="shared" si="174"/>
        <v>0.05</v>
      </c>
      <c r="CP283" s="100">
        <f t="shared" si="175"/>
        <v>0.17499999999999999</v>
      </c>
      <c r="CQ283" s="218">
        <f t="shared" si="176"/>
        <v>0.3</v>
      </c>
    </row>
    <row r="284" spans="1:95" s="100" customFormat="1" ht="16.5" thickBot="1" x14ac:dyDescent="0.3">
      <c r="A284" s="147"/>
      <c r="V284" s="218"/>
      <c r="AA284" s="219"/>
      <c r="AB284" s="219"/>
      <c r="AD284" s="219"/>
      <c r="AE284" s="220"/>
      <c r="AH284" s="221"/>
      <c r="AI284" s="221"/>
      <c r="AK284" s="219"/>
      <c r="AR284" s="219"/>
      <c r="BG284" s="220"/>
      <c r="BH284" s="249"/>
      <c r="BI284" s="203" t="s">
        <v>565</v>
      </c>
      <c r="BJ284" s="190" t="s">
        <v>333</v>
      </c>
      <c r="BK284" s="250">
        <f>AX297</f>
        <v>3.9583199999999999E-2</v>
      </c>
      <c r="BL284" s="190" t="s">
        <v>425</v>
      </c>
      <c r="BM284" s="189">
        <v>0.05</v>
      </c>
      <c r="BN284" s="189">
        <v>0.3</v>
      </c>
      <c r="BO284" s="188" t="s">
        <v>258</v>
      </c>
      <c r="BP284" s="224"/>
      <c r="BS284" s="224"/>
      <c r="BT284" s="224"/>
      <c r="BU284" s="224"/>
      <c r="BV284" s="225"/>
      <c r="BW284" s="224"/>
      <c r="BX284" s="223"/>
      <c r="BY284" s="222"/>
      <c r="BZ284" s="225"/>
      <c r="CA284" s="225"/>
      <c r="CB284" s="225"/>
      <c r="CC284" s="224"/>
      <c r="CD284" s="224"/>
      <c r="CE284" s="225"/>
      <c r="CF284" s="225"/>
      <c r="CG284" s="225"/>
      <c r="CH284" s="225"/>
      <c r="CI284" s="224"/>
      <c r="CJ284" s="224"/>
      <c r="CK284" s="225"/>
      <c r="CL284" s="225"/>
      <c r="CM284" s="225"/>
      <c r="CN284" s="225"/>
      <c r="CO284" s="218">
        <f t="shared" si="174"/>
        <v>0.05</v>
      </c>
      <c r="CP284" s="100">
        <f t="shared" si="175"/>
        <v>0.17499999999999999</v>
      </c>
      <c r="CQ284" s="218">
        <f t="shared" si="176"/>
        <v>0.3</v>
      </c>
    </row>
    <row r="285" spans="1:95" s="100" customFormat="1" ht="16.5" thickBot="1" x14ac:dyDescent="0.3">
      <c r="A285" s="147"/>
      <c r="V285" s="218"/>
      <c r="AA285" s="219"/>
      <c r="AB285" s="219"/>
      <c r="AD285" s="219"/>
      <c r="AE285" s="220"/>
      <c r="AH285" s="221"/>
      <c r="AI285" s="221"/>
      <c r="AK285" s="219"/>
      <c r="AR285" s="219"/>
      <c r="BG285" s="220"/>
      <c r="BH285" s="249"/>
      <c r="BI285" s="203" t="s">
        <v>566</v>
      </c>
      <c r="BJ285" s="190" t="s">
        <v>333</v>
      </c>
      <c r="BK285" s="250">
        <f>AY297</f>
        <v>1.9791599999999999E-2</v>
      </c>
      <c r="BL285" s="190" t="s">
        <v>425</v>
      </c>
      <c r="BM285" s="189">
        <v>0.05</v>
      </c>
      <c r="BN285" s="189">
        <v>0.3</v>
      </c>
      <c r="BO285" s="188" t="s">
        <v>258</v>
      </c>
      <c r="BP285" s="224"/>
      <c r="BS285" s="224"/>
      <c r="BT285" s="224"/>
      <c r="BU285" s="224"/>
      <c r="BV285" s="225"/>
      <c r="BW285" s="224"/>
      <c r="BX285" s="223"/>
      <c r="BY285" s="222"/>
      <c r="BZ285" s="225"/>
      <c r="CA285" s="225"/>
      <c r="CB285" s="225"/>
      <c r="CC285" s="224"/>
      <c r="CD285" s="224"/>
      <c r="CE285" s="225"/>
      <c r="CF285" s="225"/>
      <c r="CG285" s="225"/>
      <c r="CH285" s="225"/>
      <c r="CI285" s="224"/>
      <c r="CJ285" s="224"/>
      <c r="CK285" s="225"/>
      <c r="CL285" s="225"/>
      <c r="CM285" s="225"/>
      <c r="CN285" s="225"/>
      <c r="CO285" s="218">
        <f t="shared" si="174"/>
        <v>0.05</v>
      </c>
      <c r="CP285" s="100">
        <f t="shared" si="175"/>
        <v>0.17499999999999999</v>
      </c>
      <c r="CQ285" s="218">
        <f t="shared" si="176"/>
        <v>0.3</v>
      </c>
    </row>
    <row r="286" spans="1:95" s="100" customFormat="1" ht="16.5" thickBot="1" x14ac:dyDescent="0.3">
      <c r="A286" s="147"/>
      <c r="V286" s="218"/>
      <c r="AA286" s="219"/>
      <c r="AB286" s="219"/>
      <c r="AD286" s="219"/>
      <c r="AE286" s="220"/>
      <c r="AH286" s="221"/>
      <c r="AI286" s="221"/>
      <c r="AK286" s="219"/>
      <c r="AR286" s="219"/>
      <c r="BG286" s="220"/>
      <c r="BH286" s="249"/>
      <c r="BI286" s="203" t="s">
        <v>589</v>
      </c>
      <c r="BJ286" s="190" t="s">
        <v>333</v>
      </c>
      <c r="BK286" s="250">
        <f>AZ297</f>
        <v>2.9687399999999996E-2</v>
      </c>
      <c r="BL286" s="190" t="s">
        <v>425</v>
      </c>
      <c r="BM286" s="189">
        <v>0.05</v>
      </c>
      <c r="BN286" s="189">
        <v>0.3</v>
      </c>
      <c r="BO286" s="188" t="s">
        <v>258</v>
      </c>
      <c r="BP286" s="224"/>
      <c r="BS286" s="224"/>
      <c r="BT286" s="224"/>
      <c r="BU286" s="224"/>
      <c r="BV286" s="225"/>
      <c r="BW286" s="224"/>
      <c r="BX286" s="223"/>
      <c r="BY286" s="222"/>
      <c r="BZ286" s="225"/>
      <c r="CA286" s="225"/>
      <c r="CB286" s="225"/>
      <c r="CC286" s="224"/>
      <c r="CD286" s="224"/>
      <c r="CE286" s="225"/>
      <c r="CF286" s="225"/>
      <c r="CG286" s="225"/>
      <c r="CH286" s="225"/>
      <c r="CI286" s="224"/>
      <c r="CJ286" s="224"/>
      <c r="CK286" s="225"/>
      <c r="CL286" s="225"/>
      <c r="CM286" s="225"/>
      <c r="CN286" s="225"/>
      <c r="CO286" s="218">
        <f t="shared" si="174"/>
        <v>0.05</v>
      </c>
      <c r="CP286" s="100">
        <f t="shared" si="175"/>
        <v>0.17499999999999999</v>
      </c>
      <c r="CQ286" s="218">
        <f t="shared" si="176"/>
        <v>0.3</v>
      </c>
    </row>
    <row r="287" spans="1:95" s="100" customFormat="1" ht="16.5" thickBot="1" x14ac:dyDescent="0.3">
      <c r="A287" s="147"/>
      <c r="V287" s="218"/>
      <c r="AA287" s="219"/>
      <c r="AB287" s="219"/>
      <c r="AD287" s="219"/>
      <c r="AE287" s="220"/>
      <c r="AH287" s="221"/>
      <c r="AI287" s="221"/>
      <c r="AK287" s="219"/>
      <c r="AR287" s="219"/>
      <c r="BG287" s="220"/>
      <c r="BH287" s="249"/>
      <c r="BI287" s="203" t="s">
        <v>590</v>
      </c>
      <c r="BJ287" s="190" t="s">
        <v>333</v>
      </c>
      <c r="BK287" s="250">
        <f>AV298</f>
        <v>1.6666666666666666E-2</v>
      </c>
      <c r="BL287" s="190" t="s">
        <v>425</v>
      </c>
      <c r="BM287" s="189">
        <v>0.05</v>
      </c>
      <c r="BN287" s="189">
        <v>0.3</v>
      </c>
      <c r="BO287" s="188" t="s">
        <v>258</v>
      </c>
      <c r="BP287" s="224"/>
      <c r="BS287" s="224"/>
      <c r="BT287" s="224"/>
      <c r="BU287" s="224"/>
      <c r="BV287" s="225"/>
      <c r="BW287" s="224"/>
      <c r="BX287" s="223"/>
      <c r="BY287" s="222"/>
      <c r="BZ287" s="225"/>
      <c r="CA287" s="225"/>
      <c r="CB287" s="225"/>
      <c r="CC287" s="224"/>
      <c r="CD287" s="224"/>
      <c r="CE287" s="225"/>
      <c r="CF287" s="225"/>
      <c r="CG287" s="225"/>
      <c r="CH287" s="225"/>
      <c r="CI287" s="224"/>
      <c r="CJ287" s="224"/>
      <c r="CK287" s="225"/>
      <c r="CL287" s="225"/>
      <c r="CM287" s="225"/>
      <c r="CN287" s="225"/>
      <c r="CO287" s="218">
        <f t="shared" si="174"/>
        <v>0.05</v>
      </c>
      <c r="CP287" s="100">
        <f t="shared" si="175"/>
        <v>0.17499999999999999</v>
      </c>
      <c r="CQ287" s="218">
        <f t="shared" si="176"/>
        <v>0.3</v>
      </c>
    </row>
    <row r="288" spans="1:95" s="100" customFormat="1" ht="16.5" thickBot="1" x14ac:dyDescent="0.3">
      <c r="A288" s="147"/>
      <c r="V288" s="218"/>
      <c r="AA288" s="219"/>
      <c r="AB288" s="219"/>
      <c r="AD288" s="219"/>
      <c r="AE288" s="220"/>
      <c r="AH288" s="221"/>
      <c r="AI288" s="221"/>
      <c r="AK288" s="219"/>
      <c r="AR288" s="219"/>
      <c r="BG288" s="220"/>
      <c r="BH288" s="249"/>
      <c r="BI288" s="203" t="s">
        <v>591</v>
      </c>
      <c r="BJ288" s="190" t="s">
        <v>333</v>
      </c>
      <c r="BK288" s="250">
        <f>AV299</f>
        <v>4.9999999999999996E-2</v>
      </c>
      <c r="BL288" s="190" t="s">
        <v>425</v>
      </c>
      <c r="BM288" s="189">
        <v>0.05</v>
      </c>
      <c r="BN288" s="189">
        <v>0.3</v>
      </c>
      <c r="BO288" s="188" t="s">
        <v>258</v>
      </c>
      <c r="BP288" s="224"/>
      <c r="BS288" s="224"/>
      <c r="BT288" s="224"/>
      <c r="BU288" s="224"/>
      <c r="BV288" s="225"/>
      <c r="BW288" s="224"/>
      <c r="BX288" s="223"/>
      <c r="BY288" s="222"/>
      <c r="BZ288" s="225"/>
      <c r="CA288" s="225"/>
      <c r="CB288" s="225"/>
      <c r="CC288" s="224"/>
      <c r="CD288" s="224"/>
      <c r="CE288" s="225"/>
      <c r="CF288" s="225"/>
      <c r="CG288" s="225"/>
      <c r="CH288" s="225"/>
      <c r="CI288" s="224"/>
      <c r="CJ288" s="224"/>
      <c r="CK288" s="225"/>
      <c r="CL288" s="225"/>
      <c r="CM288" s="225"/>
      <c r="CN288" s="225"/>
      <c r="CO288" s="218">
        <f t="shared" si="174"/>
        <v>0.05</v>
      </c>
      <c r="CP288" s="100">
        <f t="shared" si="175"/>
        <v>0.17499999999999999</v>
      </c>
      <c r="CQ288" s="218">
        <f t="shared" si="176"/>
        <v>0.3</v>
      </c>
    </row>
    <row r="289" spans="1:110" s="100" customFormat="1" ht="16.5" thickBot="1" x14ac:dyDescent="0.3">
      <c r="A289" s="147"/>
      <c r="V289" s="218"/>
      <c r="AA289" s="219"/>
      <c r="AB289" s="219"/>
      <c r="AD289" s="219"/>
      <c r="AE289" s="220"/>
      <c r="AH289" s="221"/>
      <c r="AI289" s="221"/>
      <c r="AK289" s="219"/>
      <c r="AR289" s="219"/>
      <c r="AV289" s="100">
        <f>(0.449*0.15)+(0.171*0.4)+(0.047*0.43)+(0.026*0.24)+(0.007*0.39)</f>
        <v>0.16492999999999999</v>
      </c>
      <c r="BG289" s="220"/>
      <c r="BH289" s="249"/>
      <c r="BI289" s="203" t="s">
        <v>592</v>
      </c>
      <c r="BJ289" s="190" t="s">
        <v>333</v>
      </c>
      <c r="BK289" s="250">
        <f>AV299</f>
        <v>4.9999999999999996E-2</v>
      </c>
      <c r="BL289" s="190" t="s">
        <v>425</v>
      </c>
      <c r="BM289" s="189">
        <v>0.05</v>
      </c>
      <c r="BN289" s="189">
        <v>0.3</v>
      </c>
      <c r="BO289" s="188" t="s">
        <v>258</v>
      </c>
      <c r="BP289" s="224"/>
      <c r="BS289" s="224"/>
      <c r="BT289" s="224"/>
      <c r="BU289" s="224"/>
      <c r="BV289" s="225"/>
      <c r="BW289" s="224"/>
      <c r="BX289" s="223"/>
      <c r="BY289" s="222"/>
      <c r="BZ289" s="225"/>
      <c r="CA289" s="225"/>
      <c r="CB289" s="225"/>
      <c r="CC289" s="224"/>
      <c r="CD289" s="224"/>
      <c r="CE289" s="225"/>
      <c r="CF289" s="225"/>
      <c r="CG289" s="225"/>
      <c r="CH289" s="225"/>
      <c r="CI289" s="224"/>
      <c r="CJ289" s="224"/>
      <c r="CK289" s="225"/>
      <c r="CL289" s="225"/>
      <c r="CM289" s="225"/>
      <c r="CN289" s="225"/>
      <c r="CO289" s="218">
        <f t="shared" si="174"/>
        <v>0.05</v>
      </c>
      <c r="CP289" s="100">
        <f t="shared" si="175"/>
        <v>0.17499999999999999</v>
      </c>
      <c r="CQ289" s="218">
        <f t="shared" si="176"/>
        <v>0.3</v>
      </c>
    </row>
    <row r="290" spans="1:110" s="100" customFormat="1" ht="16.5" thickBot="1" x14ac:dyDescent="0.3">
      <c r="A290" s="147"/>
      <c r="V290" s="218"/>
      <c r="AA290" s="219"/>
      <c r="AB290" s="219"/>
      <c r="AD290" s="219"/>
      <c r="AE290" s="220"/>
      <c r="AH290" s="221"/>
      <c r="AI290" s="221"/>
      <c r="AK290" s="219"/>
      <c r="AR290" s="219"/>
      <c r="BG290" s="220"/>
      <c r="BH290" s="249"/>
      <c r="BI290" s="203" t="s">
        <v>593</v>
      </c>
      <c r="BJ290" s="190" t="s">
        <v>333</v>
      </c>
      <c r="BK290" s="250">
        <f t="shared" ref="BK290:BK295" si="178">AV301</f>
        <v>7.9999999999999988E-2</v>
      </c>
      <c r="BL290" s="190" t="s">
        <v>425</v>
      </c>
      <c r="BM290" s="189">
        <v>0.05</v>
      </c>
      <c r="BN290" s="189">
        <v>0.3</v>
      </c>
      <c r="BO290" s="188" t="s">
        <v>258</v>
      </c>
      <c r="BP290" s="224"/>
      <c r="BS290" s="224"/>
      <c r="BT290" s="224"/>
      <c r="BU290" s="224"/>
      <c r="BV290" s="225"/>
      <c r="BW290" s="224"/>
      <c r="BX290" s="223"/>
      <c r="BY290" s="222"/>
      <c r="BZ290" s="225"/>
      <c r="CA290" s="225"/>
      <c r="CB290" s="225"/>
      <c r="CC290" s="224"/>
      <c r="CD290" s="224"/>
      <c r="CE290" s="225"/>
      <c r="CF290" s="225"/>
      <c r="CG290" s="225"/>
      <c r="CH290" s="225"/>
      <c r="CI290" s="224"/>
      <c r="CJ290" s="224"/>
      <c r="CK290" s="225"/>
      <c r="CL290" s="225"/>
      <c r="CM290" s="225"/>
      <c r="CN290" s="225"/>
      <c r="CO290" s="218">
        <f t="shared" si="174"/>
        <v>0.05</v>
      </c>
      <c r="CP290" s="100">
        <f t="shared" si="175"/>
        <v>0.17499999999999999</v>
      </c>
      <c r="CQ290" s="218">
        <f t="shared" si="176"/>
        <v>0.3</v>
      </c>
    </row>
    <row r="291" spans="1:110" s="100" customFormat="1" ht="16.5" thickBot="1" x14ac:dyDescent="0.3">
      <c r="A291" s="147"/>
      <c r="V291" s="218"/>
      <c r="AA291" s="219"/>
      <c r="AB291" s="219"/>
      <c r="AD291" s="219"/>
      <c r="AE291" s="220"/>
      <c r="AH291" s="221"/>
      <c r="AI291" s="221"/>
      <c r="AK291" s="219"/>
      <c r="AR291" s="219"/>
      <c r="BG291" s="220"/>
      <c r="BH291" s="249"/>
      <c r="BI291" s="203" t="s">
        <v>594</v>
      </c>
      <c r="BJ291" s="190" t="s">
        <v>333</v>
      </c>
      <c r="BK291" s="250">
        <f t="shared" si="178"/>
        <v>0.14333333333333331</v>
      </c>
      <c r="BL291" s="190" t="s">
        <v>425</v>
      </c>
      <c r="BM291" s="189">
        <v>0.05</v>
      </c>
      <c r="BN291" s="189">
        <v>0.3</v>
      </c>
      <c r="BO291" s="188" t="s">
        <v>258</v>
      </c>
      <c r="BP291" s="224"/>
      <c r="BS291" s="224"/>
      <c r="BT291" s="224"/>
      <c r="BU291" s="224"/>
      <c r="BV291" s="225"/>
      <c r="BW291" s="224"/>
      <c r="BX291" s="223"/>
      <c r="BY291" s="222"/>
      <c r="BZ291" s="225"/>
      <c r="CA291" s="225"/>
      <c r="CB291" s="225"/>
      <c r="CC291" s="224"/>
      <c r="CD291" s="224"/>
      <c r="CE291" s="225"/>
      <c r="CF291" s="225"/>
      <c r="CG291" s="225"/>
      <c r="CH291" s="225"/>
      <c r="CI291" s="224"/>
      <c r="CJ291" s="224"/>
      <c r="CK291" s="225"/>
      <c r="CL291" s="225"/>
      <c r="CM291" s="225"/>
      <c r="CN291" s="225"/>
      <c r="CO291" s="218">
        <f t="shared" si="174"/>
        <v>0.05</v>
      </c>
      <c r="CP291" s="100">
        <f t="shared" si="175"/>
        <v>0.17499999999999999</v>
      </c>
      <c r="CQ291" s="218">
        <f t="shared" si="176"/>
        <v>0.3</v>
      </c>
    </row>
    <row r="292" spans="1:110" s="100" customFormat="1" ht="16.5" thickBot="1" x14ac:dyDescent="0.3">
      <c r="A292" s="147"/>
      <c r="V292" s="218"/>
      <c r="AA292" s="219"/>
      <c r="AB292" s="219"/>
      <c r="AD292" s="219"/>
      <c r="AE292" s="220"/>
      <c r="AH292" s="221"/>
      <c r="AI292" s="221"/>
      <c r="AK292" s="219"/>
      <c r="AR292" s="219"/>
      <c r="BG292" s="220"/>
      <c r="BH292" s="249"/>
      <c r="BI292" s="203" t="s">
        <v>595</v>
      </c>
      <c r="BJ292" s="190" t="s">
        <v>333</v>
      </c>
      <c r="BK292" s="250">
        <f t="shared" si="178"/>
        <v>0.13333333333333333</v>
      </c>
      <c r="BL292" s="190" t="s">
        <v>425</v>
      </c>
      <c r="BM292" s="189">
        <v>0.05</v>
      </c>
      <c r="BN292" s="189">
        <v>0.3</v>
      </c>
      <c r="BO292" s="188" t="s">
        <v>258</v>
      </c>
      <c r="BP292" s="224"/>
      <c r="BS292" s="224"/>
      <c r="BT292" s="224"/>
      <c r="BU292" s="224"/>
      <c r="BV292" s="225"/>
      <c r="BW292" s="224"/>
      <c r="BX292" s="223"/>
      <c r="BY292" s="222"/>
      <c r="BZ292" s="225"/>
      <c r="CA292" s="225"/>
      <c r="CB292" s="225"/>
      <c r="CC292" s="224"/>
      <c r="CD292" s="224"/>
      <c r="CE292" s="225"/>
      <c r="CF292" s="225"/>
      <c r="CG292" s="225"/>
      <c r="CH292" s="225"/>
      <c r="CI292" s="224"/>
      <c r="CJ292" s="224"/>
      <c r="CK292" s="225"/>
      <c r="CL292" s="225"/>
      <c r="CM292" s="225"/>
      <c r="CN292" s="225"/>
      <c r="CO292" s="218">
        <f t="shared" si="174"/>
        <v>0.05</v>
      </c>
      <c r="CP292" s="100">
        <f t="shared" si="175"/>
        <v>0.17499999999999999</v>
      </c>
      <c r="CQ292" s="218">
        <f t="shared" si="176"/>
        <v>0.3</v>
      </c>
    </row>
    <row r="293" spans="1:110" s="100" customFormat="1" ht="16.5" thickBot="1" x14ac:dyDescent="0.3">
      <c r="A293" s="147"/>
      <c r="V293" s="218"/>
      <c r="AA293" s="219"/>
      <c r="AB293" s="219"/>
      <c r="AD293" s="219"/>
      <c r="AE293" s="220"/>
      <c r="AH293" s="221"/>
      <c r="AI293" s="221"/>
      <c r="AK293" s="219"/>
      <c r="AR293" s="219"/>
      <c r="BG293" s="220"/>
      <c r="BH293" s="249"/>
      <c r="BI293" s="203" t="s">
        <v>596</v>
      </c>
      <c r="BJ293" s="190" t="s">
        <v>333</v>
      </c>
      <c r="BK293" s="250">
        <f t="shared" si="178"/>
        <v>0.13</v>
      </c>
      <c r="BL293" s="190" t="s">
        <v>425</v>
      </c>
      <c r="BM293" s="189">
        <v>0.05</v>
      </c>
      <c r="BN293" s="189">
        <v>0.3</v>
      </c>
      <c r="BO293" s="188" t="s">
        <v>258</v>
      </c>
      <c r="BP293" s="224"/>
      <c r="BS293" s="224"/>
      <c r="BT293" s="224"/>
      <c r="BU293" s="224"/>
      <c r="BV293" s="225"/>
      <c r="BW293" s="224"/>
      <c r="BX293" s="223"/>
      <c r="BY293" s="222"/>
      <c r="BZ293" s="225"/>
      <c r="CA293" s="225"/>
      <c r="CB293" s="225"/>
      <c r="CC293" s="224"/>
      <c r="CD293" s="224"/>
      <c r="CE293" s="225"/>
      <c r="CF293" s="225"/>
      <c r="CG293" s="225"/>
      <c r="CH293" s="225"/>
      <c r="CI293" s="224"/>
      <c r="CJ293" s="224"/>
      <c r="CK293" s="225"/>
      <c r="CL293" s="225"/>
      <c r="CM293" s="225"/>
      <c r="CN293" s="225"/>
      <c r="CO293" s="218">
        <f t="shared" si="174"/>
        <v>0.05</v>
      </c>
      <c r="CP293" s="100">
        <f t="shared" si="175"/>
        <v>0.17499999999999999</v>
      </c>
      <c r="CQ293" s="218">
        <f t="shared" si="176"/>
        <v>0.3</v>
      </c>
    </row>
    <row r="294" spans="1:110" s="100" customFormat="1" ht="16.5" thickBot="1" x14ac:dyDescent="0.3">
      <c r="A294" s="147"/>
      <c r="V294" s="218"/>
      <c r="AA294" s="219"/>
      <c r="AB294" s="219"/>
      <c r="AD294" s="219"/>
      <c r="AE294" s="220"/>
      <c r="AH294" s="221"/>
      <c r="AI294" s="221"/>
      <c r="AK294" s="219"/>
      <c r="AR294" s="219"/>
      <c r="BG294" s="220"/>
      <c r="BH294" s="249"/>
      <c r="BI294" s="203" t="s">
        <v>597</v>
      </c>
      <c r="BJ294" s="190" t="s">
        <v>333</v>
      </c>
      <c r="BK294" s="250">
        <f t="shared" si="178"/>
        <v>1.3333333333333332E-2</v>
      </c>
      <c r="BL294" s="190" t="s">
        <v>425</v>
      </c>
      <c r="BM294" s="189">
        <v>0.05</v>
      </c>
      <c r="BN294" s="189">
        <v>0.3</v>
      </c>
      <c r="BO294" s="188" t="s">
        <v>258</v>
      </c>
      <c r="BP294" s="224"/>
      <c r="BS294" s="224"/>
      <c r="BT294" s="224"/>
      <c r="BU294" s="224"/>
      <c r="BV294" s="225"/>
      <c r="BW294" s="224"/>
      <c r="BX294" s="223"/>
      <c r="BY294" s="222"/>
      <c r="BZ294" s="225"/>
      <c r="CA294" s="225"/>
      <c r="CB294" s="225"/>
      <c r="CC294" s="224"/>
      <c r="CD294" s="224"/>
      <c r="CE294" s="225"/>
      <c r="CF294" s="225"/>
      <c r="CG294" s="225"/>
      <c r="CH294" s="225"/>
      <c r="CI294" s="224"/>
      <c r="CJ294" s="224"/>
      <c r="CK294" s="225"/>
      <c r="CL294" s="225"/>
      <c r="CM294" s="225"/>
      <c r="CN294" s="225"/>
      <c r="CO294" s="218">
        <f t="shared" ref="CO294:CO360" si="179">BM294</f>
        <v>0.05</v>
      </c>
      <c r="CP294" s="100">
        <f t="shared" ref="CP294:CP360" si="180">(CO294+CQ294)/2</f>
        <v>0.17499999999999999</v>
      </c>
      <c r="CQ294" s="218">
        <f t="shared" ref="CQ294:CQ360" si="181">BN294</f>
        <v>0.3</v>
      </c>
    </row>
    <row r="295" spans="1:110" s="100" customFormat="1" ht="16.5" thickBot="1" x14ac:dyDescent="0.3">
      <c r="A295" s="147"/>
      <c r="V295" s="218"/>
      <c r="AA295" s="219"/>
      <c r="AB295" s="219"/>
      <c r="AD295" s="219"/>
      <c r="AE295" s="220"/>
      <c r="AH295" s="221"/>
      <c r="AI295" s="221"/>
      <c r="AK295" s="219"/>
      <c r="AR295" s="219"/>
      <c r="AV295" s="236" t="s">
        <v>504</v>
      </c>
      <c r="BF295" s="100" t="s">
        <v>477</v>
      </c>
      <c r="BG295" s="220">
        <f>AW297</f>
        <v>2.748833333333333E-2</v>
      </c>
      <c r="BH295" s="249"/>
      <c r="BI295" s="203" t="s">
        <v>598</v>
      </c>
      <c r="BJ295" s="190" t="s">
        <v>333</v>
      </c>
      <c r="BK295" s="250">
        <f t="shared" si="178"/>
        <v>3.3333333333333331E-3</v>
      </c>
      <c r="BL295" s="190" t="s">
        <v>425</v>
      </c>
      <c r="BM295" s="189">
        <v>0.05</v>
      </c>
      <c r="BN295" s="189">
        <v>0.3</v>
      </c>
      <c r="BO295" s="188" t="s">
        <v>258</v>
      </c>
      <c r="BP295" s="224"/>
      <c r="BS295" s="224"/>
      <c r="BT295" s="224"/>
      <c r="BU295" s="224"/>
      <c r="BV295" s="225"/>
      <c r="BW295" s="224"/>
      <c r="BX295" s="223"/>
      <c r="BY295" s="222"/>
      <c r="BZ295" s="225"/>
      <c r="CA295" s="225"/>
      <c r="CB295" s="225"/>
      <c r="CC295" s="224"/>
      <c r="CD295" s="224"/>
      <c r="CE295" s="225"/>
      <c r="CF295" s="225"/>
      <c r="CG295" s="225"/>
      <c r="CH295" s="225"/>
      <c r="CI295" s="224"/>
      <c r="CJ295" s="224"/>
      <c r="CK295" s="225"/>
      <c r="CL295" s="225"/>
      <c r="CM295" s="225"/>
      <c r="CN295" s="225"/>
      <c r="CO295" s="218">
        <f t="shared" si="179"/>
        <v>0.05</v>
      </c>
      <c r="CP295" s="100">
        <f t="shared" si="180"/>
        <v>0.17499999999999999</v>
      </c>
      <c r="CQ295" s="218">
        <f t="shared" si="181"/>
        <v>0.3</v>
      </c>
    </row>
    <row r="296" spans="1:110" s="101" customFormat="1" ht="29.25" thickBot="1" x14ac:dyDescent="0.3">
      <c r="A296" s="99"/>
      <c r="V296" s="103"/>
      <c r="AA296" s="104"/>
      <c r="AB296" s="104"/>
      <c r="AD296" s="104"/>
      <c r="AE296" s="105"/>
      <c r="AH296" s="106"/>
      <c r="AI296" s="106"/>
      <c r="AK296" s="104"/>
      <c r="AR296" s="104"/>
      <c r="AT296" s="227"/>
      <c r="AU296" s="228" t="s">
        <v>484</v>
      </c>
      <c r="AV296" s="227" t="s">
        <v>496</v>
      </c>
      <c r="AW296" s="227" t="s">
        <v>479</v>
      </c>
      <c r="AX296" s="227" t="s">
        <v>561</v>
      </c>
      <c r="AY296" s="227" t="s">
        <v>480</v>
      </c>
      <c r="AZ296" s="227" t="s">
        <v>483</v>
      </c>
      <c r="BA296" s="229" t="s">
        <v>119</v>
      </c>
      <c r="BB296" s="230" t="s">
        <v>503</v>
      </c>
      <c r="BC296" s="230" t="s">
        <v>120</v>
      </c>
      <c r="BF296" s="100" t="s">
        <v>482</v>
      </c>
      <c r="BG296" s="220">
        <f>AX297</f>
        <v>3.9583199999999999E-2</v>
      </c>
      <c r="BH296" s="120" t="s">
        <v>97</v>
      </c>
      <c r="BI296" s="203" t="s">
        <v>573</v>
      </c>
      <c r="BJ296" s="190" t="s">
        <v>476</v>
      </c>
      <c r="BK296" s="196">
        <v>5.6000000000000004E-7</v>
      </c>
      <c r="BL296" s="190" t="s">
        <v>425</v>
      </c>
      <c r="BM296" s="189">
        <v>0.1</v>
      </c>
      <c r="BN296" s="189">
        <v>1</v>
      </c>
      <c r="BO296" s="188" t="s">
        <v>258</v>
      </c>
      <c r="BP296" s="190" t="s">
        <v>476</v>
      </c>
      <c r="BQ296" s="196">
        <v>9.7999999999999993E-6</v>
      </c>
      <c r="BR296" s="186" t="s">
        <v>426</v>
      </c>
      <c r="BS296" s="189">
        <v>0.1</v>
      </c>
      <c r="BT296" s="189">
        <v>1</v>
      </c>
      <c r="BU296" s="188" t="s">
        <v>258</v>
      </c>
      <c r="BV296" s="190" t="s">
        <v>476</v>
      </c>
      <c r="BW296" s="196">
        <v>0.14000000000000001</v>
      </c>
      <c r="BX296" s="186" t="s">
        <v>571</v>
      </c>
      <c r="BY296" s="189">
        <v>0.1</v>
      </c>
      <c r="BZ296" s="189">
        <v>1</v>
      </c>
      <c r="CA296" s="188" t="s">
        <v>258</v>
      </c>
      <c r="CB296" s="180"/>
      <c r="CC296" s="178"/>
      <c r="CD296" s="178"/>
      <c r="CE296" s="180"/>
      <c r="CF296" s="180"/>
      <c r="CG296" s="180"/>
      <c r="CH296" s="180"/>
      <c r="CI296" s="178"/>
      <c r="CJ296" s="178"/>
      <c r="CK296" s="180"/>
      <c r="CL296" s="180"/>
      <c r="CM296" s="180"/>
      <c r="CN296" s="116"/>
      <c r="CO296" s="218">
        <f t="shared" si="179"/>
        <v>0.1</v>
      </c>
      <c r="CP296" s="100">
        <f t="shared" si="180"/>
        <v>0.55000000000000004</v>
      </c>
      <c r="CQ296" s="218">
        <f t="shared" si="181"/>
        <v>1</v>
      </c>
    </row>
    <row r="297" spans="1:110" s="101" customFormat="1" ht="29.25" thickBot="1" x14ac:dyDescent="0.3">
      <c r="A297" s="99"/>
      <c r="V297" s="103"/>
      <c r="AA297" s="104"/>
      <c r="AB297" s="104"/>
      <c r="AD297" s="104"/>
      <c r="AE297" s="105"/>
      <c r="AH297" s="106"/>
      <c r="AI297" s="106"/>
      <c r="AK297" s="104"/>
      <c r="AR297" s="104"/>
      <c r="AT297" s="227" t="s">
        <v>486</v>
      </c>
      <c r="AU297" s="226" t="s">
        <v>498</v>
      </c>
      <c r="AV297" s="221">
        <f>((((0.449*0.15)+(0.171*0.4)+(0.047*0.43)+(0.026*0.24)+(0.007*0.39))*0.5*1)*0.5*(16/12))*(1-0)</f>
        <v>5.497666666666666E-2</v>
      </c>
      <c r="AW297" s="221">
        <f>((((0.449*0.15)+(0.171*0.4)+(0.047*0.43)+(0.026*0.24)+(0.007*0.39))*0.5*0.5)*0.5*(16/12))*(1-0)</f>
        <v>2.748833333333333E-2</v>
      </c>
      <c r="AX297" s="221">
        <f>((((0.449*0.15)+(0.171*0.4)+(0.047*0.43)+(0.026*0.24)+(0.007*0.39))*0.5*0.8)*0.5*(16/12))*(1-0.1)</f>
        <v>3.9583199999999999E-2</v>
      </c>
      <c r="AY297" s="221">
        <f>((((0.449*0.15)+(0.171*0.4)+(0.047*0.43)+(0.026*0.24)+(0.007*0.39))*0.5*0.4)*0.5*(16/12))*(1-0.1)</f>
        <v>1.9791599999999999E-2</v>
      </c>
      <c r="AZ297" s="221">
        <f>((((0.449*0.15)+(0.171*0.4)+(0.047*0.43)+(0.026*0.24)+(0.007*0.39))*0.5*0.6)*0.5*(16/12))*(1-0.1)</f>
        <v>2.9687399999999996E-2</v>
      </c>
      <c r="BA297" s="231">
        <f t="shared" ref="BA297:BA306" si="182">AVERAGE(AV297:AZ297)</f>
        <v>3.430544E-2</v>
      </c>
      <c r="BB297" s="231">
        <f t="shared" ref="BB297:BB306" si="183">STDEV(AV297:AZ297)</f>
        <v>1.3542573156662487E-2</v>
      </c>
      <c r="BC297" s="232">
        <f>1-((BA297-((BB297*2.78)/(SQRT(5))))/BA297)</f>
        <v>0.49079258210126564</v>
      </c>
      <c r="BF297" s="100" t="s">
        <v>481</v>
      </c>
      <c r="BG297" s="220">
        <f>AY297</f>
        <v>1.9791599999999999E-2</v>
      </c>
      <c r="BH297" s="120" t="s">
        <v>97</v>
      </c>
      <c r="BI297" s="203" t="s">
        <v>572</v>
      </c>
      <c r="BJ297" s="190" t="s">
        <v>476</v>
      </c>
      <c r="BK297" s="196">
        <v>2.3699999999999999E-4</v>
      </c>
      <c r="BL297" s="190" t="s">
        <v>425</v>
      </c>
      <c r="BM297" s="189">
        <v>0.1</v>
      </c>
      <c r="BN297" s="189">
        <v>1</v>
      </c>
      <c r="BO297" s="188" t="s">
        <v>258</v>
      </c>
      <c r="BP297" s="190" t="s">
        <v>476</v>
      </c>
      <c r="BQ297" s="196">
        <v>6.0000000000000002E-5</v>
      </c>
      <c r="BR297" s="186" t="s">
        <v>426</v>
      </c>
      <c r="BS297" s="189">
        <v>0.1</v>
      </c>
      <c r="BT297" s="189">
        <v>1</v>
      </c>
      <c r="BU297" s="188" t="s">
        <v>258</v>
      </c>
      <c r="BV297" s="190" t="s">
        <v>476</v>
      </c>
      <c r="BW297" s="196">
        <v>0.23</v>
      </c>
      <c r="BX297" s="186" t="s">
        <v>571</v>
      </c>
      <c r="BY297" s="189">
        <v>0.1</v>
      </c>
      <c r="BZ297" s="189">
        <v>1</v>
      </c>
      <c r="CA297" s="188" t="s">
        <v>258</v>
      </c>
      <c r="CB297" s="180"/>
      <c r="CC297" s="178"/>
      <c r="CD297" s="178"/>
      <c r="CE297" s="180"/>
      <c r="CF297" s="180"/>
      <c r="CG297" s="180"/>
      <c r="CH297" s="180"/>
      <c r="CI297" s="178"/>
      <c r="CJ297" s="178"/>
      <c r="CK297" s="180"/>
      <c r="CL297" s="180"/>
      <c r="CM297" s="180"/>
      <c r="CN297" s="116"/>
      <c r="CO297" s="218">
        <f t="shared" si="179"/>
        <v>0.1</v>
      </c>
      <c r="CP297" s="100">
        <f t="shared" si="180"/>
        <v>0.55000000000000004</v>
      </c>
      <c r="CQ297" s="218">
        <f t="shared" si="181"/>
        <v>1</v>
      </c>
    </row>
    <row r="298" spans="1:110" s="101" customFormat="1" ht="29.25" thickBot="1" x14ac:dyDescent="0.3">
      <c r="A298" s="99"/>
      <c r="V298" s="103"/>
      <c r="AA298" s="104"/>
      <c r="AB298" s="104"/>
      <c r="AD298" s="104"/>
      <c r="AE298" s="105"/>
      <c r="AH298" s="106"/>
      <c r="AI298" s="106"/>
      <c r="AK298" s="104"/>
      <c r="AR298" s="104"/>
      <c r="AT298" s="227" t="s">
        <v>562</v>
      </c>
      <c r="AU298" s="226">
        <v>0.05</v>
      </c>
      <c r="AV298" s="221">
        <f>((AU298*0.5*1)*0.5*(16/12))*(1-0)</f>
        <v>1.6666666666666666E-2</v>
      </c>
      <c r="AW298" s="221">
        <f>((AU298*0.5*0.5)*0.5*(16/12))*(1-0)</f>
        <v>8.3333333333333332E-3</v>
      </c>
      <c r="AX298" s="221">
        <f>((AU298*0.5*0.8)*0.5*(16/12))*(1-0.1)</f>
        <v>1.2000000000000002E-2</v>
      </c>
      <c r="AY298" s="221">
        <f t="shared" ref="AY298:AY306" si="184">((AU298*0.5*0.4)*0.5*(16/12))*(1-0.1)</f>
        <v>6.000000000000001E-3</v>
      </c>
      <c r="AZ298" s="221">
        <f t="shared" ref="AZ298:AZ306" si="185">((AU298*0.5*0.6)*0.5*(16/12))*(1-0.1)</f>
        <v>8.9999999999999993E-3</v>
      </c>
      <c r="BA298" s="231">
        <f t="shared" si="182"/>
        <v>1.0400000000000001E-2</v>
      </c>
      <c r="BB298" s="231">
        <f t="shared" si="183"/>
        <v>4.1055517967205765E-3</v>
      </c>
      <c r="BC298" s="232">
        <f>1-((BA298-((BB298*2.78)/(SQRT(5))))/BA298)</f>
        <v>0.49079258210126586</v>
      </c>
      <c r="BF298" s="100" t="s">
        <v>478</v>
      </c>
      <c r="BG298" s="220">
        <f>AZ297</f>
        <v>2.9687399999999996E-2</v>
      </c>
      <c r="BH298" s="120" t="s">
        <v>97</v>
      </c>
      <c r="BI298" s="203" t="s">
        <v>574</v>
      </c>
      <c r="BJ298" s="190" t="s">
        <v>476</v>
      </c>
      <c r="BK298" s="196">
        <v>6.4999999999999997E-3</v>
      </c>
      <c r="BL298" s="190" t="s">
        <v>425</v>
      </c>
      <c r="BM298" s="189">
        <v>0.1</v>
      </c>
      <c r="BN298" s="189">
        <v>1</v>
      </c>
      <c r="BO298" s="188" t="s">
        <v>258</v>
      </c>
      <c r="BP298" s="190" t="s">
        <v>476</v>
      </c>
      <c r="BQ298" s="196">
        <v>1.4999999999999999E-4</v>
      </c>
      <c r="BR298" s="186" t="s">
        <v>426</v>
      </c>
      <c r="BS298" s="189">
        <v>0.1</v>
      </c>
      <c r="BT298" s="189">
        <v>1</v>
      </c>
      <c r="BU298" s="188" t="s">
        <v>258</v>
      </c>
      <c r="BV298" s="190" t="s">
        <v>476</v>
      </c>
      <c r="BW298" s="196">
        <v>1.38</v>
      </c>
      <c r="BX298" s="186" t="s">
        <v>571</v>
      </c>
      <c r="BY298" s="189">
        <v>0.1</v>
      </c>
      <c r="BZ298" s="189">
        <v>1</v>
      </c>
      <c r="CA298" s="188" t="s">
        <v>258</v>
      </c>
      <c r="CB298" s="180"/>
      <c r="CC298" s="178"/>
      <c r="CD298" s="178"/>
      <c r="CE298" s="180"/>
      <c r="CF298" s="180"/>
      <c r="CG298" s="180"/>
      <c r="CH298" s="180"/>
      <c r="CI298" s="178"/>
      <c r="CJ298" s="178"/>
      <c r="CK298" s="180"/>
      <c r="CL298" s="180"/>
      <c r="CM298" s="180"/>
      <c r="CN298" s="116"/>
      <c r="CO298" s="218">
        <f t="shared" si="179"/>
        <v>0.1</v>
      </c>
      <c r="CP298" s="100">
        <f t="shared" si="180"/>
        <v>0.55000000000000004</v>
      </c>
      <c r="CQ298" s="218">
        <f t="shared" si="181"/>
        <v>1</v>
      </c>
    </row>
    <row r="299" spans="1:110" s="101" customFormat="1" ht="29.25" thickBot="1" x14ac:dyDescent="0.3">
      <c r="A299" s="99"/>
      <c r="V299" s="103"/>
      <c r="AA299" s="104"/>
      <c r="AB299" s="104"/>
      <c r="AD299" s="104"/>
      <c r="AE299" s="105"/>
      <c r="AH299" s="106"/>
      <c r="AI299" s="106"/>
      <c r="AK299" s="104"/>
      <c r="AR299" s="104"/>
      <c r="AT299" s="227" t="s">
        <v>485</v>
      </c>
      <c r="AU299" s="226">
        <v>0.15</v>
      </c>
      <c r="AV299" s="221">
        <f>((AU299*0.5*1)*0.5*(16/12))*(1-0)</f>
        <v>4.9999999999999996E-2</v>
      </c>
      <c r="AW299" s="221">
        <f>((AU299*0.5*0.5)*0.5*(16/12))*(1-0)</f>
        <v>2.4999999999999998E-2</v>
      </c>
      <c r="AX299" s="221">
        <f>((AU299*0.5*0.8)*0.5*(16/12))*(1-0.1)</f>
        <v>3.5999999999999997E-2</v>
      </c>
      <c r="AY299" s="221">
        <f t="shared" si="184"/>
        <v>1.7999999999999999E-2</v>
      </c>
      <c r="AZ299" s="221">
        <f t="shared" si="185"/>
        <v>2.7E-2</v>
      </c>
      <c r="BA299" s="231">
        <f t="shared" si="182"/>
        <v>3.1199999999999995E-2</v>
      </c>
      <c r="BB299" s="231">
        <f t="shared" si="183"/>
        <v>1.2316655390161741E-2</v>
      </c>
      <c r="BC299" s="232">
        <f t="shared" ref="BC299:BC306" si="186">1-((BA299-((BB299*2.78)/(SQRT(5))))/BA299)</f>
        <v>0.49079258210126642</v>
      </c>
      <c r="BF299" s="220"/>
      <c r="BG299" s="220"/>
      <c r="BH299" s="120" t="s">
        <v>97</v>
      </c>
      <c r="BI299" s="203" t="s">
        <v>575</v>
      </c>
      <c r="BJ299" s="190" t="s">
        <v>476</v>
      </c>
      <c r="BK299" s="196">
        <v>5.6000000000000004E-7</v>
      </c>
      <c r="BL299" s="190" t="s">
        <v>425</v>
      </c>
      <c r="BM299" s="189">
        <v>0.1</v>
      </c>
      <c r="BN299" s="189">
        <v>1</v>
      </c>
      <c r="BO299" s="188" t="s">
        <v>258</v>
      </c>
      <c r="BP299" s="190" t="s">
        <v>476</v>
      </c>
      <c r="BQ299" s="196">
        <v>1E-4</v>
      </c>
      <c r="BR299" s="186" t="s">
        <v>426</v>
      </c>
      <c r="BS299" s="189">
        <v>0.1</v>
      </c>
      <c r="BT299" s="189">
        <v>1</v>
      </c>
      <c r="BU299" s="188" t="s">
        <v>258</v>
      </c>
      <c r="BV299" s="190" t="s">
        <v>476</v>
      </c>
      <c r="BW299" s="196">
        <v>0.56999999999999995</v>
      </c>
      <c r="BX299" s="186" t="s">
        <v>571</v>
      </c>
      <c r="BY299" s="189">
        <v>0.1</v>
      </c>
      <c r="BZ299" s="189">
        <v>1</v>
      </c>
      <c r="CA299" s="188" t="s">
        <v>258</v>
      </c>
      <c r="CB299" s="180"/>
      <c r="CC299" s="178"/>
      <c r="CD299" s="178"/>
      <c r="CE299" s="180"/>
      <c r="CF299" s="180"/>
      <c r="CG299" s="180"/>
      <c r="CH299" s="180"/>
      <c r="CI299" s="178"/>
      <c r="CJ299" s="178"/>
      <c r="CK299" s="180"/>
      <c r="CL299" s="180"/>
      <c r="CM299" s="180"/>
      <c r="CN299" s="116"/>
      <c r="CO299" s="218">
        <f t="shared" si="179"/>
        <v>0.1</v>
      </c>
      <c r="CP299" s="100">
        <f t="shared" si="180"/>
        <v>0.55000000000000004</v>
      </c>
      <c r="CQ299" s="218">
        <f t="shared" si="181"/>
        <v>1</v>
      </c>
    </row>
    <row r="300" spans="1:110" s="101" customFormat="1" ht="29.25" thickBot="1" x14ac:dyDescent="0.3">
      <c r="A300" s="99"/>
      <c r="V300" s="103"/>
      <c r="AA300" s="104"/>
      <c r="AB300" s="104"/>
      <c r="AD300" s="104"/>
      <c r="AE300" s="105"/>
      <c r="AH300" s="106"/>
      <c r="AI300" s="106"/>
      <c r="AK300" s="104"/>
      <c r="AR300" s="104"/>
      <c r="AT300" s="227" t="s">
        <v>488</v>
      </c>
      <c r="AU300" s="226">
        <v>0.15</v>
      </c>
      <c r="AV300" s="221">
        <f t="shared" ref="AV300:AV306" si="187">((AU300*0.5*1)*0.5*(16/12))*(1-0)</f>
        <v>4.9999999999999996E-2</v>
      </c>
      <c r="AW300" s="221">
        <f t="shared" ref="AW300:AW306" si="188">((AU300*0.5*0.5)*0.5*(16/12))*(1-0)</f>
        <v>2.4999999999999998E-2</v>
      </c>
      <c r="AX300" s="221">
        <f t="shared" ref="AX300:AX306" si="189">((AU300*0.5*0.8)*0.5*(16/12))*(1-0.1)</f>
        <v>3.5999999999999997E-2</v>
      </c>
      <c r="AY300" s="221">
        <f t="shared" si="184"/>
        <v>1.7999999999999999E-2</v>
      </c>
      <c r="AZ300" s="221">
        <f t="shared" si="185"/>
        <v>2.7E-2</v>
      </c>
      <c r="BA300" s="231">
        <f t="shared" si="182"/>
        <v>3.1199999999999995E-2</v>
      </c>
      <c r="BB300" s="231">
        <f t="shared" si="183"/>
        <v>1.2316655390161741E-2</v>
      </c>
      <c r="BC300" s="232">
        <f t="shared" si="186"/>
        <v>0.49079258210126642</v>
      </c>
      <c r="BE300" s="220"/>
      <c r="BF300" s="220"/>
      <c r="BH300" s="120" t="s">
        <v>97</v>
      </c>
      <c r="BI300" s="203" t="s">
        <v>599</v>
      </c>
      <c r="BJ300" s="190" t="s">
        <v>476</v>
      </c>
      <c r="BK300" s="196">
        <v>5.6000000000000004E-7</v>
      </c>
      <c r="BL300" s="190" t="s">
        <v>425</v>
      </c>
      <c r="BM300" s="189">
        <v>0.1</v>
      </c>
      <c r="BN300" s="189">
        <v>1</v>
      </c>
      <c r="BO300" s="188" t="s">
        <v>258</v>
      </c>
      <c r="BP300" s="190" t="s">
        <v>476</v>
      </c>
      <c r="BQ300" s="196">
        <v>4.2000000000000002E-4</v>
      </c>
      <c r="BR300" s="186" t="s">
        <v>426</v>
      </c>
      <c r="BS300" s="189">
        <v>0.1</v>
      </c>
      <c r="BT300" s="189">
        <v>1</v>
      </c>
      <c r="BU300" s="188" t="s">
        <v>258</v>
      </c>
      <c r="BV300" s="190" t="s">
        <v>476</v>
      </c>
      <c r="BW300" s="196">
        <v>0.17</v>
      </c>
      <c r="BX300" s="186" t="s">
        <v>571</v>
      </c>
      <c r="BY300" s="189">
        <v>0.1</v>
      </c>
      <c r="BZ300" s="189">
        <v>1</v>
      </c>
      <c r="CA300" s="188" t="s">
        <v>258</v>
      </c>
      <c r="CB300" s="180"/>
      <c r="CC300" s="178"/>
      <c r="CD300" s="178"/>
      <c r="CE300" s="180"/>
      <c r="CF300" s="180"/>
      <c r="CG300" s="180"/>
      <c r="CH300" s="180"/>
      <c r="CI300" s="178"/>
      <c r="CJ300" s="178"/>
      <c r="CK300" s="180"/>
      <c r="CL300" s="180"/>
      <c r="CM300" s="180"/>
      <c r="CN300" s="116"/>
      <c r="CO300" s="218">
        <f t="shared" si="179"/>
        <v>0.1</v>
      </c>
      <c r="CP300" s="100">
        <f t="shared" si="180"/>
        <v>0.55000000000000004</v>
      </c>
      <c r="CQ300" s="218">
        <f t="shared" si="181"/>
        <v>1</v>
      </c>
    </row>
    <row r="301" spans="1:110" s="101" customFormat="1" ht="29.25" thickBot="1" x14ac:dyDescent="0.3">
      <c r="A301" s="99"/>
      <c r="V301" s="103"/>
      <c r="AA301" s="104"/>
      <c r="AB301" s="104"/>
      <c r="AD301" s="104"/>
      <c r="AE301" s="105"/>
      <c r="AH301" s="106"/>
      <c r="AI301" s="106"/>
      <c r="AK301" s="104"/>
      <c r="AR301" s="104"/>
      <c r="AT301" s="227" t="s">
        <v>487</v>
      </c>
      <c r="AU301" s="226">
        <v>0.24</v>
      </c>
      <c r="AV301" s="221">
        <f t="shared" si="187"/>
        <v>7.9999999999999988E-2</v>
      </c>
      <c r="AW301" s="221">
        <f t="shared" si="188"/>
        <v>3.9999999999999994E-2</v>
      </c>
      <c r="AX301" s="221">
        <f t="shared" si="189"/>
        <v>5.7600000000000005E-2</v>
      </c>
      <c r="AY301" s="221">
        <f t="shared" si="184"/>
        <v>2.8800000000000003E-2</v>
      </c>
      <c r="AZ301" s="221">
        <f t="shared" si="185"/>
        <v>4.3199999999999995E-2</v>
      </c>
      <c r="BA301" s="231">
        <f t="shared" si="182"/>
        <v>4.9919999999999992E-2</v>
      </c>
      <c r="BB301" s="231">
        <f t="shared" si="183"/>
        <v>1.9706648624258784E-2</v>
      </c>
      <c r="BC301" s="232">
        <f t="shared" si="186"/>
        <v>0.49079258210126631</v>
      </c>
      <c r="BE301" s="220"/>
      <c r="BF301" s="220"/>
      <c r="BH301" s="120" t="s">
        <v>97</v>
      </c>
      <c r="BI301" s="203" t="s">
        <v>600</v>
      </c>
      <c r="BJ301" s="190" t="s">
        <v>476</v>
      </c>
      <c r="BK301" s="196">
        <v>9.7000000000000003E-6</v>
      </c>
      <c r="BL301" s="190" t="s">
        <v>425</v>
      </c>
      <c r="BM301" s="189">
        <v>0.1</v>
      </c>
      <c r="BN301" s="189">
        <v>1</v>
      </c>
      <c r="BO301" s="188" t="s">
        <v>258</v>
      </c>
      <c r="BP301" s="190" t="s">
        <v>476</v>
      </c>
      <c r="BQ301" s="196">
        <v>8.9999999999999998E-4</v>
      </c>
      <c r="BR301" s="186" t="s">
        <v>426</v>
      </c>
      <c r="BS301" s="189">
        <v>0.1</v>
      </c>
      <c r="BT301" s="189">
        <v>1</v>
      </c>
      <c r="BU301" s="188" t="s">
        <v>258</v>
      </c>
      <c r="BV301" s="190" t="s">
        <v>476</v>
      </c>
      <c r="BW301" s="196">
        <v>0.57999999999999996</v>
      </c>
      <c r="BX301" s="186" t="s">
        <v>571</v>
      </c>
      <c r="BY301" s="189">
        <v>0.1</v>
      </c>
      <c r="BZ301" s="189">
        <v>1</v>
      </c>
      <c r="CA301" s="188" t="s">
        <v>258</v>
      </c>
      <c r="CB301" s="180"/>
      <c r="CC301" s="178"/>
      <c r="CD301" s="178"/>
      <c r="CE301" s="180"/>
      <c r="CF301" s="180"/>
      <c r="CG301" s="180"/>
      <c r="CH301" s="180"/>
      <c r="CI301" s="178"/>
      <c r="CJ301" s="178"/>
      <c r="CK301" s="180"/>
      <c r="CL301" s="180"/>
      <c r="CM301" s="180"/>
      <c r="CN301" s="116"/>
      <c r="CO301" s="218">
        <f t="shared" si="179"/>
        <v>0.1</v>
      </c>
      <c r="CP301" s="100">
        <f t="shared" si="180"/>
        <v>0.55000000000000004</v>
      </c>
      <c r="CQ301" s="218">
        <f t="shared" si="181"/>
        <v>1</v>
      </c>
    </row>
    <row r="302" spans="1:110" s="101" customFormat="1" ht="29.25" thickBot="1" x14ac:dyDescent="0.3">
      <c r="A302" s="99"/>
      <c r="V302" s="103"/>
      <c r="AA302" s="104"/>
      <c r="AB302" s="104"/>
      <c r="AD302" s="104"/>
      <c r="AE302" s="105"/>
      <c r="AH302" s="106"/>
      <c r="AI302" s="106"/>
      <c r="AK302" s="104"/>
      <c r="AR302" s="104"/>
      <c r="AT302" s="227" t="s">
        <v>489</v>
      </c>
      <c r="AU302" s="226">
        <v>0.43</v>
      </c>
      <c r="AV302" s="221">
        <f t="shared" si="187"/>
        <v>0.14333333333333331</v>
      </c>
      <c r="AW302" s="221">
        <f t="shared" si="188"/>
        <v>7.1666666666666656E-2</v>
      </c>
      <c r="AX302" s="221">
        <f t="shared" si="189"/>
        <v>0.1032</v>
      </c>
      <c r="AY302" s="221">
        <f t="shared" si="184"/>
        <v>5.16E-2</v>
      </c>
      <c r="AZ302" s="221">
        <f t="shared" si="185"/>
        <v>7.7399999999999997E-2</v>
      </c>
      <c r="BA302" s="231">
        <f t="shared" si="182"/>
        <v>8.9439999999999992E-2</v>
      </c>
      <c r="BB302" s="231">
        <f t="shared" si="183"/>
        <v>3.5307745451796956E-2</v>
      </c>
      <c r="BC302" s="232">
        <f t="shared" si="186"/>
        <v>0.49079258210126586</v>
      </c>
      <c r="BE302" s="220"/>
      <c r="BF302" s="220"/>
      <c r="BH302" s="120" t="s">
        <v>97</v>
      </c>
      <c r="BI302" s="203" t="s">
        <v>576</v>
      </c>
      <c r="BJ302" s="190" t="s">
        <v>476</v>
      </c>
      <c r="BK302" s="196">
        <v>9.7000000000000003E-6</v>
      </c>
      <c r="BL302" s="190" t="s">
        <v>425</v>
      </c>
      <c r="BM302" s="189">
        <v>0.1</v>
      </c>
      <c r="BN302" s="189">
        <v>1</v>
      </c>
      <c r="BO302" s="188" t="s">
        <v>258</v>
      </c>
      <c r="BP302" s="190" t="s">
        <v>476</v>
      </c>
      <c r="BQ302" s="196">
        <v>4.4999999999999999E-4</v>
      </c>
      <c r="BR302" s="186" t="s">
        <v>426</v>
      </c>
      <c r="BS302" s="189">
        <v>0.1</v>
      </c>
      <c r="BT302" s="189">
        <v>1</v>
      </c>
      <c r="BU302" s="188" t="s">
        <v>258</v>
      </c>
      <c r="BV302" s="190" t="s">
        <v>476</v>
      </c>
      <c r="BW302" s="196">
        <v>1.47</v>
      </c>
      <c r="BX302" s="186" t="s">
        <v>571</v>
      </c>
      <c r="BY302" s="189">
        <v>0.1</v>
      </c>
      <c r="BZ302" s="189">
        <v>1</v>
      </c>
      <c r="CA302" s="188" t="s">
        <v>258</v>
      </c>
      <c r="CB302" s="180"/>
      <c r="CC302" s="178"/>
      <c r="CD302" s="178"/>
      <c r="CE302" s="180"/>
      <c r="CF302" s="180"/>
      <c r="CG302" s="180"/>
      <c r="CH302" s="180"/>
      <c r="CI302" s="178"/>
      <c r="CJ302" s="178"/>
      <c r="CK302" s="180"/>
      <c r="CL302" s="180"/>
      <c r="CM302" s="180"/>
      <c r="CN302" s="116"/>
      <c r="CO302" s="218">
        <f t="shared" si="179"/>
        <v>0.1</v>
      </c>
      <c r="CP302" s="100">
        <f t="shared" si="180"/>
        <v>0.55000000000000004</v>
      </c>
      <c r="CQ302" s="218">
        <f t="shared" si="181"/>
        <v>1</v>
      </c>
    </row>
    <row r="303" spans="1:110" s="101" customFormat="1" x14ac:dyDescent="0.25">
      <c r="A303" s="99"/>
      <c r="V303" s="103"/>
      <c r="AA303" s="104"/>
      <c r="AB303" s="104"/>
      <c r="AD303" s="104"/>
      <c r="AE303" s="105"/>
      <c r="AH303" s="106"/>
      <c r="AI303" s="106"/>
      <c r="AK303" s="104"/>
      <c r="AR303" s="104"/>
      <c r="AT303" s="227" t="s">
        <v>490</v>
      </c>
      <c r="AU303" s="226">
        <v>0.4</v>
      </c>
      <c r="AV303" s="221">
        <f t="shared" si="187"/>
        <v>0.13333333333333333</v>
      </c>
      <c r="AW303" s="221">
        <f t="shared" si="188"/>
        <v>6.6666666666666666E-2</v>
      </c>
      <c r="AX303" s="221">
        <f t="shared" si="189"/>
        <v>9.6000000000000016E-2</v>
      </c>
      <c r="AY303" s="221">
        <f t="shared" si="184"/>
        <v>4.8000000000000008E-2</v>
      </c>
      <c r="AZ303" s="221">
        <f t="shared" si="185"/>
        <v>7.1999999999999995E-2</v>
      </c>
      <c r="BA303" s="231">
        <f t="shared" si="182"/>
        <v>8.320000000000001E-2</v>
      </c>
      <c r="BB303" s="231">
        <f t="shared" si="183"/>
        <v>3.2844414373764612E-2</v>
      </c>
      <c r="BC303" s="232">
        <f t="shared" si="186"/>
        <v>0.49079258210126586</v>
      </c>
      <c r="BE303" s="220"/>
      <c r="BF303" s="220"/>
      <c r="BH303" s="99"/>
      <c r="BI303" s="102"/>
      <c r="BJ303" s="178"/>
      <c r="BK303" s="178"/>
      <c r="BL303" s="178"/>
      <c r="BM303" s="169"/>
      <c r="BN303" s="169"/>
      <c r="BO303" s="169"/>
      <c r="BP303" s="178"/>
      <c r="BQ303" s="178"/>
      <c r="BR303" s="178"/>
      <c r="BS303" s="178"/>
      <c r="BT303" s="178"/>
      <c r="BU303" s="178"/>
      <c r="BV303" s="180"/>
      <c r="BW303" s="178"/>
      <c r="BX303" s="178"/>
      <c r="BY303" s="180"/>
      <c r="BZ303" s="180"/>
      <c r="CA303" s="180"/>
      <c r="CB303" s="180"/>
      <c r="CC303" s="178"/>
      <c r="CD303" s="178"/>
      <c r="CE303" s="180"/>
      <c r="CF303" s="180"/>
      <c r="CG303" s="180"/>
      <c r="CH303" s="180"/>
      <c r="CI303" s="178"/>
      <c r="CJ303" s="178"/>
      <c r="CK303" s="180"/>
      <c r="CL303" s="180"/>
      <c r="CM303" s="180"/>
      <c r="CN303" s="116"/>
      <c r="CO303" s="218">
        <f t="shared" si="179"/>
        <v>0</v>
      </c>
      <c r="CP303" s="100">
        <f t="shared" si="180"/>
        <v>0</v>
      </c>
      <c r="CQ303" s="218">
        <f t="shared" si="181"/>
        <v>0</v>
      </c>
    </row>
    <row r="304" spans="1:110" s="101" customFormat="1" ht="18.75" thickBot="1" x14ac:dyDescent="0.3">
      <c r="A304" s="99"/>
      <c r="V304" s="103"/>
      <c r="AA304" s="104"/>
      <c r="AB304" s="104"/>
      <c r="AD304" s="104"/>
      <c r="AE304" s="105"/>
      <c r="AH304" s="106"/>
      <c r="AI304" s="106"/>
      <c r="AK304" s="104"/>
      <c r="AR304" s="104"/>
      <c r="AT304" s="227" t="s">
        <v>491</v>
      </c>
      <c r="AU304" s="226">
        <v>0.39</v>
      </c>
      <c r="AV304" s="221">
        <f t="shared" si="187"/>
        <v>0.13</v>
      </c>
      <c r="AW304" s="221">
        <f t="shared" si="188"/>
        <v>6.5000000000000002E-2</v>
      </c>
      <c r="AX304" s="221">
        <f t="shared" si="189"/>
        <v>9.3600000000000017E-2</v>
      </c>
      <c r="AY304" s="221">
        <f t="shared" si="184"/>
        <v>4.6800000000000008E-2</v>
      </c>
      <c r="AZ304" s="221">
        <f t="shared" si="185"/>
        <v>7.0199999999999985E-2</v>
      </c>
      <c r="BA304" s="231">
        <f t="shared" si="182"/>
        <v>8.1119999999999998E-2</v>
      </c>
      <c r="BB304" s="231">
        <f t="shared" si="183"/>
        <v>3.2023304014420516E-2</v>
      </c>
      <c r="BC304" s="232">
        <f t="shared" si="186"/>
        <v>0.49079258210126619</v>
      </c>
      <c r="BE304" s="219"/>
      <c r="BH304" s="99"/>
      <c r="BI304" s="102"/>
      <c r="BJ304" s="178"/>
      <c r="BK304" s="178"/>
      <c r="BL304" s="178"/>
      <c r="BM304" s="169"/>
      <c r="BN304" s="169"/>
      <c r="BO304" s="169"/>
      <c r="BP304" s="178"/>
      <c r="BQ304" s="178"/>
      <c r="BR304" s="178"/>
      <c r="BS304" s="178"/>
      <c r="BT304" s="178"/>
      <c r="BU304" s="178"/>
      <c r="BV304" s="180"/>
      <c r="BW304" s="178"/>
      <c r="BX304" s="178"/>
      <c r="BY304" s="180"/>
      <c r="BZ304" s="180"/>
      <c r="CA304" s="180"/>
      <c r="CB304" s="102"/>
      <c r="CC304" s="102"/>
      <c r="CD304" s="102"/>
      <c r="CE304" s="102"/>
      <c r="CF304" s="102"/>
      <c r="CG304" s="102"/>
      <c r="CH304" s="102"/>
      <c r="CI304" s="102"/>
      <c r="CJ304" s="102"/>
      <c r="CK304" s="102"/>
      <c r="CL304" s="102"/>
      <c r="CM304" s="102"/>
      <c r="CO304" s="218">
        <f t="shared" si="179"/>
        <v>0</v>
      </c>
      <c r="CP304" s="100">
        <f t="shared" si="180"/>
        <v>0</v>
      </c>
      <c r="CQ304" s="218">
        <f t="shared" si="181"/>
        <v>0</v>
      </c>
      <c r="CZ304" s="116" t="s">
        <v>377</v>
      </c>
      <c r="DA304" s="116" t="s">
        <v>378</v>
      </c>
      <c r="DC304" s="116" t="s">
        <v>388</v>
      </c>
      <c r="DD304" s="116"/>
      <c r="DE304" s="116"/>
      <c r="DF304" s="116"/>
    </row>
    <row r="305" spans="1:110" s="101" customFormat="1" ht="33" customHeight="1" x14ac:dyDescent="0.25">
      <c r="A305" s="99"/>
      <c r="V305" s="103"/>
      <c r="AA305" s="104"/>
      <c r="AB305" s="104"/>
      <c r="AD305" s="104"/>
      <c r="AE305" s="105"/>
      <c r="AH305" s="106"/>
      <c r="AI305" s="106"/>
      <c r="AK305" s="104"/>
      <c r="AR305" s="104"/>
      <c r="AT305" s="227" t="s">
        <v>499</v>
      </c>
      <c r="AU305" s="226">
        <v>0.04</v>
      </c>
      <c r="AV305" s="221">
        <f t="shared" si="187"/>
        <v>1.3333333333333332E-2</v>
      </c>
      <c r="AW305" s="221">
        <f t="shared" si="188"/>
        <v>6.6666666666666662E-3</v>
      </c>
      <c r="AX305" s="221">
        <f t="shared" si="189"/>
        <v>9.5999999999999992E-3</v>
      </c>
      <c r="AY305" s="221">
        <f t="shared" si="184"/>
        <v>4.7999999999999996E-3</v>
      </c>
      <c r="AZ305" s="221">
        <f t="shared" si="185"/>
        <v>7.2000000000000007E-3</v>
      </c>
      <c r="BA305" s="231">
        <f t="shared" si="182"/>
        <v>8.3199999999999975E-3</v>
      </c>
      <c r="BB305" s="231">
        <f t="shared" si="183"/>
        <v>3.2844414373764635E-3</v>
      </c>
      <c r="BC305" s="232">
        <f t="shared" si="186"/>
        <v>0.49079258210126642</v>
      </c>
      <c r="BE305" s="104"/>
      <c r="BH305" s="99"/>
      <c r="BI305" s="1606" t="s">
        <v>334</v>
      </c>
      <c r="BJ305" s="1606" t="s">
        <v>253</v>
      </c>
      <c r="BK305" s="1606" t="s">
        <v>279</v>
      </c>
      <c r="BL305" s="251"/>
      <c r="BM305" s="1606" t="s">
        <v>233</v>
      </c>
      <c r="BN305" s="1606" t="s">
        <v>233</v>
      </c>
      <c r="BO305" s="1606" t="s">
        <v>240</v>
      </c>
      <c r="BP305" s="178"/>
      <c r="BQ305" s="178"/>
      <c r="BR305" s="178"/>
      <c r="BS305" s="178"/>
      <c r="BT305" s="178"/>
      <c r="BU305" s="178"/>
      <c r="BV305" s="180"/>
      <c r="BW305" s="178"/>
      <c r="BX305" s="178"/>
      <c r="BY305" s="180"/>
      <c r="BZ305" s="180"/>
      <c r="CA305" s="180"/>
      <c r="CB305" s="102"/>
      <c r="CC305" s="102"/>
      <c r="CD305" s="102"/>
      <c r="CE305" s="102"/>
      <c r="CF305" s="102"/>
      <c r="CG305" s="102"/>
      <c r="CH305" s="102"/>
      <c r="CI305" s="102"/>
      <c r="CJ305" s="102"/>
      <c r="CK305" s="102"/>
      <c r="CL305" s="102"/>
      <c r="CM305" s="102"/>
      <c r="CO305" s="218" t="str">
        <f t="shared" si="179"/>
        <v>Incertidumbre (+/- %)</v>
      </c>
      <c r="CP305" s="100" t="e">
        <f t="shared" si="180"/>
        <v>#VALUE!</v>
      </c>
      <c r="CQ305" s="218" t="str">
        <f t="shared" si="181"/>
        <v>Incertidumbre (+/- %)</v>
      </c>
      <c r="CX305" s="101">
        <v>0</v>
      </c>
      <c r="CZ305" s="116" t="s">
        <v>99</v>
      </c>
      <c r="DA305" s="116" t="s">
        <v>98</v>
      </c>
      <c r="DC305" s="116" t="s">
        <v>98</v>
      </c>
      <c r="DD305" s="116"/>
      <c r="DE305" s="116"/>
      <c r="DF305" s="116"/>
    </row>
    <row r="306" spans="1:110" s="101" customFormat="1" ht="15.75" thickBot="1" x14ac:dyDescent="0.3">
      <c r="A306" s="99"/>
      <c r="V306" s="103"/>
      <c r="AA306" s="104"/>
      <c r="AB306" s="104"/>
      <c r="AD306" s="104"/>
      <c r="AE306" s="105"/>
      <c r="AH306" s="106"/>
      <c r="AI306" s="106"/>
      <c r="AK306" s="104"/>
      <c r="AR306" s="104"/>
      <c r="AT306" s="227" t="s">
        <v>492</v>
      </c>
      <c r="AU306" s="226">
        <v>0.01</v>
      </c>
      <c r="AV306" s="221">
        <f t="shared" si="187"/>
        <v>3.3333333333333331E-3</v>
      </c>
      <c r="AW306" s="221">
        <f t="shared" si="188"/>
        <v>1.6666666666666666E-3</v>
      </c>
      <c r="AX306" s="221">
        <f t="shared" si="189"/>
        <v>2.3999999999999998E-3</v>
      </c>
      <c r="AY306" s="221">
        <f t="shared" si="184"/>
        <v>1.1999999999999999E-3</v>
      </c>
      <c r="AZ306" s="221">
        <f t="shared" si="185"/>
        <v>1.8000000000000002E-3</v>
      </c>
      <c r="BA306" s="231">
        <f t="shared" si="182"/>
        <v>2.0799999999999994E-3</v>
      </c>
      <c r="BB306" s="231">
        <f t="shared" si="183"/>
        <v>8.2111035934411534E-4</v>
      </c>
      <c r="BC306" s="232">
        <f t="shared" si="186"/>
        <v>0.49079258210126597</v>
      </c>
      <c r="BE306" s="104"/>
      <c r="BH306" s="99"/>
      <c r="BI306" s="1607"/>
      <c r="BJ306" s="1607"/>
      <c r="BK306" s="1607"/>
      <c r="BL306" s="252" t="s">
        <v>251</v>
      </c>
      <c r="BM306" s="1607"/>
      <c r="BN306" s="1607"/>
      <c r="BO306" s="1607"/>
      <c r="BP306" s="178"/>
      <c r="BQ306" s="178"/>
      <c r="BR306" s="178"/>
      <c r="BS306" s="178"/>
      <c r="BT306" s="178"/>
      <c r="BU306" s="178"/>
      <c r="BV306" s="180"/>
      <c r="BW306" s="178"/>
      <c r="BX306" s="178"/>
      <c r="BY306" s="180"/>
      <c r="BZ306" s="180"/>
      <c r="CA306" s="180"/>
      <c r="CB306" s="102"/>
      <c r="CC306" s="102"/>
      <c r="CD306" s="102"/>
      <c r="CE306" s="102"/>
      <c r="CF306" s="102"/>
      <c r="CG306" s="102"/>
      <c r="CH306" s="102"/>
      <c r="CI306" s="102"/>
      <c r="CJ306" s="102"/>
      <c r="CK306" s="102"/>
      <c r="CL306" s="102"/>
      <c r="CM306" s="102"/>
      <c r="CO306" s="218">
        <f t="shared" si="179"/>
        <v>0</v>
      </c>
      <c r="CP306" s="100">
        <f t="shared" si="180"/>
        <v>0</v>
      </c>
      <c r="CQ306" s="218">
        <f t="shared" si="181"/>
        <v>0</v>
      </c>
      <c r="CX306" s="101">
        <v>0</v>
      </c>
      <c r="CZ306" s="116">
        <v>0</v>
      </c>
      <c r="DA306" s="116">
        <v>0</v>
      </c>
      <c r="DC306" s="116">
        <v>0</v>
      </c>
      <c r="DD306" s="116"/>
      <c r="DE306" s="116"/>
      <c r="DF306" s="116"/>
    </row>
    <row r="307" spans="1:110" s="101" customFormat="1" ht="39" customHeight="1" thickBot="1" x14ac:dyDescent="0.3">
      <c r="A307" s="99"/>
      <c r="V307" s="103"/>
      <c r="AA307" s="104"/>
      <c r="AB307" s="104"/>
      <c r="AD307" s="104"/>
      <c r="AE307" s="105"/>
      <c r="AH307" s="106"/>
      <c r="AI307" s="106"/>
      <c r="AK307" s="104"/>
      <c r="AR307" s="104"/>
      <c r="AT307" s="100"/>
      <c r="AU307" s="233" t="s">
        <v>119</v>
      </c>
      <c r="AV307" s="234">
        <f>AVERAGE(AV297:AV306)</f>
        <v>6.749766666666665E-2</v>
      </c>
      <c r="AW307" s="234">
        <f>AVERAGE(AW297:AW306)</f>
        <v>3.3748833333333325E-2</v>
      </c>
      <c r="AX307" s="234">
        <f>AVERAGE(AX297:AX306)</f>
        <v>4.8598320000000007E-2</v>
      </c>
      <c r="AY307" s="234">
        <f>AVERAGE(AY297:AY306)</f>
        <v>2.4299160000000004E-2</v>
      </c>
      <c r="AZ307" s="234">
        <f>AVERAGE(AZ297:AZ306)</f>
        <v>3.6448739999999993E-2</v>
      </c>
      <c r="BB307" s="104"/>
      <c r="BC307" s="104"/>
      <c r="BE307" s="104"/>
      <c r="BH307" s="120" t="s">
        <v>54</v>
      </c>
      <c r="BI307" s="203" t="s">
        <v>500</v>
      </c>
      <c r="BJ307" s="190" t="s">
        <v>100</v>
      </c>
      <c r="BK307" s="196">
        <v>84.62</v>
      </c>
      <c r="BL307" s="190" t="s">
        <v>413</v>
      </c>
      <c r="BM307" s="189">
        <v>0.2</v>
      </c>
      <c r="BN307" s="189">
        <v>0.5</v>
      </c>
      <c r="BO307" s="188" t="s">
        <v>462</v>
      </c>
      <c r="BP307" s="178"/>
      <c r="BQ307" s="196">
        <v>1425</v>
      </c>
      <c r="BR307" s="190" t="s">
        <v>414</v>
      </c>
      <c r="BS307" s="178"/>
      <c r="BT307" s="178"/>
      <c r="BU307" s="178"/>
      <c r="BV307" s="180"/>
      <c r="BW307" s="178"/>
      <c r="BX307" s="178"/>
      <c r="BY307" s="180"/>
      <c r="BZ307" s="180"/>
      <c r="CA307" s="180"/>
      <c r="CB307" s="102"/>
      <c r="CC307" s="102"/>
      <c r="CD307" s="102"/>
      <c r="CE307" s="102"/>
      <c r="CF307" s="102"/>
      <c r="CG307" s="102"/>
      <c r="CH307" s="102"/>
      <c r="CI307" s="102"/>
      <c r="CJ307" s="102"/>
      <c r="CK307" s="102"/>
      <c r="CL307" s="102"/>
      <c r="CM307" s="102"/>
      <c r="CO307" s="218">
        <f t="shared" si="179"/>
        <v>0.2</v>
      </c>
      <c r="CP307" s="100">
        <f t="shared" si="180"/>
        <v>0.35</v>
      </c>
      <c r="CQ307" s="218">
        <f t="shared" si="181"/>
        <v>0.5</v>
      </c>
      <c r="CW307" s="101" t="s">
        <v>54</v>
      </c>
      <c r="CX307" s="101" t="s">
        <v>57</v>
      </c>
      <c r="CY307" s="101" t="s">
        <v>100</v>
      </c>
      <c r="CZ307" s="116">
        <v>57</v>
      </c>
      <c r="DA307" s="141">
        <f>+CZ307*21</f>
        <v>1197</v>
      </c>
      <c r="DB307" s="116" t="s">
        <v>375</v>
      </c>
      <c r="DC307" s="116">
        <f t="shared" ref="DC307:DC323" si="190">+CZ307*25</f>
        <v>1425</v>
      </c>
      <c r="DD307" s="116"/>
      <c r="DE307" s="116"/>
      <c r="DF307" s="116"/>
    </row>
    <row r="308" spans="1:110" s="101" customFormat="1" ht="39" customHeight="1" thickBot="1" x14ac:dyDescent="0.3">
      <c r="A308" s="99"/>
      <c r="V308" s="103"/>
      <c r="AA308" s="104"/>
      <c r="AB308" s="104"/>
      <c r="AD308" s="104"/>
      <c r="AE308" s="105"/>
      <c r="AH308" s="106"/>
      <c r="AI308" s="106"/>
      <c r="AK308" s="104"/>
      <c r="AR308" s="104"/>
      <c r="AT308" s="100"/>
      <c r="AU308" s="233" t="s">
        <v>503</v>
      </c>
      <c r="AV308" s="233">
        <f>STDEV(AV297:AV306)</f>
        <v>5.2230230403710561E-2</v>
      </c>
      <c r="AW308" s="233">
        <f>STDEV(AW297:AW306)</f>
        <v>2.611511520185528E-2</v>
      </c>
      <c r="AX308" s="233">
        <f>STDEV(AX297:AX306)</f>
        <v>3.7605765890671605E-2</v>
      </c>
      <c r="AY308" s="233">
        <f>STDEV(AY297:AY306)</f>
        <v>1.8802882945335803E-2</v>
      </c>
      <c r="AZ308" s="233">
        <f>STDEV(AZ297:AZ306)</f>
        <v>2.8204324418003707E-2</v>
      </c>
      <c r="BB308" s="104"/>
      <c r="BC308" s="104"/>
      <c r="BE308" s="104"/>
      <c r="BH308" s="120"/>
      <c r="BI308" s="203" t="s">
        <v>501</v>
      </c>
      <c r="BJ308" s="190" t="s">
        <v>100</v>
      </c>
      <c r="BK308" s="196">
        <v>60.44</v>
      </c>
      <c r="BL308" s="190" t="s">
        <v>413</v>
      </c>
      <c r="BM308" s="189">
        <v>0.2</v>
      </c>
      <c r="BN308" s="189">
        <v>0.5</v>
      </c>
      <c r="BO308" s="188" t="s">
        <v>462</v>
      </c>
      <c r="BP308" s="178"/>
      <c r="BQ308" s="196"/>
      <c r="BR308" s="190"/>
      <c r="BS308" s="178"/>
      <c r="BT308" s="178"/>
      <c r="BU308" s="178"/>
      <c r="BV308" s="180"/>
      <c r="BW308" s="178"/>
      <c r="BX308" s="178"/>
      <c r="BY308" s="180"/>
      <c r="BZ308" s="180"/>
      <c r="CA308" s="180"/>
      <c r="CB308" s="102"/>
      <c r="CC308" s="102"/>
      <c r="CD308" s="102"/>
      <c r="CE308" s="102"/>
      <c r="CF308" s="102"/>
      <c r="CG308" s="102"/>
      <c r="CH308" s="102"/>
      <c r="CI308" s="102"/>
      <c r="CJ308" s="102"/>
      <c r="CK308" s="102"/>
      <c r="CL308" s="102"/>
      <c r="CM308" s="102"/>
      <c r="CO308" s="218">
        <f t="shared" si="179"/>
        <v>0.2</v>
      </c>
      <c r="CP308" s="100">
        <f t="shared" si="180"/>
        <v>0.35</v>
      </c>
      <c r="CQ308" s="218">
        <f t="shared" si="181"/>
        <v>0.5</v>
      </c>
      <c r="CZ308" s="116"/>
      <c r="DA308" s="141"/>
      <c r="DB308" s="116"/>
      <c r="DC308" s="116"/>
      <c r="DD308" s="116"/>
      <c r="DE308" s="116"/>
      <c r="DF308" s="116"/>
    </row>
    <row r="309" spans="1:110" s="101" customFormat="1" ht="39" customHeight="1" thickBot="1" x14ac:dyDescent="0.3">
      <c r="A309" s="99"/>
      <c r="V309" s="103"/>
      <c r="AA309" s="104"/>
      <c r="AB309" s="104"/>
      <c r="AD309" s="104"/>
      <c r="AE309" s="105"/>
      <c r="AH309" s="106"/>
      <c r="AI309" s="106"/>
      <c r="AK309" s="104"/>
      <c r="AR309" s="104"/>
      <c r="AU309" s="233" t="s">
        <v>117</v>
      </c>
      <c r="AV309" s="233">
        <f>BJ467</f>
        <v>2.31</v>
      </c>
      <c r="AW309" s="235">
        <f>AV309</f>
        <v>2.31</v>
      </c>
      <c r="AX309" s="235">
        <f>AW309</f>
        <v>2.31</v>
      </c>
      <c r="AY309" s="235">
        <f>AX309</f>
        <v>2.31</v>
      </c>
      <c r="AZ309" s="235">
        <f>AY309</f>
        <v>2.31</v>
      </c>
      <c r="BB309" s="104"/>
      <c r="BC309" s="104"/>
      <c r="BE309" s="104"/>
      <c r="BH309" s="120"/>
      <c r="BI309" s="203" t="s">
        <v>502</v>
      </c>
      <c r="BJ309" s="190" t="s">
        <v>100</v>
      </c>
      <c r="BK309" s="196">
        <v>53.05</v>
      </c>
      <c r="BL309" s="190" t="s">
        <v>413</v>
      </c>
      <c r="BM309" s="189">
        <v>0.2</v>
      </c>
      <c r="BN309" s="189">
        <v>0.5</v>
      </c>
      <c r="BO309" s="188" t="s">
        <v>462</v>
      </c>
      <c r="BP309" s="178"/>
      <c r="BQ309" s="196"/>
      <c r="BR309" s="190"/>
      <c r="BS309" s="178"/>
      <c r="BT309" s="178"/>
      <c r="BU309" s="178"/>
      <c r="BV309" s="180"/>
      <c r="BW309" s="178"/>
      <c r="BX309" s="178"/>
      <c r="BY309" s="180"/>
      <c r="BZ309" s="180"/>
      <c r="CA309" s="180"/>
      <c r="CB309" s="102"/>
      <c r="CC309" s="102"/>
      <c r="CD309" s="102"/>
      <c r="CE309" s="102"/>
      <c r="CF309" s="102"/>
      <c r="CG309" s="102"/>
      <c r="CH309" s="102"/>
      <c r="CI309" s="102"/>
      <c r="CJ309" s="102"/>
      <c r="CK309" s="102"/>
      <c r="CL309" s="102"/>
      <c r="CM309" s="102"/>
      <c r="CO309" s="218">
        <f t="shared" si="179"/>
        <v>0.2</v>
      </c>
      <c r="CP309" s="100">
        <f t="shared" si="180"/>
        <v>0.35</v>
      </c>
      <c r="CQ309" s="218">
        <f t="shared" si="181"/>
        <v>0.5</v>
      </c>
      <c r="CZ309" s="116"/>
      <c r="DA309" s="141"/>
      <c r="DB309" s="116"/>
      <c r="DC309" s="116"/>
      <c r="DD309" s="116"/>
      <c r="DE309" s="116"/>
      <c r="DF309" s="116"/>
    </row>
    <row r="310" spans="1:110" s="101" customFormat="1" ht="15" customHeight="1" thickBot="1" x14ac:dyDescent="0.3">
      <c r="A310" s="99"/>
      <c r="V310" s="103"/>
      <c r="AA310" s="104"/>
      <c r="AB310" s="104"/>
      <c r="AD310" s="104"/>
      <c r="AE310" s="105"/>
      <c r="AH310" s="106"/>
      <c r="AI310" s="106"/>
      <c r="AK310" s="104"/>
      <c r="AR310" s="104"/>
      <c r="AU310" s="233" t="s">
        <v>120</v>
      </c>
      <c r="AV310" s="232">
        <f>1-((AV307-((AV308*AV309)/(SQRT(9))))/AV307)</f>
        <v>0.59583211386354795</v>
      </c>
      <c r="AW310" s="232">
        <f>1-((AW307-((AW308*AW309)/(SQRT(9))))/AW307)</f>
        <v>0.59583211386354795</v>
      </c>
      <c r="AX310" s="232">
        <f>1-((AX307-((AX308*AX309)/(SQRT(9))))/AX307)</f>
        <v>0.59583211386354773</v>
      </c>
      <c r="AY310" s="232">
        <f>1-((AY307-((AY308*AY309)/(SQRT(9))))/AY307)</f>
        <v>0.59583211386354773</v>
      </c>
      <c r="AZ310" s="232">
        <f>1-((AZ307-((AZ308*AZ309)/(SQRT(9))))/AZ307)</f>
        <v>0.59583211386354806</v>
      </c>
      <c r="BB310" s="104"/>
      <c r="BC310" s="104"/>
      <c r="BE310" s="104"/>
      <c r="BH310" s="120"/>
      <c r="BI310" s="203" t="s">
        <v>463</v>
      </c>
      <c r="BJ310" s="190" t="s">
        <v>100</v>
      </c>
      <c r="BK310" s="196">
        <v>57.53</v>
      </c>
      <c r="BL310" s="190" t="s">
        <v>413</v>
      </c>
      <c r="BM310" s="189">
        <v>0.2</v>
      </c>
      <c r="BN310" s="189">
        <v>0.5</v>
      </c>
      <c r="BO310" s="188" t="s">
        <v>462</v>
      </c>
      <c r="BP310" s="178"/>
      <c r="BQ310" s="196"/>
      <c r="BR310" s="190"/>
      <c r="BS310" s="178"/>
      <c r="BT310" s="178"/>
      <c r="BU310" s="178"/>
      <c r="BV310" s="180"/>
      <c r="BW310" s="178"/>
      <c r="BX310" s="178"/>
      <c r="BY310" s="180"/>
      <c r="BZ310" s="180"/>
      <c r="CA310" s="180"/>
      <c r="CB310" s="102"/>
      <c r="CC310" s="102"/>
      <c r="CD310" s="102"/>
      <c r="CE310" s="102"/>
      <c r="CF310" s="102"/>
      <c r="CG310" s="102"/>
      <c r="CH310" s="102"/>
      <c r="CI310" s="102"/>
      <c r="CJ310" s="102"/>
      <c r="CK310" s="102"/>
      <c r="CL310" s="102"/>
      <c r="CM310" s="102"/>
      <c r="CO310" s="218">
        <f t="shared" si="179"/>
        <v>0.2</v>
      </c>
      <c r="CP310" s="100">
        <f t="shared" si="180"/>
        <v>0.35</v>
      </c>
      <c r="CQ310" s="218">
        <f t="shared" si="181"/>
        <v>0.5</v>
      </c>
      <c r="CZ310" s="116"/>
      <c r="DA310" s="141"/>
      <c r="DB310" s="116"/>
      <c r="DC310" s="116"/>
      <c r="DD310" s="116"/>
      <c r="DE310" s="116"/>
      <c r="DF310" s="116"/>
    </row>
    <row r="311" spans="1:110" s="101" customFormat="1" ht="15" customHeight="1" thickBot="1" x14ac:dyDescent="0.3">
      <c r="A311" s="99"/>
      <c r="V311" s="103"/>
      <c r="AA311" s="104"/>
      <c r="AB311" s="104"/>
      <c r="AD311" s="104"/>
      <c r="AE311" s="105"/>
      <c r="AH311" s="106"/>
      <c r="AI311" s="106"/>
      <c r="AK311" s="104"/>
      <c r="AR311" s="104"/>
      <c r="AV311" s="104"/>
      <c r="AX311" s="104"/>
      <c r="BB311" s="104"/>
      <c r="BC311" s="104"/>
      <c r="BE311" s="104"/>
      <c r="BH311" s="120"/>
      <c r="BI311" s="203" t="s">
        <v>464</v>
      </c>
      <c r="BJ311" s="190" t="s">
        <v>100</v>
      </c>
      <c r="BK311" s="196">
        <v>20.14</v>
      </c>
      <c r="BL311" s="190" t="s">
        <v>413</v>
      </c>
      <c r="BM311" s="189">
        <v>0.2</v>
      </c>
      <c r="BN311" s="189">
        <v>0.5</v>
      </c>
      <c r="BO311" s="188" t="s">
        <v>462</v>
      </c>
      <c r="BP311" s="178"/>
      <c r="BQ311" s="196"/>
      <c r="BR311" s="190"/>
      <c r="BS311" s="178"/>
      <c r="BT311" s="178"/>
      <c r="BU311" s="178"/>
      <c r="BV311" s="180"/>
      <c r="BW311" s="178"/>
      <c r="BX311" s="178"/>
      <c r="BY311" s="180"/>
      <c r="BZ311" s="180"/>
      <c r="CA311" s="180"/>
      <c r="CB311" s="102"/>
      <c r="CC311" s="102"/>
      <c r="CD311" s="102"/>
      <c r="CE311" s="102"/>
      <c r="CF311" s="102"/>
      <c r="CG311" s="102"/>
      <c r="CH311" s="102"/>
      <c r="CI311" s="102"/>
      <c r="CJ311" s="102"/>
      <c r="CK311" s="102"/>
      <c r="CL311" s="102"/>
      <c r="CM311" s="102"/>
      <c r="CO311" s="218">
        <f t="shared" si="179"/>
        <v>0.2</v>
      </c>
      <c r="CP311" s="100">
        <f t="shared" si="180"/>
        <v>0.35</v>
      </c>
      <c r="CQ311" s="218">
        <f t="shared" si="181"/>
        <v>0.5</v>
      </c>
      <c r="CZ311" s="116"/>
      <c r="DA311" s="141"/>
      <c r="DB311" s="116"/>
      <c r="DC311" s="116"/>
      <c r="DD311" s="116"/>
      <c r="DE311" s="116"/>
      <c r="DF311" s="116"/>
    </row>
    <row r="312" spans="1:110" s="101" customFormat="1" ht="15" customHeight="1" thickBot="1" x14ac:dyDescent="0.3">
      <c r="A312" s="99"/>
      <c r="V312" s="103"/>
      <c r="AA312" s="104"/>
      <c r="AB312" s="104"/>
      <c r="AD312" s="104"/>
      <c r="AE312" s="105"/>
      <c r="AH312" s="106"/>
      <c r="AI312" s="106"/>
      <c r="AK312" s="104"/>
      <c r="AR312" s="104"/>
      <c r="AV312" s="104"/>
      <c r="AX312" s="104"/>
      <c r="BB312" s="104"/>
      <c r="BC312" s="104"/>
      <c r="BE312" s="104"/>
      <c r="BH312" s="120"/>
      <c r="BI312" s="203" t="s">
        <v>465</v>
      </c>
      <c r="BJ312" s="190" t="s">
        <v>100</v>
      </c>
      <c r="BK312" s="196">
        <v>30.91</v>
      </c>
      <c r="BL312" s="190" t="s">
        <v>413</v>
      </c>
      <c r="BM312" s="189">
        <v>0.2</v>
      </c>
      <c r="BN312" s="189">
        <v>0.5</v>
      </c>
      <c r="BO312" s="188" t="s">
        <v>462</v>
      </c>
      <c r="BP312" s="178"/>
      <c r="BQ312" s="196"/>
      <c r="BR312" s="190"/>
      <c r="BS312" s="178"/>
      <c r="BT312" s="178"/>
      <c r="BU312" s="178"/>
      <c r="BV312" s="180"/>
      <c r="BW312" s="178"/>
      <c r="BX312" s="178"/>
      <c r="BY312" s="180"/>
      <c r="BZ312" s="180"/>
      <c r="CA312" s="180"/>
      <c r="CB312" s="102"/>
      <c r="CC312" s="102"/>
      <c r="CD312" s="102"/>
      <c r="CE312" s="102"/>
      <c r="CF312" s="102"/>
      <c r="CG312" s="102"/>
      <c r="CH312" s="102"/>
      <c r="CI312" s="102"/>
      <c r="CJ312" s="102"/>
      <c r="CK312" s="102"/>
      <c r="CL312" s="102"/>
      <c r="CM312" s="102"/>
      <c r="CO312" s="218">
        <f t="shared" si="179"/>
        <v>0.2</v>
      </c>
      <c r="CP312" s="100">
        <f t="shared" si="180"/>
        <v>0.35</v>
      </c>
      <c r="CQ312" s="218">
        <f t="shared" si="181"/>
        <v>0.5</v>
      </c>
      <c r="CZ312" s="116"/>
      <c r="DA312" s="141"/>
      <c r="DB312" s="116"/>
      <c r="DC312" s="116"/>
      <c r="DD312" s="116"/>
      <c r="DE312" s="116"/>
      <c r="DF312" s="116"/>
    </row>
    <row r="313" spans="1:110" s="101" customFormat="1" ht="15" customHeight="1" thickBot="1" x14ac:dyDescent="0.3">
      <c r="A313" s="99"/>
      <c r="V313" s="103"/>
      <c r="AA313" s="104"/>
      <c r="AB313" s="104"/>
      <c r="AD313" s="104"/>
      <c r="AE313" s="105"/>
      <c r="AH313" s="106"/>
      <c r="AI313" s="106"/>
      <c r="AK313" s="104"/>
      <c r="AR313" s="104"/>
      <c r="AV313" s="104"/>
      <c r="AX313" s="104"/>
      <c r="BB313" s="104"/>
      <c r="BC313" s="104"/>
      <c r="BE313" s="104"/>
      <c r="BH313" s="120"/>
      <c r="BI313" s="203" t="s">
        <v>466</v>
      </c>
      <c r="BJ313" s="190" t="s">
        <v>100</v>
      </c>
      <c r="BK313" s="196">
        <v>36.97</v>
      </c>
      <c r="BL313" s="190" t="s">
        <v>413</v>
      </c>
      <c r="BM313" s="189">
        <v>0.2</v>
      </c>
      <c r="BN313" s="189">
        <v>0.5</v>
      </c>
      <c r="BO313" s="188" t="s">
        <v>462</v>
      </c>
      <c r="BP313" s="178"/>
      <c r="BQ313" s="196"/>
      <c r="BR313" s="190"/>
      <c r="BS313" s="178"/>
      <c r="BT313" s="178"/>
      <c r="BU313" s="178"/>
      <c r="BV313" s="180"/>
      <c r="BW313" s="178"/>
      <c r="BX313" s="178"/>
      <c r="BY313" s="180"/>
      <c r="BZ313" s="180"/>
      <c r="CA313" s="180"/>
      <c r="CB313" s="102"/>
      <c r="CC313" s="102"/>
      <c r="CD313" s="102"/>
      <c r="CE313" s="102"/>
      <c r="CF313" s="102"/>
      <c r="CG313" s="102"/>
      <c r="CH313" s="102"/>
      <c r="CI313" s="102"/>
      <c r="CJ313" s="102"/>
      <c r="CK313" s="102"/>
      <c r="CL313" s="102"/>
      <c r="CM313" s="102"/>
      <c r="CO313" s="218">
        <f t="shared" si="179"/>
        <v>0.2</v>
      </c>
      <c r="CP313" s="100">
        <f t="shared" si="180"/>
        <v>0.35</v>
      </c>
      <c r="CQ313" s="218">
        <f t="shared" si="181"/>
        <v>0.5</v>
      </c>
      <c r="CZ313" s="116"/>
      <c r="DA313" s="141"/>
      <c r="DB313" s="116"/>
      <c r="DC313" s="116"/>
      <c r="DD313" s="116"/>
      <c r="DE313" s="116"/>
      <c r="DF313" s="116"/>
    </row>
    <row r="314" spans="1:110" s="101" customFormat="1" ht="15" customHeight="1" thickBot="1" x14ac:dyDescent="0.3">
      <c r="A314" s="99"/>
      <c r="V314" s="103"/>
      <c r="AA314" s="104"/>
      <c r="AB314" s="104"/>
      <c r="AD314" s="104"/>
      <c r="AE314" s="105"/>
      <c r="AH314" s="106"/>
      <c r="AI314" s="106"/>
      <c r="AK314" s="104"/>
      <c r="AR314" s="104"/>
      <c r="AV314" s="104"/>
      <c r="AX314" s="104"/>
      <c r="BB314" s="104"/>
      <c r="BC314" s="104"/>
      <c r="BE314" s="104"/>
      <c r="BH314" s="120"/>
      <c r="BI314" s="203" t="s">
        <v>57</v>
      </c>
      <c r="BJ314" s="190" t="s">
        <v>100</v>
      </c>
      <c r="BK314" s="196">
        <v>63</v>
      </c>
      <c r="BL314" s="190" t="s">
        <v>413</v>
      </c>
      <c r="BM314" s="189">
        <v>0.3</v>
      </c>
      <c r="BN314" s="189">
        <v>0.5</v>
      </c>
      <c r="BO314" s="188" t="s">
        <v>258</v>
      </c>
      <c r="BP314" s="178"/>
      <c r="BQ314" s="196"/>
      <c r="BR314" s="190"/>
      <c r="BS314" s="178"/>
      <c r="BT314" s="178"/>
      <c r="BU314" s="178"/>
      <c r="BV314" s="180"/>
      <c r="BW314" s="178"/>
      <c r="BX314" s="178"/>
      <c r="BY314" s="180"/>
      <c r="BZ314" s="180"/>
      <c r="CA314" s="180"/>
      <c r="CB314" s="102"/>
      <c r="CC314" s="102"/>
      <c r="CD314" s="102"/>
      <c r="CE314" s="102"/>
      <c r="CF314" s="102"/>
      <c r="CG314" s="102"/>
      <c r="CH314" s="102"/>
      <c r="CI314" s="102"/>
      <c r="CJ314" s="102"/>
      <c r="CK314" s="102"/>
      <c r="CL314" s="102"/>
      <c r="CM314" s="102"/>
      <c r="CO314" s="218">
        <f t="shared" si="179"/>
        <v>0.3</v>
      </c>
      <c r="CP314" s="100">
        <f t="shared" si="180"/>
        <v>0.4</v>
      </c>
      <c r="CQ314" s="218">
        <f t="shared" si="181"/>
        <v>0.5</v>
      </c>
      <c r="CZ314" s="116"/>
      <c r="DA314" s="141"/>
      <c r="DB314" s="116"/>
      <c r="DC314" s="116"/>
      <c r="DD314" s="116"/>
      <c r="DE314" s="116"/>
      <c r="DF314" s="116"/>
    </row>
    <row r="315" spans="1:110" s="101" customFormat="1" ht="15" customHeight="1" thickBot="1" x14ac:dyDescent="0.3">
      <c r="A315" s="99"/>
      <c r="V315" s="103"/>
      <c r="AA315" s="104"/>
      <c r="AB315" s="104"/>
      <c r="AD315" s="104"/>
      <c r="AE315" s="105"/>
      <c r="AH315" s="106"/>
      <c r="AI315" s="106"/>
      <c r="AK315" s="104"/>
      <c r="AR315" s="104"/>
      <c r="AV315" s="104"/>
      <c r="AX315" s="104"/>
      <c r="BB315" s="104"/>
      <c r="BC315" s="104"/>
      <c r="BE315" s="104"/>
      <c r="BH315" s="120"/>
      <c r="BI315" s="203" t="s">
        <v>59</v>
      </c>
      <c r="BJ315" s="190" t="s">
        <v>100</v>
      </c>
      <c r="BK315" s="196">
        <v>56</v>
      </c>
      <c r="BL315" s="190" t="s">
        <v>413</v>
      </c>
      <c r="BM315" s="189">
        <v>0.3</v>
      </c>
      <c r="BN315" s="189">
        <v>0.5</v>
      </c>
      <c r="BO315" s="188" t="s">
        <v>258</v>
      </c>
      <c r="BP315" s="178"/>
      <c r="BQ315" s="196">
        <v>1225</v>
      </c>
      <c r="BR315" s="190" t="s">
        <v>414</v>
      </c>
      <c r="BS315" s="178"/>
      <c r="BT315" s="178"/>
      <c r="BU315" s="178"/>
      <c r="BV315" s="180"/>
      <c r="BW315" s="178"/>
      <c r="BX315" s="178"/>
      <c r="BY315" s="180"/>
      <c r="BZ315" s="180"/>
      <c r="CA315" s="180"/>
      <c r="CB315" s="102"/>
      <c r="CC315" s="102"/>
      <c r="CD315" s="102"/>
      <c r="CE315" s="102"/>
      <c r="CF315" s="102"/>
      <c r="CG315" s="102"/>
      <c r="CH315" s="102"/>
      <c r="CI315" s="102"/>
      <c r="CJ315" s="102"/>
      <c r="CK315" s="102"/>
      <c r="CL315" s="102"/>
      <c r="CM315" s="102"/>
      <c r="CO315" s="218">
        <f t="shared" si="179"/>
        <v>0.3</v>
      </c>
      <c r="CP315" s="100">
        <f t="shared" si="180"/>
        <v>0.4</v>
      </c>
      <c r="CQ315" s="218">
        <f t="shared" si="181"/>
        <v>0.5</v>
      </c>
      <c r="CX315" s="101" t="s">
        <v>59</v>
      </c>
      <c r="CY315" s="101" t="s">
        <v>100</v>
      </c>
      <c r="CZ315" s="116">
        <v>49</v>
      </c>
      <c r="DA315" s="141">
        <f t="shared" ref="DA315:DA323" si="191">+CZ315*21</f>
        <v>1029</v>
      </c>
      <c r="DB315" s="116" t="s">
        <v>375</v>
      </c>
      <c r="DC315" s="116">
        <f t="shared" si="190"/>
        <v>1225</v>
      </c>
      <c r="DD315" s="116"/>
      <c r="DE315" s="116"/>
      <c r="DF315" s="116"/>
    </row>
    <row r="316" spans="1:110" s="101" customFormat="1" ht="15" customHeight="1" thickBot="1" x14ac:dyDescent="0.3">
      <c r="A316" s="99"/>
      <c r="V316" s="103"/>
      <c r="AA316" s="104"/>
      <c r="AB316" s="104"/>
      <c r="AD316" s="104"/>
      <c r="AE316" s="105"/>
      <c r="AH316" s="106"/>
      <c r="AI316" s="106"/>
      <c r="AK316" s="104"/>
      <c r="AR316" s="104"/>
      <c r="AV316" s="104"/>
      <c r="AX316" s="104"/>
      <c r="BB316" s="104"/>
      <c r="BC316" s="104"/>
      <c r="BE316" s="104"/>
      <c r="BH316" s="120"/>
      <c r="BI316" s="203" t="s">
        <v>56</v>
      </c>
      <c r="BJ316" s="190" t="s">
        <v>100</v>
      </c>
      <c r="BK316" s="196">
        <v>55</v>
      </c>
      <c r="BL316" s="190" t="s">
        <v>413</v>
      </c>
      <c r="BM316" s="189">
        <v>0.3</v>
      </c>
      <c r="BN316" s="189">
        <v>0.5</v>
      </c>
      <c r="BO316" s="188" t="s">
        <v>258</v>
      </c>
      <c r="BP316" s="178"/>
      <c r="BQ316" s="196">
        <v>1375</v>
      </c>
      <c r="BR316" s="190" t="s">
        <v>414</v>
      </c>
      <c r="BS316" s="178"/>
      <c r="BT316" s="178"/>
      <c r="BU316" s="178"/>
      <c r="BV316" s="180"/>
      <c r="BW316" s="178"/>
      <c r="BX316" s="178"/>
      <c r="BY316" s="180"/>
      <c r="BZ316" s="180"/>
      <c r="CA316" s="180"/>
      <c r="CB316" s="102"/>
      <c r="CC316" s="102"/>
      <c r="CD316" s="102"/>
      <c r="CE316" s="102"/>
      <c r="CF316" s="102"/>
      <c r="CG316" s="102"/>
      <c r="CH316" s="102"/>
      <c r="CI316" s="102"/>
      <c r="CJ316" s="102"/>
      <c r="CK316" s="102"/>
      <c r="CL316" s="102"/>
      <c r="CM316" s="102"/>
      <c r="CO316" s="218">
        <f t="shared" si="179"/>
        <v>0.3</v>
      </c>
      <c r="CP316" s="100">
        <f t="shared" si="180"/>
        <v>0.4</v>
      </c>
      <c r="CQ316" s="218">
        <f t="shared" si="181"/>
        <v>0.5</v>
      </c>
      <c r="CX316" s="101" t="s">
        <v>56</v>
      </c>
      <c r="CY316" s="101" t="s">
        <v>100</v>
      </c>
      <c r="CZ316" s="116">
        <v>55</v>
      </c>
      <c r="DA316" s="141">
        <f t="shared" si="191"/>
        <v>1155</v>
      </c>
      <c r="DB316" s="116" t="s">
        <v>375</v>
      </c>
      <c r="DC316" s="116">
        <f t="shared" si="190"/>
        <v>1375</v>
      </c>
      <c r="DD316" s="116"/>
      <c r="DE316" s="116"/>
      <c r="DF316" s="116"/>
    </row>
    <row r="317" spans="1:110" s="101" customFormat="1" ht="15" customHeight="1" thickBot="1" x14ac:dyDescent="0.3">
      <c r="A317" s="99"/>
      <c r="V317" s="103"/>
      <c r="AA317" s="104"/>
      <c r="AB317" s="104"/>
      <c r="AD317" s="104"/>
      <c r="AE317" s="105"/>
      <c r="AH317" s="106"/>
      <c r="AI317" s="106"/>
      <c r="AK317" s="104"/>
      <c r="AR317" s="104"/>
      <c r="AV317" s="104"/>
      <c r="AX317" s="104"/>
      <c r="BB317" s="104"/>
      <c r="BC317" s="104"/>
      <c r="BE317" s="104"/>
      <c r="BH317" s="120"/>
      <c r="BI317" s="203" t="s">
        <v>101</v>
      </c>
      <c r="BJ317" s="190" t="s">
        <v>100</v>
      </c>
      <c r="BK317" s="196">
        <v>5</v>
      </c>
      <c r="BL317" s="190" t="s">
        <v>413</v>
      </c>
      <c r="BM317" s="189">
        <v>0.3</v>
      </c>
      <c r="BN317" s="189">
        <v>0.5</v>
      </c>
      <c r="BO317" s="188" t="s">
        <v>258</v>
      </c>
      <c r="BP317" s="178"/>
      <c r="BQ317" s="196">
        <v>125</v>
      </c>
      <c r="BR317" s="190" t="s">
        <v>414</v>
      </c>
      <c r="BS317" s="178"/>
      <c r="BT317" s="178"/>
      <c r="BU317" s="178"/>
      <c r="BV317" s="180"/>
      <c r="BW317" s="178"/>
      <c r="BX317" s="178"/>
      <c r="BY317" s="180"/>
      <c r="BZ317" s="180"/>
      <c r="CA317" s="180"/>
      <c r="CB317" s="102"/>
      <c r="CC317" s="102"/>
      <c r="CD317" s="102"/>
      <c r="CE317" s="102"/>
      <c r="CF317" s="102"/>
      <c r="CG317" s="102"/>
      <c r="CH317" s="102"/>
      <c r="CI317" s="102"/>
      <c r="CJ317" s="102"/>
      <c r="CK317" s="102"/>
      <c r="CL317" s="102"/>
      <c r="CM317" s="102"/>
      <c r="CO317" s="218">
        <f t="shared" si="179"/>
        <v>0.3</v>
      </c>
      <c r="CP317" s="100">
        <f t="shared" si="180"/>
        <v>0.4</v>
      </c>
      <c r="CQ317" s="218">
        <f t="shared" si="181"/>
        <v>0.5</v>
      </c>
      <c r="CX317" s="101" t="s">
        <v>101</v>
      </c>
      <c r="CY317" s="101" t="s">
        <v>100</v>
      </c>
      <c r="CZ317" s="116">
        <v>5</v>
      </c>
      <c r="DA317" s="141">
        <f t="shared" si="191"/>
        <v>105</v>
      </c>
      <c r="DB317" s="116" t="s">
        <v>375</v>
      </c>
      <c r="DC317" s="116">
        <f t="shared" si="190"/>
        <v>125</v>
      </c>
      <c r="DD317" s="116"/>
      <c r="DE317" s="116"/>
      <c r="DF317" s="116"/>
    </row>
    <row r="318" spans="1:110" s="101" customFormat="1" ht="15" customHeight="1" thickBot="1" x14ac:dyDescent="0.3">
      <c r="A318" s="99"/>
      <c r="V318" s="103"/>
      <c r="AA318" s="104"/>
      <c r="AB318" s="104"/>
      <c r="AD318" s="104"/>
      <c r="AE318" s="105"/>
      <c r="AH318" s="106"/>
      <c r="AI318" s="106"/>
      <c r="AK318" s="104"/>
      <c r="AR318" s="104"/>
      <c r="AV318" s="104"/>
      <c r="AX318" s="104"/>
      <c r="BB318" s="104"/>
      <c r="BC318" s="104"/>
      <c r="BE318" s="104"/>
      <c r="BH318" s="120"/>
      <c r="BI318" s="203" t="s">
        <v>55</v>
      </c>
      <c r="BJ318" s="190" t="s">
        <v>100</v>
      </c>
      <c r="BK318" s="196">
        <v>5</v>
      </c>
      <c r="BL318" s="190" t="s">
        <v>413</v>
      </c>
      <c r="BM318" s="189">
        <v>0.3</v>
      </c>
      <c r="BN318" s="189">
        <v>0.5</v>
      </c>
      <c r="BO318" s="188" t="s">
        <v>258</v>
      </c>
      <c r="BP318" s="178"/>
      <c r="BQ318" s="196">
        <v>125</v>
      </c>
      <c r="BR318" s="190" t="s">
        <v>414</v>
      </c>
      <c r="BS318" s="178"/>
      <c r="BT318" s="178"/>
      <c r="BU318" s="178"/>
      <c r="BV318" s="180"/>
      <c r="BW318" s="178"/>
      <c r="BX318" s="178"/>
      <c r="BY318" s="180"/>
      <c r="BZ318" s="180"/>
      <c r="CA318" s="180"/>
      <c r="CB318" s="102"/>
      <c r="CC318" s="102"/>
      <c r="CD318" s="102"/>
      <c r="CE318" s="102"/>
      <c r="CF318" s="102"/>
      <c r="CG318" s="102"/>
      <c r="CH318" s="102"/>
      <c r="CI318" s="102"/>
      <c r="CJ318" s="102"/>
      <c r="CK318" s="102"/>
      <c r="CL318" s="102"/>
      <c r="CM318" s="102"/>
      <c r="CO318" s="218">
        <f t="shared" si="179"/>
        <v>0.3</v>
      </c>
      <c r="CP318" s="100">
        <f t="shared" si="180"/>
        <v>0.4</v>
      </c>
      <c r="CQ318" s="218">
        <f t="shared" si="181"/>
        <v>0.5</v>
      </c>
      <c r="CX318" s="101" t="s">
        <v>55</v>
      </c>
      <c r="CY318" s="101" t="s">
        <v>100</v>
      </c>
      <c r="CZ318" s="116">
        <v>5</v>
      </c>
      <c r="DA318" s="141">
        <f t="shared" si="191"/>
        <v>105</v>
      </c>
      <c r="DB318" s="116" t="s">
        <v>375</v>
      </c>
      <c r="DC318" s="116">
        <f t="shared" si="190"/>
        <v>125</v>
      </c>
      <c r="DD318" s="116"/>
      <c r="DE318" s="116"/>
      <c r="DF318" s="116"/>
    </row>
    <row r="319" spans="1:110" s="101" customFormat="1" ht="15" customHeight="1" thickBot="1" x14ac:dyDescent="0.3">
      <c r="A319" s="99"/>
      <c r="V319" s="103"/>
      <c r="AA319" s="104"/>
      <c r="AB319" s="104"/>
      <c r="AD319" s="104"/>
      <c r="AE319" s="105"/>
      <c r="AH319" s="106"/>
      <c r="AI319" s="106"/>
      <c r="AK319" s="104"/>
      <c r="AR319" s="104"/>
      <c r="AV319" s="104"/>
      <c r="AX319" s="104"/>
      <c r="BB319" s="104"/>
      <c r="BC319" s="104"/>
      <c r="BE319" s="104"/>
      <c r="BH319" s="120"/>
      <c r="BI319" s="203" t="s">
        <v>60</v>
      </c>
      <c r="BJ319" s="190" t="s">
        <v>100</v>
      </c>
      <c r="BK319" s="196">
        <v>18</v>
      </c>
      <c r="BL319" s="190" t="s">
        <v>413</v>
      </c>
      <c r="BM319" s="189">
        <v>0.3</v>
      </c>
      <c r="BN319" s="189">
        <v>0.5</v>
      </c>
      <c r="BO319" s="188" t="s">
        <v>258</v>
      </c>
      <c r="BP319" s="178"/>
      <c r="BQ319" s="196">
        <v>450</v>
      </c>
      <c r="BR319" s="190" t="s">
        <v>414</v>
      </c>
      <c r="BS319" s="178"/>
      <c r="BT319" s="178"/>
      <c r="BU319" s="178"/>
      <c r="BV319" s="180"/>
      <c r="BW319" s="178"/>
      <c r="BX319" s="178"/>
      <c r="BY319" s="180"/>
      <c r="BZ319" s="180"/>
      <c r="CA319" s="180"/>
      <c r="CB319" s="102"/>
      <c r="CC319" s="102"/>
      <c r="CD319" s="102"/>
      <c r="CE319" s="102"/>
      <c r="CF319" s="102"/>
      <c r="CG319" s="102"/>
      <c r="CH319" s="102"/>
      <c r="CI319" s="102"/>
      <c r="CJ319" s="102"/>
      <c r="CK319" s="102"/>
      <c r="CL319" s="102"/>
      <c r="CM319" s="102"/>
      <c r="CO319" s="218">
        <f t="shared" si="179"/>
        <v>0.3</v>
      </c>
      <c r="CP319" s="100">
        <f t="shared" si="180"/>
        <v>0.4</v>
      </c>
      <c r="CQ319" s="218">
        <f t="shared" si="181"/>
        <v>0.5</v>
      </c>
      <c r="CX319" s="101" t="s">
        <v>60</v>
      </c>
      <c r="CY319" s="101" t="s">
        <v>100</v>
      </c>
      <c r="CZ319" s="116">
        <v>18</v>
      </c>
      <c r="DA319" s="141">
        <f t="shared" si="191"/>
        <v>378</v>
      </c>
      <c r="DB319" s="116" t="s">
        <v>375</v>
      </c>
      <c r="DC319" s="116">
        <f t="shared" si="190"/>
        <v>450</v>
      </c>
      <c r="DD319" s="116"/>
      <c r="DE319" s="116"/>
      <c r="DF319" s="116"/>
    </row>
    <row r="320" spans="1:110" s="101" customFormat="1" ht="15" customHeight="1" thickBot="1" x14ac:dyDescent="0.3">
      <c r="A320" s="99"/>
      <c r="V320" s="103"/>
      <c r="AA320" s="104"/>
      <c r="AB320" s="104"/>
      <c r="AD320" s="104"/>
      <c r="AE320" s="105"/>
      <c r="AH320" s="106"/>
      <c r="AI320" s="106"/>
      <c r="AK320" s="104"/>
      <c r="AR320" s="104"/>
      <c r="AV320" s="104"/>
      <c r="AX320" s="104"/>
      <c r="BB320" s="104"/>
      <c r="BC320" s="104"/>
      <c r="BE320" s="104"/>
      <c r="BH320" s="120"/>
      <c r="BI320" s="203" t="s">
        <v>61</v>
      </c>
      <c r="BJ320" s="190" t="s">
        <v>100</v>
      </c>
      <c r="BK320" s="196">
        <f>BQ320/25</f>
        <v>10</v>
      </c>
      <c r="BL320" s="190" t="s">
        <v>413</v>
      </c>
      <c r="BM320" s="189">
        <v>0.3</v>
      </c>
      <c r="BN320" s="189">
        <v>0.5</v>
      </c>
      <c r="BO320" s="188" t="s">
        <v>258</v>
      </c>
      <c r="BP320" s="178"/>
      <c r="BQ320" s="196">
        <v>250</v>
      </c>
      <c r="BR320" s="190" t="s">
        <v>414</v>
      </c>
      <c r="BS320" s="178"/>
      <c r="BT320" s="178"/>
      <c r="BU320" s="178"/>
      <c r="BV320" s="180"/>
      <c r="BW320" s="178"/>
      <c r="BX320" s="178"/>
      <c r="BY320" s="180"/>
      <c r="BZ320" s="180"/>
      <c r="CA320" s="180"/>
      <c r="CB320" s="102"/>
      <c r="CC320" s="102"/>
      <c r="CD320" s="102"/>
      <c r="CE320" s="102"/>
      <c r="CF320" s="102"/>
      <c r="CG320" s="102"/>
      <c r="CH320" s="102"/>
      <c r="CI320" s="102"/>
      <c r="CJ320" s="102"/>
      <c r="CK320" s="102"/>
      <c r="CL320" s="102"/>
      <c r="CM320" s="102"/>
      <c r="CO320" s="218">
        <f t="shared" si="179"/>
        <v>0.3</v>
      </c>
      <c r="CP320" s="100">
        <f t="shared" si="180"/>
        <v>0.4</v>
      </c>
      <c r="CQ320" s="218">
        <f t="shared" si="181"/>
        <v>0.5</v>
      </c>
      <c r="CX320" s="101" t="s">
        <v>61</v>
      </c>
      <c r="CY320" s="101" t="s">
        <v>100</v>
      </c>
      <c r="CZ320" s="116">
        <v>10</v>
      </c>
      <c r="DA320" s="141">
        <f t="shared" si="191"/>
        <v>210</v>
      </c>
      <c r="DB320" s="116" t="s">
        <v>375</v>
      </c>
      <c r="DC320" s="116">
        <f t="shared" si="190"/>
        <v>250</v>
      </c>
      <c r="DD320" s="116"/>
      <c r="DE320" s="116"/>
      <c r="DF320" s="116"/>
    </row>
    <row r="321" spans="1:116" s="101" customFormat="1" ht="15" customHeight="1" thickBot="1" x14ac:dyDescent="0.3">
      <c r="A321" s="99"/>
      <c r="V321" s="103"/>
      <c r="AA321" s="104"/>
      <c r="AB321" s="104"/>
      <c r="AD321" s="104"/>
      <c r="AE321" s="105"/>
      <c r="AH321" s="106"/>
      <c r="AI321" s="106"/>
      <c r="AK321" s="104"/>
      <c r="AR321" s="104"/>
      <c r="AV321" s="104"/>
      <c r="AX321" s="104"/>
      <c r="BB321" s="104"/>
      <c r="BC321" s="104"/>
      <c r="BE321" s="104"/>
      <c r="BH321" s="120"/>
      <c r="BI321" s="203" t="s">
        <v>102</v>
      </c>
      <c r="BJ321" s="190" t="s">
        <v>100</v>
      </c>
      <c r="BK321" s="196">
        <f>BQ321/25</f>
        <v>1</v>
      </c>
      <c r="BL321" s="190" t="s">
        <v>413</v>
      </c>
      <c r="BM321" s="189">
        <v>0.3</v>
      </c>
      <c r="BN321" s="189">
        <v>0.5</v>
      </c>
      <c r="BO321" s="188" t="s">
        <v>258</v>
      </c>
      <c r="BP321" s="178"/>
      <c r="BQ321" s="196">
        <v>25</v>
      </c>
      <c r="BR321" s="190" t="s">
        <v>414</v>
      </c>
      <c r="BS321" s="178"/>
      <c r="BT321" s="178"/>
      <c r="BU321" s="178"/>
      <c r="BV321" s="180"/>
      <c r="BW321" s="178"/>
      <c r="BX321" s="178"/>
      <c r="BY321" s="180"/>
      <c r="BZ321" s="180"/>
      <c r="CA321" s="180"/>
      <c r="CB321" s="102"/>
      <c r="CC321" s="102"/>
      <c r="CD321" s="102"/>
      <c r="CE321" s="102"/>
      <c r="CF321" s="102"/>
      <c r="CG321" s="102"/>
      <c r="CH321" s="102"/>
      <c r="CI321" s="102"/>
      <c r="CJ321" s="102"/>
      <c r="CK321" s="102"/>
      <c r="CL321" s="102"/>
      <c r="CM321" s="102"/>
      <c r="CO321" s="218">
        <f t="shared" si="179"/>
        <v>0.3</v>
      </c>
      <c r="CP321" s="100">
        <f t="shared" si="180"/>
        <v>0.4</v>
      </c>
      <c r="CQ321" s="218">
        <f t="shared" si="181"/>
        <v>0.5</v>
      </c>
      <c r="CZ321" s="116"/>
      <c r="DA321" s="141"/>
      <c r="DB321" s="116"/>
      <c r="DC321" s="116"/>
      <c r="DD321" s="116"/>
      <c r="DE321" s="116"/>
      <c r="DF321" s="116"/>
    </row>
    <row r="322" spans="1:116" s="101" customFormat="1" ht="15" customHeight="1" thickBot="1" x14ac:dyDescent="0.3">
      <c r="A322" s="99"/>
      <c r="V322" s="103"/>
      <c r="AA322" s="104"/>
      <c r="AB322" s="104"/>
      <c r="AD322" s="104"/>
      <c r="AE322" s="105"/>
      <c r="AH322" s="106"/>
      <c r="AI322" s="106"/>
      <c r="AK322" s="104"/>
      <c r="AR322" s="104"/>
      <c r="AV322" s="104"/>
      <c r="AX322" s="104"/>
      <c r="BB322" s="104"/>
      <c r="BC322" s="104"/>
      <c r="BE322" s="104"/>
      <c r="BH322" s="120"/>
      <c r="BI322" s="203" t="s">
        <v>467</v>
      </c>
      <c r="BJ322" s="190" t="s">
        <v>100</v>
      </c>
      <c r="BK322" s="196">
        <v>5.4199999999999998E-2</v>
      </c>
      <c r="BL322" s="190" t="s">
        <v>413</v>
      </c>
      <c r="BM322" s="189">
        <v>0.3</v>
      </c>
      <c r="BN322" s="189">
        <v>0.5</v>
      </c>
      <c r="BO322" s="188" t="s">
        <v>258</v>
      </c>
      <c r="BP322" s="178"/>
      <c r="BQ322" s="196">
        <f>BK322*25</f>
        <v>1.355</v>
      </c>
      <c r="BR322" s="190" t="s">
        <v>414</v>
      </c>
      <c r="BS322" s="178"/>
      <c r="BT322" s="178"/>
      <c r="BU322" s="178"/>
      <c r="BV322" s="180"/>
      <c r="BW322" s="178"/>
      <c r="BX322" s="178"/>
      <c r="BY322" s="180"/>
      <c r="BZ322" s="180"/>
      <c r="CA322" s="180"/>
      <c r="CB322" s="102"/>
      <c r="CC322" s="102"/>
      <c r="CD322" s="102"/>
      <c r="CE322" s="102"/>
      <c r="CF322" s="102"/>
      <c r="CG322" s="102"/>
      <c r="CH322" s="102"/>
      <c r="CI322" s="102"/>
      <c r="CJ322" s="102"/>
      <c r="CK322" s="102"/>
      <c r="CL322" s="102"/>
      <c r="CM322" s="102"/>
      <c r="CO322" s="218">
        <f t="shared" si="179"/>
        <v>0.3</v>
      </c>
      <c r="CP322" s="100">
        <f t="shared" si="180"/>
        <v>0.4</v>
      </c>
      <c r="CQ322" s="218">
        <f t="shared" si="181"/>
        <v>0.5</v>
      </c>
      <c r="CZ322" s="116"/>
      <c r="DA322" s="141"/>
      <c r="DB322" s="116"/>
      <c r="DC322" s="116"/>
      <c r="DD322" s="116"/>
      <c r="DE322" s="116"/>
      <c r="DF322" s="116"/>
    </row>
    <row r="323" spans="1:116" s="101" customFormat="1" ht="15" customHeight="1" thickBot="1" x14ac:dyDescent="0.3">
      <c r="A323" s="99"/>
      <c r="V323" s="103"/>
      <c r="AA323" s="104"/>
      <c r="AB323" s="104"/>
      <c r="AD323" s="104"/>
      <c r="AE323" s="105"/>
      <c r="AH323" s="106"/>
      <c r="AI323" s="106"/>
      <c r="AK323" s="104"/>
      <c r="AR323" s="104"/>
      <c r="AV323" s="104"/>
      <c r="AX323" s="104"/>
      <c r="BB323" s="104"/>
      <c r="BC323" s="104"/>
      <c r="BE323" s="104"/>
      <c r="BH323" s="120"/>
      <c r="BI323" s="203" t="s">
        <v>468</v>
      </c>
      <c r="BJ323" s="190" t="s">
        <v>100</v>
      </c>
      <c r="BK323" s="196">
        <v>9.522E-5</v>
      </c>
      <c r="BL323" s="190" t="s">
        <v>413</v>
      </c>
      <c r="BM323" s="189">
        <v>0.3</v>
      </c>
      <c r="BN323" s="189">
        <v>0.5</v>
      </c>
      <c r="BO323" s="188" t="s">
        <v>469</v>
      </c>
      <c r="BP323" s="178"/>
      <c r="BQ323" s="196">
        <f>BK323*25</f>
        <v>2.3804999999999998E-3</v>
      </c>
      <c r="BR323" s="190" t="s">
        <v>414</v>
      </c>
      <c r="BS323" s="178"/>
      <c r="BT323" s="178"/>
      <c r="BU323" s="178"/>
      <c r="BV323" s="178"/>
      <c r="BW323" s="178"/>
      <c r="BX323" s="178"/>
      <c r="BY323" s="178"/>
      <c r="BZ323" s="178"/>
      <c r="CA323" s="178"/>
      <c r="CB323" s="180"/>
      <c r="CC323" s="178"/>
      <c r="CD323" s="178"/>
      <c r="CE323" s="180"/>
      <c r="CF323" s="180"/>
      <c r="CG323" s="180"/>
      <c r="CH323" s="180"/>
      <c r="CI323" s="178"/>
      <c r="CJ323" s="178"/>
      <c r="CK323" s="180"/>
      <c r="CL323" s="180"/>
      <c r="CM323" s="180"/>
      <c r="CN323" s="116"/>
      <c r="CO323" s="218">
        <f t="shared" si="179"/>
        <v>0.3</v>
      </c>
      <c r="CP323" s="100">
        <f t="shared" si="180"/>
        <v>0.4</v>
      </c>
      <c r="CQ323" s="218">
        <f t="shared" si="181"/>
        <v>0.5</v>
      </c>
      <c r="CX323" s="101" t="s">
        <v>102</v>
      </c>
      <c r="CY323" s="101" t="s">
        <v>100</v>
      </c>
      <c r="CZ323" s="116">
        <v>1</v>
      </c>
      <c r="DA323" s="141">
        <f t="shared" si="191"/>
        <v>21</v>
      </c>
      <c r="DB323" s="116" t="s">
        <v>375</v>
      </c>
      <c r="DC323" s="116">
        <f t="shared" si="190"/>
        <v>25</v>
      </c>
      <c r="DD323" s="116"/>
      <c r="DE323" s="116"/>
      <c r="DF323" s="116"/>
    </row>
    <row r="324" spans="1:116" s="101" customFormat="1" x14ac:dyDescent="0.25">
      <c r="A324" s="99"/>
      <c r="V324" s="103"/>
      <c r="AA324" s="104"/>
      <c r="AB324" s="104"/>
      <c r="AD324" s="104"/>
      <c r="AE324" s="105"/>
      <c r="AH324" s="106"/>
      <c r="AI324" s="106"/>
      <c r="AK324" s="104"/>
      <c r="AR324" s="104"/>
      <c r="AV324" s="104"/>
      <c r="AX324" s="104"/>
      <c r="BB324" s="104"/>
      <c r="BC324" s="104"/>
      <c r="BE324" s="104"/>
      <c r="BH324" s="99"/>
      <c r="BI324" s="102"/>
      <c r="BJ324" s="178"/>
      <c r="BK324" s="178"/>
      <c r="BL324" s="178"/>
      <c r="BM324" s="169"/>
      <c r="BN324" s="169"/>
      <c r="BO324" s="169"/>
      <c r="BP324" s="178"/>
      <c r="BQ324" s="178"/>
      <c r="BR324" s="178"/>
      <c r="BS324" s="178"/>
      <c r="BT324" s="178"/>
      <c r="BU324" s="178"/>
      <c r="BV324" s="178"/>
      <c r="BW324" s="178"/>
      <c r="BX324" s="178"/>
      <c r="BY324" s="178"/>
      <c r="BZ324" s="178"/>
      <c r="CA324" s="178"/>
      <c r="CB324" s="180"/>
      <c r="CC324" s="178"/>
      <c r="CD324" s="178"/>
      <c r="CE324" s="180"/>
      <c r="CF324" s="180"/>
      <c r="CG324" s="180"/>
      <c r="CH324" s="180"/>
      <c r="CI324" s="178"/>
      <c r="CJ324" s="178"/>
      <c r="CK324" s="180"/>
      <c r="CL324" s="180"/>
      <c r="CM324" s="180"/>
      <c r="CN324" s="116"/>
      <c r="CO324" s="218">
        <f t="shared" si="179"/>
        <v>0</v>
      </c>
      <c r="CP324" s="100">
        <f t="shared" si="180"/>
        <v>0</v>
      </c>
      <c r="CQ324" s="218">
        <f t="shared" si="181"/>
        <v>0</v>
      </c>
      <c r="CX324" s="101">
        <v>0</v>
      </c>
      <c r="CY324" s="101">
        <v>0</v>
      </c>
      <c r="CZ324" s="116">
        <v>0</v>
      </c>
      <c r="DA324" s="101">
        <v>0</v>
      </c>
      <c r="DC324" s="116">
        <f>+CZ349*25</f>
        <v>1050</v>
      </c>
      <c r="DD324" s="116"/>
      <c r="DE324" s="116"/>
      <c r="DF324" s="116"/>
    </row>
    <row r="325" spans="1:116" s="101" customFormat="1" ht="15.75" customHeight="1" thickBot="1" x14ac:dyDescent="0.3">
      <c r="A325" s="99"/>
      <c r="V325" s="103"/>
      <c r="AA325" s="104"/>
      <c r="AB325" s="104"/>
      <c r="AD325" s="104"/>
      <c r="AE325" s="105"/>
      <c r="AH325" s="106"/>
      <c r="AI325" s="106"/>
      <c r="AK325" s="104"/>
      <c r="AR325" s="104"/>
      <c r="AV325" s="104"/>
      <c r="AX325" s="104"/>
      <c r="BB325" s="104"/>
      <c r="BC325" s="104"/>
      <c r="BE325" s="104"/>
      <c r="BH325" s="99"/>
      <c r="BI325" s="102"/>
      <c r="BJ325" s="178"/>
      <c r="BK325" s="178"/>
      <c r="BL325" s="178"/>
      <c r="BM325" s="169"/>
      <c r="BN325" s="169"/>
      <c r="BO325" s="169"/>
      <c r="BP325" s="178"/>
      <c r="BQ325" s="178"/>
      <c r="BR325" s="178"/>
      <c r="BS325" s="178"/>
      <c r="BT325" s="178"/>
      <c r="BU325" s="178"/>
      <c r="BV325" s="178"/>
      <c r="BW325" s="178"/>
      <c r="BX325" s="178"/>
      <c r="BY325" s="178"/>
      <c r="BZ325" s="178"/>
      <c r="CA325" s="178"/>
      <c r="CB325" s="180"/>
      <c r="CC325" s="178"/>
      <c r="CD325" s="178"/>
      <c r="CE325" s="180"/>
      <c r="CF325" s="180"/>
      <c r="CG325" s="180"/>
      <c r="CH325" s="180"/>
      <c r="CI325" s="178"/>
      <c r="CJ325" s="178"/>
      <c r="CK325" s="180"/>
      <c r="CL325" s="180"/>
      <c r="CM325" s="180"/>
      <c r="CN325" s="116"/>
      <c r="CO325" s="218">
        <f t="shared" si="179"/>
        <v>0</v>
      </c>
      <c r="CP325" s="100">
        <f t="shared" si="180"/>
        <v>0</v>
      </c>
      <c r="CQ325" s="218">
        <f t="shared" si="181"/>
        <v>0</v>
      </c>
      <c r="CZ325" s="116"/>
      <c r="DC325" s="116"/>
      <c r="DD325" s="116"/>
      <c r="DE325" s="116"/>
      <c r="DF325" s="116"/>
    </row>
    <row r="326" spans="1:116" s="101" customFormat="1" ht="15.75" thickBot="1" x14ac:dyDescent="0.3">
      <c r="A326" s="99"/>
      <c r="S326" s="244" t="s">
        <v>558</v>
      </c>
      <c r="V326" s="103"/>
      <c r="AA326" s="104"/>
      <c r="AB326" s="104"/>
      <c r="AD326" s="104"/>
      <c r="AF326" s="104"/>
      <c r="AI326" s="238" t="s">
        <v>555</v>
      </c>
      <c r="AJ326" s="238"/>
      <c r="AK326" s="238"/>
      <c r="AL326" s="238"/>
      <c r="AM326" s="238"/>
      <c r="AO326" s="238"/>
      <c r="AP326" s="238"/>
      <c r="AQ326" s="238"/>
      <c r="AR326" s="238"/>
      <c r="AS326" s="238"/>
      <c r="AT326" s="238"/>
      <c r="AU326" s="238"/>
      <c r="AV326" s="238"/>
      <c r="AW326" s="238"/>
      <c r="AX326" s="238"/>
      <c r="AY326" s="238"/>
      <c r="AZ326" s="238"/>
      <c r="BA326" s="238"/>
      <c r="BB326" s="238"/>
      <c r="BC326" s="238"/>
      <c r="BD326" s="238"/>
      <c r="BH326" s="99"/>
      <c r="BI326" s="102"/>
      <c r="BJ326" s="178"/>
      <c r="BK326" s="1608" t="s">
        <v>106</v>
      </c>
      <c r="BL326" s="1609"/>
      <c r="BM326" s="1609"/>
      <c r="BN326" s="1609"/>
      <c r="BO326" s="1610"/>
      <c r="BP326" s="1608" t="s">
        <v>110</v>
      </c>
      <c r="BQ326" s="1609"/>
      <c r="BR326" s="1609"/>
      <c r="BS326" s="1609"/>
      <c r="BT326" s="1610"/>
      <c r="BU326" s="178"/>
      <c r="BV326" s="178"/>
      <c r="BW326" s="178"/>
      <c r="BX326" s="178"/>
      <c r="BY326" s="178"/>
      <c r="BZ326" s="178"/>
      <c r="CA326" s="178"/>
      <c r="CB326" s="180"/>
      <c r="CC326" s="178"/>
      <c r="CD326" s="178"/>
      <c r="CE326" s="180"/>
      <c r="CF326" s="180"/>
      <c r="CG326" s="180"/>
      <c r="CH326" s="180"/>
      <c r="CI326" s="178"/>
      <c r="CJ326" s="178"/>
      <c r="CK326" s="180"/>
      <c r="CL326" s="180"/>
      <c r="CM326" s="180"/>
      <c r="CN326" s="116"/>
      <c r="CO326" s="218">
        <f t="shared" si="179"/>
        <v>0</v>
      </c>
      <c r="CP326" s="100">
        <f t="shared" si="180"/>
        <v>0</v>
      </c>
      <c r="CQ326" s="218">
        <f t="shared" si="181"/>
        <v>0</v>
      </c>
      <c r="CX326" s="254" t="s">
        <v>155</v>
      </c>
      <c r="CY326" s="1618" t="s">
        <v>379</v>
      </c>
      <c r="CZ326" s="1618" t="s">
        <v>380</v>
      </c>
      <c r="DA326" s="1618"/>
      <c r="DB326" s="1619" t="s">
        <v>159</v>
      </c>
      <c r="DC326" s="1618" t="s">
        <v>160</v>
      </c>
      <c r="DD326" s="1618" t="s">
        <v>162</v>
      </c>
      <c r="DE326" s="1618" t="s">
        <v>389</v>
      </c>
      <c r="DF326" s="1618" t="s">
        <v>390</v>
      </c>
      <c r="DG326" s="1618" t="s">
        <v>380</v>
      </c>
      <c r="DH326" s="1618"/>
      <c r="DI326" s="1618" t="s">
        <v>391</v>
      </c>
      <c r="DJ326" s="1618"/>
    </row>
    <row r="327" spans="1:116" s="101" customFormat="1" ht="21.75" customHeight="1" x14ac:dyDescent="0.25">
      <c r="A327" s="99"/>
      <c r="S327" s="243">
        <v>0</v>
      </c>
      <c r="T327" s="243">
        <v>0</v>
      </c>
      <c r="U327" s="243">
        <v>5.0000000000000001E-3</v>
      </c>
      <c r="V327" s="243">
        <v>0.02</v>
      </c>
      <c r="W327" s="243">
        <v>5.0000000000000001E-3</v>
      </c>
      <c r="X327" s="243">
        <v>0</v>
      </c>
      <c r="Y327" s="243">
        <v>0.01</v>
      </c>
      <c r="Z327" s="243">
        <v>7.0000000000000007E-2</v>
      </c>
      <c r="AA327" s="245">
        <v>0</v>
      </c>
      <c r="AB327" s="245">
        <v>0</v>
      </c>
      <c r="AC327" s="243">
        <v>6.0000000000000001E-3</v>
      </c>
      <c r="AD327" s="245"/>
      <c r="AE327" s="243">
        <v>0.1</v>
      </c>
      <c r="AF327" s="245">
        <v>0.01</v>
      </c>
      <c r="AG327" s="243">
        <v>0.01</v>
      </c>
      <c r="AH327" s="100"/>
      <c r="AI327" s="1611" t="s">
        <v>556</v>
      </c>
      <c r="AJ327" s="1611"/>
      <c r="AK327" s="1611"/>
      <c r="AL327" s="1611"/>
      <c r="AM327" s="1611"/>
      <c r="AN327" s="238" t="s">
        <v>554</v>
      </c>
      <c r="AO327" s="238"/>
      <c r="AP327" s="238"/>
      <c r="AQ327" s="238"/>
      <c r="AR327" s="238"/>
      <c r="AS327" s="238"/>
      <c r="AT327" s="238"/>
      <c r="AU327" s="238"/>
      <c r="AV327" s="238"/>
      <c r="AW327" s="238"/>
      <c r="AX327" s="238"/>
      <c r="AY327" s="238"/>
      <c r="AZ327" s="238"/>
      <c r="BA327" s="238"/>
      <c r="BB327" s="238"/>
      <c r="BC327" s="238"/>
      <c r="BD327" s="238"/>
      <c r="BH327" s="99"/>
      <c r="BI327" s="1606" t="s">
        <v>58</v>
      </c>
      <c r="BJ327" s="251"/>
      <c r="BK327" s="1606" t="s">
        <v>280</v>
      </c>
      <c r="BL327" s="251"/>
      <c r="BM327" s="1606" t="s">
        <v>233</v>
      </c>
      <c r="BN327" s="1606" t="s">
        <v>233</v>
      </c>
      <c r="BO327" s="1606" t="s">
        <v>240</v>
      </c>
      <c r="BP327" s="1606" t="s">
        <v>281</v>
      </c>
      <c r="BQ327" s="251"/>
      <c r="BR327" s="1606" t="s">
        <v>233</v>
      </c>
      <c r="BS327" s="1606" t="s">
        <v>233</v>
      </c>
      <c r="BT327" s="1606" t="s">
        <v>240</v>
      </c>
      <c r="BU327" s="178"/>
      <c r="BV327" s="178"/>
      <c r="BW327" s="178"/>
      <c r="BX327" s="178"/>
      <c r="BY327" s="178"/>
      <c r="BZ327" s="178"/>
      <c r="CA327" s="178"/>
      <c r="CB327" s="180"/>
      <c r="CC327" s="178"/>
      <c r="CD327" s="178"/>
      <c r="CE327" s="180"/>
      <c r="CF327" s="180"/>
      <c r="CG327" s="180"/>
      <c r="CH327" s="180"/>
      <c r="CI327" s="178"/>
      <c r="CJ327" s="178"/>
      <c r="CK327" s="180"/>
      <c r="CL327" s="180"/>
      <c r="CM327" s="180"/>
      <c r="CN327" s="116"/>
      <c r="CO327" s="218" t="str">
        <f t="shared" si="179"/>
        <v>Incertidumbre (+/- %)</v>
      </c>
      <c r="CP327" s="100" t="e">
        <f t="shared" si="180"/>
        <v>#VALUE!</v>
      </c>
      <c r="CQ327" s="218" t="str">
        <f t="shared" si="181"/>
        <v>Incertidumbre (+/- %)</v>
      </c>
      <c r="CX327" s="254"/>
      <c r="CY327" s="1618"/>
      <c r="CZ327" s="253">
        <v>1995</v>
      </c>
      <c r="DA327" s="254">
        <v>2007</v>
      </c>
      <c r="DB327" s="1619"/>
      <c r="DC327" s="1618"/>
      <c r="DD327" s="1618"/>
      <c r="DE327" s="1618"/>
      <c r="DF327" s="1618"/>
      <c r="DG327" s="254">
        <v>1995</v>
      </c>
      <c r="DH327" s="254">
        <v>2007</v>
      </c>
      <c r="DI327" s="254">
        <v>1995</v>
      </c>
      <c r="DJ327" s="254">
        <v>2007</v>
      </c>
    </row>
    <row r="328" spans="1:116" s="101" customFormat="1" ht="34.5" customHeight="1" thickBot="1" x14ac:dyDescent="0.3">
      <c r="Q328" s="242" t="s">
        <v>557</v>
      </c>
      <c r="R328" s="242" t="s">
        <v>559</v>
      </c>
      <c r="S328" s="242" t="s">
        <v>532</v>
      </c>
      <c r="T328" s="242" t="s">
        <v>533</v>
      </c>
      <c r="U328" s="242" t="s">
        <v>530</v>
      </c>
      <c r="V328" s="242" t="s">
        <v>531</v>
      </c>
      <c r="W328" s="242" t="s">
        <v>529</v>
      </c>
      <c r="X328" s="242" t="s">
        <v>528</v>
      </c>
      <c r="Y328" s="242" t="s">
        <v>537</v>
      </c>
      <c r="Z328" s="242" t="s">
        <v>538</v>
      </c>
      <c r="AA328" s="242" t="s">
        <v>544</v>
      </c>
      <c r="AB328" s="242" t="s">
        <v>534</v>
      </c>
      <c r="AC328" s="242" t="s">
        <v>539</v>
      </c>
      <c r="AD328" s="243"/>
      <c r="AE328" s="242" t="s">
        <v>540</v>
      </c>
      <c r="AF328" s="242" t="s">
        <v>535</v>
      </c>
      <c r="AG328" s="242" t="s">
        <v>536</v>
      </c>
      <c r="AH328" s="242" t="s">
        <v>119</v>
      </c>
      <c r="AI328" s="239" t="s">
        <v>513</v>
      </c>
      <c r="AJ328" s="239" t="s">
        <v>527</v>
      </c>
      <c r="AK328" s="102"/>
      <c r="AL328" s="239" t="s">
        <v>514</v>
      </c>
      <c r="AM328" s="239" t="s">
        <v>526</v>
      </c>
      <c r="AN328" s="241" t="s">
        <v>543</v>
      </c>
      <c r="AO328" s="241" t="s">
        <v>542</v>
      </c>
      <c r="AP328" s="240" t="s">
        <v>532</v>
      </c>
      <c r="AQ328" s="240" t="s">
        <v>533</v>
      </c>
      <c r="AS328" s="240" t="s">
        <v>530</v>
      </c>
      <c r="AT328" s="240" t="s">
        <v>531</v>
      </c>
      <c r="AU328" s="240" t="s">
        <v>529</v>
      </c>
      <c r="AV328" s="240" t="s">
        <v>528</v>
      </c>
      <c r="AW328" s="240" t="s">
        <v>537</v>
      </c>
      <c r="AY328" s="240" t="s">
        <v>538</v>
      </c>
      <c r="AZ328" s="240" t="s">
        <v>544</v>
      </c>
      <c r="BA328" s="240" t="s">
        <v>534</v>
      </c>
      <c r="BB328" s="240" t="s">
        <v>539</v>
      </c>
      <c r="BC328" s="240" t="s">
        <v>540</v>
      </c>
      <c r="BD328" s="240" t="s">
        <v>535</v>
      </c>
      <c r="BE328" s="240" t="s">
        <v>536</v>
      </c>
      <c r="BF328" s="240" t="s">
        <v>119</v>
      </c>
      <c r="BH328" s="99"/>
      <c r="BI328" s="1607"/>
      <c r="BJ328" s="252" t="s">
        <v>253</v>
      </c>
      <c r="BK328" s="1607"/>
      <c r="BL328" s="252" t="s">
        <v>251</v>
      </c>
      <c r="BM328" s="1607"/>
      <c r="BN328" s="1607"/>
      <c r="BO328" s="1607"/>
      <c r="BP328" s="1607"/>
      <c r="BQ328" s="252" t="s">
        <v>251</v>
      </c>
      <c r="BR328" s="1607"/>
      <c r="BS328" s="1607"/>
      <c r="BT328" s="1607"/>
      <c r="BU328" s="178"/>
      <c r="BV328" s="178"/>
      <c r="BW328" s="178"/>
      <c r="BX328" s="178"/>
      <c r="BY328" s="178"/>
      <c r="BZ328" s="178"/>
      <c r="CA328" s="178"/>
      <c r="CB328" s="180"/>
      <c r="CC328" s="178"/>
      <c r="CD328" s="178"/>
      <c r="CE328" s="180"/>
      <c r="CF328" s="180"/>
      <c r="CG328" s="180"/>
      <c r="CH328" s="180"/>
      <c r="CI328" s="178"/>
      <c r="CJ328" s="178"/>
      <c r="CK328" s="180"/>
      <c r="CL328" s="180"/>
      <c r="CM328" s="180"/>
      <c r="CN328" s="116"/>
      <c r="CO328" s="218">
        <f t="shared" si="179"/>
        <v>0</v>
      </c>
      <c r="CP328" s="100">
        <f t="shared" si="180"/>
        <v>0</v>
      </c>
      <c r="CQ328" s="218">
        <f t="shared" si="181"/>
        <v>0</v>
      </c>
      <c r="CW328" s="101" t="s">
        <v>58</v>
      </c>
      <c r="CX328" s="254">
        <v>0</v>
      </c>
      <c r="CY328" s="253">
        <v>0</v>
      </c>
      <c r="CZ328" s="253">
        <v>0</v>
      </c>
      <c r="DA328" s="254">
        <v>0</v>
      </c>
      <c r="DB328" s="254">
        <v>0</v>
      </c>
      <c r="DC328" s="253">
        <v>0</v>
      </c>
      <c r="DD328" s="253">
        <v>0</v>
      </c>
      <c r="DE328" s="253">
        <v>0</v>
      </c>
      <c r="DF328" s="253">
        <v>0</v>
      </c>
      <c r="DG328" s="254">
        <v>0</v>
      </c>
      <c r="DH328" s="254">
        <v>0</v>
      </c>
      <c r="DI328" s="254">
        <v>0</v>
      </c>
      <c r="DJ328" s="254">
        <v>0</v>
      </c>
      <c r="DK328" s="101">
        <v>0</v>
      </c>
    </row>
    <row r="329" spans="1:116" s="101" customFormat="1" ht="33.75" thickBot="1" x14ac:dyDescent="0.4">
      <c r="O329" s="227" t="s">
        <v>128</v>
      </c>
      <c r="Q329" s="243">
        <v>0.48</v>
      </c>
      <c r="R329" s="243">
        <v>400</v>
      </c>
      <c r="S329" s="246">
        <f t="shared" ref="S329:AG347" si="192">((($Q329*($R329/1000)*365)*1)*S$327)*(44/28)</f>
        <v>0</v>
      </c>
      <c r="T329" s="246">
        <f t="shared" si="192"/>
        <v>0</v>
      </c>
      <c r="U329" s="246">
        <f t="shared" si="192"/>
        <v>0.55062857142857136</v>
      </c>
      <c r="V329" s="246">
        <f t="shared" si="192"/>
        <v>2.2025142857142854</v>
      </c>
      <c r="W329" s="246">
        <f t="shared" si="192"/>
        <v>0.55062857142857136</v>
      </c>
      <c r="X329" s="246">
        <f t="shared" si="192"/>
        <v>0</v>
      </c>
      <c r="Y329" s="246">
        <f t="shared" si="192"/>
        <v>1.1012571428571427</v>
      </c>
      <c r="Z329" s="246">
        <f t="shared" si="192"/>
        <v>7.708800000000001</v>
      </c>
      <c r="AA329" s="246">
        <f t="shared" si="192"/>
        <v>0</v>
      </c>
      <c r="AB329" s="246">
        <f t="shared" si="192"/>
        <v>0</v>
      </c>
      <c r="AC329" s="246">
        <f t="shared" si="192"/>
        <v>0.66075428571428574</v>
      </c>
      <c r="AD329" s="246">
        <f t="shared" si="192"/>
        <v>0</v>
      </c>
      <c r="AE329" s="246">
        <f t="shared" si="192"/>
        <v>11.012571428571428</v>
      </c>
      <c r="AF329" s="246">
        <v>0</v>
      </c>
      <c r="AG329" s="246">
        <f t="shared" si="192"/>
        <v>1.1012571428571427</v>
      </c>
      <c r="AH329" s="1336">
        <f>(S329*90%)+(AVERAGE(T329:AF329)*10%)</f>
        <v>0.1829781098901099</v>
      </c>
      <c r="AI329" s="102">
        <v>1</v>
      </c>
      <c r="AJ329" s="102">
        <v>58</v>
      </c>
      <c r="AL329" s="102">
        <v>29</v>
      </c>
      <c r="AM329" s="237">
        <v>0.3</v>
      </c>
      <c r="AN329" s="241">
        <v>2.9</v>
      </c>
      <c r="AO329" s="241">
        <v>0.13</v>
      </c>
      <c r="AP329" s="247">
        <f>(AN329*365)*(AO329*0.67*0.01*1)</f>
        <v>0.92195350000000009</v>
      </c>
      <c r="AQ329" s="247">
        <f>(AN329*365)*(AO329*0.67*0.001*1)</f>
        <v>9.2195350000000023E-2</v>
      </c>
      <c r="AR329" s="248"/>
      <c r="AS329" s="247">
        <f>(AN329*365)*(AO329*0.67*0.02*1)</f>
        <v>1.8439070000000002</v>
      </c>
      <c r="AT329" s="247">
        <f>(AN329*365)*(AO329*0.67*0.01*1)</f>
        <v>0.92195350000000009</v>
      </c>
      <c r="AU329" s="247">
        <f>(AN329*365)*(AO329*0.67*0.25*1)</f>
        <v>23.048837500000001</v>
      </c>
      <c r="AV329" s="247">
        <f>(AN329*365)*(AO329*0.67*0.73*1)</f>
        <v>67.302605499999999</v>
      </c>
      <c r="AW329" s="247">
        <f>(AN329*365)*(AO329*0.67*0.03*1)</f>
        <v>2.7658605000000005</v>
      </c>
      <c r="AX329" s="248"/>
      <c r="AY329" s="247">
        <f>(AN329*365)*(AO329*0.67*0.25*1)</f>
        <v>23.048837500000001</v>
      </c>
      <c r="AZ329" s="247">
        <f t="shared" ref="AZ329:AZ352" si="193">(AN329*365)*(AO329*0.67*1*1)</f>
        <v>92.195350000000005</v>
      </c>
      <c r="BA329" s="247">
        <f t="shared" ref="BA329:BA352" si="194">(AN329*365)*(AO329*0.67*0.1*1)</f>
        <v>9.2195350000000005</v>
      </c>
      <c r="BB329" s="247">
        <f t="shared" ref="BB329:BB352" si="195">(AN329*365)*(AO329*0.67*0.005*1)</f>
        <v>0.46097675000000005</v>
      </c>
      <c r="BC329" s="247">
        <f>(AN329*365)*(AO329*0.67*0.005*1)</f>
        <v>0.46097675000000005</v>
      </c>
      <c r="BD329" s="247">
        <v>0</v>
      </c>
      <c r="BE329" s="247">
        <v>0</v>
      </c>
      <c r="BF329" s="247">
        <f>(AP329*90%)+(AVERAGE(AQ329:BC329)*10%)</f>
        <v>2.842131198636364</v>
      </c>
      <c r="BH329" s="120" t="s">
        <v>58</v>
      </c>
      <c r="BI329" s="203" t="str">
        <f>O329</f>
        <v>Ganado Lechero - Clima Frío</v>
      </c>
      <c r="BJ329" s="190" t="s">
        <v>168</v>
      </c>
      <c r="BK329" s="1337">
        <f>BF329</f>
        <v>2.842131198636364</v>
      </c>
      <c r="BL329" s="190" t="s">
        <v>413</v>
      </c>
      <c r="BM329" s="189">
        <v>0.2</v>
      </c>
      <c r="BN329" s="189">
        <v>0.5</v>
      </c>
      <c r="BO329" s="188" t="s">
        <v>258</v>
      </c>
      <c r="BP329" s="1337">
        <f>AH329</f>
        <v>0.1829781098901099</v>
      </c>
      <c r="BQ329" s="190" t="s">
        <v>415</v>
      </c>
      <c r="BR329" s="189">
        <v>0.2</v>
      </c>
      <c r="BS329" s="189">
        <v>0.5</v>
      </c>
      <c r="BT329" s="188" t="s">
        <v>258</v>
      </c>
      <c r="BU329" s="178"/>
      <c r="BV329" s="196">
        <v>25</v>
      </c>
      <c r="BW329" s="190" t="s">
        <v>414</v>
      </c>
      <c r="BX329" s="178"/>
      <c r="BY329" s="196">
        <v>370.88228571428567</v>
      </c>
      <c r="BZ329" s="190" t="s">
        <v>414</v>
      </c>
      <c r="CA329" s="178"/>
      <c r="CB329" s="180"/>
      <c r="CC329" s="178"/>
      <c r="CD329" s="178"/>
      <c r="CE329" s="180"/>
      <c r="CF329" s="180"/>
      <c r="CG329" s="180"/>
      <c r="CH329" s="180"/>
      <c r="CI329" s="178"/>
      <c r="CJ329" s="178"/>
      <c r="CK329" s="180"/>
      <c r="CL329" s="180"/>
      <c r="CM329" s="180"/>
      <c r="CN329" s="116"/>
      <c r="CO329" s="218">
        <f t="shared" si="179"/>
        <v>0.2</v>
      </c>
      <c r="CP329" s="100">
        <f t="shared" si="180"/>
        <v>0.35</v>
      </c>
      <c r="CQ329" s="218">
        <f t="shared" si="181"/>
        <v>0.5</v>
      </c>
      <c r="CW329" s="101" t="s">
        <v>58</v>
      </c>
      <c r="CX329" s="23" t="s">
        <v>125</v>
      </c>
      <c r="CY329" s="23">
        <v>1</v>
      </c>
      <c r="CZ329" s="142">
        <f>+CY329*21</f>
        <v>21</v>
      </c>
      <c r="DA329" s="142">
        <f>+CY329*25</f>
        <v>25</v>
      </c>
      <c r="DB329" s="23">
        <v>40</v>
      </c>
      <c r="DC329" s="23">
        <v>0.99</v>
      </c>
      <c r="DD329" s="142">
        <f>+DB329*DC329</f>
        <v>39.6</v>
      </c>
      <c r="DE329" s="23">
        <v>0.02</v>
      </c>
      <c r="DF329" s="149">
        <f>+DD329*DE329*44/28</f>
        <v>1.2445714285714284</v>
      </c>
      <c r="DG329" s="149">
        <f>+DF329*310</f>
        <v>385.81714285714281</v>
      </c>
      <c r="DH329" s="149">
        <f>+DF329*298</f>
        <v>370.88228571428567</v>
      </c>
      <c r="DI329" s="150">
        <f>+CZ329+DG329</f>
        <v>406.81714285714281</v>
      </c>
      <c r="DJ329" s="150">
        <f>+DA329+DH329</f>
        <v>395.88228571428567</v>
      </c>
      <c r="DK329" s="116" t="s">
        <v>168</v>
      </c>
      <c r="DL329" s="101" t="s">
        <v>392</v>
      </c>
    </row>
    <row r="330" spans="1:116" s="101" customFormat="1" ht="33.75" thickBot="1" x14ac:dyDescent="0.4">
      <c r="O330" s="227" t="s">
        <v>129</v>
      </c>
      <c r="Q330" s="243">
        <v>0.48</v>
      </c>
      <c r="R330" s="243">
        <v>400</v>
      </c>
      <c r="S330" s="246">
        <f t="shared" si="192"/>
        <v>0</v>
      </c>
      <c r="T330" s="246">
        <f t="shared" si="192"/>
        <v>0</v>
      </c>
      <c r="U330" s="246">
        <f t="shared" si="192"/>
        <v>0.55062857142857136</v>
      </c>
      <c r="V330" s="246">
        <f t="shared" si="192"/>
        <v>2.2025142857142854</v>
      </c>
      <c r="W330" s="246">
        <f t="shared" si="192"/>
        <v>0.55062857142857136</v>
      </c>
      <c r="X330" s="246">
        <f t="shared" si="192"/>
        <v>0</v>
      </c>
      <c r="Y330" s="246">
        <f t="shared" si="192"/>
        <v>1.1012571428571427</v>
      </c>
      <c r="Z330" s="246">
        <f t="shared" si="192"/>
        <v>7.708800000000001</v>
      </c>
      <c r="AA330" s="246">
        <f t="shared" si="192"/>
        <v>0</v>
      </c>
      <c r="AB330" s="246">
        <f t="shared" si="192"/>
        <v>0</v>
      </c>
      <c r="AC330" s="246">
        <f t="shared" si="192"/>
        <v>0.66075428571428574</v>
      </c>
      <c r="AD330" s="246">
        <f t="shared" si="192"/>
        <v>0</v>
      </c>
      <c r="AE330" s="246">
        <f t="shared" si="192"/>
        <v>11.012571428571428</v>
      </c>
      <c r="AF330" s="246">
        <v>0</v>
      </c>
      <c r="AG330" s="246">
        <f t="shared" si="192"/>
        <v>1.1012571428571427</v>
      </c>
      <c r="AH330" s="1336">
        <f t="shared" ref="AH330:AH364" si="196">(S330*90%)+(AVERAGE(T330:AF330)*10%)</f>
        <v>0.1829781098901099</v>
      </c>
      <c r="AI330" s="102">
        <v>1</v>
      </c>
      <c r="AJ330" s="102">
        <v>98</v>
      </c>
      <c r="AL330" s="102">
        <v>75</v>
      </c>
      <c r="AM330" s="237">
        <v>0.3</v>
      </c>
      <c r="AN330" s="241">
        <v>2.9</v>
      </c>
      <c r="AO330" s="241">
        <v>0.13</v>
      </c>
      <c r="AP330" s="247">
        <f>(AN330*365)*(AO330*0.67*0.015*1)</f>
        <v>1.3829302500000002</v>
      </c>
      <c r="AQ330" s="247">
        <f>(AN330*365)*(AO330*0.67*0.005*1)</f>
        <v>0.46097675000000005</v>
      </c>
      <c r="AR330" s="248"/>
      <c r="AS330" s="247">
        <f>(AN330*365)*(AO330*0.67*0.04*1)</f>
        <v>3.6878140000000004</v>
      </c>
      <c r="AT330" s="247">
        <f>(AN330*365)*(AO330*0.67*0.015*1)</f>
        <v>1.3829302500000002</v>
      </c>
      <c r="AU330" s="247">
        <f>(AN330*365)*(AO330*0.67*0.65*1)</f>
        <v>59.926977500000007</v>
      </c>
      <c r="AV330" s="247">
        <f>(AN330*365)*(AO330*0.67*0.79*1)</f>
        <v>72.834326500000003</v>
      </c>
      <c r="AW330" s="247">
        <f>(AN330*365)*(AO330*0.67*0.03*1)</f>
        <v>2.7658605000000005</v>
      </c>
      <c r="AX330" s="248"/>
      <c r="AY330" s="247">
        <f>(AN330*365)*(AO330*0.67*0.65*1)</f>
        <v>59.926977500000007</v>
      </c>
      <c r="AZ330" s="247">
        <f t="shared" si="193"/>
        <v>92.195350000000005</v>
      </c>
      <c r="BA330" s="247">
        <f t="shared" si="194"/>
        <v>9.2195350000000005</v>
      </c>
      <c r="BB330" s="247">
        <f t="shared" si="195"/>
        <v>0.46097675000000005</v>
      </c>
      <c r="BC330" s="247">
        <f>(AN330*365)*(AO330*0.67*0.01*1)</f>
        <v>0.92195350000000009</v>
      </c>
      <c r="BD330" s="247">
        <v>0</v>
      </c>
      <c r="BE330" s="247">
        <v>0</v>
      </c>
      <c r="BF330" s="247">
        <f t="shared" ref="BF330:BF352" si="197">(AP330*90%)+(AVERAGE(AQ330:BC330)*10%)</f>
        <v>4.0063070272727277</v>
      </c>
      <c r="BH330" s="120"/>
      <c r="BI330" s="203" t="str">
        <f t="shared" ref="BI330:BI361" si="198">O330</f>
        <v>Ganado Lechero - Clima Templado</v>
      </c>
      <c r="BJ330" s="190" t="s">
        <v>168</v>
      </c>
      <c r="BK330" s="1337">
        <f t="shared" ref="BK330:BK361" si="199">BF330</f>
        <v>4.0063070272727277</v>
      </c>
      <c r="BL330" s="190" t="s">
        <v>413</v>
      </c>
      <c r="BM330" s="189">
        <v>0.2</v>
      </c>
      <c r="BN330" s="189">
        <v>0.5</v>
      </c>
      <c r="BO330" s="188" t="s">
        <v>258</v>
      </c>
      <c r="BP330" s="1337">
        <f t="shared" ref="BP330:BP361" si="200">AH330</f>
        <v>0.1829781098901099</v>
      </c>
      <c r="BQ330" s="190" t="s">
        <v>415</v>
      </c>
      <c r="BR330" s="189">
        <v>0.2</v>
      </c>
      <c r="BS330" s="189">
        <v>0.5</v>
      </c>
      <c r="BT330" s="188" t="s">
        <v>258</v>
      </c>
      <c r="BU330" s="178"/>
      <c r="BV330" s="196">
        <v>25</v>
      </c>
      <c r="BW330" s="190" t="s">
        <v>414</v>
      </c>
      <c r="BX330" s="178"/>
      <c r="BY330" s="196">
        <v>370.88228571428567</v>
      </c>
      <c r="BZ330" s="190" t="s">
        <v>414</v>
      </c>
      <c r="CA330" s="178"/>
      <c r="CB330" s="180"/>
      <c r="CC330" s="178"/>
      <c r="CD330" s="178"/>
      <c r="CE330" s="180"/>
      <c r="CF330" s="180"/>
      <c r="CG330" s="180"/>
      <c r="CH330" s="180"/>
      <c r="CI330" s="178"/>
      <c r="CJ330" s="178"/>
      <c r="CK330" s="180"/>
      <c r="CL330" s="180"/>
      <c r="CM330" s="180"/>
      <c r="CN330" s="116"/>
      <c r="CO330" s="218">
        <f t="shared" si="179"/>
        <v>0.2</v>
      </c>
      <c r="CP330" s="100">
        <f t="shared" si="180"/>
        <v>0.35</v>
      </c>
      <c r="CQ330" s="218">
        <f t="shared" si="181"/>
        <v>0.5</v>
      </c>
      <c r="CX330" s="23" t="s">
        <v>126</v>
      </c>
      <c r="CY330" s="23">
        <v>1</v>
      </c>
      <c r="CZ330" s="142">
        <f t="shared" ref="CZ330:CZ361" si="201">+CY330*21</f>
        <v>21</v>
      </c>
      <c r="DA330" s="142">
        <f t="shared" ref="DA330:DA361" si="202">+CY330*25</f>
        <v>25</v>
      </c>
      <c r="DB330" s="23">
        <v>40</v>
      </c>
      <c r="DC330" s="23">
        <v>0.99</v>
      </c>
      <c r="DD330" s="142">
        <f t="shared" ref="DD330:DD361" si="203">+DB330*DC330</f>
        <v>39.6</v>
      </c>
      <c r="DE330" s="23">
        <v>0.02</v>
      </c>
      <c r="DF330" s="149">
        <f t="shared" ref="DF330:DF361" si="204">+DD330*DE330*44/28</f>
        <v>1.2445714285714284</v>
      </c>
      <c r="DG330" s="149">
        <f t="shared" ref="DG330:DG361" si="205">+DF330*310</f>
        <v>385.81714285714281</v>
      </c>
      <c r="DH330" s="149">
        <f t="shared" ref="DH330:DH361" si="206">+DF330*298</f>
        <v>370.88228571428567</v>
      </c>
      <c r="DI330" s="150">
        <f t="shared" ref="DI330:DJ361" si="207">+CZ330+DG330</f>
        <v>406.81714285714281</v>
      </c>
      <c r="DJ330" s="150">
        <f t="shared" si="207"/>
        <v>395.88228571428567</v>
      </c>
      <c r="DK330" s="116" t="s">
        <v>168</v>
      </c>
      <c r="DL330" s="101" t="s">
        <v>392</v>
      </c>
    </row>
    <row r="331" spans="1:116" s="101" customFormat="1" ht="33.75" thickBot="1" x14ac:dyDescent="0.4">
      <c r="O331" s="227" t="s">
        <v>130</v>
      </c>
      <c r="Q331" s="243">
        <v>0.48</v>
      </c>
      <c r="R331" s="243">
        <v>400</v>
      </c>
      <c r="S331" s="246">
        <f t="shared" si="192"/>
        <v>0</v>
      </c>
      <c r="T331" s="246">
        <f t="shared" si="192"/>
        <v>0</v>
      </c>
      <c r="U331" s="246">
        <f t="shared" si="192"/>
        <v>0.55062857142857136</v>
      </c>
      <c r="V331" s="246">
        <f t="shared" si="192"/>
        <v>2.2025142857142854</v>
      </c>
      <c r="W331" s="246">
        <f t="shared" si="192"/>
        <v>0.55062857142857136</v>
      </c>
      <c r="X331" s="246">
        <f t="shared" si="192"/>
        <v>0</v>
      </c>
      <c r="Y331" s="246">
        <f t="shared" si="192"/>
        <v>1.1012571428571427</v>
      </c>
      <c r="Z331" s="246">
        <f t="shared" si="192"/>
        <v>7.708800000000001</v>
      </c>
      <c r="AA331" s="246">
        <f t="shared" si="192"/>
        <v>0</v>
      </c>
      <c r="AB331" s="246">
        <f t="shared" si="192"/>
        <v>0</v>
      </c>
      <c r="AC331" s="246">
        <f t="shared" si="192"/>
        <v>0.66075428571428574</v>
      </c>
      <c r="AD331" s="246">
        <f t="shared" si="192"/>
        <v>0</v>
      </c>
      <c r="AE331" s="246">
        <f t="shared" si="192"/>
        <v>11.012571428571428</v>
      </c>
      <c r="AF331" s="246">
        <v>0</v>
      </c>
      <c r="AG331" s="246">
        <f t="shared" si="192"/>
        <v>1.1012571428571427</v>
      </c>
      <c r="AH331" s="1336">
        <f t="shared" si="196"/>
        <v>0.1829781098901099</v>
      </c>
      <c r="AI331" s="102">
        <v>1</v>
      </c>
      <c r="AJ331" s="102">
        <v>112</v>
      </c>
      <c r="AL331" s="102">
        <v>92</v>
      </c>
      <c r="AM331" s="237">
        <v>0.3</v>
      </c>
      <c r="AN331" s="241">
        <v>2.9</v>
      </c>
      <c r="AO331" s="241">
        <v>0.13</v>
      </c>
      <c r="AP331" s="247">
        <f>(AN331*365)*(AO331*0.67*0.02*1)</f>
        <v>1.8439070000000002</v>
      </c>
      <c r="AQ331" s="247">
        <f>(AN331*365)*(AO331*0.67*0.01*1)</f>
        <v>0.92195350000000009</v>
      </c>
      <c r="AR331" s="248"/>
      <c r="AS331" s="247">
        <f>(AN331*365)*(AO331*0.67*0.05*1)</f>
        <v>4.6097675000000002</v>
      </c>
      <c r="AT331" s="247">
        <f>(AN331*365)*(AO331*0.67*0.02*1)</f>
        <v>1.8439070000000002</v>
      </c>
      <c r="AU331" s="247">
        <f>(AN331*365)*(AO331*0.67*0.8*1)</f>
        <v>73.756280000000004</v>
      </c>
      <c r="AV331" s="247">
        <f>(AN331*365)*(AO331*0.67*0.8*1)</f>
        <v>73.756280000000004</v>
      </c>
      <c r="AW331" s="247">
        <f>(AN331*365)*(AO331*0.67*0.3*1)</f>
        <v>27.658605000000005</v>
      </c>
      <c r="AX331" s="248"/>
      <c r="AY331" s="247">
        <f>(AN331*365)*(AO331*0.67*0.8*1)</f>
        <v>73.756280000000004</v>
      </c>
      <c r="AZ331" s="247">
        <f t="shared" si="193"/>
        <v>92.195350000000005</v>
      </c>
      <c r="BA331" s="247">
        <f t="shared" si="194"/>
        <v>9.2195350000000005</v>
      </c>
      <c r="BB331" s="247">
        <f t="shared" si="195"/>
        <v>0.46097675000000005</v>
      </c>
      <c r="BC331" s="247">
        <f>(AN331*365)*(AO331*0.67*0.015*1)</f>
        <v>1.3829302500000002</v>
      </c>
      <c r="BD331" s="247">
        <v>0</v>
      </c>
      <c r="BE331" s="247">
        <v>0</v>
      </c>
      <c r="BF331" s="247">
        <f t="shared" si="197"/>
        <v>4.9282605272727285</v>
      </c>
      <c r="BH331" s="120"/>
      <c r="BI331" s="203" t="str">
        <f t="shared" si="198"/>
        <v>Ganado Lechero - Clima Cálido</v>
      </c>
      <c r="BJ331" s="190" t="s">
        <v>168</v>
      </c>
      <c r="BK331" s="1337">
        <f t="shared" si="199"/>
        <v>4.9282605272727285</v>
      </c>
      <c r="BL331" s="190" t="s">
        <v>413</v>
      </c>
      <c r="BM331" s="189">
        <v>0.2</v>
      </c>
      <c r="BN331" s="189">
        <v>0.5</v>
      </c>
      <c r="BO331" s="188" t="s">
        <v>258</v>
      </c>
      <c r="BP331" s="1337">
        <f t="shared" si="200"/>
        <v>0.1829781098901099</v>
      </c>
      <c r="BQ331" s="190" t="s">
        <v>415</v>
      </c>
      <c r="BR331" s="189">
        <v>0.2</v>
      </c>
      <c r="BS331" s="189">
        <v>0.5</v>
      </c>
      <c r="BT331" s="188" t="s">
        <v>258</v>
      </c>
      <c r="BU331" s="178"/>
      <c r="BV331" s="196">
        <v>25</v>
      </c>
      <c r="BW331" s="190" t="s">
        <v>414</v>
      </c>
      <c r="BX331" s="178"/>
      <c r="BY331" s="196">
        <v>370.88228571428567</v>
      </c>
      <c r="BZ331" s="190" t="s">
        <v>414</v>
      </c>
      <c r="CA331" s="178"/>
      <c r="CB331" s="180"/>
      <c r="CC331" s="178"/>
      <c r="CD331" s="178"/>
      <c r="CE331" s="180"/>
      <c r="CF331" s="180"/>
      <c r="CG331" s="180"/>
      <c r="CH331" s="180"/>
      <c r="CI331" s="178"/>
      <c r="CJ331" s="178"/>
      <c r="CK331" s="180"/>
      <c r="CL331" s="180"/>
      <c r="CM331" s="180"/>
      <c r="CN331" s="116"/>
      <c r="CO331" s="218">
        <f t="shared" si="179"/>
        <v>0.2</v>
      </c>
      <c r="CP331" s="100">
        <f t="shared" si="180"/>
        <v>0.35</v>
      </c>
      <c r="CQ331" s="218">
        <f t="shared" si="181"/>
        <v>0.5</v>
      </c>
      <c r="CX331" s="23" t="s">
        <v>127</v>
      </c>
      <c r="CY331" s="23">
        <v>1</v>
      </c>
      <c r="CZ331" s="142">
        <f t="shared" si="201"/>
        <v>21</v>
      </c>
      <c r="DA331" s="142">
        <f t="shared" si="202"/>
        <v>25</v>
      </c>
      <c r="DB331" s="23">
        <v>40</v>
      </c>
      <c r="DC331" s="23">
        <v>0.99</v>
      </c>
      <c r="DD331" s="142">
        <f t="shared" si="203"/>
        <v>39.6</v>
      </c>
      <c r="DE331" s="23">
        <v>0.02</v>
      </c>
      <c r="DF331" s="149">
        <f t="shared" si="204"/>
        <v>1.2445714285714284</v>
      </c>
      <c r="DG331" s="149">
        <f t="shared" si="205"/>
        <v>385.81714285714281</v>
      </c>
      <c r="DH331" s="149">
        <f t="shared" si="206"/>
        <v>370.88228571428567</v>
      </c>
      <c r="DI331" s="150">
        <f t="shared" si="207"/>
        <v>406.81714285714281</v>
      </c>
      <c r="DJ331" s="150">
        <f t="shared" si="207"/>
        <v>395.88228571428567</v>
      </c>
      <c r="DK331" s="116" t="s">
        <v>168</v>
      </c>
      <c r="DL331" s="101" t="s">
        <v>392</v>
      </c>
    </row>
    <row r="332" spans="1:116" s="101" customFormat="1" ht="33.75" thickBot="1" x14ac:dyDescent="0.4">
      <c r="O332" s="227" t="s">
        <v>125</v>
      </c>
      <c r="Q332" s="243">
        <v>0.36</v>
      </c>
      <c r="R332" s="243">
        <v>305</v>
      </c>
      <c r="S332" s="246">
        <f t="shared" si="192"/>
        <v>0</v>
      </c>
      <c r="T332" s="246">
        <f t="shared" si="192"/>
        <v>0</v>
      </c>
      <c r="U332" s="246">
        <f t="shared" si="192"/>
        <v>0.3148907142857143</v>
      </c>
      <c r="V332" s="246">
        <f t="shared" si="192"/>
        <v>1.2595628571428572</v>
      </c>
      <c r="W332" s="246">
        <f t="shared" si="192"/>
        <v>0.3148907142857143</v>
      </c>
      <c r="X332" s="246">
        <f t="shared" si="192"/>
        <v>0</v>
      </c>
      <c r="Y332" s="246">
        <f t="shared" si="192"/>
        <v>0.6297814285714286</v>
      </c>
      <c r="Z332" s="246">
        <f t="shared" si="192"/>
        <v>4.4084700000000003</v>
      </c>
      <c r="AA332" s="246">
        <f t="shared" si="192"/>
        <v>0</v>
      </c>
      <c r="AB332" s="246">
        <f t="shared" si="192"/>
        <v>0</v>
      </c>
      <c r="AC332" s="246">
        <f t="shared" si="192"/>
        <v>0.37786885714285712</v>
      </c>
      <c r="AD332" s="246">
        <f t="shared" si="192"/>
        <v>0</v>
      </c>
      <c r="AE332" s="246">
        <f t="shared" si="192"/>
        <v>6.2978142857142849</v>
      </c>
      <c r="AF332" s="246">
        <v>0</v>
      </c>
      <c r="AG332" s="246">
        <f t="shared" si="192"/>
        <v>0.6297814285714286</v>
      </c>
      <c r="AH332" s="1336">
        <f t="shared" si="196"/>
        <v>0.1046406065934066</v>
      </c>
      <c r="AI332" s="102">
        <v>1</v>
      </c>
      <c r="AJ332" s="100">
        <v>0</v>
      </c>
      <c r="AL332" s="102">
        <v>8</v>
      </c>
      <c r="AM332" s="237">
        <v>0.3</v>
      </c>
      <c r="AN332" s="241">
        <v>2.5</v>
      </c>
      <c r="AO332" s="241">
        <v>0.1</v>
      </c>
      <c r="AP332" s="247">
        <f>(AN332*365)*(AO332*0.67*0.01*1)</f>
        <v>0.611375</v>
      </c>
      <c r="AQ332" s="247">
        <f>(AN332*365)*(AO332*0.67*0.001*1)</f>
        <v>6.1137500000000004E-2</v>
      </c>
      <c r="AR332" s="248"/>
      <c r="AS332" s="247">
        <f>(AN332*365)*(AO332*0.67*0.02*1)</f>
        <v>1.22275</v>
      </c>
      <c r="AT332" s="247">
        <f>(AN332*365)*(AO332*0.67*0.01*1)</f>
        <v>0.611375</v>
      </c>
      <c r="AU332" s="247">
        <f>(AN332*365)*(AO332*0.67*0.25*1)</f>
        <v>15.284375000000001</v>
      </c>
      <c r="AV332" s="247">
        <f>(AN332*365)*(AO332*0.67*0.73*1)</f>
        <v>44.630375000000001</v>
      </c>
      <c r="AW332" s="247">
        <f>(AN332*365)*(AO332*0.67*0.03*1)</f>
        <v>1.834125</v>
      </c>
      <c r="AX332" s="248"/>
      <c r="AY332" s="247">
        <f>(AN332*365)*(AO332*0.67*0.25*1)</f>
        <v>15.284375000000001</v>
      </c>
      <c r="AZ332" s="247">
        <f t="shared" si="193"/>
        <v>61.137500000000003</v>
      </c>
      <c r="BA332" s="247">
        <f t="shared" si="194"/>
        <v>6.1137500000000014</v>
      </c>
      <c r="BB332" s="247">
        <f t="shared" si="195"/>
        <v>0.3056875</v>
      </c>
      <c r="BC332" s="247">
        <f>(AN332*365)*(AO332*0.67*0.005*1)</f>
        <v>0.3056875</v>
      </c>
      <c r="BD332" s="247">
        <v>0</v>
      </c>
      <c r="BE332" s="247">
        <v>0</v>
      </c>
      <c r="BF332" s="247">
        <f t="shared" si="197"/>
        <v>1.8847023863636365</v>
      </c>
      <c r="BH332" s="120"/>
      <c r="BI332" s="203" t="str">
        <f t="shared" si="198"/>
        <v>Ganado No Lechero - Clima Frío</v>
      </c>
      <c r="BJ332" s="190" t="s">
        <v>168</v>
      </c>
      <c r="BK332" s="1337">
        <f t="shared" si="199"/>
        <v>1.8847023863636365</v>
      </c>
      <c r="BL332" s="190" t="s">
        <v>413</v>
      </c>
      <c r="BM332" s="189">
        <v>0.2</v>
      </c>
      <c r="BN332" s="189">
        <v>0.5</v>
      </c>
      <c r="BO332" s="188" t="s">
        <v>258</v>
      </c>
      <c r="BP332" s="1337">
        <f t="shared" si="200"/>
        <v>0.1046406065934066</v>
      </c>
      <c r="BQ332" s="190" t="s">
        <v>415</v>
      </c>
      <c r="BR332" s="189">
        <v>0.2</v>
      </c>
      <c r="BS332" s="189">
        <v>0.5</v>
      </c>
      <c r="BT332" s="188" t="s">
        <v>258</v>
      </c>
      <c r="BU332" s="178"/>
      <c r="BV332" s="196">
        <v>0</v>
      </c>
      <c r="BW332" s="190" t="s">
        <v>414</v>
      </c>
      <c r="BX332" s="178"/>
      <c r="BY332" s="196">
        <v>236.01600000000002</v>
      </c>
      <c r="BZ332" s="190" t="s">
        <v>414</v>
      </c>
      <c r="CA332" s="178"/>
      <c r="CB332" s="180"/>
      <c r="CC332" s="178"/>
      <c r="CD332" s="178"/>
      <c r="CE332" s="180"/>
      <c r="CF332" s="180"/>
      <c r="CG332" s="180"/>
      <c r="CH332" s="180"/>
      <c r="CI332" s="178"/>
      <c r="CJ332" s="178"/>
      <c r="CK332" s="180"/>
      <c r="CL332" s="180"/>
      <c r="CM332" s="180"/>
      <c r="CN332" s="116"/>
      <c r="CO332" s="218">
        <f t="shared" si="179"/>
        <v>0.2</v>
      </c>
      <c r="CP332" s="100">
        <f t="shared" si="180"/>
        <v>0.35</v>
      </c>
      <c r="CQ332" s="218">
        <f t="shared" si="181"/>
        <v>0.5</v>
      </c>
      <c r="CX332" s="23" t="s">
        <v>128</v>
      </c>
      <c r="CY332" s="23">
        <v>0</v>
      </c>
      <c r="CZ332" s="142">
        <f t="shared" si="201"/>
        <v>0</v>
      </c>
      <c r="DA332" s="142">
        <f t="shared" si="202"/>
        <v>0</v>
      </c>
      <c r="DB332" s="23">
        <v>70</v>
      </c>
      <c r="DC332" s="23">
        <v>0.36</v>
      </c>
      <c r="DD332" s="142">
        <f t="shared" si="203"/>
        <v>25.2</v>
      </c>
      <c r="DE332" s="23">
        <v>0.02</v>
      </c>
      <c r="DF332" s="149">
        <f t="shared" si="204"/>
        <v>0.79200000000000004</v>
      </c>
      <c r="DG332" s="149">
        <f t="shared" si="205"/>
        <v>245.52</v>
      </c>
      <c r="DH332" s="149">
        <f t="shared" si="206"/>
        <v>236.01600000000002</v>
      </c>
      <c r="DI332" s="150">
        <f t="shared" si="207"/>
        <v>245.52</v>
      </c>
      <c r="DJ332" s="150">
        <f t="shared" si="207"/>
        <v>236.01600000000002</v>
      </c>
      <c r="DK332" s="116" t="s">
        <v>168</v>
      </c>
      <c r="DL332" s="101" t="s">
        <v>392</v>
      </c>
    </row>
    <row r="333" spans="1:116" s="101" customFormat="1" ht="33.75" thickBot="1" x14ac:dyDescent="0.4">
      <c r="O333" s="227" t="s">
        <v>126</v>
      </c>
      <c r="Q333" s="243">
        <v>0.36</v>
      </c>
      <c r="R333" s="243">
        <v>305</v>
      </c>
      <c r="S333" s="246">
        <f t="shared" si="192"/>
        <v>0</v>
      </c>
      <c r="T333" s="246">
        <f t="shared" si="192"/>
        <v>0</v>
      </c>
      <c r="U333" s="246">
        <f t="shared" si="192"/>
        <v>0.3148907142857143</v>
      </c>
      <c r="V333" s="246">
        <f t="shared" si="192"/>
        <v>1.2595628571428572</v>
      </c>
      <c r="W333" s="246">
        <f t="shared" si="192"/>
        <v>0.3148907142857143</v>
      </c>
      <c r="X333" s="246">
        <f t="shared" si="192"/>
        <v>0</v>
      </c>
      <c r="Y333" s="246">
        <f t="shared" si="192"/>
        <v>0.6297814285714286</v>
      </c>
      <c r="Z333" s="246">
        <f t="shared" si="192"/>
        <v>4.4084700000000003</v>
      </c>
      <c r="AA333" s="246">
        <f t="shared" si="192"/>
        <v>0</v>
      </c>
      <c r="AB333" s="246">
        <f t="shared" si="192"/>
        <v>0</v>
      </c>
      <c r="AC333" s="246">
        <f t="shared" si="192"/>
        <v>0.37786885714285712</v>
      </c>
      <c r="AD333" s="246">
        <f t="shared" si="192"/>
        <v>0</v>
      </c>
      <c r="AE333" s="246">
        <f t="shared" si="192"/>
        <v>6.2978142857142849</v>
      </c>
      <c r="AF333" s="246">
        <v>0</v>
      </c>
      <c r="AG333" s="246">
        <f t="shared" si="192"/>
        <v>0.6297814285714286</v>
      </c>
      <c r="AH333" s="1336">
        <f t="shared" si="196"/>
        <v>0.1046406065934066</v>
      </c>
      <c r="AI333" s="102">
        <v>1</v>
      </c>
      <c r="AJ333" s="100">
        <v>0</v>
      </c>
      <c r="AL333" s="102">
        <v>21</v>
      </c>
      <c r="AM333" s="237">
        <v>0.3</v>
      </c>
      <c r="AN333" s="241">
        <v>2.5</v>
      </c>
      <c r="AO333" s="241">
        <v>0.1</v>
      </c>
      <c r="AP333" s="247">
        <f>(AN333*365)*(AO333*0.67*0.015*1)</f>
        <v>0.9170625</v>
      </c>
      <c r="AQ333" s="247">
        <f>(AN333*365)*(AO333*0.67*0.005*1)</f>
        <v>0.3056875</v>
      </c>
      <c r="AR333" s="248"/>
      <c r="AS333" s="247">
        <f>(AN333*365)*(AO333*0.67*0.04*1)</f>
        <v>2.4455</v>
      </c>
      <c r="AT333" s="247">
        <f>(AN333*365)*(AO333*0.67*0.015*1)</f>
        <v>0.9170625</v>
      </c>
      <c r="AU333" s="247">
        <f>(AN333*365)*(AO333*0.67*0.65*1)</f>
        <v>39.739375000000003</v>
      </c>
      <c r="AV333" s="247">
        <f>(AN333*365)*(AO333*0.67*0.79*1)</f>
        <v>48.298625000000001</v>
      </c>
      <c r="AW333" s="247">
        <f>(AN333*365)*(AO333*0.67*0.03*1)</f>
        <v>1.834125</v>
      </c>
      <c r="AX333" s="248"/>
      <c r="AY333" s="247">
        <f>(AN333*365)*(AO333*0.67*0.65*1)</f>
        <v>39.739375000000003</v>
      </c>
      <c r="AZ333" s="247">
        <f t="shared" si="193"/>
        <v>61.137500000000003</v>
      </c>
      <c r="BA333" s="247">
        <f t="shared" si="194"/>
        <v>6.1137500000000014</v>
      </c>
      <c r="BB333" s="247">
        <f t="shared" si="195"/>
        <v>0.3056875</v>
      </c>
      <c r="BC333" s="247">
        <f>(AN333*365)*(AO333*0.67*0.01*1)</f>
        <v>0.611375</v>
      </c>
      <c r="BD333" s="247">
        <v>0</v>
      </c>
      <c r="BE333" s="247">
        <v>0</v>
      </c>
      <c r="BF333" s="247">
        <f t="shared" si="197"/>
        <v>2.6567022727272733</v>
      </c>
      <c r="BH333" s="120"/>
      <c r="BI333" s="203" t="str">
        <f t="shared" si="198"/>
        <v>Ganado No Lechero - Clima Templado</v>
      </c>
      <c r="BJ333" s="190" t="s">
        <v>168</v>
      </c>
      <c r="BK333" s="1337">
        <f t="shared" si="199"/>
        <v>2.6567022727272733</v>
      </c>
      <c r="BL333" s="190" t="s">
        <v>413</v>
      </c>
      <c r="BM333" s="189">
        <v>0.2</v>
      </c>
      <c r="BN333" s="189">
        <v>0.5</v>
      </c>
      <c r="BO333" s="188" t="s">
        <v>258</v>
      </c>
      <c r="BP333" s="1337">
        <f t="shared" si="200"/>
        <v>0.1046406065934066</v>
      </c>
      <c r="BQ333" s="190" t="s">
        <v>415</v>
      </c>
      <c r="BR333" s="189">
        <v>0.2</v>
      </c>
      <c r="BS333" s="189">
        <v>0.5</v>
      </c>
      <c r="BT333" s="188" t="s">
        <v>258</v>
      </c>
      <c r="BU333" s="178"/>
      <c r="BV333" s="196">
        <v>25</v>
      </c>
      <c r="BW333" s="190" t="s">
        <v>414</v>
      </c>
      <c r="BX333" s="178"/>
      <c r="BY333" s="196">
        <v>236.01600000000002</v>
      </c>
      <c r="BZ333" s="190" t="s">
        <v>414</v>
      </c>
      <c r="CA333" s="178"/>
      <c r="CB333" s="180"/>
      <c r="CC333" s="178"/>
      <c r="CD333" s="178"/>
      <c r="CE333" s="180"/>
      <c r="CF333" s="180"/>
      <c r="CG333" s="180"/>
      <c r="CH333" s="180"/>
      <c r="CI333" s="178"/>
      <c r="CJ333" s="178"/>
      <c r="CK333" s="180"/>
      <c r="CL333" s="180"/>
      <c r="CM333" s="180"/>
      <c r="CN333" s="116"/>
      <c r="CO333" s="218">
        <f t="shared" si="179"/>
        <v>0.2</v>
      </c>
      <c r="CP333" s="100">
        <f t="shared" si="180"/>
        <v>0.35</v>
      </c>
      <c r="CQ333" s="218">
        <f t="shared" si="181"/>
        <v>0.5</v>
      </c>
      <c r="CX333" s="23" t="s">
        <v>129</v>
      </c>
      <c r="CY333" s="23">
        <v>1</v>
      </c>
      <c r="CZ333" s="142">
        <f t="shared" si="201"/>
        <v>21</v>
      </c>
      <c r="DA333" s="142">
        <f t="shared" si="202"/>
        <v>25</v>
      </c>
      <c r="DB333" s="23">
        <v>70</v>
      </c>
      <c r="DC333" s="23">
        <v>0.36</v>
      </c>
      <c r="DD333" s="142">
        <f t="shared" si="203"/>
        <v>25.2</v>
      </c>
      <c r="DE333" s="23">
        <v>0.02</v>
      </c>
      <c r="DF333" s="149">
        <f t="shared" si="204"/>
        <v>0.79200000000000004</v>
      </c>
      <c r="DG333" s="149">
        <f t="shared" si="205"/>
        <v>245.52</v>
      </c>
      <c r="DH333" s="149">
        <f t="shared" si="206"/>
        <v>236.01600000000002</v>
      </c>
      <c r="DI333" s="150">
        <f t="shared" si="207"/>
        <v>266.52</v>
      </c>
      <c r="DJ333" s="150">
        <f t="shared" si="207"/>
        <v>261.01600000000002</v>
      </c>
      <c r="DK333" s="116" t="s">
        <v>168</v>
      </c>
      <c r="DL333" s="101" t="s">
        <v>392</v>
      </c>
    </row>
    <row r="334" spans="1:116" s="101" customFormat="1" ht="33.75" thickBot="1" x14ac:dyDescent="0.4">
      <c r="O334" s="227" t="s">
        <v>127</v>
      </c>
      <c r="Q334" s="243">
        <v>0.36</v>
      </c>
      <c r="R334" s="243">
        <v>305</v>
      </c>
      <c r="S334" s="246">
        <f t="shared" si="192"/>
        <v>0</v>
      </c>
      <c r="T334" s="246">
        <f t="shared" si="192"/>
        <v>0</v>
      </c>
      <c r="U334" s="246">
        <f t="shared" si="192"/>
        <v>0.3148907142857143</v>
      </c>
      <c r="V334" s="246">
        <f t="shared" si="192"/>
        <v>1.2595628571428572</v>
      </c>
      <c r="W334" s="246">
        <f t="shared" si="192"/>
        <v>0.3148907142857143</v>
      </c>
      <c r="X334" s="246">
        <f t="shared" si="192"/>
        <v>0</v>
      </c>
      <c r="Y334" s="246">
        <f t="shared" si="192"/>
        <v>0.6297814285714286</v>
      </c>
      <c r="Z334" s="246">
        <f t="shared" si="192"/>
        <v>4.4084700000000003</v>
      </c>
      <c r="AA334" s="246">
        <f t="shared" si="192"/>
        <v>0</v>
      </c>
      <c r="AB334" s="246">
        <f t="shared" si="192"/>
        <v>0</v>
      </c>
      <c r="AC334" s="246">
        <f t="shared" si="192"/>
        <v>0.37786885714285712</v>
      </c>
      <c r="AD334" s="246">
        <f t="shared" si="192"/>
        <v>0</v>
      </c>
      <c r="AE334" s="246">
        <f t="shared" si="192"/>
        <v>6.2978142857142849</v>
      </c>
      <c r="AF334" s="246">
        <v>0</v>
      </c>
      <c r="AG334" s="246">
        <f t="shared" si="192"/>
        <v>0.6297814285714286</v>
      </c>
      <c r="AH334" s="1336">
        <f t="shared" si="196"/>
        <v>0.1046406065934066</v>
      </c>
      <c r="AI334" s="102">
        <v>2</v>
      </c>
      <c r="AJ334" s="100">
        <v>0</v>
      </c>
      <c r="AL334" s="102">
        <v>26</v>
      </c>
      <c r="AM334" s="237">
        <v>0.3</v>
      </c>
      <c r="AN334" s="241">
        <v>2.5</v>
      </c>
      <c r="AO334" s="241">
        <v>0.1</v>
      </c>
      <c r="AP334" s="247">
        <f>(AN334*365)*(AO334*0.67*0.02*1)</f>
        <v>1.22275</v>
      </c>
      <c r="AQ334" s="247">
        <f>(AN334*365)*(AO334*0.67*0.01*1)</f>
        <v>0.611375</v>
      </c>
      <c r="AR334" s="248"/>
      <c r="AS334" s="247">
        <f>(AN334*365)*(AO334*0.67*0.05*1)</f>
        <v>3.0568750000000007</v>
      </c>
      <c r="AT334" s="247">
        <f>(AN334*365)*(AO334*0.67*0.02*1)</f>
        <v>1.22275</v>
      </c>
      <c r="AU334" s="247">
        <f>(AN334*365)*(AO334*0.67*0.8*1)</f>
        <v>48.910000000000011</v>
      </c>
      <c r="AV334" s="247">
        <f>(AN334*365)*(AO334*0.67*0.8*1)</f>
        <v>48.910000000000011</v>
      </c>
      <c r="AW334" s="247">
        <f>(AN334*365)*(AO334*0.67*0.3*1)</f>
        <v>18.341249999999999</v>
      </c>
      <c r="AX334" s="248"/>
      <c r="AY334" s="247">
        <f>(AN334*365)*(AO334*0.67*0.8*1)</f>
        <v>48.910000000000011</v>
      </c>
      <c r="AZ334" s="247">
        <f t="shared" si="193"/>
        <v>61.137500000000003</v>
      </c>
      <c r="BA334" s="247">
        <f t="shared" si="194"/>
        <v>6.1137500000000014</v>
      </c>
      <c r="BB334" s="247">
        <f t="shared" si="195"/>
        <v>0.3056875</v>
      </c>
      <c r="BC334" s="247">
        <f>(AN334*365)*(AO334*0.67*0.015*1)</f>
        <v>0.9170625</v>
      </c>
      <c r="BD334" s="247">
        <v>0</v>
      </c>
      <c r="BE334" s="247">
        <v>0</v>
      </c>
      <c r="BF334" s="247">
        <f t="shared" si="197"/>
        <v>3.2680772727272736</v>
      </c>
      <c r="BH334" s="120"/>
      <c r="BI334" s="203" t="str">
        <f t="shared" si="198"/>
        <v>Ganado No Lechero - Clima Cálido</v>
      </c>
      <c r="BJ334" s="190" t="s">
        <v>168</v>
      </c>
      <c r="BK334" s="1337">
        <f t="shared" si="199"/>
        <v>3.2680772727272736</v>
      </c>
      <c r="BL334" s="190" t="s">
        <v>413</v>
      </c>
      <c r="BM334" s="189">
        <v>0.2</v>
      </c>
      <c r="BN334" s="189">
        <v>0.5</v>
      </c>
      <c r="BO334" s="188" t="s">
        <v>258</v>
      </c>
      <c r="BP334" s="1337">
        <f t="shared" si="200"/>
        <v>0.1046406065934066</v>
      </c>
      <c r="BQ334" s="190" t="s">
        <v>415</v>
      </c>
      <c r="BR334" s="189">
        <v>0.2</v>
      </c>
      <c r="BS334" s="189">
        <v>0.5</v>
      </c>
      <c r="BT334" s="188" t="s">
        <v>258</v>
      </c>
      <c r="BU334" s="178"/>
      <c r="BV334" s="196">
        <v>50</v>
      </c>
      <c r="BW334" s="190" t="s">
        <v>414</v>
      </c>
      <c r="BX334" s="178"/>
      <c r="BY334" s="196">
        <v>236.01600000000002</v>
      </c>
      <c r="BZ334" s="190" t="s">
        <v>414</v>
      </c>
      <c r="CA334" s="178"/>
      <c r="CB334" s="180"/>
      <c r="CC334" s="178"/>
      <c r="CD334" s="178"/>
      <c r="CE334" s="180"/>
      <c r="CF334" s="180"/>
      <c r="CG334" s="180"/>
      <c r="CH334" s="180"/>
      <c r="CI334" s="178"/>
      <c r="CJ334" s="178"/>
      <c r="CK334" s="180"/>
      <c r="CL334" s="180"/>
      <c r="CM334" s="180"/>
      <c r="CN334" s="116"/>
      <c r="CO334" s="218">
        <f t="shared" si="179"/>
        <v>0.2</v>
      </c>
      <c r="CP334" s="100">
        <f t="shared" si="180"/>
        <v>0.35</v>
      </c>
      <c r="CQ334" s="218">
        <f t="shared" si="181"/>
        <v>0.5</v>
      </c>
      <c r="CX334" s="23" t="s">
        <v>130</v>
      </c>
      <c r="CY334" s="23">
        <v>2</v>
      </c>
      <c r="CZ334" s="142">
        <f t="shared" si="201"/>
        <v>42</v>
      </c>
      <c r="DA334" s="142">
        <f t="shared" si="202"/>
        <v>50</v>
      </c>
      <c r="DB334" s="23">
        <v>70</v>
      </c>
      <c r="DC334" s="23">
        <v>0.36</v>
      </c>
      <c r="DD334" s="142">
        <f t="shared" si="203"/>
        <v>25.2</v>
      </c>
      <c r="DE334" s="23">
        <v>0.02</v>
      </c>
      <c r="DF334" s="149">
        <f t="shared" si="204"/>
        <v>0.79200000000000004</v>
      </c>
      <c r="DG334" s="149">
        <f t="shared" si="205"/>
        <v>245.52</v>
      </c>
      <c r="DH334" s="149">
        <f t="shared" si="206"/>
        <v>236.01600000000002</v>
      </c>
      <c r="DI334" s="150">
        <f t="shared" si="207"/>
        <v>287.52</v>
      </c>
      <c r="DJ334" s="150">
        <f t="shared" si="207"/>
        <v>286.01600000000002</v>
      </c>
      <c r="DK334" s="116" t="s">
        <v>168</v>
      </c>
      <c r="DL334" s="101" t="s">
        <v>392</v>
      </c>
    </row>
    <row r="335" spans="1:116" s="101" customFormat="1" ht="33.75" thickBot="1" x14ac:dyDescent="0.4">
      <c r="O335" s="227" t="s">
        <v>131</v>
      </c>
      <c r="Q335" s="243">
        <v>0.82</v>
      </c>
      <c r="R335" s="243">
        <v>1.8</v>
      </c>
      <c r="S335" s="246">
        <f t="shared" si="192"/>
        <v>0</v>
      </c>
      <c r="T335" s="246">
        <f t="shared" si="192"/>
        <v>0</v>
      </c>
      <c r="U335" s="246">
        <f t="shared" si="192"/>
        <v>4.2329571428571426E-3</v>
      </c>
      <c r="V335" s="246">
        <f t="shared" si="192"/>
        <v>1.6931828571428571E-2</v>
      </c>
      <c r="W335" s="246">
        <f t="shared" si="192"/>
        <v>4.2329571428571426E-3</v>
      </c>
      <c r="X335" s="246">
        <f t="shared" si="192"/>
        <v>0</v>
      </c>
      <c r="Y335" s="246">
        <v>0</v>
      </c>
      <c r="Z335" s="246">
        <v>0</v>
      </c>
      <c r="AA335" s="246">
        <f t="shared" si="192"/>
        <v>0</v>
      </c>
      <c r="AB335" s="246">
        <f t="shared" si="192"/>
        <v>0</v>
      </c>
      <c r="AC335" s="246">
        <f t="shared" si="192"/>
        <v>5.0795485714285717E-3</v>
      </c>
      <c r="AD335" s="246">
        <f t="shared" si="192"/>
        <v>0</v>
      </c>
      <c r="AE335" s="246">
        <f t="shared" si="192"/>
        <v>8.4659142857142863E-2</v>
      </c>
      <c r="AF335" s="246">
        <f t="shared" si="192"/>
        <v>8.4659142857142853E-3</v>
      </c>
      <c r="AG335" s="246">
        <f t="shared" si="192"/>
        <v>8.4659142857142853E-3</v>
      </c>
      <c r="AH335" s="1336">
        <f t="shared" si="196"/>
        <v>9.5078729670329684E-4</v>
      </c>
      <c r="AI335" s="102">
        <v>0.01</v>
      </c>
      <c r="AJ335" s="102">
        <v>1.2</v>
      </c>
      <c r="AL335" s="100">
        <v>0</v>
      </c>
      <c r="AM335" s="237">
        <v>0.3</v>
      </c>
      <c r="AN335" s="241">
        <v>0.1</v>
      </c>
      <c r="AO335" s="241">
        <v>0.24</v>
      </c>
      <c r="AP335" s="247">
        <f>(AN335*365)*(AO335*0.67*0.01*1)</f>
        <v>5.8692000000000001E-2</v>
      </c>
      <c r="AQ335" s="247">
        <f>(AN335*365)*(AO335*0.67*0.001*1)</f>
        <v>5.8691999999999998E-3</v>
      </c>
      <c r="AR335" s="248"/>
      <c r="AS335" s="247">
        <f>(AN335*365)*(AO335*0.67*0.02*1)</f>
        <v>0.117384</v>
      </c>
      <c r="AT335" s="247">
        <f>(AN335*365)*(AO335*0.67*0.01*1)</f>
        <v>5.8692000000000001E-2</v>
      </c>
      <c r="AU335" s="247">
        <f>(AN335*365)*(AO335*0.67*0.25*1)</f>
        <v>1.4673</v>
      </c>
      <c r="AV335" s="247">
        <f>(AN335*365)*(AO335*0.67*0.73*1)</f>
        <v>4.284516</v>
      </c>
      <c r="AW335" s="247">
        <v>0</v>
      </c>
      <c r="AX335" s="247" t="s">
        <v>541</v>
      </c>
      <c r="AY335" s="247">
        <v>0</v>
      </c>
      <c r="AZ335" s="247">
        <f t="shared" si="193"/>
        <v>5.8692000000000002</v>
      </c>
      <c r="BA335" s="247">
        <f t="shared" si="194"/>
        <v>0.58692</v>
      </c>
      <c r="BB335" s="247">
        <f t="shared" si="195"/>
        <v>2.9346000000000001E-2</v>
      </c>
      <c r="BC335" s="247">
        <f>(AN335*365)*(AO335*0.67*0.005*1)</f>
        <v>2.9346000000000001E-2</v>
      </c>
      <c r="BD335" s="247">
        <f>(AN335*365)*(AO335*0.67*0.0015*1)</f>
        <v>8.8038000000000005E-3</v>
      </c>
      <c r="BE335" s="247">
        <v>0</v>
      </c>
      <c r="BF335" s="247">
        <f t="shared" si="197"/>
        <v>0.16599164727272728</v>
      </c>
      <c r="BH335" s="120"/>
      <c r="BI335" s="203" t="str">
        <f t="shared" si="198"/>
        <v>Aves de Corral - Clima Frío</v>
      </c>
      <c r="BJ335" s="190" t="s">
        <v>169</v>
      </c>
      <c r="BK335" s="1337">
        <f t="shared" si="199"/>
        <v>0.16599164727272728</v>
      </c>
      <c r="BL335" s="190" t="s">
        <v>413</v>
      </c>
      <c r="BM335" s="189">
        <v>0.2</v>
      </c>
      <c r="BN335" s="189">
        <v>0.5</v>
      </c>
      <c r="BO335" s="188" t="s">
        <v>258</v>
      </c>
      <c r="BP335" s="1337">
        <f t="shared" si="200"/>
        <v>9.5078729670329684E-4</v>
      </c>
      <c r="BQ335" s="190" t="s">
        <v>415</v>
      </c>
      <c r="BR335" s="189">
        <v>0.2</v>
      </c>
      <c r="BS335" s="189">
        <v>0.5</v>
      </c>
      <c r="BT335" s="188" t="s">
        <v>258</v>
      </c>
      <c r="BU335" s="178"/>
      <c r="BV335" s="196">
        <v>0.3</v>
      </c>
      <c r="BW335" s="190" t="s">
        <v>414</v>
      </c>
      <c r="BX335" s="178"/>
      <c r="BY335" s="196">
        <v>2.36016</v>
      </c>
      <c r="BZ335" s="190" t="s">
        <v>414</v>
      </c>
      <c r="CA335" s="178"/>
      <c r="CB335" s="180"/>
      <c r="CC335" s="178"/>
      <c r="CD335" s="178"/>
      <c r="CE335" s="180"/>
      <c r="CF335" s="180"/>
      <c r="CG335" s="180"/>
      <c r="CH335" s="180"/>
      <c r="CI335" s="178"/>
      <c r="CJ335" s="178"/>
      <c r="CK335" s="180"/>
      <c r="CL335" s="180"/>
      <c r="CM335" s="180"/>
      <c r="CN335" s="116"/>
      <c r="CO335" s="218">
        <f t="shared" si="179"/>
        <v>0.2</v>
      </c>
      <c r="CP335" s="100">
        <f t="shared" si="180"/>
        <v>0.35</v>
      </c>
      <c r="CQ335" s="218">
        <f t="shared" si="181"/>
        <v>0.5</v>
      </c>
      <c r="CX335" s="23" t="s">
        <v>131</v>
      </c>
      <c r="CY335" s="23">
        <v>1.2E-2</v>
      </c>
      <c r="CZ335" s="142">
        <f t="shared" si="201"/>
        <v>0.252</v>
      </c>
      <c r="DA335" s="142">
        <f t="shared" si="202"/>
        <v>0.3</v>
      </c>
      <c r="DB335" s="23">
        <v>0.6</v>
      </c>
      <c r="DC335" s="23">
        <v>0.42</v>
      </c>
      <c r="DD335" s="142">
        <f t="shared" si="203"/>
        <v>0.252</v>
      </c>
      <c r="DE335" s="23">
        <v>0.02</v>
      </c>
      <c r="DF335" s="149">
        <f t="shared" si="204"/>
        <v>7.92E-3</v>
      </c>
      <c r="DG335" s="149">
        <f t="shared" si="205"/>
        <v>2.4552</v>
      </c>
      <c r="DH335" s="149">
        <f t="shared" si="206"/>
        <v>2.36016</v>
      </c>
      <c r="DI335" s="150">
        <f t="shared" si="207"/>
        <v>2.7072000000000003</v>
      </c>
      <c r="DJ335" s="150">
        <f t="shared" si="207"/>
        <v>2.6601599999999999</v>
      </c>
      <c r="DK335" s="116" t="s">
        <v>169</v>
      </c>
      <c r="DL335" s="101" t="s">
        <v>393</v>
      </c>
    </row>
    <row r="336" spans="1:116" s="101" customFormat="1" ht="33.75" thickBot="1" x14ac:dyDescent="0.4">
      <c r="O336" s="227" t="s">
        <v>132</v>
      </c>
      <c r="Q336" s="243">
        <v>0.82</v>
      </c>
      <c r="R336" s="243">
        <v>1.8</v>
      </c>
      <c r="S336" s="246">
        <f t="shared" si="192"/>
        <v>0</v>
      </c>
      <c r="T336" s="246">
        <f t="shared" si="192"/>
        <v>0</v>
      </c>
      <c r="U336" s="246">
        <f t="shared" si="192"/>
        <v>4.2329571428571426E-3</v>
      </c>
      <c r="V336" s="246">
        <f t="shared" si="192"/>
        <v>1.6931828571428571E-2</v>
      </c>
      <c r="W336" s="246">
        <f t="shared" si="192"/>
        <v>4.2329571428571426E-3</v>
      </c>
      <c r="X336" s="246">
        <f t="shared" si="192"/>
        <v>0</v>
      </c>
      <c r="Y336" s="246">
        <v>0</v>
      </c>
      <c r="Z336" s="246">
        <v>0</v>
      </c>
      <c r="AA336" s="246">
        <f t="shared" si="192"/>
        <v>0</v>
      </c>
      <c r="AB336" s="246">
        <f t="shared" si="192"/>
        <v>0</v>
      </c>
      <c r="AC336" s="246">
        <f t="shared" si="192"/>
        <v>5.0795485714285717E-3</v>
      </c>
      <c r="AD336" s="246">
        <f t="shared" si="192"/>
        <v>0</v>
      </c>
      <c r="AE336" s="246">
        <f t="shared" si="192"/>
        <v>8.4659142857142863E-2</v>
      </c>
      <c r="AF336" s="246">
        <f t="shared" si="192"/>
        <v>8.4659142857142853E-3</v>
      </c>
      <c r="AG336" s="246">
        <f t="shared" si="192"/>
        <v>8.4659142857142853E-3</v>
      </c>
      <c r="AH336" s="1336">
        <f t="shared" si="196"/>
        <v>9.5078729670329684E-4</v>
      </c>
      <c r="AI336" s="102">
        <v>0.02</v>
      </c>
      <c r="AJ336" s="102">
        <v>1.4</v>
      </c>
      <c r="AL336" s="100">
        <v>0</v>
      </c>
      <c r="AM336" s="237">
        <v>0.3</v>
      </c>
      <c r="AN336" s="241">
        <v>0.1</v>
      </c>
      <c r="AO336" s="241">
        <v>0.24</v>
      </c>
      <c r="AP336" s="247">
        <f>(AN336*365)*(AO336*0.67*0.015*1)</f>
        <v>8.8038000000000005E-2</v>
      </c>
      <c r="AQ336" s="247">
        <f>(AN336*365)*(AO336*0.67*0.005*1)</f>
        <v>2.9346000000000001E-2</v>
      </c>
      <c r="AR336" s="248"/>
      <c r="AS336" s="247">
        <f>(AN336*365)*(AO336*0.67*0.04*1)</f>
        <v>0.234768</v>
      </c>
      <c r="AT336" s="247">
        <f>(AN336*365)*(AO336*0.67*0.015*1)</f>
        <v>8.8038000000000005E-2</v>
      </c>
      <c r="AU336" s="247">
        <f>(AN336*365)*(AO336*0.67*0.65*1)</f>
        <v>3.8149800000000003</v>
      </c>
      <c r="AV336" s="247">
        <f>(AN336*365)*(AO336*0.67*0.79*1)</f>
        <v>4.6366680000000002</v>
      </c>
      <c r="AW336" s="247">
        <v>0</v>
      </c>
      <c r="AX336" s="247" t="s">
        <v>541</v>
      </c>
      <c r="AY336" s="247">
        <v>0</v>
      </c>
      <c r="AZ336" s="247">
        <f t="shared" si="193"/>
        <v>5.8692000000000002</v>
      </c>
      <c r="BA336" s="247">
        <f t="shared" si="194"/>
        <v>0.58692</v>
      </c>
      <c r="BB336" s="247">
        <f t="shared" si="195"/>
        <v>2.9346000000000001E-2</v>
      </c>
      <c r="BC336" s="247">
        <f>(AN336*365)*(AO336*0.67*0.01*1)</f>
        <v>5.8692000000000001E-2</v>
      </c>
      <c r="BD336" s="247">
        <f>(AN336*365)*(AO336*0.67*0.0015*1)</f>
        <v>8.8038000000000005E-3</v>
      </c>
      <c r="BE336" s="247">
        <v>0</v>
      </c>
      <c r="BF336" s="247">
        <f t="shared" si="197"/>
        <v>0.21876109090909093</v>
      </c>
      <c r="BH336" s="120"/>
      <c r="BI336" s="203" t="str">
        <f t="shared" si="198"/>
        <v>Aves de Corral - Clima Templado</v>
      </c>
      <c r="BJ336" s="190" t="s">
        <v>169</v>
      </c>
      <c r="BK336" s="1337">
        <f t="shared" si="199"/>
        <v>0.21876109090909093</v>
      </c>
      <c r="BL336" s="190" t="s">
        <v>413</v>
      </c>
      <c r="BM336" s="189">
        <v>0.2</v>
      </c>
      <c r="BN336" s="189">
        <v>0.5</v>
      </c>
      <c r="BO336" s="188" t="s">
        <v>258</v>
      </c>
      <c r="BP336" s="1337">
        <f t="shared" si="200"/>
        <v>9.5078729670329684E-4</v>
      </c>
      <c r="BQ336" s="190" t="s">
        <v>415</v>
      </c>
      <c r="BR336" s="189">
        <v>0.2</v>
      </c>
      <c r="BS336" s="189">
        <v>0.5</v>
      </c>
      <c r="BT336" s="188" t="s">
        <v>258</v>
      </c>
      <c r="BU336" s="178"/>
      <c r="BV336" s="196">
        <v>0.44999999999999996</v>
      </c>
      <c r="BW336" s="190" t="s">
        <v>414</v>
      </c>
      <c r="BX336" s="178"/>
      <c r="BY336" s="196">
        <v>2.36016</v>
      </c>
      <c r="BZ336" s="190" t="s">
        <v>414</v>
      </c>
      <c r="CA336" s="178"/>
      <c r="CB336" s="180"/>
      <c r="CC336" s="178"/>
      <c r="CD336" s="178"/>
      <c r="CE336" s="180"/>
      <c r="CF336" s="180"/>
      <c r="CG336" s="180"/>
      <c r="CH336" s="180"/>
      <c r="CI336" s="178"/>
      <c r="CJ336" s="178"/>
      <c r="CK336" s="180"/>
      <c r="CL336" s="180"/>
      <c r="CM336" s="180"/>
      <c r="CN336" s="116"/>
      <c r="CO336" s="218">
        <f t="shared" si="179"/>
        <v>0.2</v>
      </c>
      <c r="CP336" s="100">
        <f t="shared" si="180"/>
        <v>0.35</v>
      </c>
      <c r="CQ336" s="218">
        <f t="shared" si="181"/>
        <v>0.5</v>
      </c>
      <c r="CX336" s="23" t="s">
        <v>132</v>
      </c>
      <c r="CY336" s="23">
        <v>1.7999999999999999E-2</v>
      </c>
      <c r="CZ336" s="142">
        <f t="shared" si="201"/>
        <v>0.37799999999999995</v>
      </c>
      <c r="DA336" s="142">
        <f t="shared" si="202"/>
        <v>0.44999999999999996</v>
      </c>
      <c r="DB336" s="23">
        <v>0.6</v>
      </c>
      <c r="DC336" s="23">
        <v>0.42</v>
      </c>
      <c r="DD336" s="142">
        <f t="shared" si="203"/>
        <v>0.252</v>
      </c>
      <c r="DE336" s="23">
        <v>0.02</v>
      </c>
      <c r="DF336" s="149">
        <f t="shared" si="204"/>
        <v>7.92E-3</v>
      </c>
      <c r="DG336" s="149">
        <f t="shared" si="205"/>
        <v>2.4552</v>
      </c>
      <c r="DH336" s="149">
        <f t="shared" si="206"/>
        <v>2.36016</v>
      </c>
      <c r="DI336" s="150">
        <f t="shared" si="207"/>
        <v>2.8332000000000002</v>
      </c>
      <c r="DJ336" s="150">
        <f t="shared" si="207"/>
        <v>2.8101599999999998</v>
      </c>
      <c r="DK336" s="116" t="s">
        <v>169</v>
      </c>
      <c r="DL336" s="101" t="s">
        <v>393</v>
      </c>
    </row>
    <row r="337" spans="15:116" s="101" customFormat="1" ht="33.75" thickBot="1" x14ac:dyDescent="0.4">
      <c r="O337" s="227" t="s">
        <v>133</v>
      </c>
      <c r="Q337" s="243">
        <v>0.82</v>
      </c>
      <c r="R337" s="243">
        <v>1.8</v>
      </c>
      <c r="S337" s="246">
        <f t="shared" si="192"/>
        <v>0</v>
      </c>
      <c r="T337" s="246">
        <f t="shared" si="192"/>
        <v>0</v>
      </c>
      <c r="U337" s="246">
        <f t="shared" si="192"/>
        <v>4.2329571428571426E-3</v>
      </c>
      <c r="V337" s="246">
        <f t="shared" si="192"/>
        <v>1.6931828571428571E-2</v>
      </c>
      <c r="W337" s="246">
        <f t="shared" si="192"/>
        <v>4.2329571428571426E-3</v>
      </c>
      <c r="X337" s="246">
        <f t="shared" si="192"/>
        <v>0</v>
      </c>
      <c r="Y337" s="246">
        <v>0</v>
      </c>
      <c r="Z337" s="246">
        <v>0</v>
      </c>
      <c r="AA337" s="246">
        <f t="shared" si="192"/>
        <v>0</v>
      </c>
      <c r="AB337" s="246">
        <f t="shared" si="192"/>
        <v>0</v>
      </c>
      <c r="AC337" s="246">
        <f t="shared" si="192"/>
        <v>5.0795485714285717E-3</v>
      </c>
      <c r="AD337" s="246">
        <f t="shared" si="192"/>
        <v>0</v>
      </c>
      <c r="AE337" s="246">
        <f t="shared" si="192"/>
        <v>8.4659142857142863E-2</v>
      </c>
      <c r="AF337" s="246">
        <f t="shared" si="192"/>
        <v>8.4659142857142853E-3</v>
      </c>
      <c r="AG337" s="246">
        <f t="shared" si="192"/>
        <v>8.4659142857142853E-3</v>
      </c>
      <c r="AH337" s="1336">
        <f t="shared" si="196"/>
        <v>9.5078729670329684E-4</v>
      </c>
      <c r="AI337" s="102">
        <v>0.02</v>
      </c>
      <c r="AJ337" s="102">
        <v>1.4</v>
      </c>
      <c r="AL337" s="100">
        <v>0</v>
      </c>
      <c r="AM337" s="237">
        <v>0.3</v>
      </c>
      <c r="AN337" s="241">
        <v>0.1</v>
      </c>
      <c r="AO337" s="241">
        <v>0.24</v>
      </c>
      <c r="AP337" s="247">
        <f>(AN337*365)*(AO337*0.67*0.02*1)</f>
        <v>0.117384</v>
      </c>
      <c r="AQ337" s="247">
        <f>(AN337*365)*(AO337*0.67*0.01*1)</f>
        <v>5.8692000000000001E-2</v>
      </c>
      <c r="AR337" s="248"/>
      <c r="AS337" s="247">
        <f>(AN337*365)*(AO337*0.67*0.05*1)</f>
        <v>0.29346</v>
      </c>
      <c r="AT337" s="247">
        <f>(AN337*365)*(AO337*0.67*0.02*1)</f>
        <v>0.117384</v>
      </c>
      <c r="AU337" s="247">
        <f>(AN337*365)*(AO337*0.67*0.8*1)</f>
        <v>4.69536</v>
      </c>
      <c r="AV337" s="247">
        <f>(AN337*365)*(AO337*0.67*0.8*1)</f>
        <v>4.69536</v>
      </c>
      <c r="AW337" s="247">
        <v>0</v>
      </c>
      <c r="AX337" s="247" t="s">
        <v>541</v>
      </c>
      <c r="AY337" s="247">
        <v>0</v>
      </c>
      <c r="AZ337" s="247">
        <f t="shared" si="193"/>
        <v>5.8692000000000002</v>
      </c>
      <c r="BA337" s="247">
        <f t="shared" si="194"/>
        <v>0.58692</v>
      </c>
      <c r="BB337" s="247">
        <f t="shared" si="195"/>
        <v>2.9346000000000001E-2</v>
      </c>
      <c r="BC337" s="247">
        <f>(AN337*365)*(AO337*0.67*0.015*1)</f>
        <v>8.8038000000000005E-2</v>
      </c>
      <c r="BD337" s="247">
        <f>(AN337*365)*(AO337*0.67*0.0015*1)</f>
        <v>8.8038000000000005E-3</v>
      </c>
      <c r="BE337" s="247">
        <v>0</v>
      </c>
      <c r="BF337" s="247">
        <f t="shared" si="197"/>
        <v>0.25504341818181819</v>
      </c>
      <c r="BH337" s="120"/>
      <c r="BI337" s="203" t="str">
        <f t="shared" si="198"/>
        <v>Aves de Corral - Clima Cálido</v>
      </c>
      <c r="BJ337" s="190" t="s">
        <v>169</v>
      </c>
      <c r="BK337" s="1337">
        <f t="shared" si="199"/>
        <v>0.25504341818181819</v>
      </c>
      <c r="BL337" s="190" t="s">
        <v>413</v>
      </c>
      <c r="BM337" s="189">
        <v>0.2</v>
      </c>
      <c r="BN337" s="189">
        <v>0.5</v>
      </c>
      <c r="BO337" s="188" t="s">
        <v>258</v>
      </c>
      <c r="BP337" s="1337">
        <f t="shared" si="200"/>
        <v>9.5078729670329684E-4</v>
      </c>
      <c r="BQ337" s="190" t="s">
        <v>415</v>
      </c>
      <c r="BR337" s="189">
        <v>0.2</v>
      </c>
      <c r="BS337" s="189">
        <v>0.5</v>
      </c>
      <c r="BT337" s="188" t="s">
        <v>258</v>
      </c>
      <c r="BU337" s="178"/>
      <c r="BV337" s="196">
        <v>0.57499999999999996</v>
      </c>
      <c r="BW337" s="190" t="s">
        <v>414</v>
      </c>
      <c r="BX337" s="178"/>
      <c r="BY337" s="196">
        <v>2.36016</v>
      </c>
      <c r="BZ337" s="190" t="s">
        <v>414</v>
      </c>
      <c r="CA337" s="178"/>
      <c r="CB337" s="180"/>
      <c r="CC337" s="178"/>
      <c r="CD337" s="178"/>
      <c r="CE337" s="180"/>
      <c r="CF337" s="180"/>
      <c r="CG337" s="180"/>
      <c r="CH337" s="180"/>
      <c r="CI337" s="178"/>
      <c r="CJ337" s="178"/>
      <c r="CK337" s="180"/>
      <c r="CL337" s="180"/>
      <c r="CM337" s="180"/>
      <c r="CN337" s="116"/>
      <c r="CO337" s="218">
        <f t="shared" si="179"/>
        <v>0.2</v>
      </c>
      <c r="CP337" s="100">
        <f t="shared" si="180"/>
        <v>0.35</v>
      </c>
      <c r="CQ337" s="218">
        <f t="shared" si="181"/>
        <v>0.5</v>
      </c>
      <c r="CX337" s="23" t="s">
        <v>133</v>
      </c>
      <c r="CY337" s="23">
        <v>2.3E-2</v>
      </c>
      <c r="CZ337" s="142">
        <f t="shared" si="201"/>
        <v>0.48299999999999998</v>
      </c>
      <c r="DA337" s="142">
        <f t="shared" si="202"/>
        <v>0.57499999999999996</v>
      </c>
      <c r="DB337" s="23">
        <v>0.6</v>
      </c>
      <c r="DC337" s="23">
        <v>0.42</v>
      </c>
      <c r="DD337" s="142">
        <f t="shared" si="203"/>
        <v>0.252</v>
      </c>
      <c r="DE337" s="23">
        <v>0.02</v>
      </c>
      <c r="DF337" s="149">
        <f t="shared" si="204"/>
        <v>7.92E-3</v>
      </c>
      <c r="DG337" s="149">
        <f t="shared" si="205"/>
        <v>2.4552</v>
      </c>
      <c r="DH337" s="149">
        <f t="shared" si="206"/>
        <v>2.36016</v>
      </c>
      <c r="DI337" s="150">
        <f t="shared" si="207"/>
        <v>2.9382000000000001</v>
      </c>
      <c r="DJ337" s="150">
        <f t="shared" si="207"/>
        <v>2.9351599999999998</v>
      </c>
      <c r="DK337" s="116" t="s">
        <v>169</v>
      </c>
      <c r="DL337" s="101" t="s">
        <v>393</v>
      </c>
    </row>
    <row r="338" spans="15:116" s="101" customFormat="1" ht="33.75" thickBot="1" x14ac:dyDescent="0.4">
      <c r="O338" s="227" t="s">
        <v>134</v>
      </c>
      <c r="Q338" s="243">
        <v>1.17</v>
      </c>
      <c r="R338" s="243">
        <v>28</v>
      </c>
      <c r="S338" s="246">
        <f t="shared" si="192"/>
        <v>0</v>
      </c>
      <c r="T338" s="246">
        <f t="shared" si="192"/>
        <v>0</v>
      </c>
      <c r="U338" s="246">
        <f t="shared" si="192"/>
        <v>9.3950999999999993E-2</v>
      </c>
      <c r="V338" s="246">
        <f t="shared" si="192"/>
        <v>0.37580399999999997</v>
      </c>
      <c r="W338" s="246">
        <f t="shared" si="192"/>
        <v>9.3950999999999993E-2</v>
      </c>
      <c r="X338" s="246">
        <f t="shared" si="192"/>
        <v>0</v>
      </c>
      <c r="Y338" s="246">
        <f t="shared" si="192"/>
        <v>0.18790199999999999</v>
      </c>
      <c r="Z338" s="246">
        <f t="shared" si="192"/>
        <v>1.3153140000000001</v>
      </c>
      <c r="AA338" s="246">
        <f t="shared" si="192"/>
        <v>0</v>
      </c>
      <c r="AB338" s="246">
        <f t="shared" si="192"/>
        <v>0</v>
      </c>
      <c r="AC338" s="246">
        <f t="shared" si="192"/>
        <v>0.1127412</v>
      </c>
      <c r="AD338" s="246">
        <f t="shared" si="192"/>
        <v>0</v>
      </c>
      <c r="AE338" s="246">
        <f t="shared" si="192"/>
        <v>1.8790199999999999</v>
      </c>
      <c r="AF338" s="246">
        <v>0</v>
      </c>
      <c r="AG338" s="246">
        <f t="shared" si="192"/>
        <v>0.18790199999999999</v>
      </c>
      <c r="AH338" s="1336">
        <f t="shared" si="196"/>
        <v>3.1220640000000001E-2</v>
      </c>
      <c r="AI338" s="102">
        <v>0.1</v>
      </c>
      <c r="AJ338" s="100">
        <v>0</v>
      </c>
      <c r="AL338" s="100">
        <v>0</v>
      </c>
      <c r="AM338" s="237">
        <v>0.3</v>
      </c>
      <c r="AN338" s="241">
        <v>0.32</v>
      </c>
      <c r="AO338" s="241">
        <v>0.13</v>
      </c>
      <c r="AP338" s="247">
        <f>(AN338*365)*(AO338*0.67*0.01*1)</f>
        <v>0.10173280000000001</v>
      </c>
      <c r="AQ338" s="247">
        <f>(AN338*365)*(AO338*0.67*0.001*1)</f>
        <v>1.0173280000000002E-2</v>
      </c>
      <c r="AR338" s="248"/>
      <c r="AS338" s="247">
        <f>(AN338*365)*(AO338*0.67*0.02*1)</f>
        <v>0.20346560000000002</v>
      </c>
      <c r="AT338" s="247">
        <f>(AN338*365)*(AO338*0.67*0.01*1)</f>
        <v>0.10173280000000001</v>
      </c>
      <c r="AU338" s="247">
        <f>(AN338*365)*(AO338*0.67*0.25*1)</f>
        <v>2.5433200000000005</v>
      </c>
      <c r="AV338" s="247">
        <f>(AN338*365)*(AO338*0.67*0.73*1)</f>
        <v>7.4264944000000002</v>
      </c>
      <c r="AW338" s="247">
        <f>(AN338*365)*(AO338*0.67*0.03*1)</f>
        <v>0.30519840000000004</v>
      </c>
      <c r="AX338" s="248"/>
      <c r="AY338" s="247">
        <f>(AN338*365)*(AO338*0.67*0.25*1)</f>
        <v>2.5433200000000005</v>
      </c>
      <c r="AZ338" s="247">
        <f t="shared" si="193"/>
        <v>10.173280000000002</v>
      </c>
      <c r="BA338" s="247">
        <f t="shared" si="194"/>
        <v>1.017328</v>
      </c>
      <c r="BB338" s="247">
        <f t="shared" si="195"/>
        <v>5.0866400000000006E-2</v>
      </c>
      <c r="BC338" s="247">
        <f>(AN338*365)*(AO338*0.67*0.005*1)</f>
        <v>5.0866400000000006E-2</v>
      </c>
      <c r="BD338" s="247">
        <v>0</v>
      </c>
      <c r="BE338" s="247">
        <v>0</v>
      </c>
      <c r="BF338" s="247">
        <f t="shared" si="197"/>
        <v>0.31361447709090917</v>
      </c>
      <c r="BH338" s="120"/>
      <c r="BI338" s="203" t="str">
        <f t="shared" si="198"/>
        <v>Ovejas - Clima Frío</v>
      </c>
      <c r="BJ338" s="190" t="s">
        <v>168</v>
      </c>
      <c r="BK338" s="1337">
        <f t="shared" si="199"/>
        <v>0.31361447709090917</v>
      </c>
      <c r="BL338" s="190" t="s">
        <v>413</v>
      </c>
      <c r="BM338" s="189">
        <v>0.2</v>
      </c>
      <c r="BN338" s="189">
        <v>0.5</v>
      </c>
      <c r="BO338" s="188" t="s">
        <v>258</v>
      </c>
      <c r="BP338" s="1337">
        <f t="shared" si="200"/>
        <v>3.1220640000000001E-2</v>
      </c>
      <c r="BQ338" s="190" t="s">
        <v>415</v>
      </c>
      <c r="BR338" s="189">
        <v>0.2</v>
      </c>
      <c r="BS338" s="189">
        <v>0.5</v>
      </c>
      <c r="BT338" s="188" t="s">
        <v>258</v>
      </c>
      <c r="BU338" s="178"/>
      <c r="BV338" s="196">
        <v>2.5</v>
      </c>
      <c r="BW338" s="190" t="s">
        <v>414</v>
      </c>
      <c r="BX338" s="178"/>
      <c r="BY338" s="196">
        <v>112.38857142857142</v>
      </c>
      <c r="BZ338" s="190" t="s">
        <v>414</v>
      </c>
      <c r="CA338" s="178"/>
      <c r="CB338" s="180"/>
      <c r="CC338" s="178"/>
      <c r="CD338" s="178"/>
      <c r="CE338" s="180"/>
      <c r="CF338" s="180"/>
      <c r="CG338" s="180"/>
      <c r="CH338" s="180"/>
      <c r="CI338" s="178"/>
      <c r="CJ338" s="178"/>
      <c r="CK338" s="180"/>
      <c r="CL338" s="180"/>
      <c r="CM338" s="180"/>
      <c r="CN338" s="116"/>
      <c r="CO338" s="218">
        <f t="shared" si="179"/>
        <v>0.2</v>
      </c>
      <c r="CP338" s="100">
        <f t="shared" si="180"/>
        <v>0.35</v>
      </c>
      <c r="CQ338" s="218">
        <f t="shared" si="181"/>
        <v>0.5</v>
      </c>
      <c r="CX338" s="23" t="s">
        <v>134</v>
      </c>
      <c r="CY338" s="23">
        <v>0.1</v>
      </c>
      <c r="CZ338" s="142">
        <f t="shared" si="201"/>
        <v>2.1</v>
      </c>
      <c r="DA338" s="142">
        <f t="shared" si="202"/>
        <v>2.5</v>
      </c>
      <c r="DB338" s="23">
        <v>12</v>
      </c>
      <c r="DC338" s="23">
        <v>1</v>
      </c>
      <c r="DD338" s="142">
        <f t="shared" si="203"/>
        <v>12</v>
      </c>
      <c r="DE338" s="23">
        <v>0.02</v>
      </c>
      <c r="DF338" s="149">
        <f t="shared" si="204"/>
        <v>0.37714285714285711</v>
      </c>
      <c r="DG338" s="149">
        <f t="shared" si="205"/>
        <v>116.91428571428571</v>
      </c>
      <c r="DH338" s="149">
        <f t="shared" si="206"/>
        <v>112.38857142857142</v>
      </c>
      <c r="DI338" s="150">
        <f t="shared" si="207"/>
        <v>119.01428571428571</v>
      </c>
      <c r="DJ338" s="150">
        <f t="shared" si="207"/>
        <v>114.88857142857142</v>
      </c>
      <c r="DK338" s="116" t="s">
        <v>168</v>
      </c>
      <c r="DL338" s="101" t="s">
        <v>392</v>
      </c>
    </row>
    <row r="339" spans="15:116" s="101" customFormat="1" ht="33.75" thickBot="1" x14ac:dyDescent="0.4">
      <c r="O339" s="227" t="s">
        <v>335</v>
      </c>
      <c r="Q339" s="243">
        <v>1.17</v>
      </c>
      <c r="R339" s="243">
        <v>28</v>
      </c>
      <c r="S339" s="246">
        <f t="shared" si="192"/>
        <v>0</v>
      </c>
      <c r="T339" s="246">
        <f t="shared" si="192"/>
        <v>0</v>
      </c>
      <c r="U339" s="246">
        <f t="shared" si="192"/>
        <v>9.3950999999999993E-2</v>
      </c>
      <c r="V339" s="246">
        <f t="shared" si="192"/>
        <v>0.37580399999999997</v>
      </c>
      <c r="W339" s="246">
        <f t="shared" si="192"/>
        <v>9.3950999999999993E-2</v>
      </c>
      <c r="X339" s="246">
        <f t="shared" si="192"/>
        <v>0</v>
      </c>
      <c r="Y339" s="246">
        <f t="shared" si="192"/>
        <v>0.18790199999999999</v>
      </c>
      <c r="Z339" s="246">
        <f t="shared" si="192"/>
        <v>1.3153140000000001</v>
      </c>
      <c r="AA339" s="246">
        <f t="shared" si="192"/>
        <v>0</v>
      </c>
      <c r="AB339" s="246">
        <f t="shared" si="192"/>
        <v>0</v>
      </c>
      <c r="AC339" s="246">
        <f t="shared" si="192"/>
        <v>0.1127412</v>
      </c>
      <c r="AD339" s="246">
        <f t="shared" si="192"/>
        <v>0</v>
      </c>
      <c r="AE339" s="246">
        <f t="shared" si="192"/>
        <v>1.8790199999999999</v>
      </c>
      <c r="AF339" s="246">
        <v>0</v>
      </c>
      <c r="AG339" s="246">
        <f t="shared" si="192"/>
        <v>0.18790199999999999</v>
      </c>
      <c r="AH339" s="1336">
        <f t="shared" si="196"/>
        <v>3.1220640000000001E-2</v>
      </c>
      <c r="AI339" s="102">
        <v>0.15</v>
      </c>
      <c r="AJ339" s="100">
        <v>0</v>
      </c>
      <c r="AL339" s="100">
        <v>0</v>
      </c>
      <c r="AM339" s="237">
        <v>0.3</v>
      </c>
      <c r="AN339" s="241">
        <v>0.32</v>
      </c>
      <c r="AO339" s="241">
        <v>0.13</v>
      </c>
      <c r="AP339" s="247">
        <f>(AN339*365)*(AO339*0.67*0.015*1)</f>
        <v>0.15259920000000002</v>
      </c>
      <c r="AQ339" s="247">
        <f>(AN339*365)*(AO339*0.67*0.005*1)</f>
        <v>5.0866400000000006E-2</v>
      </c>
      <c r="AR339" s="248"/>
      <c r="AS339" s="247">
        <f>(AN339*365)*(AO339*0.67*0.04*1)</f>
        <v>0.40693120000000005</v>
      </c>
      <c r="AT339" s="247">
        <f>(AN339*365)*(AO339*0.67*0.015*1)</f>
        <v>0.15259920000000002</v>
      </c>
      <c r="AU339" s="247">
        <f>(AN339*365)*(AO339*0.67*0.65*1)</f>
        <v>6.6126320000000005</v>
      </c>
      <c r="AV339" s="247">
        <f>(AN339*365)*(AO339*0.67*0.79*1)</f>
        <v>8.0368912000000012</v>
      </c>
      <c r="AW339" s="247">
        <f>(AN339*365)*(AO339*0.67*0.03*1)</f>
        <v>0.30519840000000004</v>
      </c>
      <c r="AX339" s="248"/>
      <c r="AY339" s="247">
        <f>(AN339*365)*(AO339*0.67*0.65*1)</f>
        <v>6.6126320000000005</v>
      </c>
      <c r="AZ339" s="247">
        <f t="shared" si="193"/>
        <v>10.173280000000002</v>
      </c>
      <c r="BA339" s="247">
        <f t="shared" si="194"/>
        <v>1.017328</v>
      </c>
      <c r="BB339" s="247">
        <f t="shared" si="195"/>
        <v>5.0866400000000006E-2</v>
      </c>
      <c r="BC339" s="247">
        <f>(AN339*365)*(AO339*0.67*0.01*1)</f>
        <v>0.10173280000000001</v>
      </c>
      <c r="BD339" s="247">
        <v>0</v>
      </c>
      <c r="BE339" s="247">
        <v>0</v>
      </c>
      <c r="BF339" s="247">
        <f t="shared" si="197"/>
        <v>0.4420752581818182</v>
      </c>
      <c r="BH339" s="120"/>
      <c r="BI339" s="203" t="str">
        <f t="shared" si="198"/>
        <v>Ovejas - Clima Templado</v>
      </c>
      <c r="BJ339" s="190" t="s">
        <v>168</v>
      </c>
      <c r="BK339" s="1337">
        <f t="shared" si="199"/>
        <v>0.4420752581818182</v>
      </c>
      <c r="BL339" s="190" t="s">
        <v>413</v>
      </c>
      <c r="BM339" s="189">
        <v>0.2</v>
      </c>
      <c r="BN339" s="189">
        <v>0.5</v>
      </c>
      <c r="BO339" s="188" t="s">
        <v>258</v>
      </c>
      <c r="BP339" s="1337">
        <f t="shared" si="200"/>
        <v>3.1220640000000001E-2</v>
      </c>
      <c r="BQ339" s="190" t="s">
        <v>415</v>
      </c>
      <c r="BR339" s="189">
        <v>0.2</v>
      </c>
      <c r="BS339" s="189">
        <v>0.5</v>
      </c>
      <c r="BT339" s="188" t="s">
        <v>258</v>
      </c>
      <c r="BU339" s="180"/>
      <c r="BV339" s="196">
        <v>4</v>
      </c>
      <c r="BW339" s="190" t="s">
        <v>414</v>
      </c>
      <c r="BX339" s="180"/>
      <c r="BY339" s="196">
        <v>112.38857142857142</v>
      </c>
      <c r="BZ339" s="190" t="s">
        <v>414</v>
      </c>
      <c r="CA339" s="178"/>
      <c r="CB339" s="180"/>
      <c r="CC339" s="178"/>
      <c r="CD339" s="178"/>
      <c r="CE339" s="180"/>
      <c r="CF339" s="180"/>
      <c r="CG339" s="180"/>
      <c r="CH339" s="180"/>
      <c r="CI339" s="178"/>
      <c r="CJ339" s="178"/>
      <c r="CK339" s="180"/>
      <c r="CL339" s="180"/>
      <c r="CM339" s="180"/>
      <c r="CN339" s="116"/>
      <c r="CO339" s="218">
        <f t="shared" si="179"/>
        <v>0.2</v>
      </c>
      <c r="CP339" s="100">
        <f t="shared" si="180"/>
        <v>0.35</v>
      </c>
      <c r="CQ339" s="218">
        <f t="shared" si="181"/>
        <v>0.5</v>
      </c>
      <c r="CX339" s="23" t="s">
        <v>335</v>
      </c>
      <c r="CY339" s="23">
        <v>0.16</v>
      </c>
      <c r="CZ339" s="142">
        <f t="shared" si="201"/>
        <v>3.36</v>
      </c>
      <c r="DA339" s="142">
        <f t="shared" si="202"/>
        <v>4</v>
      </c>
      <c r="DB339" s="23">
        <v>12</v>
      </c>
      <c r="DC339" s="23">
        <v>1</v>
      </c>
      <c r="DD339" s="142">
        <f t="shared" si="203"/>
        <v>12</v>
      </c>
      <c r="DE339" s="23">
        <v>0.02</v>
      </c>
      <c r="DF339" s="149">
        <f t="shared" si="204"/>
        <v>0.37714285714285711</v>
      </c>
      <c r="DG339" s="149">
        <f t="shared" si="205"/>
        <v>116.91428571428571</v>
      </c>
      <c r="DH339" s="149">
        <f t="shared" si="206"/>
        <v>112.38857142857142</v>
      </c>
      <c r="DI339" s="150">
        <f t="shared" si="207"/>
        <v>120.27428571428571</v>
      </c>
      <c r="DJ339" s="150">
        <f t="shared" si="207"/>
        <v>116.38857142857142</v>
      </c>
      <c r="DK339" s="116" t="s">
        <v>168</v>
      </c>
      <c r="DL339" s="101" t="s">
        <v>392</v>
      </c>
    </row>
    <row r="340" spans="15:116" s="101" customFormat="1" ht="33.75" thickBot="1" x14ac:dyDescent="0.4">
      <c r="O340" s="227" t="s">
        <v>136</v>
      </c>
      <c r="Q340" s="243">
        <v>1.17</v>
      </c>
      <c r="R340" s="243">
        <v>28</v>
      </c>
      <c r="S340" s="246">
        <f t="shared" si="192"/>
        <v>0</v>
      </c>
      <c r="T340" s="246">
        <f t="shared" si="192"/>
        <v>0</v>
      </c>
      <c r="U340" s="246">
        <f t="shared" si="192"/>
        <v>9.3950999999999993E-2</v>
      </c>
      <c r="V340" s="246">
        <f t="shared" si="192"/>
        <v>0.37580399999999997</v>
      </c>
      <c r="W340" s="246">
        <f t="shared" si="192"/>
        <v>9.3950999999999993E-2</v>
      </c>
      <c r="X340" s="246">
        <f t="shared" si="192"/>
        <v>0</v>
      </c>
      <c r="Y340" s="246">
        <f t="shared" si="192"/>
        <v>0.18790199999999999</v>
      </c>
      <c r="Z340" s="246">
        <f t="shared" si="192"/>
        <v>1.3153140000000001</v>
      </c>
      <c r="AA340" s="246">
        <f t="shared" si="192"/>
        <v>0</v>
      </c>
      <c r="AB340" s="246">
        <f t="shared" si="192"/>
        <v>0</v>
      </c>
      <c r="AC340" s="246">
        <f t="shared" si="192"/>
        <v>0.1127412</v>
      </c>
      <c r="AD340" s="246">
        <f t="shared" si="192"/>
        <v>0</v>
      </c>
      <c r="AE340" s="246">
        <f t="shared" si="192"/>
        <v>1.8790199999999999</v>
      </c>
      <c r="AF340" s="246">
        <v>0</v>
      </c>
      <c r="AG340" s="246">
        <f t="shared" si="192"/>
        <v>0.18790199999999999</v>
      </c>
      <c r="AH340" s="1336">
        <f t="shared" si="196"/>
        <v>3.1220640000000001E-2</v>
      </c>
      <c r="AI340" s="102">
        <v>0.2</v>
      </c>
      <c r="AJ340" s="100">
        <v>0</v>
      </c>
      <c r="AL340" s="100">
        <v>0</v>
      </c>
      <c r="AM340" s="237">
        <v>0.3</v>
      </c>
      <c r="AN340" s="241">
        <v>0.32</v>
      </c>
      <c r="AO340" s="241">
        <v>0.13</v>
      </c>
      <c r="AP340" s="247">
        <f>(AN340*365)*(AO340*0.67*0.02*1)</f>
        <v>0.20346560000000002</v>
      </c>
      <c r="AQ340" s="247">
        <f>(AN340*365)*(AO340*0.67*0.01*1)</f>
        <v>0.10173280000000001</v>
      </c>
      <c r="AR340" s="248"/>
      <c r="AS340" s="247">
        <f>(AN340*365)*(AO340*0.67*0.05*1)</f>
        <v>0.50866400000000001</v>
      </c>
      <c r="AT340" s="247">
        <f>(AN340*365)*(AO340*0.67*0.02*1)</f>
        <v>0.20346560000000002</v>
      </c>
      <c r="AU340" s="247">
        <f>(AN340*365)*(AO340*0.67*0.8*1)</f>
        <v>8.1386240000000001</v>
      </c>
      <c r="AV340" s="247">
        <f>(AN340*365)*(AO340*0.67*0.8*1)</f>
        <v>8.1386240000000001</v>
      </c>
      <c r="AW340" s="247">
        <f>(AN340*365)*(AO340*0.67*0.3*1)</f>
        <v>3.0519840000000005</v>
      </c>
      <c r="AX340" s="248"/>
      <c r="AY340" s="247">
        <f>(AN340*365)*(AO340*0.67*0.8*1)</f>
        <v>8.1386240000000001</v>
      </c>
      <c r="AZ340" s="247">
        <f t="shared" si="193"/>
        <v>10.173280000000002</v>
      </c>
      <c r="BA340" s="247">
        <f t="shared" si="194"/>
        <v>1.017328</v>
      </c>
      <c r="BB340" s="247">
        <f t="shared" si="195"/>
        <v>5.0866400000000006E-2</v>
      </c>
      <c r="BC340" s="247">
        <f>(AN340*365)*(AO340*0.67*0.015*1)</f>
        <v>0.15259920000000002</v>
      </c>
      <c r="BD340" s="247">
        <v>0</v>
      </c>
      <c r="BE340" s="247">
        <v>0</v>
      </c>
      <c r="BF340" s="247">
        <f t="shared" si="197"/>
        <v>0.54380805818181821</v>
      </c>
      <c r="BH340" s="120"/>
      <c r="BI340" s="203" t="str">
        <f t="shared" si="198"/>
        <v>Ovejas - Clima Cálido</v>
      </c>
      <c r="BJ340" s="190" t="s">
        <v>168</v>
      </c>
      <c r="BK340" s="1337">
        <f t="shared" si="199"/>
        <v>0.54380805818181821</v>
      </c>
      <c r="BL340" s="190" t="s">
        <v>413</v>
      </c>
      <c r="BM340" s="189">
        <v>0.2</v>
      </c>
      <c r="BN340" s="189">
        <v>0.5</v>
      </c>
      <c r="BO340" s="188" t="s">
        <v>258</v>
      </c>
      <c r="BP340" s="1337">
        <f t="shared" si="200"/>
        <v>3.1220640000000001E-2</v>
      </c>
      <c r="BQ340" s="190" t="s">
        <v>415</v>
      </c>
      <c r="BR340" s="189">
        <v>0.2</v>
      </c>
      <c r="BS340" s="189">
        <v>0.5</v>
      </c>
      <c r="BT340" s="188" t="s">
        <v>258</v>
      </c>
      <c r="BU340" s="180"/>
      <c r="BV340" s="196">
        <v>5.25</v>
      </c>
      <c r="BW340" s="190" t="s">
        <v>414</v>
      </c>
      <c r="BX340" s="180"/>
      <c r="BY340" s="196">
        <v>112.38857142857142</v>
      </c>
      <c r="BZ340" s="190" t="s">
        <v>414</v>
      </c>
      <c r="CA340" s="178"/>
      <c r="CB340" s="180"/>
      <c r="CC340" s="178"/>
      <c r="CD340" s="178"/>
      <c r="CE340" s="180"/>
      <c r="CF340" s="180"/>
      <c r="CG340" s="180"/>
      <c r="CH340" s="180"/>
      <c r="CI340" s="178"/>
      <c r="CJ340" s="178"/>
      <c r="CK340" s="180"/>
      <c r="CL340" s="180"/>
      <c r="CM340" s="180"/>
      <c r="CN340" s="116"/>
      <c r="CO340" s="218">
        <f t="shared" si="179"/>
        <v>0.2</v>
      </c>
      <c r="CP340" s="100">
        <f t="shared" si="180"/>
        <v>0.35</v>
      </c>
      <c r="CQ340" s="218">
        <f t="shared" si="181"/>
        <v>0.5</v>
      </c>
      <c r="CX340" s="23" t="s">
        <v>136</v>
      </c>
      <c r="CY340" s="23">
        <v>0.21</v>
      </c>
      <c r="CZ340" s="142">
        <f t="shared" si="201"/>
        <v>4.41</v>
      </c>
      <c r="DA340" s="142">
        <f t="shared" si="202"/>
        <v>5.25</v>
      </c>
      <c r="DB340" s="23">
        <v>12</v>
      </c>
      <c r="DC340" s="23">
        <v>1</v>
      </c>
      <c r="DD340" s="142">
        <f t="shared" si="203"/>
        <v>12</v>
      </c>
      <c r="DE340" s="23">
        <v>0.02</v>
      </c>
      <c r="DF340" s="149">
        <f t="shared" si="204"/>
        <v>0.37714285714285711</v>
      </c>
      <c r="DG340" s="149">
        <f t="shared" si="205"/>
        <v>116.91428571428571</v>
      </c>
      <c r="DH340" s="149">
        <f t="shared" si="206"/>
        <v>112.38857142857142</v>
      </c>
      <c r="DI340" s="150">
        <f t="shared" si="207"/>
        <v>121.32428571428571</v>
      </c>
      <c r="DJ340" s="150">
        <f t="shared" si="207"/>
        <v>117.63857142857142</v>
      </c>
      <c r="DK340" s="116" t="s">
        <v>168</v>
      </c>
      <c r="DL340" s="101" t="s">
        <v>392</v>
      </c>
    </row>
    <row r="341" spans="15:116" s="101" customFormat="1" ht="33.75" thickBot="1" x14ac:dyDescent="0.4">
      <c r="O341" s="227" t="s">
        <v>523</v>
      </c>
      <c r="Q341" s="243">
        <v>1.57</v>
      </c>
      <c r="R341" s="243">
        <v>28</v>
      </c>
      <c r="S341" s="246">
        <f t="shared" si="192"/>
        <v>0</v>
      </c>
      <c r="T341" s="246">
        <f t="shared" si="192"/>
        <v>0</v>
      </c>
      <c r="U341" s="246">
        <f t="shared" si="192"/>
        <v>0.12607100000000002</v>
      </c>
      <c r="V341" s="246">
        <f t="shared" si="192"/>
        <v>0.50428400000000007</v>
      </c>
      <c r="W341" s="246">
        <f t="shared" si="192"/>
        <v>0.12607100000000002</v>
      </c>
      <c r="X341" s="246">
        <f t="shared" si="192"/>
        <v>0</v>
      </c>
      <c r="Y341" s="246">
        <f t="shared" si="192"/>
        <v>0.25214200000000003</v>
      </c>
      <c r="Z341" s="246">
        <f t="shared" si="192"/>
        <v>1.7649940000000004</v>
      </c>
      <c r="AA341" s="246">
        <f t="shared" si="192"/>
        <v>0</v>
      </c>
      <c r="AB341" s="246">
        <f t="shared" si="192"/>
        <v>0</v>
      </c>
      <c r="AC341" s="246">
        <f t="shared" si="192"/>
        <v>0.15128520000000001</v>
      </c>
      <c r="AD341" s="246">
        <f t="shared" si="192"/>
        <v>0</v>
      </c>
      <c r="AE341" s="246">
        <f t="shared" si="192"/>
        <v>2.52142</v>
      </c>
      <c r="AF341" s="246">
        <v>0</v>
      </c>
      <c r="AG341" s="246">
        <f t="shared" si="192"/>
        <v>0.25214200000000003</v>
      </c>
      <c r="AH341" s="1336">
        <f t="shared" si="196"/>
        <v>4.1894363076923083E-2</v>
      </c>
      <c r="AI341" s="102">
        <v>1</v>
      </c>
      <c r="AJ341" s="102">
        <v>12</v>
      </c>
      <c r="AL341" s="102">
        <v>8</v>
      </c>
      <c r="AM341" s="237">
        <v>0.3</v>
      </c>
      <c r="AN341" s="241">
        <v>0.3</v>
      </c>
      <c r="AO341" s="241">
        <v>0.28999999999999998</v>
      </c>
      <c r="AP341" s="247">
        <f>(AN341*365)*(AO341*0.67*0.01*1)</f>
        <v>0.21275850000000002</v>
      </c>
      <c r="AQ341" s="247">
        <f>(AN341*365)*(AO341*0.67*0.001*1)</f>
        <v>2.1275850000000002E-2</v>
      </c>
      <c r="AR341" s="248"/>
      <c r="AS341" s="247">
        <f>(AN341*365)*(AO341*0.67*0.02*1)</f>
        <v>0.42551700000000003</v>
      </c>
      <c r="AT341" s="247">
        <f>(AN341*365)*(AO341*0.67*0.01*1)</f>
        <v>0.21275850000000002</v>
      </c>
      <c r="AU341" s="247">
        <f>(AN341*365)*(AO341*0.67*0.25*1)</f>
        <v>5.3189624999999996</v>
      </c>
      <c r="AV341" s="247">
        <f>(AN341*365)*(AO341*0.67*0.73*1)</f>
        <v>15.5313705</v>
      </c>
      <c r="AW341" s="247">
        <f>(AN341*365)*(AO341*0.67*0.03*1)</f>
        <v>0.6382755</v>
      </c>
      <c r="AX341" s="248"/>
      <c r="AY341" s="247">
        <f>(AN341*365)*(AO341*0.67*0.25*1)</f>
        <v>5.3189624999999996</v>
      </c>
      <c r="AZ341" s="247">
        <f t="shared" si="193"/>
        <v>21.275849999999998</v>
      </c>
      <c r="BA341" s="247">
        <f t="shared" si="194"/>
        <v>2.1275850000000003</v>
      </c>
      <c r="BB341" s="247">
        <f t="shared" si="195"/>
        <v>0.10637925000000001</v>
      </c>
      <c r="BC341" s="247">
        <f>(AN341*365)*(AO341*0.67*0.005*1)</f>
        <v>0.10637925000000001</v>
      </c>
      <c r="BD341" s="247">
        <v>0</v>
      </c>
      <c r="BE341" s="247">
        <v>0</v>
      </c>
      <c r="BF341" s="247">
        <f t="shared" si="197"/>
        <v>0.65587643045454558</v>
      </c>
      <c r="BH341" s="120"/>
      <c r="BI341" s="203" t="str">
        <f t="shared" si="198"/>
        <v>Porcinos de carne - Clima Frío</v>
      </c>
      <c r="BJ341" s="190" t="s">
        <v>168</v>
      </c>
      <c r="BK341" s="1337">
        <f t="shared" si="199"/>
        <v>0.65587643045454558</v>
      </c>
      <c r="BL341" s="190" t="s">
        <v>413</v>
      </c>
      <c r="BM341" s="189">
        <v>0.2</v>
      </c>
      <c r="BN341" s="189">
        <v>0.5</v>
      </c>
      <c r="BO341" s="188" t="s">
        <v>258</v>
      </c>
      <c r="BP341" s="1337">
        <f t="shared" si="200"/>
        <v>4.1894363076923083E-2</v>
      </c>
      <c r="BQ341" s="190" t="s">
        <v>415</v>
      </c>
      <c r="BR341" s="189">
        <v>0.2</v>
      </c>
      <c r="BS341" s="189">
        <v>0.5</v>
      </c>
      <c r="BT341" s="188" t="s">
        <v>258</v>
      </c>
      <c r="BU341" s="180"/>
      <c r="BV341" s="196">
        <v>0</v>
      </c>
      <c r="BW341" s="190" t="s">
        <v>414</v>
      </c>
      <c r="BX341" s="180"/>
      <c r="BY341" s="196">
        <v>76.424228571428586</v>
      </c>
      <c r="BZ341" s="190" t="s">
        <v>414</v>
      </c>
      <c r="CA341" s="178"/>
      <c r="CB341" s="180"/>
      <c r="CC341" s="178"/>
      <c r="CD341" s="178"/>
      <c r="CE341" s="180"/>
      <c r="CF341" s="180"/>
      <c r="CG341" s="180"/>
      <c r="CH341" s="180"/>
      <c r="CI341" s="178"/>
      <c r="CJ341" s="178"/>
      <c r="CK341" s="180"/>
      <c r="CL341" s="180"/>
      <c r="CM341" s="180"/>
      <c r="CN341" s="116"/>
      <c r="CO341" s="218">
        <f t="shared" si="179"/>
        <v>0.2</v>
      </c>
      <c r="CP341" s="100">
        <f t="shared" si="180"/>
        <v>0.35</v>
      </c>
      <c r="CQ341" s="218">
        <f t="shared" si="181"/>
        <v>0.5</v>
      </c>
      <c r="CX341" s="23" t="s">
        <v>137</v>
      </c>
      <c r="CY341" s="23">
        <v>0</v>
      </c>
      <c r="CZ341" s="142">
        <f t="shared" si="201"/>
        <v>0</v>
      </c>
      <c r="DA341" s="142">
        <f t="shared" si="202"/>
        <v>0</v>
      </c>
      <c r="DB341" s="23">
        <v>16</v>
      </c>
      <c r="DC341" s="23">
        <v>0.51</v>
      </c>
      <c r="DD341" s="142">
        <f t="shared" si="203"/>
        <v>8.16</v>
      </c>
      <c r="DE341" s="23">
        <v>0.02</v>
      </c>
      <c r="DF341" s="149">
        <f t="shared" si="204"/>
        <v>0.25645714285714288</v>
      </c>
      <c r="DG341" s="149">
        <f t="shared" si="205"/>
        <v>79.5017142857143</v>
      </c>
      <c r="DH341" s="149">
        <f t="shared" si="206"/>
        <v>76.424228571428586</v>
      </c>
      <c r="DI341" s="150">
        <f t="shared" si="207"/>
        <v>79.5017142857143</v>
      </c>
      <c r="DJ341" s="150">
        <f t="shared" si="207"/>
        <v>76.424228571428586</v>
      </c>
      <c r="DK341" s="116" t="s">
        <v>168</v>
      </c>
      <c r="DL341" s="101" t="s">
        <v>392</v>
      </c>
    </row>
    <row r="342" spans="15:116" s="101" customFormat="1" ht="33.75" thickBot="1" x14ac:dyDescent="0.4">
      <c r="O342" s="227" t="s">
        <v>524</v>
      </c>
      <c r="Q342" s="243">
        <v>1.57</v>
      </c>
      <c r="R342" s="243">
        <v>28</v>
      </c>
      <c r="S342" s="246">
        <f t="shared" si="192"/>
        <v>0</v>
      </c>
      <c r="T342" s="246">
        <f t="shared" si="192"/>
        <v>0</v>
      </c>
      <c r="U342" s="246">
        <f t="shared" si="192"/>
        <v>0.12607100000000002</v>
      </c>
      <c r="V342" s="246">
        <f t="shared" si="192"/>
        <v>0.50428400000000007</v>
      </c>
      <c r="W342" s="246">
        <f t="shared" si="192"/>
        <v>0.12607100000000002</v>
      </c>
      <c r="X342" s="246">
        <f t="shared" si="192"/>
        <v>0</v>
      </c>
      <c r="Y342" s="246">
        <f t="shared" si="192"/>
        <v>0.25214200000000003</v>
      </c>
      <c r="Z342" s="246">
        <f t="shared" si="192"/>
        <v>1.7649940000000004</v>
      </c>
      <c r="AA342" s="246">
        <f t="shared" si="192"/>
        <v>0</v>
      </c>
      <c r="AB342" s="246">
        <f t="shared" si="192"/>
        <v>0</v>
      </c>
      <c r="AC342" s="246">
        <f t="shared" si="192"/>
        <v>0.15128520000000001</v>
      </c>
      <c r="AD342" s="246">
        <f t="shared" si="192"/>
        <v>0</v>
      </c>
      <c r="AE342" s="246">
        <f t="shared" si="192"/>
        <v>2.52142</v>
      </c>
      <c r="AF342" s="246">
        <v>0</v>
      </c>
      <c r="AG342" s="246">
        <f t="shared" si="192"/>
        <v>0.25214200000000003</v>
      </c>
      <c r="AH342" s="1336">
        <f t="shared" si="196"/>
        <v>4.1894363076923083E-2</v>
      </c>
      <c r="AI342" s="102">
        <v>1</v>
      </c>
      <c r="AJ342" s="102">
        <v>20</v>
      </c>
      <c r="AL342" s="102">
        <v>18</v>
      </c>
      <c r="AM342" s="237">
        <v>0.3</v>
      </c>
      <c r="AN342" s="241">
        <v>0.3</v>
      </c>
      <c r="AO342" s="241">
        <v>0.28999999999999998</v>
      </c>
      <c r="AP342" s="247">
        <f>(AN342*365)*(AO342*0.67*0.015*1)</f>
        <v>0.31913775</v>
      </c>
      <c r="AQ342" s="247">
        <f>(AN342*365)*(AO342*0.67*0.005*1)</f>
        <v>0.10637925000000001</v>
      </c>
      <c r="AR342" s="248"/>
      <c r="AS342" s="247">
        <f>(AN342*365)*(AO342*0.67*0.04*1)</f>
        <v>0.85103400000000007</v>
      </c>
      <c r="AT342" s="247">
        <f>(AN342*365)*(AO342*0.67*0.015*1)</f>
        <v>0.31913775</v>
      </c>
      <c r="AU342" s="247">
        <f>(AN342*365)*(AO342*0.67*0.65*1)</f>
        <v>13.829302500000002</v>
      </c>
      <c r="AV342" s="247">
        <f>(AN342*365)*(AO342*0.67*0.79*1)</f>
        <v>16.807921499999999</v>
      </c>
      <c r="AW342" s="247">
        <f>(AN342*365)*(AO342*0.67*0.03*1)</f>
        <v>0.6382755</v>
      </c>
      <c r="AX342" s="248"/>
      <c r="AY342" s="247">
        <f>(AN342*365)*(AO342*0.67*0.65*1)</f>
        <v>13.829302500000002</v>
      </c>
      <c r="AZ342" s="247">
        <f t="shared" si="193"/>
        <v>21.275849999999998</v>
      </c>
      <c r="BA342" s="247">
        <f t="shared" si="194"/>
        <v>2.1275850000000003</v>
      </c>
      <c r="BB342" s="247">
        <f t="shared" si="195"/>
        <v>0.10637925000000001</v>
      </c>
      <c r="BC342" s="247">
        <f>(AN342*365)*(AO342*0.67*0.01*1)</f>
        <v>0.21275850000000002</v>
      </c>
      <c r="BD342" s="247">
        <v>0</v>
      </c>
      <c r="BE342" s="247">
        <v>0</v>
      </c>
      <c r="BF342" s="247">
        <f t="shared" si="197"/>
        <v>0.92453239090909123</v>
      </c>
      <c r="BH342" s="120"/>
      <c r="BI342" s="203" t="str">
        <f t="shared" si="198"/>
        <v>Porcinos de carne - Clima Templado</v>
      </c>
      <c r="BJ342" s="190" t="s">
        <v>168</v>
      </c>
      <c r="BK342" s="1337">
        <f t="shared" si="199"/>
        <v>0.92453239090909123</v>
      </c>
      <c r="BL342" s="190" t="s">
        <v>413</v>
      </c>
      <c r="BM342" s="189">
        <v>0.2</v>
      </c>
      <c r="BN342" s="189">
        <v>0.5</v>
      </c>
      <c r="BO342" s="188" t="s">
        <v>258</v>
      </c>
      <c r="BP342" s="1337">
        <f t="shared" si="200"/>
        <v>4.1894363076923083E-2</v>
      </c>
      <c r="BQ342" s="190" t="s">
        <v>415</v>
      </c>
      <c r="BR342" s="189">
        <v>0.2</v>
      </c>
      <c r="BS342" s="189">
        <v>0.5</v>
      </c>
      <c r="BT342" s="188" t="s">
        <v>258</v>
      </c>
      <c r="BU342" s="180"/>
      <c r="BV342" s="196">
        <v>25</v>
      </c>
      <c r="BW342" s="190" t="s">
        <v>414</v>
      </c>
      <c r="BX342" s="180"/>
      <c r="BY342" s="196">
        <v>76.424228571428586</v>
      </c>
      <c r="BZ342" s="190" t="s">
        <v>414</v>
      </c>
      <c r="CA342" s="180"/>
      <c r="CB342" s="180"/>
      <c r="CC342" s="178"/>
      <c r="CD342" s="178"/>
      <c r="CE342" s="180"/>
      <c r="CF342" s="180"/>
      <c r="CG342" s="180"/>
      <c r="CH342" s="180"/>
      <c r="CI342" s="178"/>
      <c r="CJ342" s="178"/>
      <c r="CK342" s="180"/>
      <c r="CL342" s="180"/>
      <c r="CM342" s="180"/>
      <c r="CN342" s="116"/>
      <c r="CO342" s="218">
        <f t="shared" si="179"/>
        <v>0.2</v>
      </c>
      <c r="CP342" s="100">
        <f t="shared" si="180"/>
        <v>0.35</v>
      </c>
      <c r="CQ342" s="218">
        <f t="shared" si="181"/>
        <v>0.5</v>
      </c>
      <c r="CX342" s="23" t="s">
        <v>336</v>
      </c>
      <c r="CY342" s="23">
        <v>1</v>
      </c>
      <c r="CZ342" s="142">
        <f t="shared" si="201"/>
        <v>21</v>
      </c>
      <c r="DA342" s="142">
        <f t="shared" si="202"/>
        <v>25</v>
      </c>
      <c r="DB342" s="23">
        <v>16</v>
      </c>
      <c r="DC342" s="23">
        <v>0.51</v>
      </c>
      <c r="DD342" s="142">
        <f t="shared" si="203"/>
        <v>8.16</v>
      </c>
      <c r="DE342" s="23">
        <v>0.02</v>
      </c>
      <c r="DF342" s="149">
        <f t="shared" si="204"/>
        <v>0.25645714285714288</v>
      </c>
      <c r="DG342" s="149">
        <f t="shared" si="205"/>
        <v>79.5017142857143</v>
      </c>
      <c r="DH342" s="149">
        <f t="shared" si="206"/>
        <v>76.424228571428586</v>
      </c>
      <c r="DI342" s="150">
        <f t="shared" si="207"/>
        <v>100.5017142857143</v>
      </c>
      <c r="DJ342" s="150">
        <f t="shared" si="207"/>
        <v>101.42422857142859</v>
      </c>
      <c r="DK342" s="116" t="s">
        <v>168</v>
      </c>
      <c r="DL342" s="101" t="s">
        <v>392</v>
      </c>
    </row>
    <row r="343" spans="15:116" s="101" customFormat="1" ht="33.75" thickBot="1" x14ac:dyDescent="0.4">
      <c r="O343" s="227" t="s">
        <v>525</v>
      </c>
      <c r="Q343" s="243">
        <v>1.57</v>
      </c>
      <c r="R343" s="243">
        <v>28</v>
      </c>
      <c r="S343" s="246">
        <f t="shared" si="192"/>
        <v>0</v>
      </c>
      <c r="T343" s="246">
        <f t="shared" si="192"/>
        <v>0</v>
      </c>
      <c r="U343" s="246">
        <f t="shared" si="192"/>
        <v>0.12607100000000002</v>
      </c>
      <c r="V343" s="246">
        <f t="shared" si="192"/>
        <v>0.50428400000000007</v>
      </c>
      <c r="W343" s="246">
        <f t="shared" si="192"/>
        <v>0.12607100000000002</v>
      </c>
      <c r="X343" s="246">
        <f t="shared" si="192"/>
        <v>0</v>
      </c>
      <c r="Y343" s="246">
        <f t="shared" si="192"/>
        <v>0.25214200000000003</v>
      </c>
      <c r="Z343" s="246">
        <f t="shared" si="192"/>
        <v>1.7649940000000004</v>
      </c>
      <c r="AA343" s="246">
        <f t="shared" si="192"/>
        <v>0</v>
      </c>
      <c r="AB343" s="246">
        <f t="shared" si="192"/>
        <v>0</v>
      </c>
      <c r="AC343" s="246">
        <f t="shared" si="192"/>
        <v>0.15128520000000001</v>
      </c>
      <c r="AD343" s="246">
        <f t="shared" si="192"/>
        <v>0</v>
      </c>
      <c r="AE343" s="246">
        <f t="shared" si="192"/>
        <v>2.52142</v>
      </c>
      <c r="AF343" s="246">
        <v>0</v>
      </c>
      <c r="AG343" s="246">
        <f t="shared" si="192"/>
        <v>0.25214200000000003</v>
      </c>
      <c r="AH343" s="1336">
        <f t="shared" si="196"/>
        <v>4.1894363076923083E-2</v>
      </c>
      <c r="AI343" s="102">
        <v>2</v>
      </c>
      <c r="AJ343" s="102">
        <v>23</v>
      </c>
      <c r="AL343" s="102">
        <v>21</v>
      </c>
      <c r="AM343" s="237">
        <v>0.3</v>
      </c>
      <c r="AN343" s="241">
        <v>0.3</v>
      </c>
      <c r="AO343" s="241">
        <v>0.28999999999999998</v>
      </c>
      <c r="AP343" s="247">
        <f>(AN343*365)*(AO343*0.67*0.02*1)</f>
        <v>0.42551700000000003</v>
      </c>
      <c r="AQ343" s="247">
        <f>(AN343*365)*(AO343*0.67*0.01*1)</f>
        <v>0.21275850000000002</v>
      </c>
      <c r="AR343" s="248"/>
      <c r="AS343" s="247">
        <f>(AN343*365)*(AO343*0.67*0.05*1)</f>
        <v>1.0637925000000001</v>
      </c>
      <c r="AT343" s="247">
        <f>(AN343*365)*(AO343*0.67*0.02*1)</f>
        <v>0.42551700000000003</v>
      </c>
      <c r="AU343" s="247">
        <f>(AN343*365)*(AO343*0.67*0.8*1)</f>
        <v>17.020680000000002</v>
      </c>
      <c r="AV343" s="247">
        <f>(AN343*365)*(AO343*0.67*0.8*1)</f>
        <v>17.020680000000002</v>
      </c>
      <c r="AW343" s="247">
        <f>(AN343*365)*(AO343*0.67*0.3*1)</f>
        <v>6.3827549999999995</v>
      </c>
      <c r="AX343" s="248"/>
      <c r="AY343" s="247">
        <f>(AN343*365)*(AO343*0.67*0.8*1)</f>
        <v>17.020680000000002</v>
      </c>
      <c r="AZ343" s="247">
        <f t="shared" si="193"/>
        <v>21.275849999999998</v>
      </c>
      <c r="BA343" s="247">
        <f t="shared" si="194"/>
        <v>2.1275850000000003</v>
      </c>
      <c r="BB343" s="247">
        <f t="shared" si="195"/>
        <v>0.10637925000000001</v>
      </c>
      <c r="BC343" s="247">
        <f>(AN343*365)*(AO343*0.67*0.015*1)</f>
        <v>0.31913775</v>
      </c>
      <c r="BD343" s="247">
        <v>0</v>
      </c>
      <c r="BE343" s="247">
        <v>0</v>
      </c>
      <c r="BF343" s="247">
        <f t="shared" si="197"/>
        <v>1.1372908909090911</v>
      </c>
      <c r="BH343" s="120"/>
      <c r="BI343" s="203" t="str">
        <f t="shared" si="198"/>
        <v>Porcinos de carne - Clima Cálido</v>
      </c>
      <c r="BJ343" s="190" t="s">
        <v>168</v>
      </c>
      <c r="BK343" s="1337">
        <f t="shared" si="199"/>
        <v>1.1372908909090911</v>
      </c>
      <c r="BL343" s="190" t="s">
        <v>413</v>
      </c>
      <c r="BM343" s="189">
        <v>0.2</v>
      </c>
      <c r="BN343" s="189">
        <v>0.5</v>
      </c>
      <c r="BO343" s="188" t="s">
        <v>258</v>
      </c>
      <c r="BP343" s="1337">
        <f t="shared" si="200"/>
        <v>4.1894363076923083E-2</v>
      </c>
      <c r="BQ343" s="190" t="s">
        <v>415</v>
      </c>
      <c r="BR343" s="189">
        <v>0.2</v>
      </c>
      <c r="BS343" s="189">
        <v>0.5</v>
      </c>
      <c r="BT343" s="188" t="s">
        <v>258</v>
      </c>
      <c r="BU343" s="180"/>
      <c r="BV343" s="196">
        <v>50</v>
      </c>
      <c r="BW343" s="190" t="s">
        <v>414</v>
      </c>
      <c r="BX343" s="180"/>
      <c r="BY343" s="196">
        <v>76.424228571428586</v>
      </c>
      <c r="BZ343" s="190" t="s">
        <v>414</v>
      </c>
      <c r="CA343" s="180"/>
      <c r="CB343" s="180"/>
      <c r="CC343" s="178"/>
      <c r="CD343" s="178"/>
      <c r="CE343" s="180"/>
      <c r="CF343" s="180"/>
      <c r="CG343" s="180"/>
      <c r="CH343" s="180"/>
      <c r="CI343" s="178"/>
      <c r="CJ343" s="178"/>
      <c r="CK343" s="180"/>
      <c r="CL343" s="180"/>
      <c r="CM343" s="180"/>
      <c r="CN343" s="116"/>
      <c r="CO343" s="218">
        <f t="shared" si="179"/>
        <v>0.2</v>
      </c>
      <c r="CP343" s="100">
        <f t="shared" si="180"/>
        <v>0.35</v>
      </c>
      <c r="CQ343" s="218">
        <f t="shared" si="181"/>
        <v>0.5</v>
      </c>
      <c r="CX343" s="23" t="s">
        <v>139</v>
      </c>
      <c r="CY343" s="23">
        <v>2</v>
      </c>
      <c r="CZ343" s="142">
        <f t="shared" si="201"/>
        <v>42</v>
      </c>
      <c r="DA343" s="142">
        <f t="shared" si="202"/>
        <v>50</v>
      </c>
      <c r="DB343" s="23">
        <v>16</v>
      </c>
      <c r="DC343" s="23">
        <v>0.51</v>
      </c>
      <c r="DD343" s="142">
        <f t="shared" si="203"/>
        <v>8.16</v>
      </c>
      <c r="DE343" s="23">
        <v>0.02</v>
      </c>
      <c r="DF343" s="149">
        <f t="shared" si="204"/>
        <v>0.25645714285714288</v>
      </c>
      <c r="DG343" s="149">
        <f t="shared" si="205"/>
        <v>79.5017142857143</v>
      </c>
      <c r="DH343" s="149">
        <f t="shared" si="206"/>
        <v>76.424228571428586</v>
      </c>
      <c r="DI343" s="150">
        <f t="shared" si="207"/>
        <v>121.5017142857143</v>
      </c>
      <c r="DJ343" s="150">
        <f t="shared" si="207"/>
        <v>126.42422857142859</v>
      </c>
      <c r="DK343" s="116" t="s">
        <v>168</v>
      </c>
      <c r="DL343" s="101" t="s">
        <v>392</v>
      </c>
    </row>
    <row r="344" spans="15:116" s="101" customFormat="1" ht="18.75" customHeight="1" thickBot="1" x14ac:dyDescent="0.4">
      <c r="O344" s="227" t="s">
        <v>545</v>
      </c>
      <c r="Q344" s="243">
        <v>0.55000000000000004</v>
      </c>
      <c r="R344" s="243">
        <v>28</v>
      </c>
      <c r="S344" s="246">
        <f t="shared" si="192"/>
        <v>0</v>
      </c>
      <c r="T344" s="246">
        <f t="shared" si="192"/>
        <v>0</v>
      </c>
      <c r="U344" s="246">
        <f t="shared" si="192"/>
        <v>4.4165000000000003E-2</v>
      </c>
      <c r="V344" s="246">
        <f t="shared" si="192"/>
        <v>0.17666000000000001</v>
      </c>
      <c r="W344" s="246">
        <f t="shared" si="192"/>
        <v>4.4165000000000003E-2</v>
      </c>
      <c r="X344" s="246">
        <f t="shared" si="192"/>
        <v>0</v>
      </c>
      <c r="Y344" s="246">
        <f t="shared" si="192"/>
        <v>8.8330000000000006E-2</v>
      </c>
      <c r="Z344" s="246">
        <f t="shared" si="192"/>
        <v>0.61831000000000003</v>
      </c>
      <c r="AA344" s="246">
        <f t="shared" si="192"/>
        <v>0</v>
      </c>
      <c r="AB344" s="246">
        <f t="shared" si="192"/>
        <v>0</v>
      </c>
      <c r="AC344" s="246">
        <f t="shared" si="192"/>
        <v>5.299800000000001E-2</v>
      </c>
      <c r="AD344" s="246">
        <f t="shared" si="192"/>
        <v>0</v>
      </c>
      <c r="AE344" s="246">
        <f t="shared" si="192"/>
        <v>0.88330000000000009</v>
      </c>
      <c r="AF344" s="246">
        <v>0</v>
      </c>
      <c r="AG344" s="246">
        <f t="shared" si="192"/>
        <v>8.8330000000000006E-2</v>
      </c>
      <c r="AH344" s="1336">
        <f t="shared" si="196"/>
        <v>1.4676369230769232E-2</v>
      </c>
      <c r="AI344" s="102">
        <v>1</v>
      </c>
      <c r="AJ344" s="102">
        <v>23</v>
      </c>
      <c r="AL344" s="102">
        <v>12</v>
      </c>
      <c r="AM344" s="237">
        <v>0.3</v>
      </c>
      <c r="AN344" s="241">
        <v>0.3</v>
      </c>
      <c r="AO344" s="241">
        <v>0.28999999999999998</v>
      </c>
      <c r="AP344" s="247">
        <f>(AN344*365)*(AO344*0.67*0.01*1)</f>
        <v>0.21275850000000002</v>
      </c>
      <c r="AQ344" s="247">
        <f>(AN344*365)*(AO344*0.67*0.001*1)</f>
        <v>2.1275850000000002E-2</v>
      </c>
      <c r="AR344" s="248"/>
      <c r="AS344" s="247">
        <f>(AN344*365)*(AO344*0.67*0.02*1)</f>
        <v>0.42551700000000003</v>
      </c>
      <c r="AT344" s="247">
        <f>(AN344*365)*(AO344*0.67*0.01*1)</f>
        <v>0.21275850000000002</v>
      </c>
      <c r="AU344" s="247">
        <f>(AN344*365)*(AO344*0.67*0.25*1)</f>
        <v>5.3189624999999996</v>
      </c>
      <c r="AV344" s="247">
        <f>(AN344*365)*(AO344*0.67*0.73*1)</f>
        <v>15.5313705</v>
      </c>
      <c r="AW344" s="247">
        <f>(AN344*365)*(AO344*0.67*0.03*1)</f>
        <v>0.6382755</v>
      </c>
      <c r="AX344" s="248"/>
      <c r="AY344" s="247">
        <f>(AN344*365)*(AO344*0.67*0.25*1)</f>
        <v>5.3189624999999996</v>
      </c>
      <c r="AZ344" s="247">
        <f t="shared" si="193"/>
        <v>21.275849999999998</v>
      </c>
      <c r="BA344" s="247">
        <f t="shared" si="194"/>
        <v>2.1275850000000003</v>
      </c>
      <c r="BB344" s="247">
        <f t="shared" si="195"/>
        <v>0.10637925000000001</v>
      </c>
      <c r="BC344" s="247">
        <f>(AN344*365)*(AO344*0.67*0.005*1)</f>
        <v>0.10637925000000001</v>
      </c>
      <c r="BD344" s="247">
        <v>0</v>
      </c>
      <c r="BE344" s="247">
        <v>0</v>
      </c>
      <c r="BF344" s="247">
        <f t="shared" si="197"/>
        <v>0.65587643045454558</v>
      </c>
      <c r="BH344" s="120"/>
      <c r="BI344" s="203" t="str">
        <f t="shared" si="198"/>
        <v>Porcinos de Cría - Clima Frío</v>
      </c>
      <c r="BJ344" s="190" t="s">
        <v>168</v>
      </c>
      <c r="BK344" s="1337">
        <f t="shared" si="199"/>
        <v>0.65587643045454558</v>
      </c>
      <c r="BL344" s="190" t="s">
        <v>413</v>
      </c>
      <c r="BM344" s="189">
        <v>0.2</v>
      </c>
      <c r="BN344" s="189">
        <v>0.5</v>
      </c>
      <c r="BO344" s="188" t="s">
        <v>258</v>
      </c>
      <c r="BP344" s="1337">
        <f t="shared" si="200"/>
        <v>1.4676369230769232E-2</v>
      </c>
      <c r="BQ344" s="190" t="s">
        <v>415</v>
      </c>
      <c r="BR344" s="189">
        <v>0.2</v>
      </c>
      <c r="BS344" s="189">
        <v>0.5</v>
      </c>
      <c r="BT344" s="188" t="s">
        <v>258</v>
      </c>
      <c r="BU344" s="180"/>
      <c r="BV344" s="196">
        <v>0</v>
      </c>
      <c r="BW344" s="190" t="s">
        <v>414</v>
      </c>
      <c r="BX344" s="180"/>
      <c r="BY344" s="196">
        <v>14.985142857142856</v>
      </c>
      <c r="BZ344" s="190" t="s">
        <v>414</v>
      </c>
      <c r="CA344" s="180"/>
      <c r="CB344" s="180"/>
      <c r="CC344" s="178"/>
      <c r="CD344" s="178"/>
      <c r="CE344" s="180"/>
      <c r="CF344" s="180"/>
      <c r="CG344" s="180"/>
      <c r="CH344" s="180"/>
      <c r="CI344" s="178"/>
      <c r="CJ344" s="178"/>
      <c r="CK344" s="180"/>
      <c r="CL344" s="180"/>
      <c r="CM344" s="180"/>
      <c r="CN344" s="116"/>
      <c r="CO344" s="218">
        <f t="shared" si="179"/>
        <v>0.2</v>
      </c>
      <c r="CP344" s="100">
        <f t="shared" si="180"/>
        <v>0.35</v>
      </c>
      <c r="CQ344" s="218">
        <f t="shared" si="181"/>
        <v>0.5</v>
      </c>
      <c r="CX344" s="23" t="s">
        <v>337</v>
      </c>
      <c r="CY344" s="23">
        <v>0</v>
      </c>
      <c r="CZ344" s="142">
        <f t="shared" si="201"/>
        <v>0</v>
      </c>
      <c r="DA344" s="142">
        <f t="shared" si="202"/>
        <v>0</v>
      </c>
      <c r="DB344" s="23">
        <v>16</v>
      </c>
      <c r="DC344" s="23">
        <v>0.4</v>
      </c>
      <c r="DD344" s="142">
        <f t="shared" si="203"/>
        <v>6.4</v>
      </c>
      <c r="DE344" s="23">
        <v>5.0000000000000001E-3</v>
      </c>
      <c r="DF344" s="149">
        <f t="shared" si="204"/>
        <v>5.0285714285714281E-2</v>
      </c>
      <c r="DG344" s="149">
        <f t="shared" si="205"/>
        <v>15.588571428571427</v>
      </c>
      <c r="DH344" s="149">
        <f t="shared" si="206"/>
        <v>14.985142857142856</v>
      </c>
      <c r="DI344" s="150">
        <f t="shared" si="207"/>
        <v>15.588571428571427</v>
      </c>
      <c r="DJ344" s="150">
        <f t="shared" si="207"/>
        <v>14.985142857142856</v>
      </c>
      <c r="DK344" s="116" t="s">
        <v>168</v>
      </c>
      <c r="DL344" s="101" t="s">
        <v>392</v>
      </c>
    </row>
    <row r="345" spans="15:116" s="101" customFormat="1" ht="33.75" thickBot="1" x14ac:dyDescent="0.4">
      <c r="O345" s="227" t="s">
        <v>546</v>
      </c>
      <c r="Q345" s="243">
        <v>0.55000000000000004</v>
      </c>
      <c r="R345" s="243">
        <v>28</v>
      </c>
      <c r="S345" s="246">
        <f t="shared" si="192"/>
        <v>0</v>
      </c>
      <c r="T345" s="246">
        <f t="shared" si="192"/>
        <v>0</v>
      </c>
      <c r="U345" s="246">
        <f t="shared" si="192"/>
        <v>4.4165000000000003E-2</v>
      </c>
      <c r="V345" s="246">
        <f t="shared" si="192"/>
        <v>0.17666000000000001</v>
      </c>
      <c r="W345" s="246">
        <f t="shared" si="192"/>
        <v>4.4165000000000003E-2</v>
      </c>
      <c r="X345" s="246">
        <f t="shared" si="192"/>
        <v>0</v>
      </c>
      <c r="Y345" s="246">
        <f t="shared" si="192"/>
        <v>8.8330000000000006E-2</v>
      </c>
      <c r="Z345" s="246">
        <f t="shared" si="192"/>
        <v>0.61831000000000003</v>
      </c>
      <c r="AA345" s="246">
        <f t="shared" si="192"/>
        <v>0</v>
      </c>
      <c r="AB345" s="246">
        <f t="shared" si="192"/>
        <v>0</v>
      </c>
      <c r="AC345" s="246">
        <f t="shared" si="192"/>
        <v>5.299800000000001E-2</v>
      </c>
      <c r="AD345" s="246">
        <f t="shared" si="192"/>
        <v>0</v>
      </c>
      <c r="AE345" s="246">
        <f t="shared" si="192"/>
        <v>0.88330000000000009</v>
      </c>
      <c r="AF345" s="246">
        <v>0</v>
      </c>
      <c r="AG345" s="246">
        <f t="shared" si="192"/>
        <v>8.8330000000000006E-2</v>
      </c>
      <c r="AH345" s="1336">
        <f t="shared" si="196"/>
        <v>1.4676369230769232E-2</v>
      </c>
      <c r="AI345" s="102">
        <v>1</v>
      </c>
      <c r="AJ345" s="102">
        <v>39</v>
      </c>
      <c r="AL345" s="102">
        <v>27</v>
      </c>
      <c r="AM345" s="237">
        <v>0.3</v>
      </c>
      <c r="AN345" s="241">
        <v>0.3</v>
      </c>
      <c r="AO345" s="241">
        <v>0.28999999999999998</v>
      </c>
      <c r="AP345" s="247">
        <f>(AN345*365)*(AO345*0.67*0.015*1)</f>
        <v>0.31913775</v>
      </c>
      <c r="AQ345" s="247">
        <f>(AN345*365)*(AO345*0.67*0.005*1)</f>
        <v>0.10637925000000001</v>
      </c>
      <c r="AR345" s="248"/>
      <c r="AS345" s="247">
        <f>(AN345*365)*(AO345*0.67*0.04*1)</f>
        <v>0.85103400000000007</v>
      </c>
      <c r="AT345" s="247">
        <f>(AN345*365)*(AO345*0.67*0.015*1)</f>
        <v>0.31913775</v>
      </c>
      <c r="AU345" s="247">
        <f>(AN345*365)*(AO345*0.67*0.65*1)</f>
        <v>13.829302500000002</v>
      </c>
      <c r="AV345" s="247">
        <f>(AN345*365)*(AO345*0.67*0.79*1)</f>
        <v>16.807921499999999</v>
      </c>
      <c r="AW345" s="247">
        <f>(AN345*365)*(AO345*0.67*0.03*1)</f>
        <v>0.6382755</v>
      </c>
      <c r="AX345" s="248"/>
      <c r="AY345" s="247">
        <f>(AN345*365)*(AO345*0.67*0.65*1)</f>
        <v>13.829302500000002</v>
      </c>
      <c r="AZ345" s="247">
        <f t="shared" si="193"/>
        <v>21.275849999999998</v>
      </c>
      <c r="BA345" s="247">
        <f t="shared" si="194"/>
        <v>2.1275850000000003</v>
      </c>
      <c r="BB345" s="247">
        <f t="shared" si="195"/>
        <v>0.10637925000000001</v>
      </c>
      <c r="BC345" s="247">
        <f>(AN345*365)*(AO345*0.67*0.01*1)</f>
        <v>0.21275850000000002</v>
      </c>
      <c r="BD345" s="247">
        <v>0</v>
      </c>
      <c r="BE345" s="247">
        <v>0</v>
      </c>
      <c r="BF345" s="247">
        <f t="shared" si="197"/>
        <v>0.92453239090909123</v>
      </c>
      <c r="BH345" s="120"/>
      <c r="BI345" s="203" t="str">
        <f t="shared" si="198"/>
        <v>Porcinos de Cría - Clima Templado</v>
      </c>
      <c r="BJ345" s="190" t="s">
        <v>168</v>
      </c>
      <c r="BK345" s="1337">
        <f t="shared" si="199"/>
        <v>0.92453239090909123</v>
      </c>
      <c r="BL345" s="190" t="s">
        <v>413</v>
      </c>
      <c r="BM345" s="189">
        <v>0.2</v>
      </c>
      <c r="BN345" s="189">
        <v>0.5</v>
      </c>
      <c r="BO345" s="188" t="s">
        <v>258</v>
      </c>
      <c r="BP345" s="1337">
        <f t="shared" si="200"/>
        <v>1.4676369230769232E-2</v>
      </c>
      <c r="BQ345" s="190" t="s">
        <v>415</v>
      </c>
      <c r="BR345" s="189">
        <v>0.2</v>
      </c>
      <c r="BS345" s="189">
        <v>0.5</v>
      </c>
      <c r="BT345" s="188" t="s">
        <v>258</v>
      </c>
      <c r="BU345" s="180"/>
      <c r="BV345" s="196">
        <v>25</v>
      </c>
      <c r="BW345" s="190" t="s">
        <v>414</v>
      </c>
      <c r="BX345" s="180"/>
      <c r="BY345" s="196">
        <v>14.985142857142856</v>
      </c>
      <c r="BZ345" s="190" t="s">
        <v>414</v>
      </c>
      <c r="CA345" s="180"/>
      <c r="CB345" s="180"/>
      <c r="CC345" s="178"/>
      <c r="CD345" s="178"/>
      <c r="CE345" s="180"/>
      <c r="CF345" s="180"/>
      <c r="CG345" s="180"/>
      <c r="CH345" s="180"/>
      <c r="CI345" s="178"/>
      <c r="CJ345" s="178"/>
      <c r="CK345" s="180"/>
      <c r="CL345" s="180"/>
      <c r="CM345" s="180"/>
      <c r="CN345" s="116"/>
      <c r="CO345" s="218">
        <f t="shared" si="179"/>
        <v>0.2</v>
      </c>
      <c r="CP345" s="100">
        <f t="shared" si="180"/>
        <v>0.35</v>
      </c>
      <c r="CQ345" s="218">
        <f t="shared" si="181"/>
        <v>0.5</v>
      </c>
      <c r="CX345" s="23" t="s">
        <v>338</v>
      </c>
      <c r="CY345" s="23">
        <v>1</v>
      </c>
      <c r="CZ345" s="142">
        <f t="shared" si="201"/>
        <v>21</v>
      </c>
      <c r="DA345" s="142">
        <f t="shared" si="202"/>
        <v>25</v>
      </c>
      <c r="DB345" s="23">
        <v>16</v>
      </c>
      <c r="DC345" s="23">
        <v>0.4</v>
      </c>
      <c r="DD345" s="142">
        <f t="shared" si="203"/>
        <v>6.4</v>
      </c>
      <c r="DE345" s="23">
        <v>5.0000000000000001E-3</v>
      </c>
      <c r="DF345" s="149">
        <f t="shared" si="204"/>
        <v>5.0285714285714281E-2</v>
      </c>
      <c r="DG345" s="149">
        <f t="shared" si="205"/>
        <v>15.588571428571427</v>
      </c>
      <c r="DH345" s="149">
        <f t="shared" si="206"/>
        <v>14.985142857142856</v>
      </c>
      <c r="DI345" s="150">
        <f t="shared" si="207"/>
        <v>36.588571428571427</v>
      </c>
      <c r="DJ345" s="150">
        <f t="shared" si="207"/>
        <v>39.985142857142854</v>
      </c>
      <c r="DK345" s="116" t="s">
        <v>168</v>
      </c>
      <c r="DL345" s="101" t="s">
        <v>392</v>
      </c>
    </row>
    <row r="346" spans="15:116" s="101" customFormat="1" ht="33.75" thickBot="1" x14ac:dyDescent="0.4">
      <c r="O346" s="227" t="s">
        <v>547</v>
      </c>
      <c r="Q346" s="243">
        <v>0.55000000000000004</v>
      </c>
      <c r="R346" s="243">
        <v>28</v>
      </c>
      <c r="S346" s="246">
        <f t="shared" si="192"/>
        <v>0</v>
      </c>
      <c r="T346" s="246">
        <f t="shared" si="192"/>
        <v>0</v>
      </c>
      <c r="U346" s="246">
        <f t="shared" si="192"/>
        <v>4.4165000000000003E-2</v>
      </c>
      <c r="V346" s="246">
        <f t="shared" si="192"/>
        <v>0.17666000000000001</v>
      </c>
      <c r="W346" s="246">
        <f t="shared" si="192"/>
        <v>4.4165000000000003E-2</v>
      </c>
      <c r="X346" s="246">
        <f t="shared" si="192"/>
        <v>0</v>
      </c>
      <c r="Y346" s="246">
        <f t="shared" si="192"/>
        <v>8.8330000000000006E-2</v>
      </c>
      <c r="Z346" s="246">
        <f t="shared" si="192"/>
        <v>0.61831000000000003</v>
      </c>
      <c r="AA346" s="246">
        <f t="shared" si="192"/>
        <v>0</v>
      </c>
      <c r="AB346" s="246">
        <f t="shared" si="192"/>
        <v>0</v>
      </c>
      <c r="AC346" s="246">
        <f t="shared" si="192"/>
        <v>5.299800000000001E-2</v>
      </c>
      <c r="AD346" s="246">
        <f t="shared" si="192"/>
        <v>0</v>
      </c>
      <c r="AE346" s="246">
        <f t="shared" si="192"/>
        <v>0.88330000000000009</v>
      </c>
      <c r="AF346" s="246">
        <v>0</v>
      </c>
      <c r="AG346" s="246">
        <f t="shared" si="192"/>
        <v>8.8330000000000006E-2</v>
      </c>
      <c r="AH346" s="1336">
        <f t="shared" si="196"/>
        <v>1.4676369230769232E-2</v>
      </c>
      <c r="AI346" s="102">
        <v>2</v>
      </c>
      <c r="AJ346" s="102">
        <v>45</v>
      </c>
      <c r="AL346" s="102">
        <v>33</v>
      </c>
      <c r="AM346" s="237">
        <v>0.3</v>
      </c>
      <c r="AN346" s="241">
        <v>0.3</v>
      </c>
      <c r="AO346" s="241">
        <v>0.28999999999999998</v>
      </c>
      <c r="AP346" s="247">
        <f>(AN346*365)*(AO346*0.67*0.02*1)</f>
        <v>0.42551700000000003</v>
      </c>
      <c r="AQ346" s="247">
        <f>(AN346*365)*(AO346*0.67*0.01*1)</f>
        <v>0.21275850000000002</v>
      </c>
      <c r="AR346" s="248"/>
      <c r="AS346" s="247">
        <f>(AN346*365)*(AO346*0.67*0.05*1)</f>
        <v>1.0637925000000001</v>
      </c>
      <c r="AT346" s="247">
        <f>(AN346*365)*(AO346*0.67*0.02*1)</f>
        <v>0.42551700000000003</v>
      </c>
      <c r="AU346" s="247">
        <f>(AN346*365)*(AO346*0.67*0.8*1)</f>
        <v>17.020680000000002</v>
      </c>
      <c r="AV346" s="247">
        <f>(AN346*365)*(AO346*0.67*0.8*1)</f>
        <v>17.020680000000002</v>
      </c>
      <c r="AW346" s="247">
        <f>(AN346*365)*(AO346*0.67*0.3*1)</f>
        <v>6.3827549999999995</v>
      </c>
      <c r="AX346" s="248"/>
      <c r="AY346" s="247">
        <f>(AN346*365)*(AO346*0.67*0.8*1)</f>
        <v>17.020680000000002</v>
      </c>
      <c r="AZ346" s="247">
        <f t="shared" si="193"/>
        <v>21.275849999999998</v>
      </c>
      <c r="BA346" s="247">
        <f t="shared" si="194"/>
        <v>2.1275850000000003</v>
      </c>
      <c r="BB346" s="247">
        <f t="shared" si="195"/>
        <v>0.10637925000000001</v>
      </c>
      <c r="BC346" s="247">
        <f>(AN346*365)*(AO346*0.67*0.015*1)</f>
        <v>0.31913775</v>
      </c>
      <c r="BD346" s="247">
        <v>0</v>
      </c>
      <c r="BE346" s="247">
        <v>0</v>
      </c>
      <c r="BF346" s="247">
        <f t="shared" si="197"/>
        <v>1.1372908909090911</v>
      </c>
      <c r="BH346" s="120"/>
      <c r="BI346" s="203" t="str">
        <f t="shared" si="198"/>
        <v>Porcinos de Cría - Clima Cálido</v>
      </c>
      <c r="BJ346" s="190" t="s">
        <v>168</v>
      </c>
      <c r="BK346" s="1337">
        <f t="shared" si="199"/>
        <v>1.1372908909090911</v>
      </c>
      <c r="BL346" s="190" t="s">
        <v>413</v>
      </c>
      <c r="BM346" s="189">
        <v>0.2</v>
      </c>
      <c r="BN346" s="189">
        <v>0.5</v>
      </c>
      <c r="BO346" s="188" t="s">
        <v>258</v>
      </c>
      <c r="BP346" s="1337">
        <f t="shared" si="200"/>
        <v>1.4676369230769232E-2</v>
      </c>
      <c r="BQ346" s="190" t="s">
        <v>415</v>
      </c>
      <c r="BR346" s="189">
        <v>0.2</v>
      </c>
      <c r="BS346" s="189">
        <v>0.5</v>
      </c>
      <c r="BT346" s="188" t="s">
        <v>258</v>
      </c>
      <c r="BU346" s="180"/>
      <c r="BV346" s="196">
        <v>50</v>
      </c>
      <c r="BW346" s="190" t="s">
        <v>414</v>
      </c>
      <c r="BX346" s="180"/>
      <c r="BY346" s="196">
        <v>14.985142857142856</v>
      </c>
      <c r="BZ346" s="190" t="s">
        <v>414</v>
      </c>
      <c r="CA346" s="180"/>
      <c r="CB346" s="180"/>
      <c r="CC346" s="178"/>
      <c r="CD346" s="178"/>
      <c r="CE346" s="180"/>
      <c r="CF346" s="180"/>
      <c r="CG346" s="180"/>
      <c r="CH346" s="180"/>
      <c r="CI346" s="178"/>
      <c r="CJ346" s="178"/>
      <c r="CK346" s="180"/>
      <c r="CL346" s="180"/>
      <c r="CM346" s="180"/>
      <c r="CN346" s="116"/>
      <c r="CO346" s="218">
        <f t="shared" si="179"/>
        <v>0.2</v>
      </c>
      <c r="CP346" s="100">
        <f t="shared" si="180"/>
        <v>0.35</v>
      </c>
      <c r="CQ346" s="218">
        <f t="shared" si="181"/>
        <v>0.5</v>
      </c>
      <c r="CX346" s="23" t="s">
        <v>339</v>
      </c>
      <c r="CY346" s="23">
        <v>2</v>
      </c>
      <c r="CZ346" s="142">
        <f t="shared" si="201"/>
        <v>42</v>
      </c>
      <c r="DA346" s="142">
        <f t="shared" si="202"/>
        <v>50</v>
      </c>
      <c r="DB346" s="23">
        <v>16</v>
      </c>
      <c r="DC346" s="23">
        <v>0.4</v>
      </c>
      <c r="DD346" s="142">
        <f t="shared" si="203"/>
        <v>6.4</v>
      </c>
      <c r="DE346" s="23">
        <v>5.0000000000000001E-3</v>
      </c>
      <c r="DF346" s="149">
        <f t="shared" si="204"/>
        <v>5.0285714285714281E-2</v>
      </c>
      <c r="DG346" s="149">
        <f t="shared" si="205"/>
        <v>15.588571428571427</v>
      </c>
      <c r="DH346" s="149">
        <f t="shared" si="206"/>
        <v>14.985142857142856</v>
      </c>
      <c r="DI346" s="150">
        <f t="shared" si="207"/>
        <v>57.588571428571427</v>
      </c>
      <c r="DJ346" s="150">
        <f t="shared" si="207"/>
        <v>64.985142857142861</v>
      </c>
      <c r="DK346" s="116" t="s">
        <v>168</v>
      </c>
      <c r="DL346" s="101" t="s">
        <v>392</v>
      </c>
    </row>
    <row r="347" spans="15:116" s="101" customFormat="1" ht="33.75" thickBot="1" x14ac:dyDescent="0.4">
      <c r="O347" s="227" t="s">
        <v>143</v>
      </c>
      <c r="Q347" s="243">
        <v>0.32</v>
      </c>
      <c r="R347" s="243">
        <v>380</v>
      </c>
      <c r="S347" s="246">
        <f t="shared" si="192"/>
        <v>0</v>
      </c>
      <c r="T347" s="246">
        <f t="shared" si="192"/>
        <v>0</v>
      </c>
      <c r="U347" s="246">
        <f t="shared" si="192"/>
        <v>0.34873142857142858</v>
      </c>
      <c r="V347" s="246">
        <f t="shared" si="192"/>
        <v>1.3949257142857143</v>
      </c>
      <c r="W347" s="246">
        <f t="shared" si="192"/>
        <v>0.34873142857142858</v>
      </c>
      <c r="X347" s="246">
        <f t="shared" si="192"/>
        <v>0</v>
      </c>
      <c r="Y347" s="246">
        <f t="shared" ref="Y347:AE347" si="208">((($Q347*($R347/1000)*365)*1)*Y$327)*(44/28)</f>
        <v>0.69746285714285716</v>
      </c>
      <c r="Z347" s="246">
        <f t="shared" si="208"/>
        <v>4.8822400000000004</v>
      </c>
      <c r="AA347" s="246">
        <f t="shared" si="208"/>
        <v>0</v>
      </c>
      <c r="AB347" s="246">
        <f t="shared" si="208"/>
        <v>0</v>
      </c>
      <c r="AC347" s="246">
        <f t="shared" si="208"/>
        <v>0.41847771428571423</v>
      </c>
      <c r="AD347" s="246">
        <f t="shared" si="208"/>
        <v>0</v>
      </c>
      <c r="AE347" s="246">
        <f t="shared" si="208"/>
        <v>6.9746285714285721</v>
      </c>
      <c r="AF347" s="246">
        <v>0</v>
      </c>
      <c r="AG347" s="246">
        <f t="shared" ref="AG347:AG352" si="209">((($Q347*($R347/1000)*365)*1)*AG$327)*(44/28)</f>
        <v>0.69746285714285716</v>
      </c>
      <c r="AH347" s="1336">
        <f t="shared" si="196"/>
        <v>0.11588613626373628</v>
      </c>
      <c r="AI347" s="102">
        <v>1</v>
      </c>
      <c r="AJ347" s="100">
        <v>0</v>
      </c>
      <c r="AL347" s="102">
        <v>5</v>
      </c>
      <c r="AM347" s="237">
        <v>0.3</v>
      </c>
      <c r="AN347" s="241">
        <v>3.9</v>
      </c>
      <c r="AO347" s="241">
        <v>0.1</v>
      </c>
      <c r="AP347" s="247">
        <f>(AN347*365)*(AO347*0.67*0.01*1)</f>
        <v>0.95374500000000006</v>
      </c>
      <c r="AQ347" s="247">
        <f>(AN347*365)*(AO347*0.67*0.001*1)</f>
        <v>9.5374500000000001E-2</v>
      </c>
      <c r="AR347" s="248"/>
      <c r="AS347" s="247">
        <f>(AN347*365)*(AO347*0.67*0.02*1)</f>
        <v>1.9074900000000001</v>
      </c>
      <c r="AT347" s="247">
        <f>(AN347*365)*(AO347*0.67*0.01*1)</f>
        <v>0.95374500000000006</v>
      </c>
      <c r="AU347" s="247">
        <f>(AN347*365)*(AO347*0.67*0.25*1)</f>
        <v>23.843625000000003</v>
      </c>
      <c r="AV347" s="247">
        <f>(AN347*365)*(AO347*0.67*0.73*1)</f>
        <v>69.623384999999999</v>
      </c>
      <c r="AW347" s="247">
        <f>(AN347*365)*(AO347*0.67*0.03*1)</f>
        <v>2.8612350000000002</v>
      </c>
      <c r="AX347" s="248"/>
      <c r="AY347" s="247">
        <f>(AN347*365)*(AO347*0.67*0.25*1)</f>
        <v>23.843625000000003</v>
      </c>
      <c r="AZ347" s="247">
        <f t="shared" si="193"/>
        <v>95.374500000000012</v>
      </c>
      <c r="BA347" s="247">
        <f t="shared" si="194"/>
        <v>9.5374500000000015</v>
      </c>
      <c r="BB347" s="247">
        <f t="shared" si="195"/>
        <v>0.47687250000000003</v>
      </c>
      <c r="BC347" s="247">
        <f>(AN347*365)*(AO347*0.67*0.005*1)</f>
        <v>0.47687250000000003</v>
      </c>
      <c r="BD347" s="247">
        <v>0</v>
      </c>
      <c r="BE347" s="247">
        <v>0</v>
      </c>
      <c r="BF347" s="247">
        <f t="shared" si="197"/>
        <v>2.9401357227272733</v>
      </c>
      <c r="BH347" s="120"/>
      <c r="BI347" s="203" t="str">
        <f t="shared" si="198"/>
        <v>Búfalos - Clima Frío</v>
      </c>
      <c r="BJ347" s="190" t="s">
        <v>168</v>
      </c>
      <c r="BK347" s="1337">
        <f t="shared" si="199"/>
        <v>2.9401357227272733</v>
      </c>
      <c r="BL347" s="190" t="s">
        <v>413</v>
      </c>
      <c r="BM347" s="189">
        <v>0.2</v>
      </c>
      <c r="BN347" s="189">
        <v>0.5</v>
      </c>
      <c r="BO347" s="188" t="s">
        <v>258</v>
      </c>
      <c r="BP347" s="1337">
        <f t="shared" si="200"/>
        <v>0.11588613626373628</v>
      </c>
      <c r="BQ347" s="190" t="s">
        <v>415</v>
      </c>
      <c r="BR347" s="189">
        <v>0.2</v>
      </c>
      <c r="BS347" s="189">
        <v>0.5</v>
      </c>
      <c r="BT347" s="188" t="s">
        <v>258</v>
      </c>
      <c r="BU347" s="180"/>
      <c r="BV347" s="196">
        <v>25</v>
      </c>
      <c r="BW347" s="190" t="s">
        <v>414</v>
      </c>
      <c r="BX347" s="180"/>
      <c r="BY347" s="196">
        <v>370.88228571428567</v>
      </c>
      <c r="BZ347" s="190" t="s">
        <v>414</v>
      </c>
      <c r="CA347" s="180"/>
      <c r="CB347" s="180"/>
      <c r="CC347" s="178"/>
      <c r="CD347" s="178"/>
      <c r="CE347" s="180"/>
      <c r="CF347" s="180"/>
      <c r="CG347" s="180"/>
      <c r="CH347" s="180"/>
      <c r="CI347" s="178"/>
      <c r="CJ347" s="178"/>
      <c r="CK347" s="180"/>
      <c r="CL347" s="180"/>
      <c r="CM347" s="180"/>
      <c r="CN347" s="116"/>
      <c r="CO347" s="218">
        <f t="shared" si="179"/>
        <v>0.2</v>
      </c>
      <c r="CP347" s="100">
        <f t="shared" si="180"/>
        <v>0.35</v>
      </c>
      <c r="CQ347" s="218">
        <f t="shared" si="181"/>
        <v>0.5</v>
      </c>
      <c r="CX347" s="23" t="s">
        <v>143</v>
      </c>
      <c r="CY347" s="23">
        <v>1</v>
      </c>
      <c r="CZ347" s="142">
        <f t="shared" si="201"/>
        <v>21</v>
      </c>
      <c r="DA347" s="142">
        <f t="shared" si="202"/>
        <v>25</v>
      </c>
      <c r="DB347" s="23">
        <v>40</v>
      </c>
      <c r="DC347" s="23">
        <v>0.99</v>
      </c>
      <c r="DD347" s="142">
        <f t="shared" si="203"/>
        <v>39.6</v>
      </c>
      <c r="DE347" s="23">
        <v>0.02</v>
      </c>
      <c r="DF347" s="149">
        <f t="shared" si="204"/>
        <v>1.2445714285714284</v>
      </c>
      <c r="DG347" s="149">
        <f t="shared" si="205"/>
        <v>385.81714285714281</v>
      </c>
      <c r="DH347" s="149">
        <f t="shared" si="206"/>
        <v>370.88228571428567</v>
      </c>
      <c r="DI347" s="150">
        <f t="shared" si="207"/>
        <v>406.81714285714281</v>
      </c>
      <c r="DJ347" s="150">
        <f t="shared" si="207"/>
        <v>395.88228571428567</v>
      </c>
      <c r="DK347" s="116" t="s">
        <v>168</v>
      </c>
      <c r="DL347" s="101" t="s">
        <v>392</v>
      </c>
    </row>
    <row r="348" spans="15:116" s="101" customFormat="1" ht="33.75" thickBot="1" x14ac:dyDescent="0.4">
      <c r="O348" s="227" t="s">
        <v>144</v>
      </c>
      <c r="Q348" s="243">
        <v>0.32</v>
      </c>
      <c r="R348" s="243">
        <v>380</v>
      </c>
      <c r="S348" s="246">
        <f t="shared" ref="S348:AE352" si="210">((($Q348*($R348/1000)*365)*1)*S$327)*(44/28)</f>
        <v>0</v>
      </c>
      <c r="T348" s="246">
        <f t="shared" si="210"/>
        <v>0</v>
      </c>
      <c r="U348" s="246">
        <f t="shared" si="210"/>
        <v>0.34873142857142858</v>
      </c>
      <c r="V348" s="246">
        <f t="shared" si="210"/>
        <v>1.3949257142857143</v>
      </c>
      <c r="W348" s="246">
        <f t="shared" si="210"/>
        <v>0.34873142857142858</v>
      </c>
      <c r="X348" s="246">
        <f t="shared" si="210"/>
        <v>0</v>
      </c>
      <c r="Y348" s="246">
        <f t="shared" si="210"/>
        <v>0.69746285714285716</v>
      </c>
      <c r="Z348" s="246">
        <f t="shared" si="210"/>
        <v>4.8822400000000004</v>
      </c>
      <c r="AA348" s="246">
        <f t="shared" si="210"/>
        <v>0</v>
      </c>
      <c r="AB348" s="246">
        <f t="shared" si="210"/>
        <v>0</v>
      </c>
      <c r="AC348" s="246">
        <f t="shared" si="210"/>
        <v>0.41847771428571423</v>
      </c>
      <c r="AD348" s="246">
        <f t="shared" si="210"/>
        <v>0</v>
      </c>
      <c r="AE348" s="246">
        <f t="shared" si="210"/>
        <v>6.9746285714285721</v>
      </c>
      <c r="AF348" s="246">
        <v>0</v>
      </c>
      <c r="AG348" s="246">
        <f t="shared" si="209"/>
        <v>0.69746285714285716</v>
      </c>
      <c r="AH348" s="1336">
        <f t="shared" si="196"/>
        <v>0.11588613626373628</v>
      </c>
      <c r="AI348" s="102">
        <v>1</v>
      </c>
      <c r="AJ348" s="100">
        <v>0</v>
      </c>
      <c r="AL348" s="102">
        <v>14</v>
      </c>
      <c r="AM348" s="237">
        <v>0.3</v>
      </c>
      <c r="AN348" s="241">
        <v>3.9</v>
      </c>
      <c r="AO348" s="241">
        <v>0.1</v>
      </c>
      <c r="AP348" s="247">
        <f>(AN348*365)*(AO348*0.67*0.015*1)</f>
        <v>1.4306175000000001</v>
      </c>
      <c r="AQ348" s="247">
        <f>(AN348*365)*(AO348*0.67*0.005*1)</f>
        <v>0.47687250000000003</v>
      </c>
      <c r="AR348" s="248"/>
      <c r="AS348" s="247">
        <f>(AN348*365)*(AO348*0.67*0.04*1)</f>
        <v>3.8149800000000003</v>
      </c>
      <c r="AT348" s="247">
        <f>(AN348*365)*(AO348*0.67*0.015*1)</f>
        <v>1.4306175000000001</v>
      </c>
      <c r="AU348" s="247">
        <f>(AN348*365)*(AO348*0.67*0.65*1)</f>
        <v>61.993425000000009</v>
      </c>
      <c r="AV348" s="247">
        <f>(AN348*365)*(AO348*0.67*0.79*1)</f>
        <v>75.345855</v>
      </c>
      <c r="AW348" s="247">
        <f>(AN348*365)*(AO348*0.67*0.03*1)</f>
        <v>2.8612350000000002</v>
      </c>
      <c r="AX348" s="248"/>
      <c r="AY348" s="247">
        <f>(AN348*365)*(AO348*0.67*0.65*1)</f>
        <v>61.993425000000009</v>
      </c>
      <c r="AZ348" s="247">
        <f t="shared" si="193"/>
        <v>95.374500000000012</v>
      </c>
      <c r="BA348" s="247">
        <f t="shared" si="194"/>
        <v>9.5374500000000015</v>
      </c>
      <c r="BB348" s="247">
        <f t="shared" si="195"/>
        <v>0.47687250000000003</v>
      </c>
      <c r="BC348" s="247">
        <f>(AN348*365)*(AO348*0.67*0.01*1)</f>
        <v>0.95374500000000006</v>
      </c>
      <c r="BD348" s="247">
        <v>0</v>
      </c>
      <c r="BE348" s="247">
        <v>0</v>
      </c>
      <c r="BF348" s="247">
        <f t="shared" si="197"/>
        <v>4.1444555454545462</v>
      </c>
      <c r="BH348" s="120"/>
      <c r="BI348" s="203" t="str">
        <f t="shared" si="198"/>
        <v>Búfalos - Clima Templado</v>
      </c>
      <c r="BJ348" s="190" t="s">
        <v>168</v>
      </c>
      <c r="BK348" s="1337">
        <f t="shared" si="199"/>
        <v>4.1444555454545462</v>
      </c>
      <c r="BL348" s="190" t="s">
        <v>413</v>
      </c>
      <c r="BM348" s="189">
        <v>0.2</v>
      </c>
      <c r="BN348" s="189">
        <v>0.5</v>
      </c>
      <c r="BO348" s="188" t="s">
        <v>258</v>
      </c>
      <c r="BP348" s="1337">
        <f t="shared" si="200"/>
        <v>0.11588613626373628</v>
      </c>
      <c r="BQ348" s="190" t="s">
        <v>415</v>
      </c>
      <c r="BR348" s="189">
        <v>0.2</v>
      </c>
      <c r="BS348" s="189">
        <v>0.5</v>
      </c>
      <c r="BT348" s="188" t="s">
        <v>258</v>
      </c>
      <c r="BU348" s="180"/>
      <c r="BV348" s="196">
        <v>25</v>
      </c>
      <c r="BW348" s="190" t="s">
        <v>414</v>
      </c>
      <c r="BX348" s="180"/>
      <c r="BY348" s="196">
        <v>370.88228571428567</v>
      </c>
      <c r="BZ348" s="190" t="s">
        <v>414</v>
      </c>
      <c r="CA348" s="180"/>
      <c r="CB348" s="180"/>
      <c r="CC348" s="178"/>
      <c r="CD348" s="178"/>
      <c r="CE348" s="180"/>
      <c r="CF348" s="180"/>
      <c r="CG348" s="180"/>
      <c r="CH348" s="180"/>
      <c r="CI348" s="178"/>
      <c r="CJ348" s="178"/>
      <c r="CK348" s="180"/>
      <c r="CL348" s="180"/>
      <c r="CM348" s="180"/>
      <c r="CN348" s="116"/>
      <c r="CO348" s="218">
        <f t="shared" si="179"/>
        <v>0.2</v>
      </c>
      <c r="CP348" s="100">
        <f t="shared" si="180"/>
        <v>0.35</v>
      </c>
      <c r="CQ348" s="218">
        <f t="shared" si="181"/>
        <v>0.5</v>
      </c>
      <c r="CX348" s="23" t="s">
        <v>144</v>
      </c>
      <c r="CY348" s="23">
        <v>1</v>
      </c>
      <c r="CZ348" s="142">
        <f t="shared" si="201"/>
        <v>21</v>
      </c>
      <c r="DA348" s="142">
        <f t="shared" si="202"/>
        <v>25</v>
      </c>
      <c r="DB348" s="23">
        <v>40</v>
      </c>
      <c r="DC348" s="23">
        <v>0.99</v>
      </c>
      <c r="DD348" s="142">
        <f t="shared" si="203"/>
        <v>39.6</v>
      </c>
      <c r="DE348" s="23">
        <v>0.02</v>
      </c>
      <c r="DF348" s="149">
        <f t="shared" si="204"/>
        <v>1.2445714285714284</v>
      </c>
      <c r="DG348" s="149">
        <f t="shared" si="205"/>
        <v>385.81714285714281</v>
      </c>
      <c r="DH348" s="149">
        <f t="shared" si="206"/>
        <v>370.88228571428567</v>
      </c>
      <c r="DI348" s="150">
        <f t="shared" si="207"/>
        <v>406.81714285714281</v>
      </c>
      <c r="DJ348" s="150">
        <f t="shared" si="207"/>
        <v>395.88228571428567</v>
      </c>
      <c r="DK348" s="116" t="s">
        <v>168</v>
      </c>
      <c r="DL348" s="101" t="s">
        <v>392</v>
      </c>
    </row>
    <row r="349" spans="15:116" s="101" customFormat="1" ht="33.75" thickBot="1" x14ac:dyDescent="0.4">
      <c r="O349" s="227" t="s">
        <v>145</v>
      </c>
      <c r="Q349" s="243">
        <v>0.32</v>
      </c>
      <c r="R349" s="243">
        <v>380</v>
      </c>
      <c r="S349" s="246">
        <f t="shared" si="210"/>
        <v>0</v>
      </c>
      <c r="T349" s="246">
        <f t="shared" si="210"/>
        <v>0</v>
      </c>
      <c r="U349" s="246">
        <f t="shared" si="210"/>
        <v>0.34873142857142858</v>
      </c>
      <c r="V349" s="246">
        <f t="shared" si="210"/>
        <v>1.3949257142857143</v>
      </c>
      <c r="W349" s="246">
        <f t="shared" si="210"/>
        <v>0.34873142857142858</v>
      </c>
      <c r="X349" s="246">
        <f t="shared" si="210"/>
        <v>0</v>
      </c>
      <c r="Y349" s="246">
        <f t="shared" si="210"/>
        <v>0.69746285714285716</v>
      </c>
      <c r="Z349" s="246">
        <f t="shared" si="210"/>
        <v>4.8822400000000004</v>
      </c>
      <c r="AA349" s="246">
        <f t="shared" si="210"/>
        <v>0</v>
      </c>
      <c r="AB349" s="246">
        <f t="shared" si="210"/>
        <v>0</v>
      </c>
      <c r="AC349" s="246">
        <f t="shared" si="210"/>
        <v>0.41847771428571423</v>
      </c>
      <c r="AD349" s="246">
        <f t="shared" si="210"/>
        <v>0</v>
      </c>
      <c r="AE349" s="246">
        <f t="shared" si="210"/>
        <v>6.9746285714285721</v>
      </c>
      <c r="AF349" s="246">
        <v>0</v>
      </c>
      <c r="AG349" s="246">
        <f t="shared" si="209"/>
        <v>0.69746285714285716</v>
      </c>
      <c r="AH349" s="1336">
        <f t="shared" si="196"/>
        <v>0.11588613626373628</v>
      </c>
      <c r="AI349" s="102">
        <v>2</v>
      </c>
      <c r="AJ349" s="100">
        <v>0</v>
      </c>
      <c r="AL349" s="102">
        <v>17</v>
      </c>
      <c r="AM349" s="237">
        <v>0.3</v>
      </c>
      <c r="AN349" s="241">
        <v>3.9</v>
      </c>
      <c r="AO349" s="241">
        <v>0.1</v>
      </c>
      <c r="AP349" s="247">
        <f>(AN349*365)*(AO349*0.67*0.02*1)</f>
        <v>1.9074900000000001</v>
      </c>
      <c r="AQ349" s="247">
        <f>(AN349*365)*(AO349*0.67*0.01*1)</f>
        <v>0.95374500000000006</v>
      </c>
      <c r="AR349" s="248"/>
      <c r="AS349" s="247">
        <f>(AN349*365)*(AO349*0.67*0.05*1)</f>
        <v>4.7687250000000008</v>
      </c>
      <c r="AT349" s="247">
        <f>(AN349*365)*(AO349*0.67*0.02*1)</f>
        <v>1.9074900000000001</v>
      </c>
      <c r="AU349" s="247">
        <f>(AN349*365)*(AO349*0.67*0.8*1)</f>
        <v>76.299600000000012</v>
      </c>
      <c r="AV349" s="247">
        <f>(AN349*365)*(AO349*0.67*0.8*1)</f>
        <v>76.299600000000012</v>
      </c>
      <c r="AW349" s="247">
        <f>(AN349*365)*(AO349*0.67*0.3*1)</f>
        <v>28.612349999999999</v>
      </c>
      <c r="AX349" s="248"/>
      <c r="AY349" s="247">
        <f>(AN349*365)*(AO349*0.67*0.8*1)</f>
        <v>76.299600000000012</v>
      </c>
      <c r="AZ349" s="247">
        <f t="shared" si="193"/>
        <v>95.374500000000012</v>
      </c>
      <c r="BA349" s="247">
        <f t="shared" si="194"/>
        <v>9.5374500000000015</v>
      </c>
      <c r="BB349" s="247">
        <f t="shared" si="195"/>
        <v>0.47687250000000003</v>
      </c>
      <c r="BC349" s="247">
        <f>(AN349*365)*(AO349*0.67*0.015*1)</f>
        <v>1.4306175000000001</v>
      </c>
      <c r="BD349" s="247">
        <v>0</v>
      </c>
      <c r="BE349" s="247">
        <v>0</v>
      </c>
      <c r="BF349" s="247">
        <f t="shared" si="197"/>
        <v>5.0982005454545458</v>
      </c>
      <c r="BH349" s="120"/>
      <c r="BI349" s="203" t="str">
        <f t="shared" si="198"/>
        <v>Búfalos - Clima Cálido</v>
      </c>
      <c r="BJ349" s="190" t="s">
        <v>168</v>
      </c>
      <c r="BK349" s="1337">
        <f t="shared" si="199"/>
        <v>5.0982005454545458</v>
      </c>
      <c r="BL349" s="190" t="s">
        <v>413</v>
      </c>
      <c r="BM349" s="189">
        <v>0.2</v>
      </c>
      <c r="BN349" s="189">
        <v>0.5</v>
      </c>
      <c r="BO349" s="188" t="s">
        <v>258</v>
      </c>
      <c r="BP349" s="1337">
        <f t="shared" si="200"/>
        <v>0.11588613626373628</v>
      </c>
      <c r="BQ349" s="190" t="s">
        <v>415</v>
      </c>
      <c r="BR349" s="189">
        <v>0.2</v>
      </c>
      <c r="BS349" s="189">
        <v>0.5</v>
      </c>
      <c r="BT349" s="188" t="s">
        <v>258</v>
      </c>
      <c r="BU349" s="180"/>
      <c r="BV349" s="196">
        <v>50</v>
      </c>
      <c r="BW349" s="190" t="s">
        <v>414</v>
      </c>
      <c r="BX349" s="180"/>
      <c r="BY349" s="196">
        <v>370.88228571428567</v>
      </c>
      <c r="BZ349" s="190" t="s">
        <v>414</v>
      </c>
      <c r="CA349" s="180"/>
      <c r="CB349" s="180"/>
      <c r="CC349" s="178"/>
      <c r="CD349" s="178"/>
      <c r="CE349" s="180"/>
      <c r="CF349" s="180"/>
      <c r="CG349" s="180"/>
      <c r="CH349" s="180"/>
      <c r="CI349" s="178"/>
      <c r="CJ349" s="178"/>
      <c r="CK349" s="180"/>
      <c r="CL349" s="180"/>
      <c r="CM349" s="180"/>
      <c r="CN349" s="116"/>
      <c r="CO349" s="218">
        <f t="shared" si="179"/>
        <v>0.2</v>
      </c>
      <c r="CP349" s="100">
        <f t="shared" si="180"/>
        <v>0.35</v>
      </c>
      <c r="CQ349" s="218">
        <f t="shared" si="181"/>
        <v>0.5</v>
      </c>
      <c r="CX349" s="23" t="s">
        <v>145</v>
      </c>
      <c r="CY349" s="23">
        <v>2</v>
      </c>
      <c r="CZ349" s="142">
        <f t="shared" si="201"/>
        <v>42</v>
      </c>
      <c r="DA349" s="142">
        <f t="shared" si="202"/>
        <v>50</v>
      </c>
      <c r="DB349" s="23">
        <v>40</v>
      </c>
      <c r="DC349" s="23">
        <v>0.99</v>
      </c>
      <c r="DD349" s="142">
        <f t="shared" si="203"/>
        <v>39.6</v>
      </c>
      <c r="DE349" s="23">
        <v>0.02</v>
      </c>
      <c r="DF349" s="149">
        <f t="shared" si="204"/>
        <v>1.2445714285714284</v>
      </c>
      <c r="DG349" s="149">
        <f t="shared" si="205"/>
        <v>385.81714285714281</v>
      </c>
      <c r="DH349" s="149">
        <f t="shared" si="206"/>
        <v>370.88228571428567</v>
      </c>
      <c r="DI349" s="150">
        <f t="shared" si="207"/>
        <v>427.81714285714281</v>
      </c>
      <c r="DJ349" s="150">
        <f t="shared" si="207"/>
        <v>420.88228571428567</v>
      </c>
      <c r="DK349" s="116" t="s">
        <v>168</v>
      </c>
      <c r="DL349" s="101" t="s">
        <v>392</v>
      </c>
    </row>
    <row r="350" spans="15:116" s="101" customFormat="1" ht="33.75" thickBot="1" x14ac:dyDescent="0.4">
      <c r="O350" s="227" t="s">
        <v>146</v>
      </c>
      <c r="Q350" s="243">
        <v>1.37</v>
      </c>
      <c r="R350" s="243">
        <v>30</v>
      </c>
      <c r="S350" s="246">
        <f t="shared" si="210"/>
        <v>0</v>
      </c>
      <c r="T350" s="246">
        <f t="shared" si="210"/>
        <v>0</v>
      </c>
      <c r="U350" s="246">
        <f t="shared" si="210"/>
        <v>0.11786892857142858</v>
      </c>
      <c r="V350" s="246">
        <f t="shared" si="210"/>
        <v>0.47147571428571433</v>
      </c>
      <c r="W350" s="246">
        <f t="shared" si="210"/>
        <v>0.11786892857142858</v>
      </c>
      <c r="X350" s="246">
        <f t="shared" si="210"/>
        <v>0</v>
      </c>
      <c r="Y350" s="246">
        <f t="shared" si="210"/>
        <v>0.23573785714285717</v>
      </c>
      <c r="Z350" s="246">
        <f t="shared" si="210"/>
        <v>1.6501650000000003</v>
      </c>
      <c r="AA350" s="246">
        <f t="shared" si="210"/>
        <v>0</v>
      </c>
      <c r="AB350" s="246">
        <f t="shared" si="210"/>
        <v>0</v>
      </c>
      <c r="AC350" s="246">
        <f t="shared" si="210"/>
        <v>0.14144271428571431</v>
      </c>
      <c r="AD350" s="246">
        <f t="shared" si="210"/>
        <v>0</v>
      </c>
      <c r="AE350" s="246">
        <f t="shared" si="210"/>
        <v>2.3573785714285718</v>
      </c>
      <c r="AF350" s="246">
        <v>0</v>
      </c>
      <c r="AG350" s="246">
        <f t="shared" si="209"/>
        <v>0.23573785714285717</v>
      </c>
      <c r="AH350" s="1336">
        <f t="shared" si="196"/>
        <v>3.9168751648351652E-2</v>
      </c>
      <c r="AI350" s="102">
        <v>0.11</v>
      </c>
      <c r="AJ350" s="100">
        <v>0</v>
      </c>
      <c r="AL350" s="100">
        <v>0</v>
      </c>
      <c r="AM350" s="237">
        <v>0.3</v>
      </c>
      <c r="AN350" s="241">
        <v>0.35</v>
      </c>
      <c r="AO350" s="241">
        <v>0.13</v>
      </c>
      <c r="AP350" s="247">
        <f>(AN350*365)*(AO350*0.67*0.01*1)</f>
        <v>0.11127025</v>
      </c>
      <c r="AQ350" s="247">
        <f>(AN350*365)*(AO350*0.67*0.001*1)</f>
        <v>1.1127025E-2</v>
      </c>
      <c r="AR350" s="248"/>
      <c r="AS350" s="247">
        <f>(AN350*365)*(AO350*0.67*0.02*1)</f>
        <v>0.2225405</v>
      </c>
      <c r="AT350" s="247">
        <f>(AN350*365)*(AO350*0.67*0.01*1)</f>
        <v>0.11127025</v>
      </c>
      <c r="AU350" s="247">
        <f>(AN350*365)*(AO350*0.67*0.25*1)</f>
        <v>2.7817562499999999</v>
      </c>
      <c r="AV350" s="247">
        <f>(AN350*365)*(AO350*0.67*0.73*1)</f>
        <v>8.1227282499999998</v>
      </c>
      <c r="AW350" s="247">
        <f>(AN350*365)*(AO350*0.67*0.03*1)</f>
        <v>0.33381074999999999</v>
      </c>
      <c r="AX350" s="248"/>
      <c r="AY350" s="247">
        <f>(AN350*365)*(AO350*0.67*0.25*1)</f>
        <v>2.7817562499999999</v>
      </c>
      <c r="AZ350" s="247">
        <f t="shared" si="193"/>
        <v>11.127025</v>
      </c>
      <c r="BA350" s="247">
        <f t="shared" si="194"/>
        <v>1.1127024999999999</v>
      </c>
      <c r="BB350" s="247">
        <f t="shared" si="195"/>
        <v>5.5635125000000001E-2</v>
      </c>
      <c r="BC350" s="247">
        <f>(AN350*365)*(AO350*0.67*0.005*1)</f>
        <v>5.5635125000000001E-2</v>
      </c>
      <c r="BD350" s="247">
        <v>0</v>
      </c>
      <c r="BE350" s="247">
        <v>0</v>
      </c>
      <c r="BF350" s="247">
        <f t="shared" si="197"/>
        <v>0.34301583431818183</v>
      </c>
      <c r="BH350" s="120"/>
      <c r="BI350" s="203" t="str">
        <f t="shared" si="198"/>
        <v>Cabras - Clima Frío</v>
      </c>
      <c r="BJ350" s="190" t="s">
        <v>168</v>
      </c>
      <c r="BK350" s="1337">
        <f t="shared" si="199"/>
        <v>0.34301583431818183</v>
      </c>
      <c r="BL350" s="190" t="s">
        <v>413</v>
      </c>
      <c r="BM350" s="189">
        <v>0.2</v>
      </c>
      <c r="BN350" s="189">
        <v>0.5</v>
      </c>
      <c r="BO350" s="188" t="s">
        <v>258</v>
      </c>
      <c r="BP350" s="1337">
        <f t="shared" si="200"/>
        <v>3.9168751648351652E-2</v>
      </c>
      <c r="BQ350" s="190" t="s">
        <v>415</v>
      </c>
      <c r="BR350" s="189">
        <v>0.2</v>
      </c>
      <c r="BS350" s="189">
        <v>0.5</v>
      </c>
      <c r="BT350" s="188" t="s">
        <v>258</v>
      </c>
      <c r="BU350" s="180"/>
      <c r="BV350" s="196">
        <v>2.75</v>
      </c>
      <c r="BW350" s="190" t="s">
        <v>414</v>
      </c>
      <c r="BX350" s="180"/>
      <c r="BY350" s="196">
        <v>370.88228571428567</v>
      </c>
      <c r="BZ350" s="190" t="s">
        <v>414</v>
      </c>
      <c r="CA350" s="178"/>
      <c r="CB350" s="180"/>
      <c r="CC350" s="178"/>
      <c r="CD350" s="178"/>
      <c r="CE350" s="180"/>
      <c r="CF350" s="180"/>
      <c r="CG350" s="180"/>
      <c r="CH350" s="180"/>
      <c r="CI350" s="178"/>
      <c r="CJ350" s="178"/>
      <c r="CK350" s="180"/>
      <c r="CL350" s="180"/>
      <c r="CM350" s="180"/>
      <c r="CN350" s="116"/>
      <c r="CO350" s="218">
        <f t="shared" si="179"/>
        <v>0.2</v>
      </c>
      <c r="CP350" s="100">
        <f t="shared" si="180"/>
        <v>0.35</v>
      </c>
      <c r="CQ350" s="218">
        <f t="shared" si="181"/>
        <v>0.5</v>
      </c>
      <c r="CX350" s="23" t="s">
        <v>146</v>
      </c>
      <c r="CY350" s="23">
        <v>0.11</v>
      </c>
      <c r="CZ350" s="142">
        <f t="shared" si="201"/>
        <v>2.31</v>
      </c>
      <c r="DA350" s="142">
        <f t="shared" si="202"/>
        <v>2.75</v>
      </c>
      <c r="DB350" s="23">
        <v>40</v>
      </c>
      <c r="DC350" s="23">
        <v>0.99</v>
      </c>
      <c r="DD350" s="142">
        <f t="shared" si="203"/>
        <v>39.6</v>
      </c>
      <c r="DE350" s="23">
        <v>0.02</v>
      </c>
      <c r="DF350" s="149">
        <f t="shared" si="204"/>
        <v>1.2445714285714284</v>
      </c>
      <c r="DG350" s="149">
        <f t="shared" si="205"/>
        <v>385.81714285714281</v>
      </c>
      <c r="DH350" s="149">
        <f t="shared" si="206"/>
        <v>370.88228571428567</v>
      </c>
      <c r="DI350" s="150">
        <f t="shared" si="207"/>
        <v>388.12714285714281</v>
      </c>
      <c r="DJ350" s="150">
        <f t="shared" si="207"/>
        <v>373.63228571428567</v>
      </c>
      <c r="DK350" s="116" t="s">
        <v>168</v>
      </c>
      <c r="DL350" s="101" t="s">
        <v>392</v>
      </c>
    </row>
    <row r="351" spans="15:116" s="101" customFormat="1" ht="33.75" thickBot="1" x14ac:dyDescent="0.4">
      <c r="O351" s="227" t="s">
        <v>147</v>
      </c>
      <c r="Q351" s="243">
        <v>1.37</v>
      </c>
      <c r="R351" s="243">
        <v>30</v>
      </c>
      <c r="S351" s="246">
        <f t="shared" si="210"/>
        <v>0</v>
      </c>
      <c r="T351" s="246">
        <f t="shared" si="210"/>
        <v>0</v>
      </c>
      <c r="U351" s="246">
        <f t="shared" si="210"/>
        <v>0.11786892857142858</v>
      </c>
      <c r="V351" s="246">
        <f t="shared" si="210"/>
        <v>0.47147571428571433</v>
      </c>
      <c r="W351" s="246">
        <f t="shared" si="210"/>
        <v>0.11786892857142858</v>
      </c>
      <c r="X351" s="246">
        <f t="shared" si="210"/>
        <v>0</v>
      </c>
      <c r="Y351" s="246">
        <f t="shared" si="210"/>
        <v>0.23573785714285717</v>
      </c>
      <c r="Z351" s="246">
        <f t="shared" si="210"/>
        <v>1.6501650000000003</v>
      </c>
      <c r="AA351" s="246">
        <f t="shared" si="210"/>
        <v>0</v>
      </c>
      <c r="AB351" s="246">
        <f t="shared" si="210"/>
        <v>0</v>
      </c>
      <c r="AC351" s="246">
        <f t="shared" si="210"/>
        <v>0.14144271428571431</v>
      </c>
      <c r="AD351" s="246">
        <f t="shared" si="210"/>
        <v>0</v>
      </c>
      <c r="AE351" s="246">
        <f t="shared" si="210"/>
        <v>2.3573785714285718</v>
      </c>
      <c r="AF351" s="246">
        <v>0</v>
      </c>
      <c r="AG351" s="246">
        <f t="shared" si="209"/>
        <v>0.23573785714285717</v>
      </c>
      <c r="AH351" s="1336">
        <f t="shared" si="196"/>
        <v>3.9168751648351652E-2</v>
      </c>
      <c r="AI351" s="102">
        <v>0.17</v>
      </c>
      <c r="AJ351" s="100">
        <v>0</v>
      </c>
      <c r="AL351" s="100">
        <v>0</v>
      </c>
      <c r="AM351" s="237">
        <v>0.3</v>
      </c>
      <c r="AN351" s="241">
        <v>0.35</v>
      </c>
      <c r="AO351" s="241">
        <v>0.13</v>
      </c>
      <c r="AP351" s="247">
        <f>(AN351*365)*(AO351*0.67*0.015*1)</f>
        <v>0.16690537499999999</v>
      </c>
      <c r="AQ351" s="247">
        <f>(AN351*365)*(AO351*0.67*0.005*1)</f>
        <v>5.5635125000000001E-2</v>
      </c>
      <c r="AR351" s="248"/>
      <c r="AS351" s="247">
        <f>(AN351*365)*(AO351*0.67*0.04*1)</f>
        <v>0.445081</v>
      </c>
      <c r="AT351" s="247">
        <f>(AN351*365)*(AO351*0.67*0.015*1)</f>
        <v>0.16690537499999999</v>
      </c>
      <c r="AU351" s="247">
        <f>(AN351*365)*(AO351*0.67*0.65*1)</f>
        <v>7.2325662499999996</v>
      </c>
      <c r="AV351" s="247">
        <f>(AN351*365)*(AO351*0.67*0.79*1)</f>
        <v>8.7903497500000007</v>
      </c>
      <c r="AW351" s="247">
        <f>(AN351*365)*(AO351*0.67*0.03*1)</f>
        <v>0.33381074999999999</v>
      </c>
      <c r="AX351" s="248"/>
      <c r="AY351" s="247">
        <f>(AN351*365)*(AO351*0.67*0.65*1)</f>
        <v>7.2325662499999996</v>
      </c>
      <c r="AZ351" s="247">
        <f t="shared" si="193"/>
        <v>11.127025</v>
      </c>
      <c r="BA351" s="247">
        <f t="shared" si="194"/>
        <v>1.1127024999999999</v>
      </c>
      <c r="BB351" s="247">
        <f t="shared" si="195"/>
        <v>5.5635125000000001E-2</v>
      </c>
      <c r="BC351" s="247">
        <f>(AN351*365)*(AO351*0.67*0.01*1)</f>
        <v>0.11127025</v>
      </c>
      <c r="BD351" s="247">
        <v>0</v>
      </c>
      <c r="BE351" s="247">
        <v>0</v>
      </c>
      <c r="BF351" s="247">
        <f t="shared" si="197"/>
        <v>0.48351981363636354</v>
      </c>
      <c r="BH351" s="120"/>
      <c r="BI351" s="203" t="str">
        <f t="shared" si="198"/>
        <v>Cabras - Clima Templado</v>
      </c>
      <c r="BJ351" s="190" t="s">
        <v>168</v>
      </c>
      <c r="BK351" s="1337">
        <f t="shared" si="199"/>
        <v>0.48351981363636354</v>
      </c>
      <c r="BL351" s="190" t="s">
        <v>413</v>
      </c>
      <c r="BM351" s="189">
        <v>0.2</v>
      </c>
      <c r="BN351" s="189">
        <v>0.5</v>
      </c>
      <c r="BO351" s="188" t="s">
        <v>258</v>
      </c>
      <c r="BP351" s="1337">
        <f t="shared" si="200"/>
        <v>3.9168751648351652E-2</v>
      </c>
      <c r="BQ351" s="190" t="s">
        <v>415</v>
      </c>
      <c r="BR351" s="189">
        <v>0.2</v>
      </c>
      <c r="BS351" s="189">
        <v>0.5</v>
      </c>
      <c r="BT351" s="188" t="s">
        <v>258</v>
      </c>
      <c r="BU351" s="180"/>
      <c r="BV351" s="196">
        <v>4.25</v>
      </c>
      <c r="BW351" s="190" t="s">
        <v>414</v>
      </c>
      <c r="BX351" s="180"/>
      <c r="BY351" s="196">
        <v>370.88228571428567</v>
      </c>
      <c r="BZ351" s="190" t="s">
        <v>414</v>
      </c>
      <c r="CA351" s="178"/>
      <c r="CB351" s="180"/>
      <c r="CC351" s="178"/>
      <c r="CD351" s="178"/>
      <c r="CE351" s="180"/>
      <c r="CF351" s="180"/>
      <c r="CG351" s="180"/>
      <c r="CH351" s="180"/>
      <c r="CI351" s="178"/>
      <c r="CJ351" s="178"/>
      <c r="CK351" s="180"/>
      <c r="CL351" s="180"/>
      <c r="CM351" s="180"/>
      <c r="CN351" s="116"/>
      <c r="CO351" s="218">
        <f t="shared" si="179"/>
        <v>0.2</v>
      </c>
      <c r="CP351" s="100">
        <f t="shared" si="180"/>
        <v>0.35</v>
      </c>
      <c r="CQ351" s="218">
        <f t="shared" si="181"/>
        <v>0.5</v>
      </c>
      <c r="CX351" s="23" t="s">
        <v>147</v>
      </c>
      <c r="CY351" s="23">
        <v>0.17</v>
      </c>
      <c r="CZ351" s="142">
        <f t="shared" si="201"/>
        <v>3.5700000000000003</v>
      </c>
      <c r="DA351" s="142">
        <f t="shared" si="202"/>
        <v>4.25</v>
      </c>
      <c r="DB351" s="23">
        <v>40</v>
      </c>
      <c r="DC351" s="23">
        <v>0.99</v>
      </c>
      <c r="DD351" s="142">
        <f t="shared" si="203"/>
        <v>39.6</v>
      </c>
      <c r="DE351" s="23">
        <v>0.02</v>
      </c>
      <c r="DF351" s="149">
        <f t="shared" si="204"/>
        <v>1.2445714285714284</v>
      </c>
      <c r="DG351" s="149">
        <f t="shared" si="205"/>
        <v>385.81714285714281</v>
      </c>
      <c r="DH351" s="149">
        <f t="shared" si="206"/>
        <v>370.88228571428567</v>
      </c>
      <c r="DI351" s="150">
        <f t="shared" si="207"/>
        <v>389.38714285714281</v>
      </c>
      <c r="DJ351" s="150">
        <f t="shared" si="207"/>
        <v>375.13228571428567</v>
      </c>
      <c r="DK351" s="116" t="s">
        <v>168</v>
      </c>
      <c r="DL351" s="101" t="s">
        <v>392</v>
      </c>
    </row>
    <row r="352" spans="15:116" s="101" customFormat="1" ht="22.5" customHeight="1" thickBot="1" x14ac:dyDescent="0.4">
      <c r="O352" s="227" t="s">
        <v>148</v>
      </c>
      <c r="Q352" s="243">
        <v>1.37</v>
      </c>
      <c r="R352" s="243">
        <v>30</v>
      </c>
      <c r="S352" s="246">
        <f t="shared" si="210"/>
        <v>0</v>
      </c>
      <c r="T352" s="246">
        <f t="shared" si="210"/>
        <v>0</v>
      </c>
      <c r="U352" s="246">
        <f t="shared" si="210"/>
        <v>0.11786892857142858</v>
      </c>
      <c r="V352" s="246">
        <f t="shared" si="210"/>
        <v>0.47147571428571433</v>
      </c>
      <c r="W352" s="246">
        <f t="shared" si="210"/>
        <v>0.11786892857142858</v>
      </c>
      <c r="X352" s="246">
        <f t="shared" si="210"/>
        <v>0</v>
      </c>
      <c r="Y352" s="246">
        <f t="shared" si="210"/>
        <v>0.23573785714285717</v>
      </c>
      <c r="Z352" s="246">
        <f t="shared" si="210"/>
        <v>1.6501650000000003</v>
      </c>
      <c r="AA352" s="246">
        <f t="shared" si="210"/>
        <v>0</v>
      </c>
      <c r="AB352" s="246">
        <f t="shared" si="210"/>
        <v>0</v>
      </c>
      <c r="AC352" s="246">
        <f t="shared" si="210"/>
        <v>0.14144271428571431</v>
      </c>
      <c r="AD352" s="246">
        <f t="shared" si="210"/>
        <v>0</v>
      </c>
      <c r="AE352" s="246">
        <f t="shared" si="210"/>
        <v>2.3573785714285718</v>
      </c>
      <c r="AF352" s="246">
        <v>0</v>
      </c>
      <c r="AG352" s="246">
        <f t="shared" si="209"/>
        <v>0.23573785714285717</v>
      </c>
      <c r="AH352" s="1336">
        <f t="shared" si="196"/>
        <v>3.9168751648351652E-2</v>
      </c>
      <c r="AI352" s="102">
        <v>0.22</v>
      </c>
      <c r="AJ352" s="100">
        <v>0</v>
      </c>
      <c r="AL352" s="100">
        <v>0</v>
      </c>
      <c r="AM352" s="237">
        <v>0.3</v>
      </c>
      <c r="AN352" s="241">
        <v>0.35</v>
      </c>
      <c r="AO352" s="241">
        <v>0.13</v>
      </c>
      <c r="AP352" s="247">
        <f>(AN352*365)*(AO352*0.67*0.02*1)</f>
        <v>0.2225405</v>
      </c>
      <c r="AQ352" s="247">
        <f>(AN352*365)*(AO352*0.67*0.01*1)</f>
        <v>0.11127025</v>
      </c>
      <c r="AR352" s="248"/>
      <c r="AS352" s="247">
        <f>(AN352*365)*(AO352*0.67*0.05*1)</f>
        <v>0.55635124999999996</v>
      </c>
      <c r="AT352" s="247">
        <f>(AN352*365)*(AO352*0.67*0.02*1)</f>
        <v>0.2225405</v>
      </c>
      <c r="AU352" s="247">
        <f>(AN352*365)*(AO352*0.67*0.8*1)</f>
        <v>8.9016199999999994</v>
      </c>
      <c r="AV352" s="247">
        <f>(AN352*365)*(AO352*0.67*0.8*1)</f>
        <v>8.9016199999999994</v>
      </c>
      <c r="AW352" s="247">
        <f>(AN352*365)*(AO352*0.67*0.3*1)</f>
        <v>3.3381075</v>
      </c>
      <c r="AX352" s="248"/>
      <c r="AY352" s="247">
        <f>(AN352*365)*(AO352*0.67*0.8*1)</f>
        <v>8.9016199999999994</v>
      </c>
      <c r="AZ352" s="247">
        <f t="shared" si="193"/>
        <v>11.127025</v>
      </c>
      <c r="BA352" s="247">
        <f t="shared" si="194"/>
        <v>1.1127024999999999</v>
      </c>
      <c r="BB352" s="247">
        <f t="shared" si="195"/>
        <v>5.5635125000000001E-2</v>
      </c>
      <c r="BC352" s="247">
        <f>(AN352*365)*(AO352*0.67*0.015*1)</f>
        <v>0.16690537499999999</v>
      </c>
      <c r="BD352" s="247">
        <v>0</v>
      </c>
      <c r="BE352" s="247">
        <v>0</v>
      </c>
      <c r="BF352" s="247">
        <f t="shared" si="197"/>
        <v>0.59479006363636366</v>
      </c>
      <c r="BH352" s="120"/>
      <c r="BI352" s="203" t="str">
        <f t="shared" si="198"/>
        <v>Cabras - Clima Cálido</v>
      </c>
      <c r="BJ352" s="190" t="s">
        <v>168</v>
      </c>
      <c r="BK352" s="1337">
        <f t="shared" si="199"/>
        <v>0.59479006363636366</v>
      </c>
      <c r="BL352" s="190" t="s">
        <v>413</v>
      </c>
      <c r="BM352" s="189">
        <v>0.2</v>
      </c>
      <c r="BN352" s="189">
        <v>0.5</v>
      </c>
      <c r="BO352" s="188" t="s">
        <v>258</v>
      </c>
      <c r="BP352" s="1337">
        <f t="shared" si="200"/>
        <v>3.9168751648351652E-2</v>
      </c>
      <c r="BQ352" s="190" t="s">
        <v>415</v>
      </c>
      <c r="BR352" s="189">
        <v>0.2</v>
      </c>
      <c r="BS352" s="189">
        <v>0.5</v>
      </c>
      <c r="BT352" s="188" t="s">
        <v>258</v>
      </c>
      <c r="BU352" s="204"/>
      <c r="BV352" s="196">
        <v>5.5</v>
      </c>
      <c r="BW352" s="190" t="s">
        <v>414</v>
      </c>
      <c r="BX352" s="204"/>
      <c r="BY352" s="196">
        <v>370.88228571428567</v>
      </c>
      <c r="BZ352" s="190" t="s">
        <v>414</v>
      </c>
      <c r="CA352" s="205"/>
      <c r="CB352" s="180"/>
      <c r="CC352" s="178"/>
      <c r="CD352" s="178"/>
      <c r="CE352" s="180"/>
      <c r="CF352" s="180"/>
      <c r="CG352" s="180"/>
      <c r="CH352" s="180"/>
      <c r="CI352" s="178"/>
      <c r="CJ352" s="178"/>
      <c r="CK352" s="180"/>
      <c r="CL352" s="180"/>
      <c r="CM352" s="180"/>
      <c r="CN352" s="116"/>
      <c r="CO352" s="218">
        <f t="shared" si="179"/>
        <v>0.2</v>
      </c>
      <c r="CP352" s="100">
        <f t="shared" si="180"/>
        <v>0.35</v>
      </c>
      <c r="CQ352" s="218">
        <f t="shared" si="181"/>
        <v>0.5</v>
      </c>
      <c r="CX352" s="23" t="s">
        <v>148</v>
      </c>
      <c r="CY352" s="23">
        <v>0.22</v>
      </c>
      <c r="CZ352" s="142">
        <f t="shared" si="201"/>
        <v>4.62</v>
      </c>
      <c r="DA352" s="142">
        <f t="shared" si="202"/>
        <v>5.5</v>
      </c>
      <c r="DB352" s="23">
        <v>40</v>
      </c>
      <c r="DC352" s="23">
        <v>0.99</v>
      </c>
      <c r="DD352" s="142">
        <f t="shared" si="203"/>
        <v>39.6</v>
      </c>
      <c r="DE352" s="23">
        <v>0.02</v>
      </c>
      <c r="DF352" s="149">
        <f t="shared" si="204"/>
        <v>1.2445714285714284</v>
      </c>
      <c r="DG352" s="149">
        <f t="shared" si="205"/>
        <v>385.81714285714281</v>
      </c>
      <c r="DH352" s="149">
        <f t="shared" si="206"/>
        <v>370.88228571428567</v>
      </c>
      <c r="DI352" s="150">
        <f t="shared" si="207"/>
        <v>390.43714285714282</v>
      </c>
      <c r="DJ352" s="150">
        <f t="shared" si="207"/>
        <v>376.38228571428567</v>
      </c>
      <c r="DK352" s="116" t="s">
        <v>168</v>
      </c>
      <c r="DL352" s="101" t="s">
        <v>392</v>
      </c>
    </row>
    <row r="353" spans="15:116" s="101" customFormat="1" ht="22.5" customHeight="1" thickBot="1" x14ac:dyDescent="0.3">
      <c r="O353" s="227" t="s">
        <v>149</v>
      </c>
      <c r="Q353" s="243">
        <v>1.37</v>
      </c>
      <c r="R353" s="243">
        <v>30</v>
      </c>
      <c r="S353" s="246">
        <f t="shared" ref="S353:AE361" si="211">((($Q353*($R353/1000)*365)*1)*S$327)*(44/28)</f>
        <v>0</v>
      </c>
      <c r="T353" s="246">
        <f t="shared" si="211"/>
        <v>0</v>
      </c>
      <c r="U353" s="246">
        <f t="shared" si="211"/>
        <v>0.11786892857142858</v>
      </c>
      <c r="V353" s="246">
        <f t="shared" si="211"/>
        <v>0.47147571428571433</v>
      </c>
      <c r="W353" s="246">
        <f t="shared" si="211"/>
        <v>0.11786892857142858</v>
      </c>
      <c r="X353" s="246">
        <f t="shared" si="211"/>
        <v>0</v>
      </c>
      <c r="Y353" s="246">
        <f t="shared" si="211"/>
        <v>0.23573785714285717</v>
      </c>
      <c r="Z353" s="246">
        <f t="shared" si="211"/>
        <v>1.6501650000000003</v>
      </c>
      <c r="AA353" s="246">
        <f t="shared" si="211"/>
        <v>0</v>
      </c>
      <c r="AB353" s="246">
        <f t="shared" si="211"/>
        <v>0</v>
      </c>
      <c r="AC353" s="246">
        <f t="shared" si="211"/>
        <v>0.14144271428571431</v>
      </c>
      <c r="AD353" s="246">
        <f t="shared" si="211"/>
        <v>0</v>
      </c>
      <c r="AE353" s="246">
        <f t="shared" si="211"/>
        <v>2.3573785714285718</v>
      </c>
      <c r="AF353" s="246">
        <v>0</v>
      </c>
      <c r="AG353" s="246">
        <f t="shared" ref="AG353:AG361" si="212">((($Q353*($R353/1000)*365)*1)*AG$327)*(44/28)</f>
        <v>0.23573785714285717</v>
      </c>
      <c r="AH353" s="1336">
        <f t="shared" si="196"/>
        <v>3.9168751648351652E-2</v>
      </c>
      <c r="AI353" s="102">
        <v>1.0900000000000001</v>
      </c>
      <c r="AJ353" s="100">
        <v>0</v>
      </c>
      <c r="AL353" s="100">
        <v>0</v>
      </c>
      <c r="AM353" s="237">
        <v>0.3</v>
      </c>
      <c r="AN353" s="241">
        <v>1.72</v>
      </c>
      <c r="AO353" s="241">
        <v>0.26</v>
      </c>
      <c r="AP353" s="247">
        <f>(AN353*365)*(AO353*0.67*0.01*1)</f>
        <v>1.0936276</v>
      </c>
      <c r="AQ353" s="247">
        <f>(AN353*365)*(AO353*0.67*0.001*1)</f>
        <v>0.10936276000000002</v>
      </c>
      <c r="AR353" s="248"/>
      <c r="AS353" s="247">
        <f>(AN353*365)*(AO353*0.67*0.02*1)</f>
        <v>2.1872552000000001</v>
      </c>
      <c r="AT353" s="247">
        <f>(AN353*365)*(AO353*0.67*0.01*1)</f>
        <v>1.0936276</v>
      </c>
      <c r="AU353" s="247">
        <f>(AN353*365)*(AO353*0.67*0.25*1)</f>
        <v>27.340690000000002</v>
      </c>
      <c r="AV353" s="247">
        <f>(AN353*365)*(AO353*0.67*0.73*1)</f>
        <v>79.83481479999999</v>
      </c>
      <c r="AW353" s="247">
        <f>(AN353*365)*(AO353*0.67*0.03*1)</f>
        <v>3.2808828000000001</v>
      </c>
      <c r="AX353" s="248"/>
      <c r="AY353" s="247">
        <f>(AN353*365)*(AO353*0.67*0.25*1)</f>
        <v>27.340690000000002</v>
      </c>
      <c r="AZ353" s="247">
        <f t="shared" ref="AZ353:AZ364" si="213">(AN353*365)*(AO353*0.67*1*1)</f>
        <v>109.36276000000001</v>
      </c>
      <c r="BA353" s="247">
        <f t="shared" ref="BA353:BA364" si="214">(AN353*365)*(AO353*0.67*0.1*1)</f>
        <v>10.936275999999999</v>
      </c>
      <c r="BB353" s="247">
        <f t="shared" ref="BB353:BB364" si="215">(AN353*365)*(AO353*0.67*0.005*1)</f>
        <v>0.54681380000000002</v>
      </c>
      <c r="BC353" s="247">
        <f>(AN353*365)*(AO353*0.67*0.005*1)</f>
        <v>0.54681380000000002</v>
      </c>
      <c r="BD353" s="247">
        <v>0</v>
      </c>
      <c r="BE353" s="247">
        <v>0</v>
      </c>
      <c r="BF353" s="247">
        <f t="shared" ref="BF353:BF364" si="216">(AP353*90%)+(AVERAGE(AQ353:BC353)*10%)</f>
        <v>3.3713556287272723</v>
      </c>
      <c r="BH353" s="120"/>
      <c r="BI353" s="203" t="str">
        <f t="shared" si="198"/>
        <v>Caballos - Clima Frío</v>
      </c>
      <c r="BJ353" s="190" t="s">
        <v>168</v>
      </c>
      <c r="BK353" s="1337">
        <f t="shared" si="199"/>
        <v>3.3713556287272723</v>
      </c>
      <c r="BL353" s="190" t="s">
        <v>413</v>
      </c>
      <c r="BM353" s="189">
        <v>0.2</v>
      </c>
      <c r="BN353" s="189">
        <v>0.5</v>
      </c>
      <c r="BO353" s="188" t="s">
        <v>258</v>
      </c>
      <c r="BP353" s="1337">
        <f t="shared" si="200"/>
        <v>3.9168751648351652E-2</v>
      </c>
      <c r="BQ353" s="190" t="s">
        <v>415</v>
      </c>
      <c r="BR353" s="189">
        <v>0.2</v>
      </c>
      <c r="BS353" s="189">
        <v>0.5</v>
      </c>
      <c r="BT353" s="188" t="s">
        <v>258</v>
      </c>
      <c r="BU353" s="204"/>
      <c r="BV353" s="196"/>
      <c r="BW353" s="190"/>
      <c r="BX353" s="204"/>
      <c r="BY353" s="196"/>
      <c r="BZ353" s="190"/>
      <c r="CA353" s="205"/>
      <c r="CB353" s="180"/>
      <c r="CC353" s="178"/>
      <c r="CD353" s="178"/>
      <c r="CE353" s="180"/>
      <c r="CF353" s="180"/>
      <c r="CG353" s="180"/>
      <c r="CH353" s="180"/>
      <c r="CI353" s="178"/>
      <c r="CJ353" s="178"/>
      <c r="CK353" s="180"/>
      <c r="CL353" s="180"/>
      <c r="CM353" s="180"/>
      <c r="CN353" s="116"/>
      <c r="CO353" s="218"/>
      <c r="CP353" s="100"/>
      <c r="CQ353" s="218"/>
      <c r="CX353" s="23"/>
      <c r="CY353" s="23"/>
      <c r="CZ353" s="142"/>
      <c r="DA353" s="142"/>
      <c r="DB353" s="23"/>
      <c r="DC353" s="23"/>
      <c r="DD353" s="142"/>
      <c r="DE353" s="23"/>
      <c r="DF353" s="149"/>
      <c r="DG353" s="149"/>
      <c r="DH353" s="149"/>
      <c r="DI353" s="150"/>
      <c r="DJ353" s="150"/>
      <c r="DK353" s="116"/>
    </row>
    <row r="354" spans="15:116" s="101" customFormat="1" ht="22.5" customHeight="1" thickBot="1" x14ac:dyDescent="0.3">
      <c r="O354" s="227" t="s">
        <v>150</v>
      </c>
      <c r="Q354" s="243">
        <v>1.37</v>
      </c>
      <c r="R354" s="243">
        <v>30</v>
      </c>
      <c r="S354" s="246">
        <f t="shared" si="211"/>
        <v>0</v>
      </c>
      <c r="T354" s="246">
        <f t="shared" si="211"/>
        <v>0</v>
      </c>
      <c r="U354" s="246">
        <f t="shared" si="211"/>
        <v>0.11786892857142858</v>
      </c>
      <c r="V354" s="246">
        <f t="shared" si="211"/>
        <v>0.47147571428571433</v>
      </c>
      <c r="W354" s="246">
        <f t="shared" si="211"/>
        <v>0.11786892857142858</v>
      </c>
      <c r="X354" s="246">
        <f t="shared" si="211"/>
        <v>0</v>
      </c>
      <c r="Y354" s="246">
        <f t="shared" si="211"/>
        <v>0.23573785714285717</v>
      </c>
      <c r="Z354" s="246">
        <f t="shared" si="211"/>
        <v>1.6501650000000003</v>
      </c>
      <c r="AA354" s="246">
        <f t="shared" si="211"/>
        <v>0</v>
      </c>
      <c r="AB354" s="246">
        <f t="shared" si="211"/>
        <v>0</v>
      </c>
      <c r="AC354" s="246">
        <f t="shared" si="211"/>
        <v>0.14144271428571431</v>
      </c>
      <c r="AD354" s="246">
        <f t="shared" si="211"/>
        <v>0</v>
      </c>
      <c r="AE354" s="246">
        <f t="shared" si="211"/>
        <v>2.3573785714285718</v>
      </c>
      <c r="AF354" s="246">
        <v>0</v>
      </c>
      <c r="AG354" s="246">
        <f t="shared" si="212"/>
        <v>0.23573785714285717</v>
      </c>
      <c r="AH354" s="1336">
        <f t="shared" si="196"/>
        <v>3.9168751648351652E-2</v>
      </c>
      <c r="AI354" s="102">
        <v>1.64</v>
      </c>
      <c r="AJ354" s="100">
        <v>0</v>
      </c>
      <c r="AL354" s="100">
        <v>0</v>
      </c>
      <c r="AM354" s="237">
        <v>0.3</v>
      </c>
      <c r="AN354" s="241">
        <v>1.72</v>
      </c>
      <c r="AO354" s="241">
        <v>0.26</v>
      </c>
      <c r="AP354" s="247">
        <f>(AN354*365)*(AO354*0.67*0.015*1)</f>
        <v>1.6404414</v>
      </c>
      <c r="AQ354" s="247">
        <f>(AN354*365)*(AO354*0.67*0.005*1)</f>
        <v>0.54681380000000002</v>
      </c>
      <c r="AR354" s="248"/>
      <c r="AS354" s="247">
        <f>(AN354*365)*(AO354*0.67*0.04*1)</f>
        <v>4.3745104000000001</v>
      </c>
      <c r="AT354" s="247">
        <f>(AN354*365)*(AO354*0.67*0.015*1)</f>
        <v>1.6404414</v>
      </c>
      <c r="AU354" s="247">
        <f>(AN354*365)*(AO354*0.67*0.65*1)</f>
        <v>71.085794000000007</v>
      </c>
      <c r="AV354" s="247">
        <f>(AN354*365)*(AO354*0.67*0.79*1)</f>
        <v>86.396580400000005</v>
      </c>
      <c r="AW354" s="247">
        <f>(AN354*365)*(AO354*0.67*0.03*1)</f>
        <v>3.2808828000000001</v>
      </c>
      <c r="AX354" s="248"/>
      <c r="AY354" s="247">
        <f>(AN354*365)*(AO354*0.67*0.65*1)</f>
        <v>71.085794000000007</v>
      </c>
      <c r="AZ354" s="247">
        <f t="shared" si="213"/>
        <v>109.36276000000001</v>
      </c>
      <c r="BA354" s="247">
        <f t="shared" si="214"/>
        <v>10.936275999999999</v>
      </c>
      <c r="BB354" s="247">
        <f t="shared" si="215"/>
        <v>0.54681380000000002</v>
      </c>
      <c r="BC354" s="247">
        <f>(AN354*365)*(AO354*0.67*0.01*1)</f>
        <v>1.0936276</v>
      </c>
      <c r="BD354" s="247">
        <v>0</v>
      </c>
      <c r="BE354" s="247">
        <v>0</v>
      </c>
      <c r="BF354" s="247">
        <f t="shared" si="216"/>
        <v>4.7523090254545455</v>
      </c>
      <c r="BH354" s="120"/>
      <c r="BI354" s="203" t="str">
        <f t="shared" si="198"/>
        <v>Caballos - Clima Templado</v>
      </c>
      <c r="BJ354" s="190" t="s">
        <v>168</v>
      </c>
      <c r="BK354" s="1337">
        <f t="shared" si="199"/>
        <v>4.7523090254545455</v>
      </c>
      <c r="BL354" s="190" t="s">
        <v>413</v>
      </c>
      <c r="BM354" s="189">
        <v>0.2</v>
      </c>
      <c r="BN354" s="189">
        <v>0.5</v>
      </c>
      <c r="BO354" s="188" t="s">
        <v>258</v>
      </c>
      <c r="BP354" s="1337">
        <f t="shared" si="200"/>
        <v>3.9168751648351652E-2</v>
      </c>
      <c r="BQ354" s="190" t="s">
        <v>415</v>
      </c>
      <c r="BR354" s="189">
        <v>0.2</v>
      </c>
      <c r="BS354" s="189">
        <v>0.5</v>
      </c>
      <c r="BT354" s="188" t="s">
        <v>258</v>
      </c>
      <c r="BU354" s="204"/>
      <c r="BV354" s="196"/>
      <c r="BW354" s="190"/>
      <c r="BX354" s="204"/>
      <c r="BY354" s="196"/>
      <c r="BZ354" s="190"/>
      <c r="CA354" s="205"/>
      <c r="CB354" s="180"/>
      <c r="CC354" s="178"/>
      <c r="CD354" s="178"/>
      <c r="CE354" s="180"/>
      <c r="CF354" s="180"/>
      <c r="CG354" s="180"/>
      <c r="CH354" s="180"/>
      <c r="CI354" s="178"/>
      <c r="CJ354" s="178"/>
      <c r="CK354" s="180"/>
      <c r="CL354" s="180"/>
      <c r="CM354" s="180"/>
      <c r="CN354" s="116"/>
      <c r="CO354" s="218"/>
      <c r="CP354" s="100"/>
      <c r="CQ354" s="218"/>
      <c r="CX354" s="23"/>
      <c r="CY354" s="23"/>
      <c r="CZ354" s="142"/>
      <c r="DA354" s="142"/>
      <c r="DB354" s="23"/>
      <c r="DC354" s="23"/>
      <c r="DD354" s="142"/>
      <c r="DE354" s="23"/>
      <c r="DF354" s="149"/>
      <c r="DG354" s="149"/>
      <c r="DH354" s="149"/>
      <c r="DI354" s="150"/>
      <c r="DJ354" s="150"/>
      <c r="DK354" s="116"/>
    </row>
    <row r="355" spans="15:116" s="101" customFormat="1" ht="22.5" customHeight="1" thickBot="1" x14ac:dyDescent="0.3">
      <c r="O355" s="227" t="s">
        <v>151</v>
      </c>
      <c r="Q355" s="243">
        <v>1.37</v>
      </c>
      <c r="R355" s="243">
        <v>30</v>
      </c>
      <c r="S355" s="246">
        <f t="shared" si="211"/>
        <v>0</v>
      </c>
      <c r="T355" s="246">
        <f t="shared" si="211"/>
        <v>0</v>
      </c>
      <c r="U355" s="246">
        <f t="shared" si="211"/>
        <v>0.11786892857142858</v>
      </c>
      <c r="V355" s="246">
        <f t="shared" si="211"/>
        <v>0.47147571428571433</v>
      </c>
      <c r="W355" s="246">
        <f t="shared" si="211"/>
        <v>0.11786892857142858</v>
      </c>
      <c r="X355" s="246">
        <f t="shared" si="211"/>
        <v>0</v>
      </c>
      <c r="Y355" s="246">
        <f t="shared" si="211"/>
        <v>0.23573785714285717</v>
      </c>
      <c r="Z355" s="246">
        <f t="shared" si="211"/>
        <v>1.6501650000000003</v>
      </c>
      <c r="AA355" s="246">
        <f t="shared" si="211"/>
        <v>0</v>
      </c>
      <c r="AB355" s="246">
        <f t="shared" si="211"/>
        <v>0</v>
      </c>
      <c r="AC355" s="246">
        <f t="shared" si="211"/>
        <v>0.14144271428571431</v>
      </c>
      <c r="AD355" s="246">
        <f t="shared" si="211"/>
        <v>0</v>
      </c>
      <c r="AE355" s="246">
        <f t="shared" si="211"/>
        <v>2.3573785714285718</v>
      </c>
      <c r="AF355" s="246">
        <v>0</v>
      </c>
      <c r="AG355" s="246">
        <f t="shared" si="212"/>
        <v>0.23573785714285717</v>
      </c>
      <c r="AH355" s="1336">
        <f t="shared" si="196"/>
        <v>3.9168751648351652E-2</v>
      </c>
      <c r="AI355" s="102">
        <v>2.19</v>
      </c>
      <c r="AJ355" s="100">
        <v>0</v>
      </c>
      <c r="AL355" s="100">
        <v>0</v>
      </c>
      <c r="AM355" s="237">
        <v>0.3</v>
      </c>
      <c r="AN355" s="241">
        <v>1.72</v>
      </c>
      <c r="AO355" s="241">
        <v>0.26</v>
      </c>
      <c r="AP355" s="247">
        <f>(AN355*365)*(AO355*0.67*0.02*1)</f>
        <v>2.1872552000000001</v>
      </c>
      <c r="AQ355" s="247">
        <f>(AN355*365)*(AO355*0.67*0.01*1)</f>
        <v>1.0936276</v>
      </c>
      <c r="AR355" s="248"/>
      <c r="AS355" s="247">
        <f>(AN355*365)*(AO355*0.67*0.05*1)</f>
        <v>5.4681379999999997</v>
      </c>
      <c r="AT355" s="247">
        <f>(AN355*365)*(AO355*0.67*0.02*1)</f>
        <v>2.1872552000000001</v>
      </c>
      <c r="AU355" s="247">
        <f>(AN355*365)*(AO355*0.67*0.8*1)</f>
        <v>87.490207999999996</v>
      </c>
      <c r="AV355" s="247">
        <f>(AN355*365)*(AO355*0.67*0.8*1)</f>
        <v>87.490207999999996</v>
      </c>
      <c r="AW355" s="247">
        <f>(AN355*365)*(AO355*0.67*0.3*1)</f>
        <v>32.808828000000005</v>
      </c>
      <c r="AX355" s="248"/>
      <c r="AY355" s="247">
        <f>(AN355*365)*(AO355*0.67*0.8*1)</f>
        <v>87.490207999999996</v>
      </c>
      <c r="AZ355" s="247">
        <f t="shared" si="213"/>
        <v>109.36276000000001</v>
      </c>
      <c r="BA355" s="247">
        <f t="shared" si="214"/>
        <v>10.936275999999999</v>
      </c>
      <c r="BB355" s="247">
        <f t="shared" si="215"/>
        <v>0.54681380000000002</v>
      </c>
      <c r="BC355" s="247">
        <f>(AN355*365)*(AO355*0.67*0.015*1)</f>
        <v>1.6404414</v>
      </c>
      <c r="BD355" s="247">
        <v>0</v>
      </c>
      <c r="BE355" s="247">
        <v>0</v>
      </c>
      <c r="BF355" s="247">
        <f t="shared" si="216"/>
        <v>5.8459366254545451</v>
      </c>
      <c r="BH355" s="120"/>
      <c r="BI355" s="203" t="str">
        <f t="shared" si="198"/>
        <v>Caballos - Clima Cálido</v>
      </c>
      <c r="BJ355" s="190" t="s">
        <v>168</v>
      </c>
      <c r="BK355" s="1337">
        <f t="shared" si="199"/>
        <v>5.8459366254545451</v>
      </c>
      <c r="BL355" s="190" t="s">
        <v>413</v>
      </c>
      <c r="BM355" s="189">
        <v>0.2</v>
      </c>
      <c r="BN355" s="189">
        <v>0.5</v>
      </c>
      <c r="BO355" s="188" t="s">
        <v>258</v>
      </c>
      <c r="BP355" s="1337">
        <f t="shared" si="200"/>
        <v>3.9168751648351652E-2</v>
      </c>
      <c r="BQ355" s="190" t="s">
        <v>415</v>
      </c>
      <c r="BR355" s="189">
        <v>0.2</v>
      </c>
      <c r="BS355" s="189">
        <v>0.5</v>
      </c>
      <c r="BT355" s="188" t="s">
        <v>258</v>
      </c>
      <c r="BU355" s="204"/>
      <c r="BV355" s="196"/>
      <c r="BW355" s="190"/>
      <c r="BX355" s="204"/>
      <c r="BY355" s="196"/>
      <c r="BZ355" s="190"/>
      <c r="CA355" s="205"/>
      <c r="CB355" s="180"/>
      <c r="CC355" s="178"/>
      <c r="CD355" s="178"/>
      <c r="CE355" s="180"/>
      <c r="CF355" s="180"/>
      <c r="CG355" s="180"/>
      <c r="CH355" s="180"/>
      <c r="CI355" s="178"/>
      <c r="CJ355" s="178"/>
      <c r="CK355" s="180"/>
      <c r="CL355" s="180"/>
      <c r="CM355" s="180"/>
      <c r="CN355" s="116"/>
      <c r="CO355" s="218"/>
      <c r="CP355" s="100"/>
      <c r="CQ355" s="218"/>
      <c r="CX355" s="23"/>
      <c r="CY355" s="23"/>
      <c r="CZ355" s="142"/>
      <c r="DA355" s="142"/>
      <c r="DB355" s="23"/>
      <c r="DC355" s="23"/>
      <c r="DD355" s="142"/>
      <c r="DE355" s="23"/>
      <c r="DF355" s="149"/>
      <c r="DG355" s="149"/>
      <c r="DH355" s="149"/>
      <c r="DI355" s="150"/>
      <c r="DJ355" s="150"/>
      <c r="DK355" s="116"/>
    </row>
    <row r="356" spans="15:116" s="101" customFormat="1" ht="24.75" customHeight="1" thickBot="1" x14ac:dyDescent="0.4">
      <c r="O356" s="227" t="s">
        <v>152</v>
      </c>
      <c r="Q356" s="243">
        <v>1.37</v>
      </c>
      <c r="R356" s="243">
        <v>30</v>
      </c>
      <c r="S356" s="246">
        <f t="shared" si="211"/>
        <v>0</v>
      </c>
      <c r="T356" s="246">
        <f t="shared" si="211"/>
        <v>0</v>
      </c>
      <c r="U356" s="246">
        <f t="shared" si="211"/>
        <v>0.11786892857142858</v>
      </c>
      <c r="V356" s="246">
        <f t="shared" si="211"/>
        <v>0.47147571428571433</v>
      </c>
      <c r="W356" s="246">
        <f t="shared" si="211"/>
        <v>0.11786892857142858</v>
      </c>
      <c r="X356" s="246">
        <f t="shared" si="211"/>
        <v>0</v>
      </c>
      <c r="Y356" s="246">
        <f t="shared" si="211"/>
        <v>0.23573785714285717</v>
      </c>
      <c r="Z356" s="246">
        <f t="shared" si="211"/>
        <v>1.6501650000000003</v>
      </c>
      <c r="AA356" s="246">
        <f t="shared" si="211"/>
        <v>0</v>
      </c>
      <c r="AB356" s="246">
        <f t="shared" si="211"/>
        <v>0</v>
      </c>
      <c r="AC356" s="246">
        <f t="shared" si="211"/>
        <v>0.14144271428571431</v>
      </c>
      <c r="AD356" s="246">
        <f t="shared" si="211"/>
        <v>0</v>
      </c>
      <c r="AE356" s="246">
        <f t="shared" si="211"/>
        <v>2.3573785714285718</v>
      </c>
      <c r="AF356" s="246">
        <v>0</v>
      </c>
      <c r="AG356" s="246">
        <f t="shared" si="212"/>
        <v>0.23573785714285717</v>
      </c>
      <c r="AH356" s="1336">
        <f t="shared" si="196"/>
        <v>3.9168751648351652E-2</v>
      </c>
      <c r="AI356" s="102">
        <v>0.6</v>
      </c>
      <c r="AJ356" s="100">
        <v>0</v>
      </c>
      <c r="AL356" s="100">
        <v>0</v>
      </c>
      <c r="AM356" s="237">
        <v>0.3</v>
      </c>
      <c r="AN356" s="241">
        <v>0.94</v>
      </c>
      <c r="AO356" s="241">
        <v>0.26</v>
      </c>
      <c r="AP356" s="247">
        <f>(AN356*365)*(AO356*0.67*0.01*1)</f>
        <v>0.59768019999999999</v>
      </c>
      <c r="AQ356" s="247">
        <f>(AN356*365)*(AO356*0.67*0.001*1)</f>
        <v>5.9768020000000005E-2</v>
      </c>
      <c r="AR356" s="248"/>
      <c r="AS356" s="247">
        <f>(AN356*365)*(AO356*0.67*0.02*1)</f>
        <v>1.1953604</v>
      </c>
      <c r="AT356" s="247">
        <f>(AN356*365)*(AO356*0.67*0.01*1)</f>
        <v>0.59768019999999999</v>
      </c>
      <c r="AU356" s="247">
        <f>(AN356*365)*(AO356*0.67*0.25*1)</f>
        <v>14.942005</v>
      </c>
      <c r="AV356" s="247">
        <f>(AN356*365)*(AO356*0.67*0.73*1)</f>
        <v>43.630654599999993</v>
      </c>
      <c r="AW356" s="247">
        <f>(AN356*365)*(AO356*0.67*0.03*1)</f>
        <v>1.7930406000000001</v>
      </c>
      <c r="AX356" s="248"/>
      <c r="AY356" s="247">
        <f>(AN356*365)*(AO356*0.67*0.25*1)</f>
        <v>14.942005</v>
      </c>
      <c r="AZ356" s="247">
        <f t="shared" si="213"/>
        <v>59.76802</v>
      </c>
      <c r="BA356" s="247">
        <f t="shared" si="214"/>
        <v>5.9768020000000002</v>
      </c>
      <c r="BB356" s="247">
        <f t="shared" si="215"/>
        <v>0.2988401</v>
      </c>
      <c r="BC356" s="247">
        <f>(AN356*365)*(AO356*0.67*0.005*1)</f>
        <v>0.2988401</v>
      </c>
      <c r="BD356" s="247">
        <v>0</v>
      </c>
      <c r="BE356" s="247">
        <v>0</v>
      </c>
      <c r="BF356" s="247">
        <f t="shared" si="216"/>
        <v>1.842485052909091</v>
      </c>
      <c r="BH356" s="120"/>
      <c r="BI356" s="203" t="str">
        <f t="shared" si="198"/>
        <v>Mulas y Asnos - Clima Frío</v>
      </c>
      <c r="BJ356" s="190" t="s">
        <v>168</v>
      </c>
      <c r="BK356" s="1337">
        <f t="shared" si="199"/>
        <v>1.842485052909091</v>
      </c>
      <c r="BL356" s="190" t="s">
        <v>413</v>
      </c>
      <c r="BM356" s="189">
        <v>0.2</v>
      </c>
      <c r="BN356" s="189">
        <v>0.5</v>
      </c>
      <c r="BO356" s="188" t="s">
        <v>258</v>
      </c>
      <c r="BP356" s="1337">
        <f t="shared" si="200"/>
        <v>3.9168751648351652E-2</v>
      </c>
      <c r="BQ356" s="190" t="s">
        <v>415</v>
      </c>
      <c r="BR356" s="189">
        <v>0.2</v>
      </c>
      <c r="BS356" s="189">
        <v>0.5</v>
      </c>
      <c r="BT356" s="188" t="s">
        <v>258</v>
      </c>
      <c r="BU356" s="204"/>
      <c r="BV356" s="196">
        <v>27.250000000000004</v>
      </c>
      <c r="BW356" s="190" t="s">
        <v>414</v>
      </c>
      <c r="BX356" s="204"/>
      <c r="BY356" s="196">
        <v>370.88228571428567</v>
      </c>
      <c r="BZ356" s="190" t="s">
        <v>414</v>
      </c>
      <c r="CA356" s="205"/>
      <c r="CB356" s="180"/>
      <c r="CC356" s="178"/>
      <c r="CD356" s="178"/>
      <c r="CE356" s="180"/>
      <c r="CF356" s="180"/>
      <c r="CG356" s="180"/>
      <c r="CH356" s="180"/>
      <c r="CI356" s="178"/>
      <c r="CJ356" s="178"/>
      <c r="CK356" s="180"/>
      <c r="CL356" s="180"/>
      <c r="CM356" s="180"/>
      <c r="CN356" s="116"/>
      <c r="CO356" s="218">
        <f t="shared" si="179"/>
        <v>0.2</v>
      </c>
      <c r="CP356" s="100">
        <f t="shared" si="180"/>
        <v>0.35</v>
      </c>
      <c r="CQ356" s="218">
        <f t="shared" si="181"/>
        <v>0.5</v>
      </c>
      <c r="CX356" s="23" t="s">
        <v>149</v>
      </c>
      <c r="CY356" s="23">
        <v>1.0900000000000001</v>
      </c>
      <c r="CZ356" s="142">
        <f t="shared" si="201"/>
        <v>22.89</v>
      </c>
      <c r="DA356" s="142">
        <f t="shared" si="202"/>
        <v>27.250000000000004</v>
      </c>
      <c r="DB356" s="23">
        <v>40</v>
      </c>
      <c r="DC356" s="23">
        <v>0.99</v>
      </c>
      <c r="DD356" s="142">
        <f t="shared" si="203"/>
        <v>39.6</v>
      </c>
      <c r="DE356" s="23">
        <v>0.02</v>
      </c>
      <c r="DF356" s="149">
        <f t="shared" si="204"/>
        <v>1.2445714285714284</v>
      </c>
      <c r="DG356" s="149">
        <f t="shared" si="205"/>
        <v>385.81714285714281</v>
      </c>
      <c r="DH356" s="149">
        <f t="shared" si="206"/>
        <v>370.88228571428567</v>
      </c>
      <c r="DI356" s="150">
        <f t="shared" si="207"/>
        <v>408.7071428571428</v>
      </c>
      <c r="DJ356" s="150">
        <f t="shared" si="207"/>
        <v>398.13228571428567</v>
      </c>
      <c r="DK356" s="116" t="s">
        <v>168</v>
      </c>
      <c r="DL356" s="101" t="s">
        <v>392</v>
      </c>
    </row>
    <row r="357" spans="15:116" s="101" customFormat="1" ht="33.75" thickBot="1" x14ac:dyDescent="0.4">
      <c r="O357" s="227" t="s">
        <v>153</v>
      </c>
      <c r="Q357" s="243">
        <v>1.37</v>
      </c>
      <c r="R357" s="243">
        <v>30</v>
      </c>
      <c r="S357" s="246">
        <f t="shared" si="211"/>
        <v>0</v>
      </c>
      <c r="T357" s="246">
        <f t="shared" si="211"/>
        <v>0</v>
      </c>
      <c r="U357" s="246">
        <f t="shared" si="211"/>
        <v>0.11786892857142858</v>
      </c>
      <c r="V357" s="246">
        <f t="shared" si="211"/>
        <v>0.47147571428571433</v>
      </c>
      <c r="W357" s="246">
        <f t="shared" si="211"/>
        <v>0.11786892857142858</v>
      </c>
      <c r="X357" s="246">
        <f t="shared" si="211"/>
        <v>0</v>
      </c>
      <c r="Y357" s="246">
        <f t="shared" si="211"/>
        <v>0.23573785714285717</v>
      </c>
      <c r="Z357" s="246">
        <f t="shared" si="211"/>
        <v>1.6501650000000003</v>
      </c>
      <c r="AA357" s="246">
        <f t="shared" si="211"/>
        <v>0</v>
      </c>
      <c r="AB357" s="246">
        <f t="shared" si="211"/>
        <v>0</v>
      </c>
      <c r="AC357" s="246">
        <f t="shared" si="211"/>
        <v>0.14144271428571431</v>
      </c>
      <c r="AD357" s="246">
        <f t="shared" si="211"/>
        <v>0</v>
      </c>
      <c r="AE357" s="246">
        <f t="shared" si="211"/>
        <v>2.3573785714285718</v>
      </c>
      <c r="AF357" s="246">
        <v>0</v>
      </c>
      <c r="AG357" s="246">
        <f t="shared" si="212"/>
        <v>0.23573785714285717</v>
      </c>
      <c r="AH357" s="1336">
        <f t="shared" si="196"/>
        <v>3.9168751648351652E-2</v>
      </c>
      <c r="AI357" s="102">
        <v>0.9</v>
      </c>
      <c r="AJ357" s="100">
        <v>0</v>
      </c>
      <c r="AL357" s="100">
        <v>0</v>
      </c>
      <c r="AM357" s="237">
        <v>0.3</v>
      </c>
      <c r="AN357" s="241">
        <v>0.94</v>
      </c>
      <c r="AO357" s="241">
        <v>0.26</v>
      </c>
      <c r="AP357" s="247">
        <f>(AN357*365)*(AO357*0.67*0.015*1)</f>
        <v>0.89652030000000005</v>
      </c>
      <c r="AQ357" s="247">
        <f>(AN357*365)*(AO357*0.67*0.005*1)</f>
        <v>0.2988401</v>
      </c>
      <c r="AR357" s="248"/>
      <c r="AS357" s="247">
        <f>(AN357*365)*(AO357*0.67*0.04*1)</f>
        <v>2.3907208</v>
      </c>
      <c r="AT357" s="247">
        <f>(AN357*365)*(AO357*0.67*0.015*1)</f>
        <v>0.89652030000000005</v>
      </c>
      <c r="AU357" s="247">
        <f>(AN357*365)*(AO357*0.67*0.65*1)</f>
        <v>38.849212999999999</v>
      </c>
      <c r="AV357" s="247">
        <f>(AN357*365)*(AO357*0.67*0.79*1)</f>
        <v>47.216735800000002</v>
      </c>
      <c r="AW357" s="247">
        <f>(AN357*365)*(AO357*0.67*0.03*1)</f>
        <v>1.7930406000000001</v>
      </c>
      <c r="AX357" s="248"/>
      <c r="AY357" s="247">
        <f>(AN357*365)*(AO357*0.67*0.65*1)</f>
        <v>38.849212999999999</v>
      </c>
      <c r="AZ357" s="247">
        <f t="shared" si="213"/>
        <v>59.76802</v>
      </c>
      <c r="BA357" s="247">
        <f t="shared" si="214"/>
        <v>5.9768020000000002</v>
      </c>
      <c r="BB357" s="247">
        <f t="shared" si="215"/>
        <v>0.2988401</v>
      </c>
      <c r="BC357" s="247">
        <f>(AN357*365)*(AO357*0.67*0.01*1)</f>
        <v>0.59768019999999999</v>
      </c>
      <c r="BD357" s="247">
        <v>0</v>
      </c>
      <c r="BE357" s="247">
        <v>0</v>
      </c>
      <c r="BF357" s="247">
        <f t="shared" si="216"/>
        <v>2.5971921418181823</v>
      </c>
      <c r="BH357" s="120"/>
      <c r="BI357" s="203" t="str">
        <f t="shared" si="198"/>
        <v>Mulas y Asnos - Clima Templado</v>
      </c>
      <c r="BJ357" s="190" t="s">
        <v>168</v>
      </c>
      <c r="BK357" s="1337">
        <f t="shared" si="199"/>
        <v>2.5971921418181823</v>
      </c>
      <c r="BL357" s="190" t="s">
        <v>413</v>
      </c>
      <c r="BM357" s="189">
        <v>0.2</v>
      </c>
      <c r="BN357" s="189">
        <v>0.5</v>
      </c>
      <c r="BO357" s="188" t="s">
        <v>258</v>
      </c>
      <c r="BP357" s="1337">
        <f t="shared" si="200"/>
        <v>3.9168751648351652E-2</v>
      </c>
      <c r="BQ357" s="190" t="s">
        <v>415</v>
      </c>
      <c r="BR357" s="189">
        <v>0.2</v>
      </c>
      <c r="BS357" s="189">
        <v>0.5</v>
      </c>
      <c r="BT357" s="188" t="s">
        <v>258</v>
      </c>
      <c r="BU357" s="204"/>
      <c r="BV357" s="196">
        <v>41</v>
      </c>
      <c r="BW357" s="190" t="s">
        <v>414</v>
      </c>
      <c r="BX357" s="204"/>
      <c r="BY357" s="196">
        <v>370.88228571428567</v>
      </c>
      <c r="BZ357" s="190" t="s">
        <v>414</v>
      </c>
      <c r="CA357" s="205"/>
      <c r="CB357" s="180"/>
      <c r="CC357" s="178"/>
      <c r="CD357" s="178"/>
      <c r="CE357" s="180"/>
      <c r="CF357" s="180"/>
      <c r="CG357" s="180"/>
      <c r="CH357" s="180"/>
      <c r="CI357" s="178"/>
      <c r="CJ357" s="178"/>
      <c r="CK357" s="180"/>
      <c r="CL357" s="180"/>
      <c r="CM357" s="180"/>
      <c r="CN357" s="116"/>
      <c r="CO357" s="218">
        <f t="shared" si="179"/>
        <v>0.2</v>
      </c>
      <c r="CP357" s="100">
        <f t="shared" si="180"/>
        <v>0.35</v>
      </c>
      <c r="CQ357" s="218">
        <f t="shared" si="181"/>
        <v>0.5</v>
      </c>
      <c r="CX357" s="23" t="s">
        <v>150</v>
      </c>
      <c r="CY357" s="23">
        <v>1.64</v>
      </c>
      <c r="CZ357" s="142">
        <f t="shared" si="201"/>
        <v>34.44</v>
      </c>
      <c r="DA357" s="142">
        <f t="shared" si="202"/>
        <v>41</v>
      </c>
      <c r="DB357" s="23">
        <v>40</v>
      </c>
      <c r="DC357" s="23">
        <v>0.99</v>
      </c>
      <c r="DD357" s="142">
        <f t="shared" si="203"/>
        <v>39.6</v>
      </c>
      <c r="DE357" s="23">
        <v>0.02</v>
      </c>
      <c r="DF357" s="149">
        <f t="shared" si="204"/>
        <v>1.2445714285714284</v>
      </c>
      <c r="DG357" s="149">
        <f t="shared" si="205"/>
        <v>385.81714285714281</v>
      </c>
      <c r="DH357" s="149">
        <f t="shared" si="206"/>
        <v>370.88228571428567</v>
      </c>
      <c r="DI357" s="150">
        <f t="shared" si="207"/>
        <v>420.25714285714281</v>
      </c>
      <c r="DJ357" s="150">
        <f t="shared" si="207"/>
        <v>411.88228571428567</v>
      </c>
      <c r="DK357" s="116" t="s">
        <v>168</v>
      </c>
      <c r="DL357" s="101" t="s">
        <v>392</v>
      </c>
    </row>
    <row r="358" spans="15:116" s="101" customFormat="1" ht="33.75" thickBot="1" x14ac:dyDescent="0.4">
      <c r="O358" s="227" t="s">
        <v>154</v>
      </c>
      <c r="Q358" s="243">
        <v>1.37</v>
      </c>
      <c r="R358" s="243">
        <v>30</v>
      </c>
      <c r="S358" s="246">
        <f t="shared" si="211"/>
        <v>0</v>
      </c>
      <c r="T358" s="246">
        <f t="shared" si="211"/>
        <v>0</v>
      </c>
      <c r="U358" s="246">
        <f t="shared" si="211"/>
        <v>0.11786892857142858</v>
      </c>
      <c r="V358" s="246">
        <f t="shared" si="211"/>
        <v>0.47147571428571433</v>
      </c>
      <c r="W358" s="246">
        <f t="shared" si="211"/>
        <v>0.11786892857142858</v>
      </c>
      <c r="X358" s="246">
        <f t="shared" si="211"/>
        <v>0</v>
      </c>
      <c r="Y358" s="246">
        <f t="shared" si="211"/>
        <v>0.23573785714285717</v>
      </c>
      <c r="Z358" s="246">
        <f t="shared" si="211"/>
        <v>1.6501650000000003</v>
      </c>
      <c r="AA358" s="246">
        <f t="shared" si="211"/>
        <v>0</v>
      </c>
      <c r="AB358" s="246">
        <f t="shared" si="211"/>
        <v>0</v>
      </c>
      <c r="AC358" s="246">
        <f t="shared" si="211"/>
        <v>0.14144271428571431</v>
      </c>
      <c r="AD358" s="246">
        <f t="shared" si="211"/>
        <v>0</v>
      </c>
      <c r="AE358" s="246">
        <f t="shared" si="211"/>
        <v>2.3573785714285718</v>
      </c>
      <c r="AF358" s="246">
        <v>0</v>
      </c>
      <c r="AG358" s="246">
        <f t="shared" si="212"/>
        <v>0.23573785714285717</v>
      </c>
      <c r="AH358" s="1336">
        <f t="shared" si="196"/>
        <v>3.9168751648351652E-2</v>
      </c>
      <c r="AI358" s="102">
        <v>1.2</v>
      </c>
      <c r="AJ358" s="100">
        <v>0</v>
      </c>
      <c r="AL358" s="100">
        <v>0</v>
      </c>
      <c r="AM358" s="237">
        <v>0.3</v>
      </c>
      <c r="AN358" s="241">
        <v>0.94</v>
      </c>
      <c r="AO358" s="241">
        <v>0.26</v>
      </c>
      <c r="AP358" s="247">
        <f>(AN358*365)*(AO358*0.67*0.02*1)</f>
        <v>1.1953604</v>
      </c>
      <c r="AQ358" s="247">
        <f>(AN358*365)*(AO358*0.67*0.01*1)</f>
        <v>0.59768019999999999</v>
      </c>
      <c r="AR358" s="248"/>
      <c r="AS358" s="247">
        <f>(AN358*365)*(AO358*0.67*0.05*1)</f>
        <v>2.9884010000000001</v>
      </c>
      <c r="AT358" s="247">
        <f>(AN358*365)*(AO358*0.67*0.02*1)</f>
        <v>1.1953604</v>
      </c>
      <c r="AU358" s="247">
        <f>(AN358*365)*(AO358*0.67*0.8*1)</f>
        <v>47.814416000000001</v>
      </c>
      <c r="AV358" s="247">
        <f>(AN358*365)*(AO358*0.67*0.8*1)</f>
        <v>47.814416000000001</v>
      </c>
      <c r="AW358" s="247">
        <f>(AN358*365)*(AO358*0.67*0.3*1)</f>
        <v>17.930406000000001</v>
      </c>
      <c r="AX358" s="248"/>
      <c r="AY358" s="247">
        <f>(AN358*365)*(AO358*0.67*0.8*1)</f>
        <v>47.814416000000001</v>
      </c>
      <c r="AZ358" s="247">
        <f t="shared" si="213"/>
        <v>59.76802</v>
      </c>
      <c r="BA358" s="247">
        <f t="shared" si="214"/>
        <v>5.9768020000000002</v>
      </c>
      <c r="BB358" s="247">
        <f t="shared" si="215"/>
        <v>0.2988401</v>
      </c>
      <c r="BC358" s="247">
        <f>(AN358*365)*(AO358*0.67*0.015*1)</f>
        <v>0.89652030000000005</v>
      </c>
      <c r="BD358" s="247">
        <v>0</v>
      </c>
      <c r="BE358" s="247">
        <v>0</v>
      </c>
      <c r="BF358" s="247">
        <f t="shared" si="216"/>
        <v>3.1948723418181819</v>
      </c>
      <c r="BH358" s="120"/>
      <c r="BI358" s="203" t="str">
        <f t="shared" si="198"/>
        <v>Mulas y Asnos - Clima Cálido</v>
      </c>
      <c r="BJ358" s="190" t="s">
        <v>168</v>
      </c>
      <c r="BK358" s="1337">
        <f t="shared" si="199"/>
        <v>3.1948723418181819</v>
      </c>
      <c r="BL358" s="190" t="s">
        <v>413</v>
      </c>
      <c r="BM358" s="189">
        <v>0.2</v>
      </c>
      <c r="BN358" s="189">
        <v>0.5</v>
      </c>
      <c r="BO358" s="188" t="s">
        <v>258</v>
      </c>
      <c r="BP358" s="1337">
        <f t="shared" si="200"/>
        <v>3.9168751648351652E-2</v>
      </c>
      <c r="BQ358" s="190" t="s">
        <v>415</v>
      </c>
      <c r="BR358" s="189">
        <v>0.2</v>
      </c>
      <c r="BS358" s="189">
        <v>0.5</v>
      </c>
      <c r="BT358" s="188" t="s">
        <v>258</v>
      </c>
      <c r="BU358" s="206"/>
      <c r="BV358" s="196">
        <v>54.500000000000007</v>
      </c>
      <c r="BW358" s="190" t="s">
        <v>414</v>
      </c>
      <c r="BX358" s="206"/>
      <c r="BY358" s="196">
        <v>370.88228571428567</v>
      </c>
      <c r="BZ358" s="190" t="s">
        <v>414</v>
      </c>
      <c r="CA358" s="207"/>
      <c r="CB358" s="180"/>
      <c r="CC358" s="178"/>
      <c r="CD358" s="178"/>
      <c r="CE358" s="180"/>
      <c r="CF358" s="180"/>
      <c r="CG358" s="180"/>
      <c r="CH358" s="180"/>
      <c r="CI358" s="178"/>
      <c r="CJ358" s="178"/>
      <c r="CK358" s="180"/>
      <c r="CL358" s="180"/>
      <c r="CM358" s="180"/>
      <c r="CN358" s="116"/>
      <c r="CO358" s="218">
        <f t="shared" si="179"/>
        <v>0.2</v>
      </c>
      <c r="CP358" s="100">
        <f t="shared" si="180"/>
        <v>0.35</v>
      </c>
      <c r="CQ358" s="218">
        <f t="shared" si="181"/>
        <v>0.5</v>
      </c>
      <c r="CX358" s="23" t="s">
        <v>151</v>
      </c>
      <c r="CY358" s="23">
        <v>2.1800000000000002</v>
      </c>
      <c r="CZ358" s="142">
        <f t="shared" si="201"/>
        <v>45.78</v>
      </c>
      <c r="DA358" s="142">
        <f t="shared" si="202"/>
        <v>54.500000000000007</v>
      </c>
      <c r="DB358" s="23">
        <v>40</v>
      </c>
      <c r="DC358" s="23">
        <v>0.99</v>
      </c>
      <c r="DD358" s="142">
        <f t="shared" si="203"/>
        <v>39.6</v>
      </c>
      <c r="DE358" s="23">
        <v>0.02</v>
      </c>
      <c r="DF358" s="149">
        <f t="shared" si="204"/>
        <v>1.2445714285714284</v>
      </c>
      <c r="DG358" s="149">
        <f t="shared" si="205"/>
        <v>385.81714285714281</v>
      </c>
      <c r="DH358" s="149">
        <f t="shared" si="206"/>
        <v>370.88228571428567</v>
      </c>
      <c r="DI358" s="150">
        <f t="shared" si="207"/>
        <v>431.59714285714279</v>
      </c>
      <c r="DJ358" s="150">
        <f t="shared" si="207"/>
        <v>425.38228571428567</v>
      </c>
      <c r="DK358" s="116" t="s">
        <v>168</v>
      </c>
      <c r="DL358" s="101" t="s">
        <v>392</v>
      </c>
    </row>
    <row r="359" spans="15:116" s="101" customFormat="1" ht="33.75" thickBot="1" x14ac:dyDescent="0.4">
      <c r="O359" s="227" t="s">
        <v>548</v>
      </c>
      <c r="Q359" s="243">
        <v>1.37</v>
      </c>
      <c r="R359" s="243">
        <v>30</v>
      </c>
      <c r="S359" s="246">
        <f t="shared" si="211"/>
        <v>0</v>
      </c>
      <c r="T359" s="246">
        <f t="shared" si="211"/>
        <v>0</v>
      </c>
      <c r="U359" s="246">
        <f t="shared" si="211"/>
        <v>0.11786892857142858</v>
      </c>
      <c r="V359" s="246">
        <f t="shared" si="211"/>
        <v>0.47147571428571433</v>
      </c>
      <c r="W359" s="246">
        <f t="shared" si="211"/>
        <v>0.11786892857142858</v>
      </c>
      <c r="X359" s="246">
        <f t="shared" si="211"/>
        <v>0</v>
      </c>
      <c r="Y359" s="246">
        <f t="shared" si="211"/>
        <v>0.23573785714285717</v>
      </c>
      <c r="Z359" s="246">
        <f t="shared" si="211"/>
        <v>1.6501650000000003</v>
      </c>
      <c r="AA359" s="246">
        <f t="shared" si="211"/>
        <v>0</v>
      </c>
      <c r="AB359" s="246">
        <f t="shared" si="211"/>
        <v>0</v>
      </c>
      <c r="AC359" s="246">
        <f t="shared" si="211"/>
        <v>0.14144271428571431</v>
      </c>
      <c r="AD359" s="246">
        <f t="shared" si="211"/>
        <v>0</v>
      </c>
      <c r="AE359" s="246">
        <f t="shared" si="211"/>
        <v>2.3573785714285718</v>
      </c>
      <c r="AF359" s="246">
        <v>0</v>
      </c>
      <c r="AG359" s="246">
        <f t="shared" si="212"/>
        <v>0.23573785714285717</v>
      </c>
      <c r="AH359" s="1336">
        <f t="shared" si="196"/>
        <v>3.9168751648351652E-2</v>
      </c>
      <c r="AI359" s="102">
        <v>0.08</v>
      </c>
      <c r="AJ359" s="100"/>
      <c r="AK359" s="100"/>
      <c r="AL359" s="100"/>
      <c r="AM359" s="100"/>
      <c r="AN359" s="241">
        <v>0.1</v>
      </c>
      <c r="AO359" s="241">
        <v>0.32</v>
      </c>
      <c r="AP359" s="247">
        <f>(AN359*365)*(AO359*0.67*0.01*1)</f>
        <v>7.8256000000000006E-2</v>
      </c>
      <c r="AQ359" s="247">
        <f>(AN359*365)*(AO359*0.67*0.001*1)</f>
        <v>7.8256000000000003E-3</v>
      </c>
      <c r="AR359" s="248"/>
      <c r="AS359" s="247">
        <f>(AN359*365)*(AO359*0.67*0.02*1)</f>
        <v>0.15651200000000001</v>
      </c>
      <c r="AT359" s="247">
        <f>(AN359*365)*(AO359*0.67*0.01*1)</f>
        <v>7.8256000000000006E-2</v>
      </c>
      <c r="AU359" s="247">
        <f>(AN359*365)*(AO359*0.67*0.25*1)</f>
        <v>1.9564000000000001</v>
      </c>
      <c r="AV359" s="247">
        <f>(AN359*365)*(AO359*0.67*0.73*1)</f>
        <v>5.7126880000000009</v>
      </c>
      <c r="AW359" s="247">
        <f>(AN359*365)*(AO359*0.67*0.03*1)</f>
        <v>0.234768</v>
      </c>
      <c r="AX359" s="248"/>
      <c r="AY359" s="247">
        <f>(AN359*365)*(AO359*0.67*0.25*1)</f>
        <v>1.9564000000000001</v>
      </c>
      <c r="AZ359" s="247">
        <f t="shared" si="213"/>
        <v>7.8256000000000006</v>
      </c>
      <c r="BA359" s="247">
        <f t="shared" si="214"/>
        <v>0.78256000000000003</v>
      </c>
      <c r="BB359" s="247">
        <f t="shared" si="215"/>
        <v>3.9128000000000003E-2</v>
      </c>
      <c r="BC359" s="247">
        <f>(AN359*365)*(AO359*0.67*0.005*1)</f>
        <v>3.9128000000000003E-2</v>
      </c>
      <c r="BD359" s="247">
        <v>0</v>
      </c>
      <c r="BE359" s="247">
        <v>0</v>
      </c>
      <c r="BF359" s="247">
        <f t="shared" si="216"/>
        <v>0.24124190545454555</v>
      </c>
      <c r="BH359" s="120"/>
      <c r="BI359" s="203" t="str">
        <f t="shared" si="198"/>
        <v>Conejos - Clima Frío</v>
      </c>
      <c r="BJ359" s="190" t="s">
        <v>168</v>
      </c>
      <c r="BK359" s="1337">
        <f t="shared" si="199"/>
        <v>0.24124190545454555</v>
      </c>
      <c r="BL359" s="190" t="s">
        <v>413</v>
      </c>
      <c r="BM359" s="189">
        <v>0.2</v>
      </c>
      <c r="BN359" s="189">
        <v>0.5</v>
      </c>
      <c r="BO359" s="188" t="s">
        <v>258</v>
      </c>
      <c r="BP359" s="1337">
        <f t="shared" si="200"/>
        <v>3.9168751648351652E-2</v>
      </c>
      <c r="BQ359" s="190" t="s">
        <v>415</v>
      </c>
      <c r="BR359" s="189">
        <v>0.2</v>
      </c>
      <c r="BS359" s="189">
        <v>0.5</v>
      </c>
      <c r="BT359" s="188" t="s">
        <v>258</v>
      </c>
      <c r="BU359" s="206"/>
      <c r="BV359" s="196">
        <v>15</v>
      </c>
      <c r="BW359" s="190" t="s">
        <v>414</v>
      </c>
      <c r="BX359" s="206"/>
      <c r="BY359" s="196">
        <v>370.88228571428567</v>
      </c>
      <c r="BZ359" s="190" t="s">
        <v>414</v>
      </c>
      <c r="CA359" s="207"/>
      <c r="CB359" s="180"/>
      <c r="CC359" s="178"/>
      <c r="CD359" s="178"/>
      <c r="CE359" s="180"/>
      <c r="CF359" s="180"/>
      <c r="CG359" s="180"/>
      <c r="CH359" s="180"/>
      <c r="CI359" s="178"/>
      <c r="CJ359" s="178"/>
      <c r="CK359" s="180"/>
      <c r="CL359" s="180"/>
      <c r="CM359" s="180"/>
      <c r="CN359" s="116"/>
      <c r="CO359" s="218">
        <f t="shared" si="179"/>
        <v>0.2</v>
      </c>
      <c r="CP359" s="100">
        <f t="shared" si="180"/>
        <v>0.35</v>
      </c>
      <c r="CQ359" s="218">
        <f t="shared" si="181"/>
        <v>0.5</v>
      </c>
      <c r="CX359" s="23" t="s">
        <v>152</v>
      </c>
      <c r="CY359" s="23">
        <v>0.6</v>
      </c>
      <c r="CZ359" s="142">
        <f t="shared" si="201"/>
        <v>12.6</v>
      </c>
      <c r="DA359" s="142">
        <f t="shared" si="202"/>
        <v>15</v>
      </c>
      <c r="DB359" s="23">
        <v>40</v>
      </c>
      <c r="DC359" s="23">
        <v>0.99</v>
      </c>
      <c r="DD359" s="142">
        <f t="shared" si="203"/>
        <v>39.6</v>
      </c>
      <c r="DE359" s="23">
        <v>0.02</v>
      </c>
      <c r="DF359" s="149">
        <f t="shared" si="204"/>
        <v>1.2445714285714284</v>
      </c>
      <c r="DG359" s="149">
        <f t="shared" si="205"/>
        <v>385.81714285714281</v>
      </c>
      <c r="DH359" s="149">
        <f t="shared" si="206"/>
        <v>370.88228571428567</v>
      </c>
      <c r="DI359" s="150">
        <f t="shared" si="207"/>
        <v>398.41714285714284</v>
      </c>
      <c r="DJ359" s="150">
        <f t="shared" si="207"/>
        <v>385.88228571428567</v>
      </c>
      <c r="DK359" s="116" t="s">
        <v>168</v>
      </c>
      <c r="DL359" s="101" t="s">
        <v>392</v>
      </c>
    </row>
    <row r="360" spans="15:116" s="101" customFormat="1" ht="33.75" thickBot="1" x14ac:dyDescent="0.4">
      <c r="O360" s="227" t="s">
        <v>549</v>
      </c>
      <c r="Q360" s="243">
        <v>1.37</v>
      </c>
      <c r="R360" s="243">
        <v>30</v>
      </c>
      <c r="S360" s="246">
        <f t="shared" si="211"/>
        <v>0</v>
      </c>
      <c r="T360" s="246">
        <f t="shared" si="211"/>
        <v>0</v>
      </c>
      <c r="U360" s="246">
        <f t="shared" si="211"/>
        <v>0.11786892857142858</v>
      </c>
      <c r="V360" s="246">
        <f t="shared" si="211"/>
        <v>0.47147571428571433</v>
      </c>
      <c r="W360" s="246">
        <f t="shared" si="211"/>
        <v>0.11786892857142858</v>
      </c>
      <c r="X360" s="246">
        <f t="shared" si="211"/>
        <v>0</v>
      </c>
      <c r="Y360" s="246">
        <f t="shared" si="211"/>
        <v>0.23573785714285717</v>
      </c>
      <c r="Z360" s="246">
        <f t="shared" si="211"/>
        <v>1.6501650000000003</v>
      </c>
      <c r="AA360" s="246">
        <f t="shared" si="211"/>
        <v>0</v>
      </c>
      <c r="AB360" s="246">
        <f t="shared" si="211"/>
        <v>0</v>
      </c>
      <c r="AC360" s="246">
        <f t="shared" si="211"/>
        <v>0.14144271428571431</v>
      </c>
      <c r="AD360" s="246">
        <f t="shared" si="211"/>
        <v>0</v>
      </c>
      <c r="AE360" s="246">
        <f t="shared" si="211"/>
        <v>2.3573785714285718</v>
      </c>
      <c r="AF360" s="246">
        <v>0</v>
      </c>
      <c r="AG360" s="246">
        <f t="shared" si="212"/>
        <v>0.23573785714285717</v>
      </c>
      <c r="AH360" s="1336">
        <f t="shared" si="196"/>
        <v>3.9168751648351652E-2</v>
      </c>
      <c r="AN360" s="241">
        <v>0.1</v>
      </c>
      <c r="AO360" s="241">
        <v>0.32</v>
      </c>
      <c r="AP360" s="247">
        <f>(AN360*365)*(AO360*0.67*0.015*1)</f>
        <v>0.117384</v>
      </c>
      <c r="AQ360" s="247">
        <f>(AN360*365)*(AO360*0.67*0.005*1)</f>
        <v>3.9128000000000003E-2</v>
      </c>
      <c r="AR360" s="248"/>
      <c r="AS360" s="247">
        <f>(AN360*365)*(AO360*0.67*0.04*1)</f>
        <v>0.31302400000000002</v>
      </c>
      <c r="AT360" s="247">
        <f>(AN360*365)*(AO360*0.67*0.015*1)</f>
        <v>0.117384</v>
      </c>
      <c r="AU360" s="247">
        <f>(AN360*365)*(AO360*0.67*0.65*1)</f>
        <v>5.0866400000000001</v>
      </c>
      <c r="AV360" s="247">
        <f>(AN360*365)*(AO360*0.67*0.79*1)</f>
        <v>6.1822240000000006</v>
      </c>
      <c r="AW360" s="247">
        <f>(AN360*365)*(AO360*0.67*0.03*1)</f>
        <v>0.234768</v>
      </c>
      <c r="AX360" s="248"/>
      <c r="AY360" s="247">
        <f>(AN360*365)*(AO360*0.67*0.65*1)</f>
        <v>5.0866400000000001</v>
      </c>
      <c r="AZ360" s="247">
        <f t="shared" si="213"/>
        <v>7.8256000000000006</v>
      </c>
      <c r="BA360" s="247">
        <f t="shared" si="214"/>
        <v>0.78256000000000003</v>
      </c>
      <c r="BB360" s="247">
        <f t="shared" si="215"/>
        <v>3.9128000000000003E-2</v>
      </c>
      <c r="BC360" s="247">
        <f>(AN360*365)*(AO360*0.67*0.01*1)</f>
        <v>7.8256000000000006E-2</v>
      </c>
      <c r="BD360" s="247">
        <v>0</v>
      </c>
      <c r="BE360" s="247">
        <v>0</v>
      </c>
      <c r="BF360" s="247">
        <f t="shared" si="216"/>
        <v>0.34005789090909094</v>
      </c>
      <c r="BH360" s="120"/>
      <c r="BI360" s="203" t="str">
        <f t="shared" si="198"/>
        <v>Conejos - Clima Templado</v>
      </c>
      <c r="BJ360" s="190" t="s">
        <v>168</v>
      </c>
      <c r="BK360" s="1337">
        <f t="shared" si="199"/>
        <v>0.34005789090909094</v>
      </c>
      <c r="BL360" s="190" t="s">
        <v>413</v>
      </c>
      <c r="BM360" s="189">
        <v>0.2</v>
      </c>
      <c r="BN360" s="189">
        <v>0.5</v>
      </c>
      <c r="BO360" s="188" t="s">
        <v>258</v>
      </c>
      <c r="BP360" s="1337">
        <f t="shared" si="200"/>
        <v>3.9168751648351652E-2</v>
      </c>
      <c r="BQ360" s="190" t="s">
        <v>415</v>
      </c>
      <c r="BR360" s="189">
        <v>0.2</v>
      </c>
      <c r="BS360" s="189">
        <v>0.5</v>
      </c>
      <c r="BT360" s="188" t="s">
        <v>258</v>
      </c>
      <c r="BU360" s="206"/>
      <c r="BV360" s="196">
        <v>22.5</v>
      </c>
      <c r="BW360" s="190" t="s">
        <v>414</v>
      </c>
      <c r="BX360" s="206"/>
      <c r="BY360" s="196">
        <v>370.88228571428567</v>
      </c>
      <c r="BZ360" s="190" t="s">
        <v>414</v>
      </c>
      <c r="CA360" s="207"/>
      <c r="CB360" s="180"/>
      <c r="CC360" s="178"/>
      <c r="CD360" s="178"/>
      <c r="CE360" s="180"/>
      <c r="CF360" s="180"/>
      <c r="CG360" s="180"/>
      <c r="CH360" s="180"/>
      <c r="CI360" s="178"/>
      <c r="CJ360" s="178"/>
      <c r="CK360" s="180"/>
      <c r="CL360" s="180"/>
      <c r="CM360" s="180"/>
      <c r="CN360" s="116"/>
      <c r="CO360" s="218">
        <f t="shared" si="179"/>
        <v>0.2</v>
      </c>
      <c r="CP360" s="100">
        <f t="shared" si="180"/>
        <v>0.35</v>
      </c>
      <c r="CQ360" s="218">
        <f t="shared" si="181"/>
        <v>0.5</v>
      </c>
      <c r="CX360" s="23" t="s">
        <v>153</v>
      </c>
      <c r="CY360" s="23">
        <v>0.9</v>
      </c>
      <c r="CZ360" s="142">
        <f t="shared" si="201"/>
        <v>18.900000000000002</v>
      </c>
      <c r="DA360" s="142">
        <f t="shared" si="202"/>
        <v>22.5</v>
      </c>
      <c r="DB360" s="23">
        <v>40</v>
      </c>
      <c r="DC360" s="23">
        <v>0.99</v>
      </c>
      <c r="DD360" s="142">
        <f t="shared" si="203"/>
        <v>39.6</v>
      </c>
      <c r="DE360" s="23">
        <v>0.02</v>
      </c>
      <c r="DF360" s="149">
        <f t="shared" si="204"/>
        <v>1.2445714285714284</v>
      </c>
      <c r="DG360" s="149">
        <f t="shared" si="205"/>
        <v>385.81714285714281</v>
      </c>
      <c r="DH360" s="149">
        <f t="shared" si="206"/>
        <v>370.88228571428567</v>
      </c>
      <c r="DI360" s="150">
        <f t="shared" si="207"/>
        <v>404.71714285714279</v>
      </c>
      <c r="DJ360" s="150">
        <f t="shared" si="207"/>
        <v>393.38228571428567</v>
      </c>
      <c r="DK360" s="116" t="s">
        <v>168</v>
      </c>
      <c r="DL360" s="101" t="s">
        <v>392</v>
      </c>
    </row>
    <row r="361" spans="15:116" s="101" customFormat="1" ht="33.75" thickBot="1" x14ac:dyDescent="0.4">
      <c r="O361" s="227" t="s">
        <v>550</v>
      </c>
      <c r="Q361" s="243">
        <v>1.37</v>
      </c>
      <c r="R361" s="243">
        <v>30</v>
      </c>
      <c r="S361" s="246">
        <f t="shared" si="211"/>
        <v>0</v>
      </c>
      <c r="T361" s="246">
        <f t="shared" si="211"/>
        <v>0</v>
      </c>
      <c r="U361" s="246">
        <f t="shared" si="211"/>
        <v>0.11786892857142858</v>
      </c>
      <c r="V361" s="246">
        <f t="shared" si="211"/>
        <v>0.47147571428571433</v>
      </c>
      <c r="W361" s="246">
        <f t="shared" si="211"/>
        <v>0.11786892857142858</v>
      </c>
      <c r="X361" s="246">
        <f t="shared" si="211"/>
        <v>0</v>
      </c>
      <c r="Y361" s="246">
        <f t="shared" si="211"/>
        <v>0.23573785714285717</v>
      </c>
      <c r="Z361" s="246">
        <f t="shared" si="211"/>
        <v>1.6501650000000003</v>
      </c>
      <c r="AA361" s="246">
        <f t="shared" si="211"/>
        <v>0</v>
      </c>
      <c r="AB361" s="246">
        <f t="shared" si="211"/>
        <v>0</v>
      </c>
      <c r="AC361" s="246">
        <f t="shared" si="211"/>
        <v>0.14144271428571431</v>
      </c>
      <c r="AD361" s="246">
        <f t="shared" si="211"/>
        <v>0</v>
      </c>
      <c r="AE361" s="246">
        <f t="shared" si="211"/>
        <v>2.3573785714285718</v>
      </c>
      <c r="AF361" s="246">
        <v>0</v>
      </c>
      <c r="AG361" s="246">
        <f t="shared" si="212"/>
        <v>0.23573785714285717</v>
      </c>
      <c r="AH361" s="1336">
        <f t="shared" si="196"/>
        <v>3.9168751648351652E-2</v>
      </c>
      <c r="AN361" s="241">
        <v>0.1</v>
      </c>
      <c r="AO361" s="241">
        <v>0.32</v>
      </c>
      <c r="AP361" s="247">
        <f>(AN361*365)*(AO361*0.67*0.02*1)</f>
        <v>0.15651200000000001</v>
      </c>
      <c r="AQ361" s="247">
        <f>(AN361*365)*(AO361*0.67*0.01*1)</f>
        <v>7.8256000000000006E-2</v>
      </c>
      <c r="AR361" s="248"/>
      <c r="AS361" s="247">
        <f>(AN361*365)*(AO361*0.67*0.05*1)</f>
        <v>0.39128000000000002</v>
      </c>
      <c r="AT361" s="247">
        <f>(AN361*365)*(AO361*0.67*0.02*1)</f>
        <v>0.15651200000000001</v>
      </c>
      <c r="AU361" s="247">
        <f>(AN361*365)*(AO361*0.67*0.8*1)</f>
        <v>6.2604800000000003</v>
      </c>
      <c r="AV361" s="247">
        <f>(AN361*365)*(AO361*0.67*0.8*1)</f>
        <v>6.2604800000000003</v>
      </c>
      <c r="AW361" s="247">
        <f>(AN361*365)*(AO361*0.67*0.3*1)</f>
        <v>2.34768</v>
      </c>
      <c r="AX361" s="248"/>
      <c r="AY361" s="247">
        <f>(AN361*365)*(AO361*0.67*0.8*1)</f>
        <v>6.2604800000000003</v>
      </c>
      <c r="AZ361" s="247">
        <f t="shared" si="213"/>
        <v>7.8256000000000006</v>
      </c>
      <c r="BA361" s="247">
        <f t="shared" si="214"/>
        <v>0.78256000000000003</v>
      </c>
      <c r="BB361" s="247">
        <f t="shared" si="215"/>
        <v>3.9128000000000003E-2</v>
      </c>
      <c r="BC361" s="247">
        <f>(AN361*365)*(AO361*0.67*0.015*1)</f>
        <v>0.117384</v>
      </c>
      <c r="BD361" s="247">
        <v>0</v>
      </c>
      <c r="BE361" s="247">
        <v>0</v>
      </c>
      <c r="BF361" s="247">
        <f t="shared" si="216"/>
        <v>0.41831389090909099</v>
      </c>
      <c r="BH361" s="120"/>
      <c r="BI361" s="203" t="str">
        <f t="shared" si="198"/>
        <v>Conejos - Clima Cálido</v>
      </c>
      <c r="BJ361" s="190" t="s">
        <v>168</v>
      </c>
      <c r="BK361" s="1337">
        <f t="shared" si="199"/>
        <v>0.41831389090909099</v>
      </c>
      <c r="BL361" s="190" t="s">
        <v>413</v>
      </c>
      <c r="BM361" s="189">
        <v>0.2</v>
      </c>
      <c r="BN361" s="189">
        <v>0.5</v>
      </c>
      <c r="BO361" s="188" t="s">
        <v>258</v>
      </c>
      <c r="BP361" s="1337">
        <f t="shared" si="200"/>
        <v>3.9168751648351652E-2</v>
      </c>
      <c r="BQ361" s="190" t="s">
        <v>415</v>
      </c>
      <c r="BR361" s="189">
        <v>0.2</v>
      </c>
      <c r="BS361" s="189">
        <v>0.5</v>
      </c>
      <c r="BT361" s="188" t="s">
        <v>258</v>
      </c>
      <c r="BU361" s="206"/>
      <c r="BV361" s="196">
        <v>29.75</v>
      </c>
      <c r="BW361" s="190" t="s">
        <v>414</v>
      </c>
      <c r="BX361" s="206"/>
      <c r="BY361" s="196">
        <v>370.88228571428567</v>
      </c>
      <c r="BZ361" s="190" t="s">
        <v>414</v>
      </c>
      <c r="CA361" s="207"/>
      <c r="CB361" s="180"/>
      <c r="CC361" s="178"/>
      <c r="CD361" s="178"/>
      <c r="CE361" s="180"/>
      <c r="CF361" s="180"/>
      <c r="CG361" s="180"/>
      <c r="CH361" s="180"/>
      <c r="CI361" s="178"/>
      <c r="CJ361" s="178"/>
      <c r="CK361" s="180"/>
      <c r="CL361" s="180"/>
      <c r="CM361" s="180"/>
      <c r="CN361" s="116"/>
      <c r="CO361" s="218">
        <f t="shared" ref="CO361:CO424" si="217">BM361</f>
        <v>0.2</v>
      </c>
      <c r="CP361" s="100">
        <f t="shared" ref="CP361:CP424" si="218">(CO361+CQ361)/2</f>
        <v>0.35</v>
      </c>
      <c r="CQ361" s="218">
        <f t="shared" ref="CQ361:CQ424" si="219">BN361</f>
        <v>0.5</v>
      </c>
      <c r="CX361" s="23" t="s">
        <v>154</v>
      </c>
      <c r="CY361" s="23">
        <v>1.19</v>
      </c>
      <c r="CZ361" s="142">
        <f t="shared" si="201"/>
        <v>24.99</v>
      </c>
      <c r="DA361" s="142">
        <f t="shared" si="202"/>
        <v>29.75</v>
      </c>
      <c r="DB361" s="23">
        <v>40</v>
      </c>
      <c r="DC361" s="23">
        <v>0.99</v>
      </c>
      <c r="DD361" s="142">
        <f t="shared" si="203"/>
        <v>39.6</v>
      </c>
      <c r="DE361" s="23">
        <v>0.02</v>
      </c>
      <c r="DF361" s="149">
        <f t="shared" si="204"/>
        <v>1.2445714285714284</v>
      </c>
      <c r="DG361" s="149">
        <f t="shared" si="205"/>
        <v>385.81714285714281</v>
      </c>
      <c r="DH361" s="149">
        <f t="shared" si="206"/>
        <v>370.88228571428567</v>
      </c>
      <c r="DI361" s="150">
        <f t="shared" si="207"/>
        <v>410.80714285714282</v>
      </c>
      <c r="DJ361" s="150">
        <f t="shared" si="207"/>
        <v>400.63228571428567</v>
      </c>
      <c r="DK361" s="116" t="s">
        <v>168</v>
      </c>
      <c r="DL361" s="101" t="s">
        <v>392</v>
      </c>
    </row>
    <row r="362" spans="15:116" s="101" customFormat="1" x14ac:dyDescent="0.25">
      <c r="O362" s="227" t="s">
        <v>551</v>
      </c>
      <c r="Q362" s="243"/>
      <c r="R362" s="243"/>
      <c r="S362" s="242"/>
      <c r="T362" s="242"/>
      <c r="U362" s="242"/>
      <c r="V362" s="242"/>
      <c r="W362" s="242"/>
      <c r="X362" s="242"/>
      <c r="Y362" s="242"/>
      <c r="Z362" s="242"/>
      <c r="AA362" s="242"/>
      <c r="AB362" s="242"/>
      <c r="AC362" s="242"/>
      <c r="AD362" s="242"/>
      <c r="AE362" s="242"/>
      <c r="AF362" s="242"/>
      <c r="AG362" s="242"/>
      <c r="AH362" s="1336" t="e">
        <f t="shared" si="196"/>
        <v>#DIV/0!</v>
      </c>
      <c r="AI362" s="102">
        <v>5.67</v>
      </c>
      <c r="AN362" s="241">
        <v>1.1599999999999999</v>
      </c>
      <c r="AO362" s="241">
        <v>0.25</v>
      </c>
      <c r="AP362" s="247">
        <f>(AN362*365)*(AO362*0.67*0.01*1)</f>
        <v>0.70919500000000002</v>
      </c>
      <c r="AQ362" s="247">
        <f>(AN362*365)*(AO362*0.67*0.001*1)</f>
        <v>7.0919499999999996E-2</v>
      </c>
      <c r="AR362" s="248"/>
      <c r="AS362" s="247">
        <f>(AN362*365)*(AO362*0.67*0.02*1)</f>
        <v>1.41839</v>
      </c>
      <c r="AT362" s="247">
        <f>(AN362*365)*(AO362*0.67*0.01*1)</f>
        <v>0.70919500000000002</v>
      </c>
      <c r="AU362" s="247">
        <f>(AN362*365)*(AO362*0.67*0.25*1)</f>
        <v>17.729875</v>
      </c>
      <c r="AV362" s="247">
        <f>(AN362*365)*(AO362*0.67*0.73*1)</f>
        <v>51.771235000000004</v>
      </c>
      <c r="AW362" s="247">
        <f>(AN362*365)*(AO362*0.67*0.03*1)</f>
        <v>2.1275849999999998</v>
      </c>
      <c r="AX362" s="248"/>
      <c r="AY362" s="247">
        <f>(AN362*365)*(AO362*0.67*0.25*1)</f>
        <v>17.729875</v>
      </c>
      <c r="AZ362" s="247">
        <f t="shared" si="213"/>
        <v>70.919499999999999</v>
      </c>
      <c r="BA362" s="247">
        <f t="shared" si="214"/>
        <v>7.0919499999999998</v>
      </c>
      <c r="BB362" s="247">
        <f t="shared" si="215"/>
        <v>0.35459750000000001</v>
      </c>
      <c r="BC362" s="247">
        <f>(AN362*365)*(AO362*0.67*0.005*1)</f>
        <v>0.35459750000000001</v>
      </c>
      <c r="BD362" s="247">
        <v>0</v>
      </c>
      <c r="BE362" s="247">
        <v>0</v>
      </c>
      <c r="BF362" s="247">
        <f t="shared" si="216"/>
        <v>2.1862547681818185</v>
      </c>
      <c r="BH362" s="99"/>
      <c r="BI362" s="102"/>
      <c r="BJ362" s="178"/>
      <c r="BK362" s="178"/>
      <c r="BL362" s="178"/>
      <c r="BM362" s="169"/>
      <c r="BN362" s="169"/>
      <c r="BO362" s="169"/>
      <c r="BP362" s="206"/>
      <c r="BQ362" s="206"/>
      <c r="BR362" s="206"/>
      <c r="BS362" s="206"/>
      <c r="BT362" s="206"/>
      <c r="BU362" s="206"/>
      <c r="BV362" s="207"/>
      <c r="BW362" s="206"/>
      <c r="BX362" s="206"/>
      <c r="BY362" s="207"/>
      <c r="BZ362" s="207"/>
      <c r="CA362" s="207"/>
      <c r="CB362" s="180"/>
      <c r="CC362" s="178"/>
      <c r="CD362" s="178"/>
      <c r="CE362" s="180"/>
      <c r="CF362" s="180"/>
      <c r="CG362" s="180"/>
      <c r="CH362" s="180"/>
      <c r="CI362" s="178"/>
      <c r="CJ362" s="178"/>
      <c r="CK362" s="180"/>
      <c r="CL362" s="180"/>
      <c r="CM362" s="180"/>
      <c r="CN362" s="116"/>
      <c r="CO362" s="218">
        <f t="shared" si="217"/>
        <v>0</v>
      </c>
      <c r="CP362" s="100">
        <f t="shared" si="218"/>
        <v>0</v>
      </c>
      <c r="CQ362" s="218">
        <f t="shared" si="219"/>
        <v>0</v>
      </c>
      <c r="CZ362" s="116"/>
      <c r="DA362" s="141"/>
      <c r="DB362" s="116"/>
      <c r="DC362" s="116"/>
      <c r="DD362" s="116"/>
      <c r="DE362" s="116"/>
      <c r="DF362" s="116"/>
    </row>
    <row r="363" spans="15:116" s="101" customFormat="1" x14ac:dyDescent="0.25">
      <c r="O363" s="227" t="s">
        <v>552</v>
      </c>
      <c r="Q363" s="243"/>
      <c r="R363" s="243"/>
      <c r="S363" s="242"/>
      <c r="T363" s="242"/>
      <c r="U363" s="242"/>
      <c r="V363" s="242"/>
      <c r="W363" s="242"/>
      <c r="X363" s="242"/>
      <c r="Y363" s="242"/>
      <c r="Z363" s="242"/>
      <c r="AA363" s="242"/>
      <c r="AB363" s="242"/>
      <c r="AC363" s="242"/>
      <c r="AD363" s="242"/>
      <c r="AE363" s="242"/>
      <c r="AF363" s="242"/>
      <c r="AG363" s="242"/>
      <c r="AH363" s="1336" t="e">
        <f t="shared" si="196"/>
        <v>#DIV/0!</v>
      </c>
      <c r="AN363" s="241">
        <v>1.1599999999999999</v>
      </c>
      <c r="AO363" s="241">
        <v>0.25</v>
      </c>
      <c r="AP363" s="247">
        <f>(AN363*365)*(AO363*0.67*0.015*1)</f>
        <v>1.0637924999999999</v>
      </c>
      <c r="AQ363" s="247">
        <f>(AN363*365)*(AO363*0.67*0.005*1)</f>
        <v>0.35459750000000001</v>
      </c>
      <c r="AR363" s="248"/>
      <c r="AS363" s="247">
        <f>(AN363*365)*(AO363*0.67*0.04*1)</f>
        <v>2.8367800000000001</v>
      </c>
      <c r="AT363" s="247">
        <f>(AN363*365)*(AO363*0.67*0.015*1)</f>
        <v>1.0637924999999999</v>
      </c>
      <c r="AU363" s="247">
        <f>(AN363*365)*(AO363*0.67*0.65*1)</f>
        <v>46.097675000000002</v>
      </c>
      <c r="AV363" s="247">
        <f>(AN363*365)*(AO363*0.67*0.79*1)</f>
        <v>56.026405000000011</v>
      </c>
      <c r="AW363" s="247">
        <f>(AN363*365)*(AO363*0.67*0.03*1)</f>
        <v>2.1275849999999998</v>
      </c>
      <c r="AX363" s="248"/>
      <c r="AY363" s="247">
        <f>(AN363*365)*(AO363*0.67*0.65*1)</f>
        <v>46.097675000000002</v>
      </c>
      <c r="AZ363" s="247">
        <f t="shared" si="213"/>
        <v>70.919499999999999</v>
      </c>
      <c r="BA363" s="247">
        <f t="shared" si="214"/>
        <v>7.0919499999999998</v>
      </c>
      <c r="BB363" s="247">
        <f t="shared" si="215"/>
        <v>0.35459750000000001</v>
      </c>
      <c r="BC363" s="247">
        <f>(AN363*365)*(AO363*0.67*0.01*1)</f>
        <v>0.70919500000000002</v>
      </c>
      <c r="BD363" s="247">
        <v>0</v>
      </c>
      <c r="BE363" s="247">
        <v>0</v>
      </c>
      <c r="BF363" s="247">
        <f t="shared" si="216"/>
        <v>3.0817746363636367</v>
      </c>
      <c r="BI363" s="102"/>
      <c r="BJ363" s="178"/>
      <c r="BK363" s="178"/>
      <c r="BL363" s="178"/>
      <c r="BM363" s="169"/>
      <c r="BN363" s="169"/>
      <c r="BO363" s="169"/>
      <c r="BP363" s="206"/>
      <c r="BQ363" s="206"/>
      <c r="BR363" s="206"/>
      <c r="BS363" s="206"/>
      <c r="BT363" s="206"/>
      <c r="BU363" s="206"/>
      <c r="BV363" s="207"/>
      <c r="BW363" s="206"/>
      <c r="BX363" s="206"/>
      <c r="BY363" s="207"/>
      <c r="BZ363" s="207"/>
      <c r="CA363" s="207"/>
      <c r="CB363" s="180"/>
      <c r="CC363" s="178"/>
      <c r="CD363" s="178"/>
      <c r="CE363" s="180"/>
      <c r="CF363" s="180"/>
      <c r="CG363" s="180"/>
      <c r="CH363" s="180"/>
      <c r="CI363" s="178"/>
      <c r="CJ363" s="178"/>
      <c r="CK363" s="180"/>
      <c r="CL363" s="180"/>
      <c r="CM363" s="180"/>
      <c r="CN363" s="116"/>
      <c r="CO363" s="218">
        <f t="shared" si="217"/>
        <v>0</v>
      </c>
      <c r="CP363" s="100">
        <f t="shared" si="218"/>
        <v>0</v>
      </c>
      <c r="CQ363" s="218">
        <f t="shared" si="219"/>
        <v>0</v>
      </c>
      <c r="CZ363" s="116" t="s">
        <v>67</v>
      </c>
      <c r="DB363" s="116" t="s">
        <v>103</v>
      </c>
      <c r="DC363" s="116" t="s">
        <v>104</v>
      </c>
      <c r="DD363" s="116"/>
      <c r="DE363" s="116"/>
      <c r="DF363" s="116"/>
      <c r="DG363" s="116" t="s">
        <v>105</v>
      </c>
      <c r="DH363" s="116" t="s">
        <v>106</v>
      </c>
      <c r="DI363" s="116" t="s">
        <v>107</v>
      </c>
      <c r="DJ363" s="116"/>
      <c r="DK363" s="116" t="s">
        <v>108</v>
      </c>
    </row>
    <row r="364" spans="15:116" s="101" customFormat="1" ht="18.75" thickBot="1" x14ac:dyDescent="0.3">
      <c r="O364" s="227" t="s">
        <v>553</v>
      </c>
      <c r="Q364" s="243"/>
      <c r="R364" s="243"/>
      <c r="S364" s="242"/>
      <c r="T364" s="242"/>
      <c r="U364" s="242"/>
      <c r="V364" s="242"/>
      <c r="W364" s="242"/>
      <c r="X364" s="242"/>
      <c r="Y364" s="242"/>
      <c r="Z364" s="242"/>
      <c r="AA364" s="242"/>
      <c r="AB364" s="242"/>
      <c r="AC364" s="242"/>
      <c r="AD364" s="242"/>
      <c r="AE364" s="242"/>
      <c r="AF364" s="242"/>
      <c r="AG364" s="242"/>
      <c r="AH364" s="1336" t="e">
        <f t="shared" si="196"/>
        <v>#DIV/0!</v>
      </c>
      <c r="AN364" s="241">
        <v>1.1599999999999999</v>
      </c>
      <c r="AO364" s="241">
        <v>0.25</v>
      </c>
      <c r="AP364" s="247">
        <f>(AN364*365)*(AO364*0.67*0.02*1)</f>
        <v>1.41839</v>
      </c>
      <c r="AQ364" s="247">
        <f>(AN364*365)*(AO364*0.67*0.01*1)</f>
        <v>0.70919500000000002</v>
      </c>
      <c r="AR364" s="248"/>
      <c r="AS364" s="247">
        <f>(AN364*365)*(AO364*0.67*0.05*1)</f>
        <v>3.5459749999999999</v>
      </c>
      <c r="AT364" s="247">
        <f>(AN364*365)*(AO364*0.67*0.02*1)</f>
        <v>1.41839</v>
      </c>
      <c r="AU364" s="247">
        <f>(AN364*365)*(AO364*0.67*0.8*1)</f>
        <v>56.735599999999998</v>
      </c>
      <c r="AV364" s="247">
        <f>(AN364*365)*(AO364*0.67*0.8*1)</f>
        <v>56.735599999999998</v>
      </c>
      <c r="AW364" s="247">
        <f>(AN364*365)*(AO364*0.67*0.3*1)</f>
        <v>21.275849999999998</v>
      </c>
      <c r="AX364" s="248"/>
      <c r="AY364" s="247">
        <f>(AN364*365)*(AO364*0.67*0.8*1)</f>
        <v>56.735599999999998</v>
      </c>
      <c r="AZ364" s="247">
        <f t="shared" si="213"/>
        <v>70.919499999999999</v>
      </c>
      <c r="BA364" s="247">
        <f t="shared" si="214"/>
        <v>7.0919499999999998</v>
      </c>
      <c r="BB364" s="247">
        <f t="shared" si="215"/>
        <v>0.35459750000000001</v>
      </c>
      <c r="BC364" s="247">
        <f>(AN364*365)*(AO364*0.67*0.015*1)</f>
        <v>1.0637924999999999</v>
      </c>
      <c r="BD364" s="247">
        <v>0</v>
      </c>
      <c r="BE364" s="247">
        <v>0</v>
      </c>
      <c r="BF364" s="247">
        <f t="shared" si="216"/>
        <v>3.790969636363636</v>
      </c>
      <c r="BI364" s="102"/>
      <c r="BJ364" s="178"/>
      <c r="BK364" s="178"/>
      <c r="BL364" s="178"/>
      <c r="BM364" s="169"/>
      <c r="BN364" s="169"/>
      <c r="BO364" s="169"/>
      <c r="BP364" s="206"/>
      <c r="BQ364" s="206"/>
      <c r="BR364" s="206"/>
      <c r="BS364" s="206"/>
      <c r="BT364" s="206"/>
      <c r="BU364" s="206"/>
      <c r="BV364" s="207"/>
      <c r="BW364" s="206"/>
      <c r="BX364" s="206"/>
      <c r="BY364" s="207"/>
      <c r="BZ364" s="207"/>
      <c r="CA364" s="207"/>
      <c r="CB364" s="180"/>
      <c r="CC364" s="178"/>
      <c r="CD364" s="178"/>
      <c r="CE364" s="180"/>
      <c r="CF364" s="180"/>
      <c r="CG364" s="180"/>
      <c r="CH364" s="180"/>
      <c r="CI364" s="178"/>
      <c r="CJ364" s="178"/>
      <c r="CK364" s="180"/>
      <c r="CL364" s="180"/>
      <c r="CM364" s="180"/>
      <c r="CN364" s="116"/>
      <c r="CO364" s="218">
        <f t="shared" si="217"/>
        <v>0</v>
      </c>
      <c r="CP364" s="100">
        <f t="shared" si="218"/>
        <v>0</v>
      </c>
      <c r="CQ364" s="218">
        <f t="shared" si="219"/>
        <v>0</v>
      </c>
      <c r="CX364" s="101" t="s">
        <v>62</v>
      </c>
      <c r="CY364" s="101" t="s">
        <v>49</v>
      </c>
      <c r="CZ364" s="101">
        <f>+DK364</f>
        <v>6.1897500000000008E-2</v>
      </c>
      <c r="DB364" s="116">
        <v>1</v>
      </c>
      <c r="DC364" s="116">
        <v>0.9</v>
      </c>
      <c r="DD364" s="116"/>
      <c r="DE364" s="116"/>
      <c r="DF364" s="116"/>
      <c r="DG364" s="116">
        <v>0.5</v>
      </c>
      <c r="DH364" s="116">
        <v>5.0000000000000001E-3</v>
      </c>
      <c r="DI364" s="116">
        <f>+DB364*DC364*DG364*DH364*21</f>
        <v>4.7250000000000007E-2</v>
      </c>
      <c r="DJ364" s="116"/>
      <c r="DK364" s="101">
        <f>+DI364+DJ375</f>
        <v>6.1897500000000008E-2</v>
      </c>
      <c r="DL364" s="116" t="s">
        <v>376</v>
      </c>
    </row>
    <row r="365" spans="15:116" s="101" customFormat="1" ht="15" customHeight="1" x14ac:dyDescent="0.25">
      <c r="BD365" s="101">
        <v>0</v>
      </c>
      <c r="BI365" s="1606" t="s">
        <v>58</v>
      </c>
      <c r="BJ365" s="251"/>
      <c r="BK365" s="1606" t="s">
        <v>279</v>
      </c>
      <c r="BL365" s="251"/>
      <c r="BM365" s="1606" t="s">
        <v>233</v>
      </c>
      <c r="BN365" s="1606" t="s">
        <v>233</v>
      </c>
      <c r="BO365" s="1606" t="s">
        <v>240</v>
      </c>
      <c r="BP365" s="1606" t="s">
        <v>282</v>
      </c>
      <c r="BQ365" s="251"/>
      <c r="BR365" s="1606" t="s">
        <v>233</v>
      </c>
      <c r="BS365" s="1606" t="s">
        <v>233</v>
      </c>
      <c r="BT365" s="1606" t="s">
        <v>240</v>
      </c>
      <c r="BU365" s="102"/>
      <c r="BV365" s="207"/>
      <c r="BW365" s="206"/>
      <c r="BX365" s="206"/>
      <c r="BY365" s="207"/>
      <c r="BZ365" s="207"/>
      <c r="CA365" s="207"/>
      <c r="CB365" s="180"/>
      <c r="CC365" s="178"/>
      <c r="CD365" s="178"/>
      <c r="CE365" s="180"/>
      <c r="CF365" s="180"/>
      <c r="CG365" s="180"/>
      <c r="CH365" s="180"/>
      <c r="CI365" s="178"/>
      <c r="CJ365" s="178"/>
      <c r="CK365" s="180"/>
      <c r="CL365" s="180"/>
      <c r="CM365" s="180"/>
      <c r="CN365" s="116"/>
      <c r="CO365" s="218" t="str">
        <f t="shared" si="217"/>
        <v>Incertidumbre (+/- %)</v>
      </c>
      <c r="CP365" s="100" t="e">
        <f t="shared" si="218"/>
        <v>#VALUE!</v>
      </c>
      <c r="CQ365" s="218" t="str">
        <f t="shared" si="219"/>
        <v>Incertidumbre (+/- %)</v>
      </c>
      <c r="DC365" s="116"/>
      <c r="DD365" s="116"/>
      <c r="DE365" s="116"/>
      <c r="DF365" s="116"/>
    </row>
    <row r="366" spans="15:116" s="101" customFormat="1" ht="15.75" thickBot="1" x14ac:dyDescent="0.3">
      <c r="BI366" s="1607"/>
      <c r="BJ366" s="252" t="s">
        <v>253</v>
      </c>
      <c r="BK366" s="1607"/>
      <c r="BL366" s="252" t="s">
        <v>251</v>
      </c>
      <c r="BM366" s="1607"/>
      <c r="BN366" s="1607"/>
      <c r="BO366" s="1607"/>
      <c r="BP366" s="1607"/>
      <c r="BQ366" s="252" t="s">
        <v>251</v>
      </c>
      <c r="BR366" s="1607"/>
      <c r="BS366" s="1607"/>
      <c r="BT366" s="1607"/>
      <c r="BU366" s="102"/>
      <c r="BV366" s="207"/>
      <c r="BW366" s="206"/>
      <c r="BX366" s="206"/>
      <c r="BY366" s="207"/>
      <c r="BZ366" s="207"/>
      <c r="CA366" s="207"/>
      <c r="CB366" s="180"/>
      <c r="CC366" s="178"/>
      <c r="CD366" s="178"/>
      <c r="CE366" s="180"/>
      <c r="CF366" s="180"/>
      <c r="CG366" s="180"/>
      <c r="CH366" s="180"/>
      <c r="CI366" s="178"/>
      <c r="CJ366" s="178"/>
      <c r="CK366" s="180"/>
      <c r="CL366" s="180"/>
      <c r="CM366" s="180"/>
      <c r="CN366" s="116"/>
      <c r="CO366" s="218">
        <f t="shared" si="217"/>
        <v>0</v>
      </c>
      <c r="CP366" s="100">
        <f t="shared" si="218"/>
        <v>0</v>
      </c>
      <c r="CQ366" s="218">
        <f t="shared" si="219"/>
        <v>0</v>
      </c>
      <c r="DC366" s="116"/>
      <c r="DD366" s="116"/>
      <c r="DE366" s="116"/>
      <c r="DF366" s="116"/>
      <c r="DI366" s="116">
        <f>+DB364*DC364*DG364*DH364*25</f>
        <v>5.6250000000000008E-2</v>
      </c>
      <c r="DK366" s="101">
        <f>+DI366+DJ377</f>
        <v>7.0330500000000004E-2</v>
      </c>
    </row>
    <row r="367" spans="15:116" s="101" customFormat="1" ht="18.75" thickBot="1" x14ac:dyDescent="0.3">
      <c r="BI367" s="203" t="s">
        <v>470</v>
      </c>
      <c r="BJ367" s="190" t="s">
        <v>471</v>
      </c>
      <c r="BK367" s="196">
        <f>10/1000</f>
        <v>0.01</v>
      </c>
      <c r="BL367" s="190" t="s">
        <v>416</v>
      </c>
      <c r="BM367" s="189">
        <f>0.08/10</f>
        <v>8.0000000000000002E-3</v>
      </c>
      <c r="BN367" s="189">
        <f>20/10</f>
        <v>2</v>
      </c>
      <c r="BO367" s="188" t="s">
        <v>258</v>
      </c>
      <c r="BP367" s="196">
        <f>0.6/1000</f>
        <v>5.9999999999999995E-4</v>
      </c>
      <c r="BQ367" s="190" t="s">
        <v>417</v>
      </c>
      <c r="BR367" s="189">
        <f>0.2/0.6</f>
        <v>0.33333333333333337</v>
      </c>
      <c r="BS367" s="189">
        <f>1.2/0.6</f>
        <v>2</v>
      </c>
      <c r="BT367" s="188" t="s">
        <v>258</v>
      </c>
      <c r="BU367" s="102"/>
      <c r="BV367" s="207"/>
      <c r="BW367" s="206"/>
      <c r="BX367" s="206"/>
      <c r="BY367" s="207"/>
      <c r="BZ367" s="207"/>
      <c r="CA367" s="207"/>
      <c r="CB367" s="180"/>
      <c r="CC367" s="178"/>
      <c r="CD367" s="178"/>
      <c r="CE367" s="180"/>
      <c r="CF367" s="180"/>
      <c r="CG367" s="180"/>
      <c r="CH367" s="180"/>
      <c r="CI367" s="178"/>
      <c r="CJ367" s="178"/>
      <c r="CK367" s="180"/>
      <c r="CL367" s="180"/>
      <c r="CM367" s="180"/>
      <c r="CN367" s="116"/>
      <c r="CO367" s="218">
        <f t="shared" si="217"/>
        <v>8.0000000000000002E-3</v>
      </c>
      <c r="CP367" s="100">
        <f t="shared" si="218"/>
        <v>1.004</v>
      </c>
      <c r="CQ367" s="218">
        <f t="shared" si="219"/>
        <v>2</v>
      </c>
      <c r="DC367" s="116"/>
      <c r="DD367" s="116"/>
      <c r="DE367" s="116"/>
      <c r="DF367" s="116"/>
      <c r="DI367" s="116"/>
    </row>
    <row r="368" spans="15:116" s="101" customFormat="1" ht="18.75" thickBot="1" x14ac:dyDescent="0.3">
      <c r="BI368" s="203" t="s">
        <v>472</v>
      </c>
      <c r="BJ368" s="190" t="s">
        <v>475</v>
      </c>
      <c r="BK368" s="196">
        <f>4/1000</f>
        <v>4.0000000000000001E-3</v>
      </c>
      <c r="BL368" s="190" t="s">
        <v>416</v>
      </c>
      <c r="BM368" s="189">
        <f>0.03/4</f>
        <v>7.4999999999999997E-3</v>
      </c>
      <c r="BN368" s="189">
        <f>8/4</f>
        <v>2</v>
      </c>
      <c r="BO368" s="188" t="s">
        <v>258</v>
      </c>
      <c r="BP368" s="196">
        <f>0.3/1000</f>
        <v>2.9999999999999997E-4</v>
      </c>
      <c r="BQ368" s="190" t="s">
        <v>417</v>
      </c>
      <c r="BR368" s="189">
        <f>0.06/0.3</f>
        <v>0.2</v>
      </c>
      <c r="BS368" s="189">
        <f>0.6/0.3</f>
        <v>2</v>
      </c>
      <c r="BT368" s="188" t="s">
        <v>258</v>
      </c>
      <c r="BU368" s="102"/>
      <c r="BV368" s="207"/>
      <c r="BW368" s="206"/>
      <c r="BX368" s="206"/>
      <c r="BY368" s="207"/>
      <c r="BZ368" s="207"/>
      <c r="CA368" s="207"/>
      <c r="CB368" s="180"/>
      <c r="CC368" s="178"/>
      <c r="CD368" s="178"/>
      <c r="CE368" s="180"/>
      <c r="CF368" s="180"/>
      <c r="CG368" s="180"/>
      <c r="CH368" s="180"/>
      <c r="CI368" s="178"/>
      <c r="CJ368" s="178"/>
      <c r="CK368" s="180"/>
      <c r="CL368" s="180"/>
      <c r="CM368" s="180"/>
      <c r="CN368" s="116"/>
      <c r="CO368" s="218">
        <f t="shared" si="217"/>
        <v>7.4999999999999997E-3</v>
      </c>
      <c r="CP368" s="100">
        <f t="shared" si="218"/>
        <v>1.0037499999999999</v>
      </c>
      <c r="CQ368" s="218">
        <f t="shared" si="219"/>
        <v>2</v>
      </c>
      <c r="DC368" s="116"/>
      <c r="DD368" s="116"/>
      <c r="DE368" s="116"/>
      <c r="DF368" s="116"/>
      <c r="DI368" s="116"/>
    </row>
    <row r="369" spans="54:114" s="101" customFormat="1" ht="18.75" thickBot="1" x14ac:dyDescent="0.3">
      <c r="BI369" s="203" t="s">
        <v>473</v>
      </c>
      <c r="BJ369" s="190" t="s">
        <v>471</v>
      </c>
      <c r="BK369" s="196">
        <f>2/1000</f>
        <v>2E-3</v>
      </c>
      <c r="BL369" s="190" t="s">
        <v>416</v>
      </c>
      <c r="BM369" s="189">
        <f>0/2</f>
        <v>0</v>
      </c>
      <c r="BN369" s="189">
        <f>20/2</f>
        <v>10</v>
      </c>
      <c r="BO369" s="188" t="s">
        <v>258</v>
      </c>
      <c r="BP369" s="196">
        <v>0</v>
      </c>
      <c r="BQ369" s="190" t="s">
        <v>417</v>
      </c>
      <c r="BR369" s="189">
        <v>0</v>
      </c>
      <c r="BS369" s="189">
        <v>0</v>
      </c>
      <c r="BT369" s="188" t="s">
        <v>258</v>
      </c>
      <c r="BU369" s="102"/>
      <c r="BV369" s="207"/>
      <c r="BW369" s="206"/>
      <c r="BX369" s="206"/>
      <c r="BY369" s="207"/>
      <c r="BZ369" s="207"/>
      <c r="CA369" s="207"/>
      <c r="CB369" s="180"/>
      <c r="CC369" s="178"/>
      <c r="CD369" s="178"/>
      <c r="CE369" s="180"/>
      <c r="CF369" s="180"/>
      <c r="CG369" s="180"/>
      <c r="CH369" s="180"/>
      <c r="CI369" s="178"/>
      <c r="CJ369" s="178"/>
      <c r="CK369" s="180"/>
      <c r="CL369" s="180"/>
      <c r="CM369" s="180"/>
      <c r="CN369" s="116"/>
      <c r="CO369" s="218">
        <f t="shared" si="217"/>
        <v>0</v>
      </c>
      <c r="CP369" s="100">
        <f t="shared" si="218"/>
        <v>5</v>
      </c>
      <c r="CQ369" s="218">
        <f t="shared" si="219"/>
        <v>10</v>
      </c>
      <c r="DC369" s="116"/>
      <c r="DD369" s="116"/>
      <c r="DE369" s="116"/>
      <c r="DF369" s="116"/>
      <c r="DI369" s="116"/>
    </row>
    <row r="370" spans="54:114" s="101" customFormat="1" ht="18.75" thickBot="1" x14ac:dyDescent="0.3">
      <c r="BB370" s="100" t="s">
        <v>509</v>
      </c>
      <c r="BC370" s="100" t="s">
        <v>510</v>
      </c>
      <c r="BD370" s="100" t="s">
        <v>512</v>
      </c>
      <c r="BE370" s="100"/>
      <c r="BF370" s="100" t="s">
        <v>511</v>
      </c>
      <c r="BI370" s="203" t="s">
        <v>474</v>
      </c>
      <c r="BJ370" s="190" t="s">
        <v>475</v>
      </c>
      <c r="BK370" s="196">
        <f>1/1000</f>
        <v>1E-3</v>
      </c>
      <c r="BL370" s="190" t="s">
        <v>416</v>
      </c>
      <c r="BM370" s="189">
        <f>0/2</f>
        <v>0</v>
      </c>
      <c r="BN370" s="189">
        <f>8/1</f>
        <v>8</v>
      </c>
      <c r="BO370" s="188" t="s">
        <v>258</v>
      </c>
      <c r="BP370" s="196">
        <v>0</v>
      </c>
      <c r="BQ370" s="190" t="s">
        <v>417</v>
      </c>
      <c r="BR370" s="189">
        <v>0</v>
      </c>
      <c r="BS370" s="189">
        <v>0</v>
      </c>
      <c r="BT370" s="188" t="s">
        <v>258</v>
      </c>
      <c r="BU370" s="102"/>
      <c r="BV370" s="207"/>
      <c r="BW370" s="206"/>
      <c r="BX370" s="206"/>
      <c r="BY370" s="207"/>
      <c r="BZ370" s="207"/>
      <c r="CA370" s="207"/>
      <c r="CB370" s="180"/>
      <c r="CC370" s="178"/>
      <c r="CD370" s="178"/>
      <c r="CE370" s="180"/>
      <c r="CF370" s="180"/>
      <c r="CG370" s="180"/>
      <c r="CH370" s="180"/>
      <c r="CI370" s="178"/>
      <c r="CJ370" s="178"/>
      <c r="CK370" s="180"/>
      <c r="CL370" s="180"/>
      <c r="CM370" s="180"/>
      <c r="CN370" s="116"/>
      <c r="CO370" s="218">
        <f t="shared" si="217"/>
        <v>0</v>
      </c>
      <c r="CP370" s="100">
        <f t="shared" si="218"/>
        <v>4</v>
      </c>
      <c r="CQ370" s="218">
        <f t="shared" si="219"/>
        <v>8</v>
      </c>
      <c r="DC370" s="116"/>
      <c r="DD370" s="116"/>
      <c r="DE370" s="116"/>
      <c r="DF370" s="116"/>
      <c r="DI370" s="116"/>
    </row>
    <row r="371" spans="54:114" s="101" customFormat="1" ht="26.25" thickBot="1" x14ac:dyDescent="0.3">
      <c r="BB371" s="100">
        <v>50.4</v>
      </c>
      <c r="BC371" s="100">
        <v>22</v>
      </c>
      <c r="BD371" s="100">
        <f>BC371/((BB371*1000*1000)/(1000*1000))</f>
        <v>0.43650793650793651</v>
      </c>
      <c r="BE371" s="100"/>
      <c r="BF371" s="100">
        <v>0.63500999999999996</v>
      </c>
      <c r="BI371" s="203" t="s">
        <v>507</v>
      </c>
      <c r="BJ371" s="190" t="s">
        <v>505</v>
      </c>
      <c r="BK371" s="196">
        <f>BD371*BF371</f>
        <v>0.27718690476190477</v>
      </c>
      <c r="BL371" s="190" t="s">
        <v>506</v>
      </c>
      <c r="BM371" s="189">
        <f>0%/5%</f>
        <v>0</v>
      </c>
      <c r="BN371" s="189">
        <f>10%/5%</f>
        <v>2</v>
      </c>
      <c r="BO371" s="188" t="s">
        <v>258</v>
      </c>
      <c r="BP371" s="196">
        <v>0</v>
      </c>
      <c r="BQ371" s="190" t="s">
        <v>508</v>
      </c>
      <c r="BR371" s="189">
        <v>0</v>
      </c>
      <c r="BS371" s="189">
        <v>0</v>
      </c>
      <c r="BT371" s="188" t="s">
        <v>258</v>
      </c>
      <c r="BU371" s="102"/>
      <c r="BV371" s="207"/>
      <c r="BW371" s="206"/>
      <c r="BX371" s="206"/>
      <c r="BY371" s="207"/>
      <c r="BZ371" s="207"/>
      <c r="CA371" s="207"/>
      <c r="CB371" s="180"/>
      <c r="CC371" s="178"/>
      <c r="CD371" s="178"/>
      <c r="CE371" s="180"/>
      <c r="CF371" s="180"/>
      <c r="CG371" s="180"/>
      <c r="CH371" s="180"/>
      <c r="CI371" s="178"/>
      <c r="CJ371" s="178"/>
      <c r="CK371" s="180"/>
      <c r="CL371" s="180"/>
      <c r="CM371" s="180"/>
      <c r="CN371" s="116"/>
      <c r="CO371" s="218">
        <f t="shared" si="217"/>
        <v>0</v>
      </c>
      <c r="CP371" s="100">
        <f t="shared" si="218"/>
        <v>1</v>
      </c>
      <c r="CQ371" s="218">
        <f t="shared" si="219"/>
        <v>2</v>
      </c>
      <c r="DC371" s="116"/>
      <c r="DD371" s="116"/>
      <c r="DE371" s="116"/>
      <c r="DF371" s="116"/>
      <c r="DI371" s="116"/>
    </row>
    <row r="372" spans="54:114" s="101" customFormat="1" ht="18.75" thickBot="1" x14ac:dyDescent="0.3">
      <c r="BI372" s="203" t="s">
        <v>316</v>
      </c>
      <c r="BJ372" s="190" t="s">
        <v>49</v>
      </c>
      <c r="BK372" s="196">
        <f>2.7/1000</f>
        <v>2.7000000000000001E-3</v>
      </c>
      <c r="BL372" s="190" t="s">
        <v>416</v>
      </c>
      <c r="BM372" s="189">
        <f>0.9/2.7</f>
        <v>0.33333333333333331</v>
      </c>
      <c r="BN372" s="189">
        <f>0.9/2.7</f>
        <v>0.33333333333333331</v>
      </c>
      <c r="BO372" s="188" t="s">
        <v>258</v>
      </c>
      <c r="BP372" s="196">
        <f>0.07/1000</f>
        <v>7.0000000000000007E-5</v>
      </c>
      <c r="BQ372" s="190" t="s">
        <v>417</v>
      </c>
      <c r="BR372" s="189">
        <f>0.1/0.07</f>
        <v>1.4285714285714286</v>
      </c>
      <c r="BS372" s="189">
        <f>0.1/0.07</f>
        <v>1.4285714285714286</v>
      </c>
      <c r="BT372" s="188" t="s">
        <v>258</v>
      </c>
      <c r="BU372" s="102"/>
      <c r="BV372" s="196">
        <v>1515</v>
      </c>
      <c r="BW372" s="190" t="s">
        <v>461</v>
      </c>
      <c r="BX372" s="189">
        <f>177/1515</f>
        <v>0.11683168316831684</v>
      </c>
      <c r="BY372" s="189">
        <f>177/1515</f>
        <v>0.11683168316831684</v>
      </c>
      <c r="BZ372" s="188" t="s">
        <v>258</v>
      </c>
      <c r="CA372" s="207"/>
      <c r="CB372" s="180"/>
      <c r="CC372" s="178"/>
      <c r="CD372" s="178"/>
      <c r="CE372" s="180"/>
      <c r="CF372" s="180"/>
      <c r="CG372" s="180"/>
      <c r="CH372" s="180"/>
      <c r="CI372" s="178"/>
      <c r="CJ372" s="178"/>
      <c r="CK372" s="180"/>
      <c r="CL372" s="180"/>
      <c r="CM372" s="180"/>
      <c r="CN372" s="116"/>
      <c r="CO372" s="218">
        <f t="shared" si="217"/>
        <v>0.33333333333333331</v>
      </c>
      <c r="CP372" s="100">
        <f t="shared" si="218"/>
        <v>0.33333333333333331</v>
      </c>
      <c r="CQ372" s="218">
        <f t="shared" si="219"/>
        <v>0.33333333333333331</v>
      </c>
      <c r="DC372" s="116"/>
      <c r="DD372" s="116"/>
      <c r="DE372" s="116"/>
      <c r="DF372" s="116"/>
      <c r="DI372" s="116"/>
    </row>
    <row r="373" spans="54:114" s="101" customFormat="1" ht="18.75" thickBot="1" x14ac:dyDescent="0.3">
      <c r="BI373" s="203" t="s">
        <v>460</v>
      </c>
      <c r="BJ373" s="190" t="s">
        <v>49</v>
      </c>
      <c r="BK373" s="196">
        <f>2.3/1000</f>
        <v>2.3E-3</v>
      </c>
      <c r="BL373" s="190" t="s">
        <v>416</v>
      </c>
      <c r="BM373" s="189">
        <f>0.9/2.3</f>
        <v>0.39130434782608697</v>
      </c>
      <c r="BN373" s="189">
        <f>0.9/2.3</f>
        <v>0.39130434782608697</v>
      </c>
      <c r="BO373" s="188" t="s">
        <v>258</v>
      </c>
      <c r="BP373" s="196">
        <f>0.21/1000</f>
        <v>2.0999999999999998E-4</v>
      </c>
      <c r="BQ373" s="190" t="s">
        <v>417</v>
      </c>
      <c r="BR373" s="189">
        <f>0.1/0.21</f>
        <v>0.47619047619047622</v>
      </c>
      <c r="BS373" s="189">
        <f>0.1/0.21</f>
        <v>0.47619047619047622</v>
      </c>
      <c r="BT373" s="188" t="s">
        <v>258</v>
      </c>
      <c r="BU373" s="102"/>
      <c r="BV373" s="196">
        <v>1613</v>
      </c>
      <c r="BW373" s="190" t="s">
        <v>461</v>
      </c>
      <c r="BX373" s="189">
        <f>95/1613</f>
        <v>5.8896466212027279E-2</v>
      </c>
      <c r="BY373" s="189">
        <f>95/1613</f>
        <v>5.8896466212027279E-2</v>
      </c>
      <c r="BZ373" s="188" t="s">
        <v>258</v>
      </c>
      <c r="CA373" s="207"/>
      <c r="CB373" s="180"/>
      <c r="CC373" s="178"/>
      <c r="CD373" s="178"/>
      <c r="CE373" s="180"/>
      <c r="CF373" s="180"/>
      <c r="CG373" s="180"/>
      <c r="CH373" s="180"/>
      <c r="CI373" s="178"/>
      <c r="CJ373" s="178"/>
      <c r="CK373" s="180"/>
      <c r="CL373" s="180"/>
      <c r="CM373" s="180"/>
      <c r="CN373" s="116"/>
      <c r="CO373" s="218">
        <f t="shared" si="217"/>
        <v>0.39130434782608697</v>
      </c>
      <c r="CP373" s="100">
        <f t="shared" si="218"/>
        <v>0.39130434782608697</v>
      </c>
      <c r="CQ373" s="218">
        <f t="shared" si="219"/>
        <v>0.39130434782608697</v>
      </c>
      <c r="DC373" s="116"/>
      <c r="DD373" s="116"/>
      <c r="DE373" s="116"/>
      <c r="DF373" s="116"/>
      <c r="DI373" s="116"/>
    </row>
    <row r="374" spans="54:114" s="101" customFormat="1" x14ac:dyDescent="0.25">
      <c r="BI374" s="102"/>
      <c r="BJ374" s="178"/>
      <c r="BK374" s="178"/>
      <c r="BL374" s="178"/>
      <c r="BM374" s="169"/>
      <c r="BN374" s="169"/>
      <c r="BO374" s="169"/>
      <c r="BP374" s="206"/>
      <c r="BQ374" s="178"/>
      <c r="BR374" s="206"/>
      <c r="BS374" s="206"/>
      <c r="BT374" s="206"/>
      <c r="BU374" s="206"/>
      <c r="BV374" s="207"/>
      <c r="BW374" s="206"/>
      <c r="BX374" s="206"/>
      <c r="BY374" s="207"/>
      <c r="BZ374" s="207"/>
      <c r="CA374" s="207"/>
      <c r="CB374" s="180"/>
      <c r="CC374" s="178"/>
      <c r="CD374" s="178"/>
      <c r="CE374" s="180"/>
      <c r="CF374" s="180"/>
      <c r="CG374" s="180"/>
      <c r="CH374" s="180"/>
      <c r="CI374" s="178"/>
      <c r="CJ374" s="178"/>
      <c r="CK374" s="180"/>
      <c r="CL374" s="180"/>
      <c r="CM374" s="180"/>
      <c r="CN374" s="116"/>
      <c r="CO374" s="218">
        <f t="shared" si="217"/>
        <v>0</v>
      </c>
      <c r="CP374" s="100">
        <f t="shared" si="218"/>
        <v>0</v>
      </c>
      <c r="CQ374" s="218">
        <f t="shared" si="219"/>
        <v>0</v>
      </c>
      <c r="DC374" s="116"/>
      <c r="DD374" s="116"/>
      <c r="DE374" s="116"/>
      <c r="DF374" s="116"/>
      <c r="DH374" s="101" t="s">
        <v>109</v>
      </c>
      <c r="DI374" s="101" t="s">
        <v>110</v>
      </c>
      <c r="DJ374" s="101" t="s">
        <v>107</v>
      </c>
    </row>
    <row r="375" spans="54:114" s="101" customFormat="1" ht="15.75" thickBot="1" x14ac:dyDescent="0.3">
      <c r="BI375" s="102"/>
      <c r="BJ375" s="178"/>
      <c r="BK375" s="178"/>
      <c r="BL375" s="178"/>
      <c r="BM375" s="169"/>
      <c r="BN375" s="169"/>
      <c r="BO375" s="169"/>
      <c r="BP375" s="206"/>
      <c r="BQ375" s="206"/>
      <c r="BR375" s="206"/>
      <c r="BS375" s="206"/>
      <c r="BT375" s="206"/>
      <c r="BU375" s="206"/>
      <c r="BV375" s="207"/>
      <c r="BW375" s="206"/>
      <c r="BX375" s="206"/>
      <c r="BY375" s="207"/>
      <c r="BZ375" s="207"/>
      <c r="CA375" s="207"/>
      <c r="CB375" s="180"/>
      <c r="CC375" s="178"/>
      <c r="CD375" s="178"/>
      <c r="CE375" s="180"/>
      <c r="CF375" s="180"/>
      <c r="CG375" s="180"/>
      <c r="CH375" s="180"/>
      <c r="CI375" s="178"/>
      <c r="CJ375" s="178"/>
      <c r="CK375" s="180"/>
      <c r="CL375" s="180"/>
      <c r="CM375" s="180"/>
      <c r="CN375" s="116"/>
      <c r="CO375" s="218">
        <f t="shared" si="217"/>
        <v>0</v>
      </c>
      <c r="CP375" s="100">
        <f t="shared" si="218"/>
        <v>0</v>
      </c>
      <c r="CQ375" s="218">
        <f t="shared" si="219"/>
        <v>0</v>
      </c>
      <c r="DC375" s="116"/>
      <c r="DD375" s="116"/>
      <c r="DE375" s="116"/>
      <c r="DF375" s="116"/>
      <c r="DH375" s="101">
        <v>1.4999999999999999E-2</v>
      </c>
      <c r="DI375" s="101">
        <v>7.0000000000000001E-3</v>
      </c>
      <c r="DJ375" s="101">
        <f>+DB364*DC364*DG364*DH375*DI375*310</f>
        <v>1.4647500000000001E-2</v>
      </c>
    </row>
    <row r="376" spans="54:114" s="101" customFormat="1" x14ac:dyDescent="0.25">
      <c r="BI376" s="1606" t="s">
        <v>261</v>
      </c>
      <c r="BJ376" s="251"/>
      <c r="BK376" s="1606" t="s">
        <v>282</v>
      </c>
      <c r="BL376" s="251"/>
      <c r="BM376" s="1606" t="s">
        <v>233</v>
      </c>
      <c r="BN376" s="1606" t="s">
        <v>233</v>
      </c>
      <c r="BO376" s="1606" t="s">
        <v>240</v>
      </c>
      <c r="BP376" s="206"/>
      <c r="BQ376" s="206"/>
      <c r="BR376" s="206"/>
      <c r="BS376" s="206"/>
      <c r="BT376" s="206"/>
      <c r="BU376" s="206"/>
      <c r="BV376" s="207"/>
      <c r="BW376" s="206"/>
      <c r="BX376" s="206"/>
      <c r="BY376" s="207"/>
      <c r="BZ376" s="207"/>
      <c r="CA376" s="207"/>
      <c r="CB376" s="180"/>
      <c r="CC376" s="178"/>
      <c r="CD376" s="178"/>
      <c r="CE376" s="180"/>
      <c r="CF376" s="180"/>
      <c r="CG376" s="180"/>
      <c r="CH376" s="180"/>
      <c r="CI376" s="178"/>
      <c r="CJ376" s="178"/>
      <c r="CK376" s="180"/>
      <c r="CL376" s="180"/>
      <c r="CM376" s="180"/>
      <c r="CN376" s="116"/>
      <c r="CO376" s="218" t="str">
        <f t="shared" si="217"/>
        <v>Incertidumbre (+/- %)</v>
      </c>
      <c r="CP376" s="100" t="e">
        <f t="shared" si="218"/>
        <v>#VALUE!</v>
      </c>
      <c r="CQ376" s="218" t="str">
        <f t="shared" si="219"/>
        <v>Incertidumbre (+/- %)</v>
      </c>
      <c r="DC376" s="116"/>
      <c r="DD376" s="116"/>
      <c r="DE376" s="116"/>
      <c r="DF376" s="116"/>
    </row>
    <row r="377" spans="54:114" s="101" customFormat="1" ht="15.75" thickBot="1" x14ac:dyDescent="0.3">
      <c r="BI377" s="1607"/>
      <c r="BJ377" s="252" t="s">
        <v>253</v>
      </c>
      <c r="BK377" s="1607"/>
      <c r="BL377" s="252" t="s">
        <v>251</v>
      </c>
      <c r="BM377" s="1607"/>
      <c r="BN377" s="1607"/>
      <c r="BO377" s="1607"/>
      <c r="BP377" s="206"/>
      <c r="BQ377" s="206"/>
      <c r="BR377" s="206"/>
      <c r="BS377" s="206"/>
      <c r="BT377" s="206"/>
      <c r="BU377" s="206"/>
      <c r="BV377" s="207"/>
      <c r="BW377" s="206"/>
      <c r="BX377" s="206"/>
      <c r="BY377" s="207"/>
      <c r="BZ377" s="207"/>
      <c r="CA377" s="207"/>
      <c r="CB377" s="180"/>
      <c r="CC377" s="178"/>
      <c r="CD377" s="178"/>
      <c r="CE377" s="180"/>
      <c r="CF377" s="180"/>
      <c r="CG377" s="180"/>
      <c r="CH377" s="180"/>
      <c r="CI377" s="178"/>
      <c r="CJ377" s="178"/>
      <c r="CK377" s="180"/>
      <c r="CL377" s="180"/>
      <c r="CM377" s="180"/>
      <c r="CN377" s="116"/>
      <c r="CO377" s="218">
        <f t="shared" si="217"/>
        <v>0</v>
      </c>
      <c r="CP377" s="100">
        <f t="shared" si="218"/>
        <v>0</v>
      </c>
      <c r="CQ377" s="218">
        <f t="shared" si="219"/>
        <v>0</v>
      </c>
      <c r="DC377" s="116"/>
      <c r="DD377" s="116"/>
      <c r="DE377" s="116"/>
      <c r="DF377" s="116"/>
      <c r="DJ377" s="101">
        <f>+DB364*DC364*DG364*DH375*DI375*298</f>
        <v>1.4080500000000001E-2</v>
      </c>
    </row>
    <row r="378" spans="54:114" s="101" customFormat="1" ht="18.75" thickBot="1" x14ac:dyDescent="0.3">
      <c r="BI378" s="203" t="s">
        <v>450</v>
      </c>
      <c r="BJ378" s="190" t="s">
        <v>419</v>
      </c>
      <c r="BK378" s="196">
        <v>3.6666999999999998E-2</v>
      </c>
      <c r="BL378" s="190" t="s">
        <v>453</v>
      </c>
      <c r="BM378" s="189">
        <v>0.1</v>
      </c>
      <c r="BN378" s="189">
        <v>3</v>
      </c>
      <c r="BO378" s="188" t="s">
        <v>258</v>
      </c>
      <c r="BP378" s="206"/>
      <c r="BQ378" s="206"/>
      <c r="BR378" s="206"/>
      <c r="BS378" s="206"/>
      <c r="BT378" s="206"/>
      <c r="BU378" s="206"/>
      <c r="BV378" s="207"/>
      <c r="BW378" s="206"/>
      <c r="BX378" s="206"/>
      <c r="BY378" s="207"/>
      <c r="BZ378" s="207"/>
      <c r="CA378" s="207"/>
      <c r="CB378" s="180"/>
      <c r="CC378" s="178"/>
      <c r="CD378" s="178"/>
      <c r="CE378" s="180"/>
      <c r="CF378" s="180"/>
      <c r="CG378" s="180"/>
      <c r="CH378" s="180"/>
      <c r="CI378" s="178"/>
      <c r="CJ378" s="178"/>
      <c r="CK378" s="180"/>
      <c r="CL378" s="180"/>
      <c r="CM378" s="180"/>
      <c r="CN378" s="116"/>
      <c r="CO378" s="218">
        <f t="shared" si="217"/>
        <v>0.1</v>
      </c>
      <c r="CP378" s="100">
        <f t="shared" si="218"/>
        <v>1.55</v>
      </c>
      <c r="CQ378" s="218">
        <f t="shared" si="219"/>
        <v>3</v>
      </c>
      <c r="DC378" s="116"/>
      <c r="DD378" s="116"/>
      <c r="DE378" s="116"/>
      <c r="DF378" s="116"/>
    </row>
    <row r="379" spans="54:114" s="101" customFormat="1" ht="18.75" thickBot="1" x14ac:dyDescent="0.3">
      <c r="BI379" s="203" t="s">
        <v>451</v>
      </c>
      <c r="BJ379" s="190" t="s">
        <v>419</v>
      </c>
      <c r="BK379" s="196">
        <v>7.3332999999999995E-2</v>
      </c>
      <c r="BL379" s="190" t="s">
        <v>453</v>
      </c>
      <c r="BM379" s="189">
        <v>0.35</v>
      </c>
      <c r="BN379" s="189">
        <v>3</v>
      </c>
      <c r="BO379" s="188" t="s">
        <v>258</v>
      </c>
      <c r="BP379" s="206"/>
      <c r="BQ379" s="206"/>
      <c r="BR379" s="206"/>
      <c r="BS379" s="206"/>
      <c r="BT379" s="206"/>
      <c r="BU379" s="206"/>
      <c r="BV379" s="207"/>
      <c r="BW379" s="206"/>
      <c r="BX379" s="206"/>
      <c r="BY379" s="207"/>
      <c r="BZ379" s="207"/>
      <c r="CA379" s="207"/>
      <c r="CB379" s="180"/>
      <c r="CC379" s="178"/>
      <c r="CD379" s="178"/>
      <c r="CE379" s="180"/>
      <c r="CF379" s="180"/>
      <c r="CG379" s="180"/>
      <c r="CH379" s="180"/>
      <c r="CI379" s="178"/>
      <c r="CJ379" s="178"/>
      <c r="CK379" s="180"/>
      <c r="CL379" s="180"/>
      <c r="CM379" s="180"/>
      <c r="CN379" s="116"/>
      <c r="CO379" s="218">
        <f t="shared" si="217"/>
        <v>0.35</v>
      </c>
      <c r="CP379" s="100">
        <f t="shared" si="218"/>
        <v>1.675</v>
      </c>
      <c r="CQ379" s="218">
        <f t="shared" si="219"/>
        <v>3</v>
      </c>
      <c r="DC379" s="116"/>
      <c r="DD379" s="116"/>
      <c r="DE379" s="116"/>
      <c r="DF379" s="116"/>
    </row>
    <row r="380" spans="54:114" s="101" customFormat="1" ht="18.75" thickBot="1" x14ac:dyDescent="0.3">
      <c r="BI380" s="203" t="s">
        <v>452</v>
      </c>
      <c r="BJ380" s="190" t="s">
        <v>419</v>
      </c>
      <c r="BK380" s="196">
        <v>3.6666999999999998E-2</v>
      </c>
      <c r="BL380" s="190" t="s">
        <v>453</v>
      </c>
      <c r="BM380" s="189">
        <v>0.33329999999999999</v>
      </c>
      <c r="BN380" s="189">
        <v>3</v>
      </c>
      <c r="BO380" s="188" t="s">
        <v>258</v>
      </c>
      <c r="BP380" s="206"/>
      <c r="BQ380" s="206"/>
      <c r="BR380" s="206"/>
      <c r="BS380" s="206"/>
      <c r="BT380" s="206"/>
      <c r="BU380" s="206"/>
      <c r="BV380" s="207"/>
      <c r="BW380" s="206"/>
      <c r="BX380" s="206"/>
      <c r="BY380" s="207"/>
      <c r="BZ380" s="207"/>
      <c r="CA380" s="207"/>
      <c r="CB380" s="180"/>
      <c r="CC380" s="178"/>
      <c r="CD380" s="178"/>
      <c r="CE380" s="180"/>
      <c r="CF380" s="180"/>
      <c r="CG380" s="180"/>
      <c r="CH380" s="180"/>
      <c r="CI380" s="178"/>
      <c r="CJ380" s="178"/>
      <c r="CK380" s="180"/>
      <c r="CL380" s="180"/>
      <c r="CM380" s="180"/>
      <c r="CN380" s="116"/>
      <c r="CO380" s="218">
        <f t="shared" si="217"/>
        <v>0.33329999999999999</v>
      </c>
      <c r="CP380" s="100">
        <f t="shared" si="218"/>
        <v>1.66665</v>
      </c>
      <c r="CQ380" s="218">
        <f t="shared" si="219"/>
        <v>3</v>
      </c>
      <c r="DC380" s="116"/>
      <c r="DD380" s="116"/>
      <c r="DE380" s="116"/>
      <c r="DF380" s="116"/>
    </row>
    <row r="381" spans="54:114" s="101" customFormat="1" ht="18.75" thickBot="1" x14ac:dyDescent="0.3">
      <c r="BI381" s="203" t="s">
        <v>449</v>
      </c>
      <c r="BJ381" s="190" t="s">
        <v>419</v>
      </c>
      <c r="BK381" s="196">
        <v>1.0999999999999999E-2</v>
      </c>
      <c r="BL381" s="190" t="s">
        <v>453</v>
      </c>
      <c r="BM381" s="189">
        <v>0.01</v>
      </c>
      <c r="BN381" s="189">
        <v>2</v>
      </c>
      <c r="BO381" s="188" t="s">
        <v>258</v>
      </c>
      <c r="BP381" s="206"/>
      <c r="BQ381" s="196">
        <v>3.3525000000000005</v>
      </c>
      <c r="BR381" s="190" t="s">
        <v>420</v>
      </c>
      <c r="BS381" s="206"/>
      <c r="BT381" s="206"/>
      <c r="BU381" s="206"/>
      <c r="BV381" s="207"/>
      <c r="BW381" s="206"/>
      <c r="BX381" s="206"/>
      <c r="BY381" s="207"/>
      <c r="BZ381" s="207"/>
      <c r="CA381" s="207"/>
      <c r="CB381" s="180"/>
      <c r="CC381" s="178"/>
      <c r="CD381" s="178"/>
      <c r="CE381" s="180"/>
      <c r="CF381" s="180"/>
      <c r="CG381" s="180"/>
      <c r="CH381" s="180"/>
      <c r="CI381" s="178"/>
      <c r="CJ381" s="178"/>
      <c r="CK381" s="180"/>
      <c r="CL381" s="180"/>
      <c r="CM381" s="180"/>
      <c r="CN381" s="116"/>
      <c r="CO381" s="218">
        <f t="shared" si="217"/>
        <v>0.01</v>
      </c>
      <c r="CP381" s="100">
        <f t="shared" si="218"/>
        <v>1.0049999999999999</v>
      </c>
      <c r="CQ381" s="218">
        <f t="shared" si="219"/>
        <v>2</v>
      </c>
      <c r="DC381" s="116"/>
      <c r="DD381" s="116"/>
      <c r="DE381" s="116"/>
      <c r="DF381" s="116"/>
    </row>
    <row r="382" spans="54:114" s="101" customFormat="1" ht="18.75" thickBot="1" x14ac:dyDescent="0.3">
      <c r="BI382" s="203" t="s">
        <v>456</v>
      </c>
      <c r="BJ382" s="190" t="s">
        <v>455</v>
      </c>
      <c r="BK382" s="196">
        <f>0.12*(44/12)</f>
        <v>0.43999999999999995</v>
      </c>
      <c r="BL382" s="190" t="s">
        <v>454</v>
      </c>
      <c r="BM382" s="189">
        <v>0.01</v>
      </c>
      <c r="BN382" s="189">
        <v>0.5</v>
      </c>
      <c r="BO382" s="188" t="s">
        <v>258</v>
      </c>
      <c r="BP382" s="206"/>
      <c r="BQ382" s="206"/>
      <c r="BR382" s="206"/>
      <c r="BS382" s="206"/>
      <c r="BT382" s="206"/>
      <c r="BU382" s="206"/>
      <c r="BV382" s="207"/>
      <c r="BW382" s="206"/>
      <c r="BX382" s="206"/>
      <c r="BY382" s="207"/>
      <c r="BZ382" s="207"/>
      <c r="CA382" s="207"/>
      <c r="CB382" s="180"/>
      <c r="CC382" s="178"/>
      <c r="CD382" s="178"/>
      <c r="CE382" s="180"/>
      <c r="CF382" s="180"/>
      <c r="CG382" s="180"/>
      <c r="CH382" s="180"/>
      <c r="CI382" s="178"/>
      <c r="CJ382" s="178"/>
      <c r="CK382" s="180"/>
      <c r="CL382" s="180"/>
      <c r="CM382" s="180"/>
      <c r="CN382" s="116"/>
      <c r="CO382" s="218">
        <f t="shared" si="217"/>
        <v>0.01</v>
      </c>
      <c r="CP382" s="100">
        <f t="shared" si="218"/>
        <v>0.255</v>
      </c>
      <c r="CQ382" s="218">
        <f t="shared" si="219"/>
        <v>0.5</v>
      </c>
      <c r="DC382" s="116"/>
      <c r="DD382" s="116"/>
      <c r="DE382" s="116"/>
      <c r="DF382" s="116"/>
    </row>
    <row r="383" spans="54:114" s="101" customFormat="1" ht="18.75" thickBot="1" x14ac:dyDescent="0.3">
      <c r="BI383" s="203" t="s">
        <v>457</v>
      </c>
      <c r="BJ383" s="190" t="s">
        <v>455</v>
      </c>
      <c r="BK383" s="196">
        <f>0.13*(44/12)</f>
        <v>0.47666666666666668</v>
      </c>
      <c r="BL383" s="190" t="s">
        <v>454</v>
      </c>
      <c r="BM383" s="189">
        <v>0.01</v>
      </c>
      <c r="BN383" s="189">
        <v>0.5</v>
      </c>
      <c r="BO383" s="188" t="s">
        <v>258</v>
      </c>
      <c r="BP383" s="206"/>
      <c r="BQ383" s="206"/>
      <c r="BR383" s="206"/>
      <c r="BS383" s="206"/>
      <c r="BT383" s="206"/>
      <c r="BU383" s="206"/>
      <c r="BV383" s="207"/>
      <c r="BW383" s="206"/>
      <c r="BX383" s="206"/>
      <c r="BY383" s="207"/>
      <c r="BZ383" s="207"/>
      <c r="CA383" s="207"/>
      <c r="CB383" s="180"/>
      <c r="CC383" s="178"/>
      <c r="CD383" s="178"/>
      <c r="CE383" s="180"/>
      <c r="CF383" s="180"/>
      <c r="CG383" s="180"/>
      <c r="CH383" s="180"/>
      <c r="CI383" s="178"/>
      <c r="CJ383" s="178"/>
      <c r="CK383" s="180"/>
      <c r="CL383" s="180"/>
      <c r="CM383" s="180"/>
      <c r="CN383" s="116"/>
      <c r="CO383" s="218">
        <f t="shared" si="217"/>
        <v>0.01</v>
      </c>
      <c r="CP383" s="100">
        <f t="shared" si="218"/>
        <v>0.255</v>
      </c>
      <c r="CQ383" s="218">
        <f t="shared" si="219"/>
        <v>0.5</v>
      </c>
      <c r="DC383" s="116"/>
      <c r="DD383" s="116"/>
      <c r="DE383" s="116"/>
      <c r="DF383" s="116"/>
    </row>
    <row r="384" spans="54:114" s="101" customFormat="1" ht="18.75" thickBot="1" x14ac:dyDescent="0.3">
      <c r="BI384" s="203" t="s">
        <v>493</v>
      </c>
      <c r="BJ384" s="190" t="s">
        <v>458</v>
      </c>
      <c r="BK384" s="196">
        <f>0.2*(44/12)</f>
        <v>0.73333333333333339</v>
      </c>
      <c r="BL384" s="190" t="s">
        <v>459</v>
      </c>
      <c r="BM384" s="189">
        <v>0.01</v>
      </c>
      <c r="BN384" s="189">
        <v>0.5</v>
      </c>
      <c r="BO384" s="188" t="s">
        <v>258</v>
      </c>
      <c r="BP384" s="206"/>
      <c r="BQ384" s="196"/>
      <c r="BR384" s="190"/>
      <c r="BS384" s="206"/>
      <c r="BT384" s="206"/>
      <c r="BU384" s="206"/>
      <c r="BV384" s="207"/>
      <c r="BW384" s="206"/>
      <c r="BX384" s="206"/>
      <c r="BY384" s="207"/>
      <c r="BZ384" s="207"/>
      <c r="CA384" s="207"/>
      <c r="CB384" s="180"/>
      <c r="CC384" s="178"/>
      <c r="CD384" s="178"/>
      <c r="CE384" s="180"/>
      <c r="CF384" s="180"/>
      <c r="CG384" s="180"/>
      <c r="CH384" s="180"/>
      <c r="CI384" s="178"/>
      <c r="CJ384" s="178"/>
      <c r="CK384" s="180"/>
      <c r="CL384" s="180"/>
      <c r="CM384" s="180"/>
      <c r="CN384" s="116"/>
      <c r="CO384" s="218">
        <f t="shared" si="217"/>
        <v>0.01</v>
      </c>
      <c r="CP384" s="100">
        <f t="shared" si="218"/>
        <v>0.255</v>
      </c>
      <c r="CQ384" s="218">
        <f t="shared" si="219"/>
        <v>0.5</v>
      </c>
      <c r="DC384" s="116"/>
      <c r="DD384" s="116"/>
      <c r="DE384" s="116"/>
      <c r="DF384" s="116"/>
    </row>
    <row r="385" spans="61:116" s="101" customFormat="1" x14ac:dyDescent="0.25">
      <c r="BI385" s="102"/>
      <c r="BJ385" s="178"/>
      <c r="BK385" s="178"/>
      <c r="BL385" s="178"/>
      <c r="BM385" s="169"/>
      <c r="BN385" s="169"/>
      <c r="BO385" s="169"/>
      <c r="BP385" s="206"/>
      <c r="BQ385" s="206"/>
      <c r="BR385" s="206"/>
      <c r="BS385" s="206"/>
      <c r="BT385" s="206"/>
      <c r="BU385" s="206"/>
      <c r="BV385" s="207"/>
      <c r="BW385" s="206"/>
      <c r="BX385" s="206"/>
      <c r="BY385" s="207"/>
      <c r="BZ385" s="207"/>
      <c r="CA385" s="207"/>
      <c r="CB385" s="180"/>
      <c r="CC385" s="178"/>
      <c r="CD385" s="178"/>
      <c r="CE385" s="180"/>
      <c r="CF385" s="180"/>
      <c r="CG385" s="180"/>
      <c r="CH385" s="180"/>
      <c r="CI385" s="178"/>
      <c r="CJ385" s="178"/>
      <c r="CK385" s="180"/>
      <c r="CL385" s="180"/>
      <c r="CM385" s="180"/>
      <c r="CN385" s="116"/>
      <c r="CO385" s="218">
        <f t="shared" si="217"/>
        <v>0</v>
      </c>
      <c r="CP385" s="100">
        <f t="shared" si="218"/>
        <v>0</v>
      </c>
      <c r="CQ385" s="218">
        <f t="shared" si="219"/>
        <v>0</v>
      </c>
      <c r="CY385" s="101" t="s">
        <v>111</v>
      </c>
      <c r="CZ385" s="101" t="s">
        <v>112</v>
      </c>
      <c r="DB385" s="101" t="s">
        <v>103</v>
      </c>
      <c r="DC385" s="116" t="s">
        <v>113</v>
      </c>
      <c r="DD385" s="116"/>
      <c r="DE385" s="116"/>
      <c r="DF385" s="116"/>
      <c r="DH385" s="101" t="s">
        <v>114</v>
      </c>
      <c r="DI385" s="124" t="s">
        <v>115</v>
      </c>
      <c r="DJ385" s="115" t="s">
        <v>107</v>
      </c>
    </row>
    <row r="386" spans="61:116" s="101" customFormat="1" x14ac:dyDescent="0.25">
      <c r="BI386" s="102"/>
      <c r="BJ386" s="178"/>
      <c r="BK386" s="178"/>
      <c r="BL386" s="178"/>
      <c r="BM386" s="169"/>
      <c r="BN386" s="169"/>
      <c r="BO386" s="169"/>
      <c r="BP386" s="206"/>
      <c r="BQ386" s="206"/>
      <c r="BR386" s="206"/>
      <c r="BS386" s="206"/>
      <c r="BT386" s="206"/>
      <c r="BU386" s="206"/>
      <c r="BV386" s="207"/>
      <c r="BW386" s="206"/>
      <c r="BX386" s="206"/>
      <c r="BY386" s="207"/>
      <c r="BZ386" s="207"/>
      <c r="CA386" s="207"/>
      <c r="CB386" s="180"/>
      <c r="CC386" s="178"/>
      <c r="CD386" s="178"/>
      <c r="CE386" s="180"/>
      <c r="CF386" s="180"/>
      <c r="CG386" s="180"/>
      <c r="CH386" s="180"/>
      <c r="CI386" s="178"/>
      <c r="CJ386" s="178"/>
      <c r="CK386" s="180"/>
      <c r="CL386" s="180"/>
      <c r="CM386" s="180"/>
      <c r="CN386" s="116"/>
      <c r="CO386" s="218">
        <f t="shared" si="217"/>
        <v>0</v>
      </c>
      <c r="CP386" s="100">
        <f t="shared" si="218"/>
        <v>0</v>
      </c>
      <c r="CQ386" s="218">
        <f t="shared" si="219"/>
        <v>0</v>
      </c>
      <c r="CX386" s="101" t="s">
        <v>9</v>
      </c>
      <c r="CZ386" s="101">
        <f>+DJ386</f>
        <v>3.4875000000000003</v>
      </c>
      <c r="DB386" s="101">
        <v>1</v>
      </c>
      <c r="DC386" s="116">
        <v>0.9</v>
      </c>
      <c r="DD386" s="116"/>
      <c r="DE386" s="116"/>
      <c r="DF386" s="116"/>
      <c r="DH386" s="101">
        <v>1.2500000000000001E-2</v>
      </c>
      <c r="DI386" s="101">
        <v>310</v>
      </c>
      <c r="DJ386" s="101">
        <f>+DC386*DH386*DI386</f>
        <v>3.4875000000000003</v>
      </c>
    </row>
    <row r="387" spans="61:116" s="101" customFormat="1" x14ac:dyDescent="0.25">
      <c r="BI387" s="102"/>
      <c r="BJ387" s="178"/>
      <c r="BK387" s="178"/>
      <c r="BL387" s="178"/>
      <c r="BM387" s="169"/>
      <c r="BN387" s="169"/>
      <c r="BO387" s="169"/>
      <c r="BP387" s="206"/>
      <c r="BQ387" s="206"/>
      <c r="BR387" s="206"/>
      <c r="BS387" s="206"/>
      <c r="BT387" s="206"/>
      <c r="BU387" s="206"/>
      <c r="BV387" s="207"/>
      <c r="BW387" s="206"/>
      <c r="BX387" s="206"/>
      <c r="BY387" s="207"/>
      <c r="BZ387" s="207"/>
      <c r="CA387" s="207"/>
      <c r="CB387" s="180"/>
      <c r="CC387" s="178"/>
      <c r="CD387" s="178"/>
      <c r="CE387" s="180"/>
      <c r="CF387" s="180"/>
      <c r="CG387" s="180"/>
      <c r="CH387" s="180"/>
      <c r="CI387" s="178"/>
      <c r="CJ387" s="178"/>
      <c r="CK387" s="180"/>
      <c r="CL387" s="180"/>
      <c r="CM387" s="180"/>
      <c r="CN387" s="116"/>
      <c r="CO387" s="218">
        <f t="shared" si="217"/>
        <v>0</v>
      </c>
      <c r="CP387" s="100">
        <f t="shared" si="218"/>
        <v>0</v>
      </c>
      <c r="CQ387" s="218">
        <f t="shared" si="219"/>
        <v>0</v>
      </c>
      <c r="DC387" s="116"/>
      <c r="DD387" s="116"/>
      <c r="DE387" s="116"/>
      <c r="DF387" s="116"/>
      <c r="DI387" s="101">
        <v>298</v>
      </c>
      <c r="DJ387" s="101">
        <f>+DC386*DH386*DI387</f>
        <v>3.3525000000000005</v>
      </c>
    </row>
    <row r="388" spans="61:116" s="101" customFormat="1" ht="15.75" thickBot="1" x14ac:dyDescent="0.3">
      <c r="BI388" s="102"/>
      <c r="BJ388" s="178"/>
      <c r="BK388" s="178"/>
      <c r="BL388" s="178"/>
      <c r="BM388" s="169"/>
      <c r="BN388" s="169"/>
      <c r="BO388" s="169"/>
      <c r="BP388" s="206"/>
      <c r="BQ388" s="206"/>
      <c r="BR388" s="206"/>
      <c r="BS388" s="206"/>
      <c r="BT388" s="206"/>
      <c r="BU388" s="206"/>
      <c r="BV388" s="207"/>
      <c r="BW388" s="206"/>
      <c r="BX388" s="206"/>
      <c r="BY388" s="207"/>
      <c r="BZ388" s="207"/>
      <c r="CA388" s="207"/>
      <c r="CB388" s="180"/>
      <c r="CC388" s="178"/>
      <c r="CD388" s="178"/>
      <c r="CE388" s="180"/>
      <c r="CF388" s="180"/>
      <c r="CG388" s="180"/>
      <c r="CH388" s="180"/>
      <c r="CI388" s="178"/>
      <c r="CJ388" s="178"/>
      <c r="CK388" s="180"/>
      <c r="CL388" s="180"/>
      <c r="CM388" s="180"/>
      <c r="CN388" s="116"/>
      <c r="CO388" s="218">
        <f t="shared" si="217"/>
        <v>0</v>
      </c>
      <c r="CP388" s="100">
        <f t="shared" si="218"/>
        <v>0</v>
      </c>
      <c r="CQ388" s="218">
        <f t="shared" si="219"/>
        <v>0</v>
      </c>
      <c r="DC388" s="116"/>
      <c r="DD388" s="116"/>
      <c r="DE388" s="116"/>
      <c r="DF388" s="116"/>
    </row>
    <row r="389" spans="61:116" s="101" customFormat="1" x14ac:dyDescent="0.25">
      <c r="BI389" s="1606" t="s">
        <v>299</v>
      </c>
      <c r="BJ389" s="251"/>
      <c r="BK389" s="1606" t="s">
        <v>282</v>
      </c>
      <c r="BL389" s="251"/>
      <c r="BM389" s="1606" t="s">
        <v>233</v>
      </c>
      <c r="BN389" s="1606" t="s">
        <v>233</v>
      </c>
      <c r="BO389" s="1606" t="s">
        <v>240</v>
      </c>
      <c r="BP389" s="206"/>
      <c r="BQ389" s="206"/>
      <c r="BR389" s="206"/>
      <c r="BS389" s="206"/>
      <c r="BT389" s="206"/>
      <c r="BU389" s="206"/>
      <c r="BV389" s="207"/>
      <c r="BW389" s="206"/>
      <c r="BX389" s="206"/>
      <c r="BY389" s="207"/>
      <c r="BZ389" s="207"/>
      <c r="CA389" s="207"/>
      <c r="CB389" s="180"/>
      <c r="CC389" s="178"/>
      <c r="CD389" s="178"/>
      <c r="CE389" s="180"/>
      <c r="CF389" s="180"/>
      <c r="CG389" s="180"/>
      <c r="CH389" s="180"/>
      <c r="CI389" s="178"/>
      <c r="CJ389" s="178"/>
      <c r="CK389" s="180"/>
      <c r="CL389" s="180"/>
      <c r="CM389" s="180"/>
      <c r="CN389" s="116"/>
      <c r="CO389" s="218" t="str">
        <f t="shared" si="217"/>
        <v>Incertidumbre (+/- %)</v>
      </c>
      <c r="CP389" s="100" t="e">
        <f t="shared" si="218"/>
        <v>#VALUE!</v>
      </c>
      <c r="CQ389" s="218" t="str">
        <f t="shared" si="219"/>
        <v>Incertidumbre (+/- %)</v>
      </c>
      <c r="DC389" s="116"/>
      <c r="DD389" s="116"/>
      <c r="DE389" s="116"/>
      <c r="DF389" s="116"/>
    </row>
    <row r="390" spans="61:116" s="101" customFormat="1" ht="15.75" thickBot="1" x14ac:dyDescent="0.3">
      <c r="BI390" s="1607"/>
      <c r="BJ390" s="252" t="s">
        <v>253</v>
      </c>
      <c r="BK390" s="1607"/>
      <c r="BL390" s="252" t="s">
        <v>251</v>
      </c>
      <c r="BM390" s="1607"/>
      <c r="BN390" s="1607"/>
      <c r="BO390" s="1607"/>
      <c r="BP390" s="206"/>
      <c r="BQ390" s="206"/>
      <c r="BR390" s="206"/>
      <c r="BS390" s="206"/>
      <c r="BT390" s="206"/>
      <c r="BU390" s="206"/>
      <c r="BV390" s="207"/>
      <c r="BW390" s="206"/>
      <c r="BX390" s="206"/>
      <c r="BY390" s="207"/>
      <c r="BZ390" s="207"/>
      <c r="CA390" s="207"/>
      <c r="CB390" s="180"/>
      <c r="CC390" s="178"/>
      <c r="CD390" s="178"/>
      <c r="CE390" s="180"/>
      <c r="CF390" s="180"/>
      <c r="CG390" s="180"/>
      <c r="CH390" s="180"/>
      <c r="CI390" s="178"/>
      <c r="CJ390" s="178"/>
      <c r="CK390" s="180"/>
      <c r="CL390" s="180"/>
      <c r="CM390" s="180"/>
      <c r="CN390" s="116"/>
      <c r="CO390" s="218">
        <f t="shared" si="217"/>
        <v>0</v>
      </c>
      <c r="CP390" s="100">
        <f t="shared" si="218"/>
        <v>0</v>
      </c>
      <c r="CQ390" s="218">
        <f t="shared" si="219"/>
        <v>0</v>
      </c>
      <c r="DC390" s="116"/>
      <c r="DD390" s="116"/>
      <c r="DE390" s="116"/>
      <c r="DF390" s="116"/>
    </row>
    <row r="391" spans="61:116" s="101" customFormat="1" ht="18.75" thickBot="1" x14ac:dyDescent="0.3">
      <c r="BI391" s="203" t="s">
        <v>443</v>
      </c>
      <c r="BJ391" s="190" t="s">
        <v>76</v>
      </c>
      <c r="BK391" s="196">
        <v>0.19900000000000001</v>
      </c>
      <c r="BL391" s="190" t="s">
        <v>421</v>
      </c>
      <c r="BM391" s="189">
        <v>0.05</v>
      </c>
      <c r="BN391" s="189">
        <v>0.1</v>
      </c>
      <c r="BO391" s="188" t="s">
        <v>262</v>
      </c>
      <c r="BP391" s="206"/>
      <c r="BQ391" s="206"/>
      <c r="BR391" s="206"/>
      <c r="BS391" s="206"/>
      <c r="BT391" s="206"/>
      <c r="BU391" s="206"/>
      <c r="BV391" s="207"/>
      <c r="BW391" s="206"/>
      <c r="BX391" s="206"/>
      <c r="BY391" s="207"/>
      <c r="BZ391" s="207"/>
      <c r="CA391" s="207"/>
      <c r="CB391" s="180"/>
      <c r="CC391" s="178"/>
      <c r="CD391" s="178"/>
      <c r="CE391" s="180"/>
      <c r="CF391" s="180"/>
      <c r="CG391" s="180"/>
      <c r="CH391" s="180"/>
      <c r="CI391" s="178"/>
      <c r="CJ391" s="178"/>
      <c r="CK391" s="180"/>
      <c r="CL391" s="180"/>
      <c r="CM391" s="180"/>
      <c r="CN391" s="116"/>
      <c r="CO391" s="218">
        <f t="shared" si="217"/>
        <v>0.05</v>
      </c>
      <c r="CP391" s="100">
        <f t="shared" si="218"/>
        <v>7.5000000000000011E-2</v>
      </c>
      <c r="CQ391" s="218">
        <f t="shared" si="219"/>
        <v>0.1</v>
      </c>
      <c r="CW391" s="123"/>
      <c r="CX391" s="122"/>
      <c r="CY391" s="122"/>
      <c r="CZ391" s="123"/>
      <c r="DA391" s="123"/>
      <c r="DB391" s="123"/>
      <c r="DC391" s="122"/>
      <c r="DD391" s="122"/>
      <c r="DE391" s="122"/>
      <c r="DF391" s="122"/>
      <c r="DG391" s="122"/>
      <c r="DH391" s="123"/>
      <c r="DI391" s="23"/>
      <c r="DJ391" s="150"/>
      <c r="DK391" s="150"/>
      <c r="DL391" s="116"/>
    </row>
    <row r="392" spans="61:116" s="101" customFormat="1" ht="18.75" thickBot="1" x14ac:dyDescent="0.3">
      <c r="BI392" s="203" t="s">
        <v>191</v>
      </c>
      <c r="BJ392" s="190" t="s">
        <v>76</v>
      </c>
      <c r="BK392" s="196">
        <v>0.19</v>
      </c>
      <c r="BL392" s="190" t="s">
        <v>421</v>
      </c>
      <c r="BM392" s="189">
        <v>0.05</v>
      </c>
      <c r="BN392" s="189">
        <v>0.1</v>
      </c>
      <c r="BO392" s="188" t="s">
        <v>262</v>
      </c>
      <c r="BP392" s="206"/>
      <c r="BQ392" s="206"/>
      <c r="BR392" s="206"/>
      <c r="BS392" s="206"/>
      <c r="BT392" s="206"/>
      <c r="BU392" s="206"/>
      <c r="BV392" s="207"/>
      <c r="BW392" s="206"/>
      <c r="BX392" s="206"/>
      <c r="BY392" s="207"/>
      <c r="BZ392" s="207"/>
      <c r="CA392" s="207"/>
      <c r="CB392" s="180"/>
      <c r="CC392" s="178"/>
      <c r="CD392" s="178"/>
      <c r="CE392" s="180"/>
      <c r="CF392" s="180"/>
      <c r="CG392" s="180"/>
      <c r="CH392" s="180"/>
      <c r="CI392" s="178"/>
      <c r="CJ392" s="178"/>
      <c r="CK392" s="180"/>
      <c r="CL392" s="180"/>
      <c r="CM392" s="180"/>
      <c r="CN392" s="116"/>
      <c r="CO392" s="218">
        <f t="shared" si="217"/>
        <v>0.05</v>
      </c>
      <c r="CP392" s="100">
        <f t="shared" si="218"/>
        <v>7.5000000000000011E-2</v>
      </c>
      <c r="CQ392" s="218">
        <f t="shared" si="219"/>
        <v>0.1</v>
      </c>
      <c r="CW392" s="123"/>
      <c r="CX392" s="122"/>
      <c r="CY392" s="122"/>
      <c r="CZ392" s="123"/>
      <c r="DA392" s="123"/>
      <c r="DB392" s="123"/>
      <c r="DC392" s="122"/>
      <c r="DD392" s="122"/>
      <c r="DE392" s="122"/>
      <c r="DF392" s="122"/>
      <c r="DG392" s="122"/>
      <c r="DH392" s="123"/>
      <c r="DI392" s="23"/>
      <c r="DJ392" s="150"/>
      <c r="DK392" s="150"/>
      <c r="DL392" s="116"/>
    </row>
    <row r="393" spans="61:116" s="101" customFormat="1" ht="18.75" thickBot="1" x14ac:dyDescent="0.3">
      <c r="BI393" s="203" t="s">
        <v>444</v>
      </c>
      <c r="BJ393" s="190" t="s">
        <v>76</v>
      </c>
      <c r="BK393" s="196">
        <v>0.2</v>
      </c>
      <c r="BL393" s="190" t="s">
        <v>421</v>
      </c>
      <c r="BM393" s="189">
        <v>0.05</v>
      </c>
      <c r="BN393" s="189">
        <v>0.1</v>
      </c>
      <c r="BO393" s="188" t="s">
        <v>262</v>
      </c>
      <c r="BP393" s="206"/>
      <c r="BQ393" s="206"/>
      <c r="BR393" s="206"/>
      <c r="BS393" s="206"/>
      <c r="BT393" s="206"/>
      <c r="BU393" s="206"/>
      <c r="BV393" s="207"/>
      <c r="BW393" s="206"/>
      <c r="BX393" s="206"/>
      <c r="BY393" s="207"/>
      <c r="BZ393" s="207"/>
      <c r="CA393" s="207"/>
      <c r="CB393" s="180"/>
      <c r="CC393" s="178"/>
      <c r="CD393" s="178"/>
      <c r="CE393" s="180"/>
      <c r="CF393" s="180"/>
      <c r="CG393" s="180"/>
      <c r="CH393" s="180"/>
      <c r="CI393" s="178"/>
      <c r="CJ393" s="178"/>
      <c r="CK393" s="180"/>
      <c r="CL393" s="180"/>
      <c r="CM393" s="180"/>
      <c r="CN393" s="116"/>
      <c r="CO393" s="218">
        <f t="shared" si="217"/>
        <v>0.05</v>
      </c>
      <c r="CP393" s="100">
        <f t="shared" si="218"/>
        <v>7.5000000000000011E-2</v>
      </c>
      <c r="CQ393" s="218">
        <f t="shared" si="219"/>
        <v>0.1</v>
      </c>
      <c r="CW393" s="123"/>
      <c r="CX393" s="122"/>
      <c r="CY393" s="122"/>
      <c r="CZ393" s="123"/>
      <c r="DA393" s="123"/>
      <c r="DB393" s="123"/>
      <c r="DC393" s="122"/>
      <c r="DD393" s="122"/>
      <c r="DE393" s="122"/>
      <c r="DF393" s="122"/>
      <c r="DG393" s="122"/>
      <c r="DH393" s="123"/>
      <c r="DI393" s="23"/>
      <c r="DJ393" s="150"/>
      <c r="DK393" s="150"/>
      <c r="DL393" s="116"/>
    </row>
    <row r="394" spans="61:116" s="101" customFormat="1" ht="18.75" thickBot="1" x14ac:dyDescent="0.3">
      <c r="BI394" s="203" t="s">
        <v>445</v>
      </c>
      <c r="BJ394" s="190" t="s">
        <v>76</v>
      </c>
      <c r="BK394" s="196">
        <v>0.15</v>
      </c>
      <c r="BL394" s="190" t="s">
        <v>421</v>
      </c>
      <c r="BM394" s="189">
        <v>0.05</v>
      </c>
      <c r="BN394" s="189">
        <v>0.1</v>
      </c>
      <c r="BO394" s="188" t="s">
        <v>262</v>
      </c>
      <c r="BP394" s="206"/>
      <c r="BQ394" s="206"/>
      <c r="BR394" s="206"/>
      <c r="BS394" s="206"/>
      <c r="BT394" s="206"/>
      <c r="BU394" s="206"/>
      <c r="BV394" s="207"/>
      <c r="BW394" s="206"/>
      <c r="BX394" s="206"/>
      <c r="BY394" s="207"/>
      <c r="BZ394" s="207"/>
      <c r="CA394" s="207"/>
      <c r="CB394" s="180"/>
      <c r="CC394" s="178"/>
      <c r="CD394" s="178"/>
      <c r="CE394" s="180"/>
      <c r="CF394" s="180"/>
      <c r="CG394" s="180"/>
      <c r="CH394" s="180"/>
      <c r="CI394" s="178"/>
      <c r="CJ394" s="178"/>
      <c r="CK394" s="180"/>
      <c r="CL394" s="180"/>
      <c r="CM394" s="180"/>
      <c r="CN394" s="116"/>
      <c r="CO394" s="218">
        <f t="shared" si="217"/>
        <v>0.05</v>
      </c>
      <c r="CP394" s="100">
        <f t="shared" si="218"/>
        <v>7.5000000000000011E-2</v>
      </c>
      <c r="CQ394" s="218">
        <f t="shared" si="219"/>
        <v>0.1</v>
      </c>
      <c r="CW394" s="123"/>
      <c r="CX394" s="122"/>
      <c r="CY394" s="122"/>
      <c r="CZ394" s="123"/>
      <c r="DA394" s="123"/>
      <c r="DB394" s="123"/>
      <c r="DC394" s="122"/>
      <c r="DD394" s="122"/>
      <c r="DE394" s="122"/>
      <c r="DF394" s="122"/>
      <c r="DG394" s="122"/>
      <c r="DH394" s="123"/>
      <c r="DI394" s="23"/>
      <c r="DJ394" s="150"/>
      <c r="DK394" s="150"/>
      <c r="DL394" s="116"/>
    </row>
    <row r="395" spans="61:116" s="101" customFormat="1" ht="18.75" thickBot="1" x14ac:dyDescent="0.3">
      <c r="BI395" s="203" t="s">
        <v>447</v>
      </c>
      <c r="BJ395" s="190" t="s">
        <v>76</v>
      </c>
      <c r="BK395" s="196">
        <v>0.22</v>
      </c>
      <c r="BL395" s="190" t="s">
        <v>421</v>
      </c>
      <c r="BM395" s="189">
        <v>0.05</v>
      </c>
      <c r="BN395" s="189">
        <v>0.1</v>
      </c>
      <c r="BO395" s="188" t="s">
        <v>262</v>
      </c>
      <c r="BP395" s="206"/>
      <c r="BQ395" s="206"/>
      <c r="BR395" s="206"/>
      <c r="BS395" s="206"/>
      <c r="BT395" s="206"/>
      <c r="BU395" s="206"/>
      <c r="BV395" s="207"/>
      <c r="BW395" s="206"/>
      <c r="BX395" s="206"/>
      <c r="BY395" s="207"/>
      <c r="BZ395" s="207"/>
      <c r="CA395" s="207"/>
      <c r="CB395" s="180"/>
      <c r="CC395" s="178"/>
      <c r="CD395" s="178"/>
      <c r="CE395" s="180"/>
      <c r="CF395" s="180"/>
      <c r="CG395" s="180"/>
      <c r="CH395" s="180"/>
      <c r="CI395" s="178"/>
      <c r="CJ395" s="178"/>
      <c r="CK395" s="180"/>
      <c r="CL395" s="180"/>
      <c r="CM395" s="180"/>
      <c r="CN395" s="116"/>
      <c r="CO395" s="218">
        <f t="shared" si="217"/>
        <v>0.05</v>
      </c>
      <c r="CP395" s="100">
        <f t="shared" si="218"/>
        <v>7.5000000000000011E-2</v>
      </c>
      <c r="CQ395" s="218">
        <f t="shared" si="219"/>
        <v>0.1</v>
      </c>
      <c r="CW395" s="123"/>
      <c r="CX395" s="122"/>
      <c r="CY395" s="122"/>
      <c r="CZ395" s="123"/>
      <c r="DA395" s="123"/>
      <c r="DB395" s="123"/>
      <c r="DC395" s="122"/>
      <c r="DD395" s="122"/>
      <c r="DE395" s="122"/>
      <c r="DF395" s="122"/>
      <c r="DG395" s="122"/>
      <c r="DH395" s="123"/>
      <c r="DI395" s="23"/>
      <c r="DJ395" s="150"/>
      <c r="DK395" s="150"/>
      <c r="DL395" s="116"/>
    </row>
    <row r="396" spans="61:116" s="101" customFormat="1" ht="18.75" thickBot="1" x14ac:dyDescent="0.3">
      <c r="BI396" s="203" t="s">
        <v>446</v>
      </c>
      <c r="BJ396" s="190" t="s">
        <v>76</v>
      </c>
      <c r="BK396" s="196">
        <v>0.19</v>
      </c>
      <c r="BL396" s="190" t="s">
        <v>421</v>
      </c>
      <c r="BM396" s="189">
        <v>0.05</v>
      </c>
      <c r="BN396" s="189">
        <v>0.1</v>
      </c>
      <c r="BO396" s="188" t="s">
        <v>262</v>
      </c>
      <c r="BP396" s="206"/>
      <c r="BQ396" s="206"/>
      <c r="BR396" s="206"/>
      <c r="BS396" s="206"/>
      <c r="BT396" s="206"/>
      <c r="BU396" s="206"/>
      <c r="BV396" s="207"/>
      <c r="BW396" s="206"/>
      <c r="BX396" s="206"/>
      <c r="BY396" s="207"/>
      <c r="BZ396" s="207"/>
      <c r="CA396" s="207"/>
      <c r="CB396" s="180"/>
      <c r="CC396" s="178"/>
      <c r="CD396" s="178"/>
      <c r="CE396" s="180"/>
      <c r="CF396" s="180"/>
      <c r="CG396" s="180"/>
      <c r="CH396" s="180"/>
      <c r="CI396" s="178"/>
      <c r="CJ396" s="178"/>
      <c r="CK396" s="180"/>
      <c r="CL396" s="180"/>
      <c r="CM396" s="180"/>
      <c r="CN396" s="116"/>
      <c r="CO396" s="218">
        <f t="shared" si="217"/>
        <v>0.05</v>
      </c>
      <c r="CP396" s="100">
        <f t="shared" si="218"/>
        <v>7.5000000000000011E-2</v>
      </c>
      <c r="CQ396" s="218">
        <f t="shared" si="219"/>
        <v>0.1</v>
      </c>
      <c r="CW396" s="123"/>
      <c r="CX396" s="122"/>
      <c r="CY396" s="122"/>
      <c r="CZ396" s="123"/>
      <c r="DA396" s="123"/>
      <c r="DB396" s="123"/>
      <c r="DC396" s="122"/>
      <c r="DD396" s="122"/>
      <c r="DE396" s="122"/>
      <c r="DF396" s="122"/>
      <c r="DG396" s="122"/>
      <c r="DH396" s="123"/>
      <c r="DI396" s="23"/>
      <c r="DJ396" s="150"/>
      <c r="DK396" s="150"/>
      <c r="DL396" s="116"/>
    </row>
    <row r="397" spans="61:116" s="101" customFormat="1" ht="18.75" thickBot="1" x14ac:dyDescent="0.3">
      <c r="BI397" s="203" t="s">
        <v>448</v>
      </c>
      <c r="BJ397" s="190" t="s">
        <v>76</v>
      </c>
      <c r="BK397" s="196">
        <v>0.19</v>
      </c>
      <c r="BL397" s="190" t="s">
        <v>421</v>
      </c>
      <c r="BM397" s="189">
        <v>0.05</v>
      </c>
      <c r="BN397" s="189">
        <v>0.1</v>
      </c>
      <c r="BO397" s="188" t="s">
        <v>262</v>
      </c>
      <c r="BP397" s="206"/>
      <c r="BQ397" s="206"/>
      <c r="BR397" s="206"/>
      <c r="BS397" s="206"/>
      <c r="BT397" s="206"/>
      <c r="BU397" s="206"/>
      <c r="BV397" s="207"/>
      <c r="BW397" s="206"/>
      <c r="BX397" s="206"/>
      <c r="BY397" s="207"/>
      <c r="BZ397" s="207"/>
      <c r="CA397" s="207"/>
      <c r="CB397" s="180"/>
      <c r="CC397" s="178"/>
      <c r="CD397" s="178"/>
      <c r="CE397" s="180"/>
      <c r="CF397" s="180"/>
      <c r="CG397" s="180"/>
      <c r="CH397" s="180"/>
      <c r="CI397" s="178"/>
      <c r="CJ397" s="178"/>
      <c r="CK397" s="180"/>
      <c r="CL397" s="180"/>
      <c r="CM397" s="180"/>
      <c r="CN397" s="116"/>
      <c r="CO397" s="218">
        <f t="shared" si="217"/>
        <v>0.05</v>
      </c>
      <c r="CP397" s="100">
        <f t="shared" si="218"/>
        <v>7.5000000000000011E-2</v>
      </c>
      <c r="CQ397" s="218">
        <f t="shared" si="219"/>
        <v>0.1</v>
      </c>
      <c r="CW397" s="123"/>
      <c r="CX397" s="122"/>
      <c r="CY397" s="122"/>
      <c r="CZ397" s="123"/>
      <c r="DA397" s="123"/>
      <c r="DB397" s="123"/>
      <c r="DC397" s="122"/>
      <c r="DD397" s="122"/>
      <c r="DE397" s="122"/>
      <c r="DF397" s="122"/>
      <c r="DG397" s="122"/>
      <c r="DH397" s="123"/>
      <c r="DI397" s="23"/>
      <c r="DJ397" s="150"/>
      <c r="DK397" s="150"/>
      <c r="DL397" s="116"/>
    </row>
    <row r="398" spans="61:116" s="101" customFormat="1" ht="18.75" thickBot="1" x14ac:dyDescent="0.3">
      <c r="BI398" s="203" t="s">
        <v>190</v>
      </c>
      <c r="BJ398" s="190" t="s">
        <v>76</v>
      </c>
      <c r="BK398" s="196">
        <v>0.153</v>
      </c>
      <c r="BL398" s="190" t="s">
        <v>421</v>
      </c>
      <c r="BM398" s="189">
        <v>0.05</v>
      </c>
      <c r="BN398" s="189">
        <v>0.1</v>
      </c>
      <c r="BO398" s="188" t="s">
        <v>263</v>
      </c>
      <c r="BP398" s="206"/>
      <c r="BQ398" s="206"/>
      <c r="BR398" s="206"/>
      <c r="BS398" s="206"/>
      <c r="BT398" s="206"/>
      <c r="BU398" s="206"/>
      <c r="BV398" s="207"/>
      <c r="BW398" s="206"/>
      <c r="BX398" s="206"/>
      <c r="BY398" s="207"/>
      <c r="BZ398" s="207"/>
      <c r="CA398" s="207"/>
      <c r="CB398" s="180"/>
      <c r="CC398" s="178"/>
      <c r="CD398" s="178"/>
      <c r="CE398" s="180"/>
      <c r="CF398" s="180"/>
      <c r="CG398" s="180"/>
      <c r="CH398" s="180"/>
      <c r="CI398" s="178"/>
      <c r="CJ398" s="178"/>
      <c r="CK398" s="180"/>
      <c r="CL398" s="180"/>
      <c r="CM398" s="180"/>
      <c r="CN398" s="116"/>
      <c r="CO398" s="218">
        <f t="shared" si="217"/>
        <v>0.05</v>
      </c>
      <c r="CP398" s="100">
        <f t="shared" si="218"/>
        <v>7.5000000000000011E-2</v>
      </c>
      <c r="CQ398" s="218">
        <f t="shared" si="219"/>
        <v>0.1</v>
      </c>
      <c r="CW398" s="123"/>
      <c r="CX398" s="122"/>
      <c r="CY398" s="122"/>
      <c r="CZ398" s="123"/>
      <c r="DA398" s="123"/>
      <c r="DB398" s="123"/>
      <c r="DC398" s="122"/>
      <c r="DD398" s="122"/>
      <c r="DE398" s="122"/>
      <c r="DF398" s="122"/>
      <c r="DG398" s="122"/>
      <c r="DH398" s="123"/>
      <c r="DI398" s="23"/>
      <c r="DJ398" s="150"/>
      <c r="DK398" s="150"/>
      <c r="DL398" s="116"/>
    </row>
    <row r="399" spans="61:116" s="101" customFormat="1" ht="18.75" thickBot="1" x14ac:dyDescent="0.3">
      <c r="BI399" s="203" t="s">
        <v>189</v>
      </c>
      <c r="BJ399" s="190" t="s">
        <v>76</v>
      </c>
      <c r="BK399" s="196">
        <v>0.13600000000000001</v>
      </c>
      <c r="BL399" s="190" t="s">
        <v>421</v>
      </c>
      <c r="BM399" s="189">
        <v>0.05</v>
      </c>
      <c r="BN399" s="189">
        <v>0.1</v>
      </c>
      <c r="BO399" s="188" t="s">
        <v>263</v>
      </c>
      <c r="BP399" s="206"/>
      <c r="BQ399" s="206"/>
      <c r="BR399" s="206"/>
      <c r="BS399" s="206"/>
      <c r="BT399" s="206"/>
      <c r="BU399" s="206"/>
      <c r="BV399" s="207"/>
      <c r="BW399" s="206"/>
      <c r="BX399" s="206"/>
      <c r="BY399" s="207"/>
      <c r="BZ399" s="207"/>
      <c r="CA399" s="207"/>
      <c r="CB399" s="180"/>
      <c r="CC399" s="178"/>
      <c r="CD399" s="178"/>
      <c r="CE399" s="180"/>
      <c r="CF399" s="180"/>
      <c r="CG399" s="180"/>
      <c r="CH399" s="180"/>
      <c r="CI399" s="178"/>
      <c r="CJ399" s="178"/>
      <c r="CK399" s="180"/>
      <c r="CL399" s="180"/>
      <c r="CM399" s="180"/>
      <c r="CN399" s="116"/>
      <c r="CO399" s="218">
        <f t="shared" si="217"/>
        <v>0.05</v>
      </c>
      <c r="CP399" s="100">
        <f t="shared" si="218"/>
        <v>7.5000000000000011E-2</v>
      </c>
      <c r="CQ399" s="218">
        <f t="shared" si="219"/>
        <v>0.1</v>
      </c>
      <c r="CW399" s="123"/>
      <c r="CX399" s="122"/>
      <c r="CY399" s="122"/>
      <c r="CZ399" s="123"/>
      <c r="DA399" s="123"/>
      <c r="DB399" s="123"/>
      <c r="DC399" s="122"/>
      <c r="DD399" s="122"/>
      <c r="DE399" s="122"/>
      <c r="DF399" s="122"/>
      <c r="DG399" s="122"/>
      <c r="DH399" s="123"/>
      <c r="DI399" s="23"/>
      <c r="DJ399" s="150"/>
      <c r="DK399" s="150"/>
      <c r="DL399" s="116"/>
    </row>
    <row r="400" spans="61:116" s="101" customFormat="1" ht="18.75" thickBot="1" x14ac:dyDescent="0.3">
      <c r="BI400" s="203" t="s">
        <v>175</v>
      </c>
      <c r="BJ400" s="190" t="s">
        <v>76</v>
      </c>
      <c r="BK400" s="196">
        <v>0.29039999999999999</v>
      </c>
      <c r="BL400" s="190" t="s">
        <v>421</v>
      </c>
      <c r="BM400" s="189">
        <v>0.05</v>
      </c>
      <c r="BN400" s="189">
        <v>0.1</v>
      </c>
      <c r="BO400" s="188" t="s">
        <v>262</v>
      </c>
      <c r="BP400" s="206"/>
      <c r="BQ400" s="206"/>
      <c r="BR400" s="206"/>
      <c r="BS400" s="206"/>
      <c r="BT400" s="206"/>
      <c r="BU400" s="206"/>
      <c r="BV400" s="207"/>
      <c r="BW400" s="206"/>
      <c r="BX400" s="206"/>
      <c r="BY400" s="207"/>
      <c r="BZ400" s="207"/>
      <c r="CA400" s="207"/>
      <c r="CB400" s="180"/>
      <c r="CC400" s="178"/>
      <c r="CD400" s="178"/>
      <c r="CE400" s="180"/>
      <c r="CF400" s="180"/>
      <c r="CG400" s="180"/>
      <c r="CH400" s="180"/>
      <c r="CI400" s="178"/>
      <c r="CJ400" s="178"/>
      <c r="CK400" s="180"/>
      <c r="CL400" s="180"/>
      <c r="CM400" s="180"/>
      <c r="CN400" s="116"/>
      <c r="CO400" s="218">
        <f t="shared" si="217"/>
        <v>0.05</v>
      </c>
      <c r="CP400" s="100">
        <f t="shared" si="218"/>
        <v>7.5000000000000011E-2</v>
      </c>
      <c r="CQ400" s="218">
        <f t="shared" si="219"/>
        <v>0.1</v>
      </c>
      <c r="CW400" s="123"/>
      <c r="CX400" s="122"/>
      <c r="CY400" s="122"/>
      <c r="CZ400" s="123"/>
      <c r="DA400" s="123"/>
      <c r="DB400" s="123"/>
      <c r="DC400" s="122"/>
      <c r="DD400" s="122"/>
      <c r="DE400" s="122"/>
      <c r="DF400" s="122"/>
      <c r="DG400" s="122"/>
      <c r="DH400" s="123"/>
      <c r="DI400" s="23"/>
      <c r="DJ400" s="150"/>
      <c r="DK400" s="150"/>
      <c r="DL400" s="116"/>
    </row>
    <row r="401" spans="61:116" s="101" customFormat="1" x14ac:dyDescent="0.25">
      <c r="BI401" s="102"/>
      <c r="BJ401" s="178"/>
      <c r="BK401" s="178"/>
      <c r="BL401" s="178"/>
      <c r="BM401" s="169"/>
      <c r="BN401" s="169"/>
      <c r="BO401" s="169"/>
      <c r="BP401" s="206"/>
      <c r="BQ401" s="206"/>
      <c r="BR401" s="206"/>
      <c r="BS401" s="206"/>
      <c r="BT401" s="206"/>
      <c r="BU401" s="206"/>
      <c r="BV401" s="207"/>
      <c r="BW401" s="206"/>
      <c r="BX401" s="206"/>
      <c r="BY401" s="207"/>
      <c r="BZ401" s="207"/>
      <c r="CA401" s="207"/>
      <c r="CB401" s="180"/>
      <c r="CC401" s="178"/>
      <c r="CD401" s="178"/>
      <c r="CE401" s="180"/>
      <c r="CF401" s="180"/>
      <c r="CG401" s="180"/>
      <c r="CH401" s="180"/>
      <c r="CI401" s="178"/>
      <c r="CJ401" s="178"/>
      <c r="CK401" s="180"/>
      <c r="CL401" s="180"/>
      <c r="CM401" s="180"/>
      <c r="CN401" s="116"/>
      <c r="CO401" s="218">
        <f t="shared" si="217"/>
        <v>0</v>
      </c>
      <c r="CP401" s="100">
        <f t="shared" si="218"/>
        <v>0</v>
      </c>
      <c r="CQ401" s="218">
        <f t="shared" si="219"/>
        <v>0</v>
      </c>
      <c r="CW401" s="123"/>
      <c r="CX401" s="122"/>
      <c r="CY401" s="122"/>
      <c r="CZ401" s="123"/>
      <c r="DA401" s="123"/>
      <c r="DB401" s="123"/>
      <c r="DC401" s="122"/>
      <c r="DD401" s="122"/>
      <c r="DE401" s="122"/>
      <c r="DF401" s="122"/>
      <c r="DG401" s="122"/>
      <c r="DH401" s="123"/>
      <c r="DI401" s="23"/>
      <c r="DJ401" s="150"/>
      <c r="DK401" s="150"/>
      <c r="DL401" s="116"/>
    </row>
    <row r="402" spans="61:116" s="101" customFormat="1" x14ac:dyDescent="0.25">
      <c r="BI402" s="102"/>
      <c r="BJ402" s="178"/>
      <c r="BK402" s="178"/>
      <c r="BL402" s="178"/>
      <c r="BM402" s="169"/>
      <c r="BN402" s="169"/>
      <c r="BO402" s="169"/>
      <c r="BP402" s="206"/>
      <c r="BQ402" s="206"/>
      <c r="BR402" s="206"/>
      <c r="BS402" s="206"/>
      <c r="BT402" s="206"/>
      <c r="BU402" s="206"/>
      <c r="BV402" s="207"/>
      <c r="BW402" s="206"/>
      <c r="BX402" s="206"/>
      <c r="BY402" s="207"/>
      <c r="BZ402" s="207"/>
      <c r="CA402" s="207"/>
      <c r="CB402" s="180"/>
      <c r="CC402" s="178"/>
      <c r="CD402" s="178"/>
      <c r="CE402" s="180"/>
      <c r="CF402" s="180"/>
      <c r="CG402" s="180"/>
      <c r="CH402" s="180"/>
      <c r="CI402" s="178"/>
      <c r="CJ402" s="178"/>
      <c r="CK402" s="180"/>
      <c r="CL402" s="180"/>
      <c r="CM402" s="180"/>
      <c r="CN402" s="116"/>
      <c r="CO402" s="218">
        <f t="shared" si="217"/>
        <v>0</v>
      </c>
      <c r="CP402" s="100">
        <f t="shared" si="218"/>
        <v>0</v>
      </c>
      <c r="CQ402" s="218">
        <f t="shared" si="219"/>
        <v>0</v>
      </c>
      <c r="CW402" s="123"/>
      <c r="CX402" s="122"/>
      <c r="CY402" s="122"/>
      <c r="CZ402" s="123"/>
      <c r="DA402" s="123"/>
      <c r="DB402" s="123"/>
      <c r="DC402" s="122"/>
      <c r="DD402" s="122"/>
      <c r="DE402" s="122"/>
      <c r="DF402" s="122"/>
      <c r="DG402" s="122"/>
      <c r="DH402" s="123"/>
      <c r="DI402" s="23"/>
      <c r="DJ402" s="150"/>
      <c r="DK402" s="150"/>
      <c r="DL402" s="116"/>
    </row>
    <row r="403" spans="61:116" s="101" customFormat="1" ht="15.75" thickBot="1" x14ac:dyDescent="0.3">
      <c r="BI403" s="102"/>
      <c r="BJ403" s="178"/>
      <c r="BK403" s="178"/>
      <c r="BL403" s="178"/>
      <c r="BM403" s="169"/>
      <c r="BN403" s="169"/>
      <c r="BO403" s="169"/>
      <c r="BP403" s="206"/>
      <c r="BQ403" s="206"/>
      <c r="BR403" s="206"/>
      <c r="BS403" s="206"/>
      <c r="BT403" s="206"/>
      <c r="BU403" s="206"/>
      <c r="BV403" s="207"/>
      <c r="BW403" s="206"/>
      <c r="BX403" s="206"/>
      <c r="BY403" s="207"/>
      <c r="BZ403" s="207"/>
      <c r="CA403" s="207"/>
      <c r="CB403" s="180"/>
      <c r="CC403" s="178"/>
      <c r="CD403" s="178"/>
      <c r="CE403" s="180"/>
      <c r="CF403" s="180"/>
      <c r="CG403" s="180"/>
      <c r="CH403" s="180"/>
      <c r="CI403" s="178"/>
      <c r="CJ403" s="178"/>
      <c r="CK403" s="180"/>
      <c r="CL403" s="180"/>
      <c r="CM403" s="180"/>
      <c r="CN403" s="116"/>
      <c r="CO403" s="218">
        <f t="shared" si="217"/>
        <v>0</v>
      </c>
      <c r="CP403" s="100">
        <f t="shared" si="218"/>
        <v>0</v>
      </c>
      <c r="CQ403" s="218">
        <f t="shared" si="219"/>
        <v>0</v>
      </c>
      <c r="CW403" s="123"/>
      <c r="CX403" s="122"/>
      <c r="CY403" s="122"/>
      <c r="CZ403" s="123"/>
      <c r="DA403" s="123"/>
      <c r="DB403" s="123"/>
      <c r="DC403" s="122"/>
      <c r="DD403" s="122"/>
      <c r="DE403" s="122"/>
      <c r="DF403" s="122"/>
      <c r="DG403" s="122"/>
      <c r="DH403" s="123"/>
      <c r="DI403" s="23"/>
      <c r="DJ403" s="150"/>
      <c r="DK403" s="150"/>
      <c r="DL403" s="116"/>
    </row>
    <row r="404" spans="61:116" s="101" customFormat="1" x14ac:dyDescent="0.25">
      <c r="BI404" s="1606" t="s">
        <v>300</v>
      </c>
      <c r="BJ404" s="251"/>
      <c r="BK404" s="1606" t="s">
        <v>302</v>
      </c>
      <c r="BL404" s="251"/>
      <c r="BM404" s="1606" t="s">
        <v>233</v>
      </c>
      <c r="BN404" s="1606" t="s">
        <v>233</v>
      </c>
      <c r="BO404" s="1606" t="s">
        <v>240</v>
      </c>
      <c r="BP404" s="206"/>
      <c r="BQ404" s="206"/>
      <c r="BR404" s="206"/>
      <c r="BS404" s="206"/>
      <c r="BT404" s="206"/>
      <c r="BU404" s="206"/>
      <c r="BV404" s="207"/>
      <c r="BW404" s="206"/>
      <c r="BX404" s="206"/>
      <c r="BY404" s="207"/>
      <c r="BZ404" s="207"/>
      <c r="CA404" s="207"/>
      <c r="CB404" s="180"/>
      <c r="CC404" s="178"/>
      <c r="CD404" s="178"/>
      <c r="CE404" s="180"/>
      <c r="CF404" s="180"/>
      <c r="CG404" s="180"/>
      <c r="CH404" s="180"/>
      <c r="CI404" s="178"/>
      <c r="CJ404" s="178"/>
      <c r="CK404" s="180"/>
      <c r="CL404" s="180"/>
      <c r="CM404" s="180"/>
      <c r="CN404" s="116"/>
      <c r="CO404" s="218" t="str">
        <f t="shared" si="217"/>
        <v>Incertidumbre (+/- %)</v>
      </c>
      <c r="CP404" s="100" t="e">
        <f t="shared" si="218"/>
        <v>#VALUE!</v>
      </c>
      <c r="CQ404" s="218" t="str">
        <f t="shared" si="219"/>
        <v>Incertidumbre (+/- %)</v>
      </c>
      <c r="CW404" s="123"/>
      <c r="CX404" s="122"/>
      <c r="CY404" s="122"/>
      <c r="CZ404" s="123"/>
      <c r="DA404" s="123"/>
      <c r="DB404" s="123"/>
      <c r="DC404" s="122"/>
      <c r="DD404" s="122"/>
      <c r="DE404" s="122"/>
      <c r="DF404" s="122"/>
      <c r="DG404" s="122"/>
      <c r="DH404" s="123"/>
      <c r="DI404" s="23"/>
      <c r="DJ404" s="150"/>
      <c r="DK404" s="150"/>
      <c r="DL404" s="116"/>
    </row>
    <row r="405" spans="61:116" s="101" customFormat="1" ht="15.75" thickBot="1" x14ac:dyDescent="0.3">
      <c r="BI405" s="1607"/>
      <c r="BJ405" s="252" t="s">
        <v>253</v>
      </c>
      <c r="BK405" s="1607"/>
      <c r="BL405" s="252" t="s">
        <v>251</v>
      </c>
      <c r="BM405" s="1607"/>
      <c r="BN405" s="1607"/>
      <c r="BO405" s="1607"/>
      <c r="BP405" s="206"/>
      <c r="BQ405" s="206"/>
      <c r="BR405" s="206"/>
      <c r="BS405" s="206"/>
      <c r="BT405" s="206"/>
      <c r="BU405" s="206"/>
      <c r="BV405" s="207"/>
      <c r="BW405" s="206"/>
      <c r="BX405" s="206"/>
      <c r="BY405" s="207"/>
      <c r="BZ405" s="207"/>
      <c r="CA405" s="207"/>
      <c r="CB405" s="180"/>
      <c r="CC405" s="178"/>
      <c r="CD405" s="178"/>
      <c r="CE405" s="180"/>
      <c r="CF405" s="180"/>
      <c r="CG405" s="180"/>
      <c r="CH405" s="180"/>
      <c r="CI405" s="178"/>
      <c r="CJ405" s="178"/>
      <c r="CK405" s="180"/>
      <c r="CL405" s="180"/>
      <c r="CM405" s="180"/>
      <c r="CN405" s="116"/>
      <c r="CO405" s="218">
        <f t="shared" si="217"/>
        <v>0</v>
      </c>
      <c r="CP405" s="100">
        <f t="shared" si="218"/>
        <v>0</v>
      </c>
      <c r="CQ405" s="218">
        <f t="shared" si="219"/>
        <v>0</v>
      </c>
      <c r="CW405" s="123"/>
      <c r="CX405" s="122"/>
      <c r="CY405" s="122"/>
      <c r="CZ405" s="123"/>
      <c r="DA405" s="123"/>
      <c r="DB405" s="123"/>
      <c r="DC405" s="122"/>
      <c r="DD405" s="122"/>
      <c r="DE405" s="122"/>
      <c r="DF405" s="122"/>
      <c r="DG405" s="122"/>
      <c r="DH405" s="123"/>
      <c r="DI405" s="23"/>
      <c r="DJ405" s="150"/>
      <c r="DK405" s="150"/>
      <c r="DL405" s="116"/>
    </row>
    <row r="406" spans="61:116" s="101" customFormat="1" ht="18.75" thickBot="1" x14ac:dyDescent="0.3">
      <c r="BI406" s="203" t="s">
        <v>74</v>
      </c>
      <c r="BJ406" s="190" t="s">
        <v>78</v>
      </c>
      <c r="BK406" s="196">
        <v>68.819999999999993</v>
      </c>
      <c r="BL406" s="190" t="s">
        <v>422</v>
      </c>
      <c r="BM406" s="189">
        <v>0.05</v>
      </c>
      <c r="BN406" s="189">
        <v>0.05</v>
      </c>
      <c r="BO406" s="188" t="s">
        <v>77</v>
      </c>
      <c r="BP406" s="206"/>
      <c r="BQ406" s="206"/>
      <c r="BR406" s="206"/>
      <c r="BS406" s="206"/>
      <c r="BT406" s="206"/>
      <c r="BU406" s="206"/>
      <c r="BV406" s="207"/>
      <c r="BW406" s="206"/>
      <c r="BX406" s="206"/>
      <c r="BY406" s="207"/>
      <c r="BZ406" s="207"/>
      <c r="CA406" s="207"/>
      <c r="CB406" s="180"/>
      <c r="CC406" s="178"/>
      <c r="CD406" s="178"/>
      <c r="CE406" s="180"/>
      <c r="CF406" s="180"/>
      <c r="CG406" s="180"/>
      <c r="CH406" s="180"/>
      <c r="CI406" s="178"/>
      <c r="CJ406" s="178"/>
      <c r="CK406" s="180"/>
      <c r="CL406" s="180"/>
      <c r="CM406" s="180"/>
      <c r="CN406" s="116"/>
      <c r="CO406" s="218">
        <f t="shared" si="217"/>
        <v>0.05</v>
      </c>
      <c r="CP406" s="100">
        <f t="shared" si="218"/>
        <v>0.05</v>
      </c>
      <c r="CQ406" s="218">
        <f t="shared" si="219"/>
        <v>0.05</v>
      </c>
      <c r="CW406" s="123"/>
      <c r="CX406" s="122"/>
      <c r="CY406" s="122"/>
      <c r="CZ406" s="123"/>
      <c r="DA406" s="123"/>
      <c r="DB406" s="123"/>
      <c r="DC406" s="122"/>
      <c r="DD406" s="122"/>
      <c r="DE406" s="122"/>
      <c r="DF406" s="122"/>
      <c r="DG406" s="122"/>
      <c r="DH406" s="123"/>
      <c r="DI406" s="23"/>
      <c r="DJ406" s="150"/>
      <c r="DK406" s="150"/>
      <c r="DL406" s="116"/>
    </row>
    <row r="407" spans="61:116" s="101" customFormat="1" ht="18.75" thickBot="1" x14ac:dyDescent="0.3">
      <c r="BI407" s="203" t="s">
        <v>73</v>
      </c>
      <c r="BJ407" s="190" t="s">
        <v>78</v>
      </c>
      <c r="BK407" s="196">
        <v>83.37</v>
      </c>
      <c r="BL407" s="190" t="s">
        <v>422</v>
      </c>
      <c r="BM407" s="189">
        <v>0.05</v>
      </c>
      <c r="BN407" s="189">
        <v>0.05</v>
      </c>
      <c r="BO407" s="188" t="s">
        <v>77</v>
      </c>
      <c r="BP407" s="206"/>
      <c r="BQ407" s="206"/>
      <c r="BR407" s="206"/>
      <c r="BS407" s="206"/>
      <c r="BT407" s="206"/>
      <c r="BU407" s="206"/>
      <c r="BV407" s="207"/>
      <c r="BW407" s="206"/>
      <c r="BX407" s="206"/>
      <c r="BY407" s="207"/>
      <c r="BZ407" s="207"/>
      <c r="CA407" s="207"/>
      <c r="CB407" s="180"/>
      <c r="CC407" s="178"/>
      <c r="CD407" s="178"/>
      <c r="CE407" s="180"/>
      <c r="CF407" s="180"/>
      <c r="CG407" s="180"/>
      <c r="CH407" s="180"/>
      <c r="CI407" s="178"/>
      <c r="CJ407" s="178"/>
      <c r="CK407" s="180"/>
      <c r="CL407" s="180"/>
      <c r="CM407" s="180"/>
      <c r="CN407" s="116"/>
      <c r="CO407" s="218">
        <f t="shared" si="217"/>
        <v>0.05</v>
      </c>
      <c r="CP407" s="100">
        <f t="shared" si="218"/>
        <v>0.05</v>
      </c>
      <c r="CQ407" s="218">
        <f t="shared" si="219"/>
        <v>0.05</v>
      </c>
      <c r="CW407" s="123"/>
      <c r="CX407" s="122"/>
      <c r="CY407" s="122"/>
      <c r="CZ407" s="123"/>
      <c r="DA407" s="123"/>
      <c r="DB407" s="123"/>
      <c r="DC407" s="122"/>
      <c r="DD407" s="122"/>
      <c r="DE407" s="122"/>
      <c r="DF407" s="122"/>
      <c r="DG407" s="122"/>
      <c r="DH407" s="123"/>
      <c r="DI407" s="23"/>
      <c r="DJ407" s="150"/>
      <c r="DK407" s="150"/>
      <c r="DL407" s="116"/>
    </row>
    <row r="408" spans="61:116" s="101" customFormat="1" ht="18.75" thickBot="1" x14ac:dyDescent="0.3">
      <c r="BI408" s="203" t="s">
        <v>79</v>
      </c>
      <c r="BJ408" s="190" t="s">
        <v>78</v>
      </c>
      <c r="BK408" s="196">
        <v>159.43</v>
      </c>
      <c r="BL408" s="190" t="s">
        <v>422</v>
      </c>
      <c r="BM408" s="189">
        <v>0.05</v>
      </c>
      <c r="BN408" s="189">
        <v>0.05</v>
      </c>
      <c r="BO408" s="188" t="s">
        <v>77</v>
      </c>
      <c r="BP408" s="206"/>
      <c r="BQ408" s="206"/>
      <c r="BR408" s="206"/>
      <c r="BS408" s="206"/>
      <c r="BT408" s="206"/>
      <c r="BU408" s="206"/>
      <c r="BV408" s="207"/>
      <c r="BW408" s="206"/>
      <c r="BX408" s="206"/>
      <c r="BY408" s="207"/>
      <c r="BZ408" s="207"/>
      <c r="CA408" s="207"/>
      <c r="CB408" s="180"/>
      <c r="CC408" s="178"/>
      <c r="CD408" s="178"/>
      <c r="CE408" s="180"/>
      <c r="CF408" s="180"/>
      <c r="CG408" s="180"/>
      <c r="CH408" s="180"/>
      <c r="CI408" s="178"/>
      <c r="CJ408" s="178"/>
      <c r="CK408" s="180"/>
      <c r="CL408" s="180"/>
      <c r="CM408" s="180"/>
      <c r="CN408" s="116"/>
      <c r="CO408" s="218">
        <f t="shared" si="217"/>
        <v>0.05</v>
      </c>
      <c r="CP408" s="100">
        <f t="shared" si="218"/>
        <v>0.05</v>
      </c>
      <c r="CQ408" s="218">
        <f t="shared" si="219"/>
        <v>0.05</v>
      </c>
      <c r="CW408" s="123"/>
      <c r="CX408" s="122"/>
      <c r="CY408" s="122"/>
      <c r="CZ408" s="123"/>
      <c r="DA408" s="123"/>
      <c r="DB408" s="123"/>
      <c r="DC408" s="122"/>
      <c r="DD408" s="122"/>
      <c r="DE408" s="122"/>
      <c r="DF408" s="122"/>
      <c r="DG408" s="122"/>
      <c r="DH408" s="123"/>
      <c r="DI408" s="23"/>
      <c r="DJ408" s="150"/>
      <c r="DK408" s="150"/>
      <c r="DL408" s="116"/>
    </row>
    <row r="409" spans="61:116" s="101" customFormat="1" ht="18.75" thickBot="1" x14ac:dyDescent="0.3">
      <c r="BI409" s="203" t="s">
        <v>70</v>
      </c>
      <c r="BJ409" s="190" t="s">
        <v>78</v>
      </c>
      <c r="BK409" s="196">
        <v>102.71</v>
      </c>
      <c r="BL409" s="190" t="s">
        <v>422</v>
      </c>
      <c r="BM409" s="189">
        <v>0.05</v>
      </c>
      <c r="BN409" s="189">
        <v>0.05</v>
      </c>
      <c r="BO409" s="188" t="s">
        <v>77</v>
      </c>
      <c r="BP409" s="206"/>
      <c r="BQ409" s="206"/>
      <c r="BR409" s="206"/>
      <c r="BS409" s="206"/>
      <c r="BT409" s="206"/>
      <c r="BU409" s="206"/>
      <c r="BV409" s="207"/>
      <c r="BW409" s="206"/>
      <c r="BX409" s="206"/>
      <c r="BY409" s="207"/>
      <c r="BZ409" s="207"/>
      <c r="CA409" s="207"/>
      <c r="CB409" s="180"/>
      <c r="CC409" s="178"/>
      <c r="CD409" s="178"/>
      <c r="CE409" s="180"/>
      <c r="CF409" s="180"/>
      <c r="CG409" s="180"/>
      <c r="CH409" s="180"/>
      <c r="CI409" s="178"/>
      <c r="CJ409" s="178"/>
      <c r="CK409" s="180"/>
      <c r="CL409" s="180"/>
      <c r="CM409" s="180"/>
      <c r="CN409" s="116"/>
      <c r="CO409" s="218">
        <f t="shared" si="217"/>
        <v>0.05</v>
      </c>
      <c r="CP409" s="100">
        <f t="shared" si="218"/>
        <v>0.05</v>
      </c>
      <c r="CQ409" s="218">
        <f t="shared" si="219"/>
        <v>0.05</v>
      </c>
      <c r="CW409" s="123"/>
      <c r="CX409" s="122"/>
      <c r="CY409" s="122"/>
      <c r="CZ409" s="123"/>
      <c r="DA409" s="123"/>
      <c r="DB409" s="123"/>
      <c r="DC409" s="122"/>
      <c r="DD409" s="122"/>
      <c r="DE409" s="122"/>
      <c r="DF409" s="122"/>
      <c r="DG409" s="122"/>
      <c r="DH409" s="123"/>
      <c r="DI409" s="23"/>
      <c r="DJ409" s="150"/>
      <c r="DK409" s="150"/>
      <c r="DL409" s="116"/>
    </row>
    <row r="410" spans="61:116" s="101" customFormat="1" ht="18.75" thickBot="1" x14ac:dyDescent="0.3">
      <c r="BI410" s="203" t="s">
        <v>80</v>
      </c>
      <c r="BJ410" s="190" t="s">
        <v>78</v>
      </c>
      <c r="BK410" s="196">
        <v>81.25</v>
      </c>
      <c r="BL410" s="190" t="s">
        <v>422</v>
      </c>
      <c r="BM410" s="189">
        <v>0.05</v>
      </c>
      <c r="BN410" s="189">
        <v>0.05</v>
      </c>
      <c r="BO410" s="188" t="s">
        <v>77</v>
      </c>
      <c r="BP410" s="206"/>
      <c r="BQ410" s="206"/>
      <c r="BR410" s="206"/>
      <c r="BS410" s="206"/>
      <c r="BT410" s="206"/>
      <c r="BU410" s="206"/>
      <c r="BV410" s="207"/>
      <c r="BW410" s="206"/>
      <c r="BX410" s="206"/>
      <c r="BY410" s="207"/>
      <c r="BZ410" s="207"/>
      <c r="CA410" s="207"/>
      <c r="CB410" s="180"/>
      <c r="CC410" s="178"/>
      <c r="CD410" s="178"/>
      <c r="CE410" s="180"/>
      <c r="CF410" s="180"/>
      <c r="CG410" s="180"/>
      <c r="CH410" s="180"/>
      <c r="CI410" s="178"/>
      <c r="CJ410" s="178"/>
      <c r="CK410" s="180"/>
      <c r="CL410" s="180"/>
      <c r="CM410" s="180"/>
      <c r="CN410" s="116"/>
      <c r="CO410" s="218">
        <f t="shared" si="217"/>
        <v>0.05</v>
      </c>
      <c r="CP410" s="100">
        <f t="shared" si="218"/>
        <v>0.05</v>
      </c>
      <c r="CQ410" s="218">
        <f t="shared" si="219"/>
        <v>0.05</v>
      </c>
      <c r="CW410" s="123"/>
      <c r="CX410" s="122"/>
      <c r="CY410" s="122"/>
      <c r="CZ410" s="123"/>
      <c r="DA410" s="123"/>
      <c r="DB410" s="123"/>
      <c r="DC410" s="122"/>
      <c r="DD410" s="122"/>
      <c r="DE410" s="122"/>
      <c r="DF410" s="122"/>
      <c r="DG410" s="122"/>
      <c r="DH410" s="123"/>
      <c r="DI410" s="23"/>
      <c r="DJ410" s="150"/>
      <c r="DK410" s="150"/>
      <c r="DL410" s="116"/>
    </row>
    <row r="411" spans="61:116" s="101" customFormat="1" ht="18.75" thickBot="1" x14ac:dyDescent="0.3">
      <c r="BI411" s="203" t="s">
        <v>71</v>
      </c>
      <c r="BJ411" s="190" t="s">
        <v>78</v>
      </c>
      <c r="BK411" s="196">
        <v>97.7</v>
      </c>
      <c r="BL411" s="190" t="s">
        <v>422</v>
      </c>
      <c r="BM411" s="189">
        <v>0.05</v>
      </c>
      <c r="BN411" s="189">
        <v>0.05</v>
      </c>
      <c r="BO411" s="188" t="s">
        <v>77</v>
      </c>
      <c r="BP411" s="206"/>
      <c r="BQ411" s="206"/>
      <c r="BR411" s="206"/>
      <c r="BS411" s="206"/>
      <c r="BT411" s="206"/>
      <c r="BU411" s="206"/>
      <c r="BV411" s="207"/>
      <c r="BW411" s="206"/>
      <c r="BX411" s="206"/>
      <c r="BY411" s="207"/>
      <c r="BZ411" s="207"/>
      <c r="CA411" s="207"/>
      <c r="CB411" s="180"/>
      <c r="CC411" s="178"/>
      <c r="CD411" s="178"/>
      <c r="CE411" s="180"/>
      <c r="CF411" s="180"/>
      <c r="CG411" s="180"/>
      <c r="CH411" s="180"/>
      <c r="CI411" s="178"/>
      <c r="CJ411" s="178"/>
      <c r="CK411" s="180"/>
      <c r="CL411" s="180"/>
      <c r="CM411" s="180"/>
      <c r="CN411" s="116"/>
      <c r="CO411" s="218">
        <f t="shared" si="217"/>
        <v>0.05</v>
      </c>
      <c r="CP411" s="100">
        <f t="shared" si="218"/>
        <v>0.05</v>
      </c>
      <c r="CQ411" s="218">
        <f t="shared" si="219"/>
        <v>0.05</v>
      </c>
      <c r="CW411" s="123"/>
      <c r="CX411" s="122"/>
      <c r="CY411" s="122"/>
      <c r="CZ411" s="123"/>
      <c r="DA411" s="123"/>
      <c r="DB411" s="123"/>
      <c r="DC411" s="122"/>
      <c r="DD411" s="122"/>
      <c r="DE411" s="122"/>
      <c r="DF411" s="122"/>
      <c r="DG411" s="122"/>
      <c r="DH411" s="123"/>
      <c r="DI411" s="23"/>
      <c r="DJ411" s="150"/>
      <c r="DK411" s="150"/>
      <c r="DL411" s="116"/>
    </row>
    <row r="412" spans="61:116" s="101" customFormat="1" ht="18.75" thickBot="1" x14ac:dyDescent="0.3">
      <c r="BI412" s="203" t="s">
        <v>72</v>
      </c>
      <c r="BJ412" s="190" t="s">
        <v>78</v>
      </c>
      <c r="BK412" s="196">
        <v>159.58000000000001</v>
      </c>
      <c r="BL412" s="190" t="s">
        <v>422</v>
      </c>
      <c r="BM412" s="189">
        <v>0.05</v>
      </c>
      <c r="BN412" s="189">
        <v>0.05</v>
      </c>
      <c r="BO412" s="188" t="s">
        <v>77</v>
      </c>
      <c r="BP412" s="206"/>
      <c r="BQ412" s="206"/>
      <c r="BR412" s="206"/>
      <c r="BS412" s="206"/>
      <c r="BT412" s="206"/>
      <c r="BU412" s="206"/>
      <c r="BV412" s="207"/>
      <c r="BW412" s="206"/>
      <c r="BX412" s="206"/>
      <c r="BY412" s="207"/>
      <c r="BZ412" s="207"/>
      <c r="CA412" s="207"/>
      <c r="CB412" s="180"/>
      <c r="CC412" s="178"/>
      <c r="CD412" s="178"/>
      <c r="CE412" s="180"/>
      <c r="CF412" s="180"/>
      <c r="CG412" s="180"/>
      <c r="CH412" s="180"/>
      <c r="CI412" s="178"/>
      <c r="CJ412" s="178"/>
      <c r="CK412" s="180"/>
      <c r="CL412" s="180"/>
      <c r="CM412" s="180"/>
      <c r="CN412" s="116"/>
      <c r="CO412" s="218">
        <f t="shared" si="217"/>
        <v>0.05</v>
      </c>
      <c r="CP412" s="100">
        <f t="shared" si="218"/>
        <v>0.05</v>
      </c>
      <c r="CQ412" s="218">
        <f t="shared" si="219"/>
        <v>0.05</v>
      </c>
      <c r="CW412" s="123"/>
      <c r="CX412" s="122"/>
      <c r="CY412" s="122"/>
      <c r="CZ412" s="123"/>
      <c r="DA412" s="123"/>
      <c r="DB412" s="123"/>
      <c r="DC412" s="122"/>
      <c r="DD412" s="122"/>
      <c r="DE412" s="122"/>
      <c r="DF412" s="122"/>
      <c r="DG412" s="122"/>
      <c r="DH412" s="123"/>
      <c r="DI412" s="23"/>
      <c r="DJ412" s="150"/>
      <c r="DK412" s="150"/>
      <c r="DL412" s="116"/>
    </row>
    <row r="413" spans="61:116" s="101" customFormat="1" ht="18.75" thickBot="1" x14ac:dyDescent="0.3">
      <c r="BI413" s="203" t="s">
        <v>81</v>
      </c>
      <c r="BJ413" s="190" t="s">
        <v>78</v>
      </c>
      <c r="BK413" s="196">
        <v>116.5</v>
      </c>
      <c r="BL413" s="190" t="s">
        <v>422</v>
      </c>
      <c r="BM413" s="189">
        <v>0.05</v>
      </c>
      <c r="BN413" s="189">
        <v>0.05</v>
      </c>
      <c r="BO413" s="188" t="s">
        <v>77</v>
      </c>
      <c r="BP413" s="206"/>
      <c r="BQ413" s="206"/>
      <c r="BR413" s="206"/>
      <c r="BS413" s="206"/>
      <c r="BT413" s="206"/>
      <c r="BU413" s="206"/>
      <c r="BV413" s="207"/>
      <c r="BW413" s="206"/>
      <c r="BX413" s="206"/>
      <c r="BY413" s="207"/>
      <c r="BZ413" s="207"/>
      <c r="CA413" s="207"/>
      <c r="CB413" s="180"/>
      <c r="CC413" s="178"/>
      <c r="CD413" s="178"/>
      <c r="CE413" s="180"/>
      <c r="CF413" s="180"/>
      <c r="CG413" s="180"/>
      <c r="CH413" s="180"/>
      <c r="CI413" s="178"/>
      <c r="CJ413" s="178"/>
      <c r="CK413" s="180"/>
      <c r="CL413" s="180"/>
      <c r="CM413" s="180"/>
      <c r="CN413" s="116"/>
      <c r="CO413" s="218">
        <f t="shared" si="217"/>
        <v>0.05</v>
      </c>
      <c r="CP413" s="100">
        <f t="shared" si="218"/>
        <v>0.05</v>
      </c>
      <c r="CQ413" s="218">
        <f t="shared" si="219"/>
        <v>0.05</v>
      </c>
      <c r="CW413" s="123"/>
      <c r="CX413" s="122"/>
      <c r="CY413" s="122"/>
      <c r="CZ413" s="123"/>
      <c r="DA413" s="123"/>
      <c r="DB413" s="123"/>
      <c r="DC413" s="122"/>
      <c r="DD413" s="122"/>
      <c r="DE413" s="122"/>
      <c r="DF413" s="122"/>
      <c r="DG413" s="122"/>
      <c r="DH413" s="123"/>
      <c r="DI413" s="23"/>
      <c r="DJ413" s="150"/>
      <c r="DK413" s="150"/>
      <c r="DL413" s="116"/>
    </row>
    <row r="414" spans="61:116" s="101" customFormat="1" ht="18.75" thickBot="1" x14ac:dyDescent="0.3">
      <c r="BI414" s="203" t="s">
        <v>82</v>
      </c>
      <c r="BJ414" s="190" t="s">
        <v>78</v>
      </c>
      <c r="BK414" s="196">
        <v>88.52</v>
      </c>
      <c r="BL414" s="190" t="s">
        <v>422</v>
      </c>
      <c r="BM414" s="189">
        <v>0.05</v>
      </c>
      <c r="BN414" s="189">
        <v>0.05</v>
      </c>
      <c r="BO414" s="188" t="s">
        <v>77</v>
      </c>
      <c r="BP414" s="206"/>
      <c r="BQ414" s="206"/>
      <c r="BR414" s="206"/>
      <c r="BS414" s="206"/>
      <c r="BT414" s="206"/>
      <c r="BU414" s="206"/>
      <c r="BV414" s="207"/>
      <c r="BW414" s="206"/>
      <c r="BX414" s="206"/>
      <c r="BY414" s="207"/>
      <c r="BZ414" s="207"/>
      <c r="CA414" s="207"/>
      <c r="CB414" s="180"/>
      <c r="CC414" s="178"/>
      <c r="CD414" s="178"/>
      <c r="CE414" s="180"/>
      <c r="CF414" s="180"/>
      <c r="CG414" s="180"/>
      <c r="CH414" s="180"/>
      <c r="CI414" s="178"/>
      <c r="CJ414" s="178"/>
      <c r="CK414" s="180"/>
      <c r="CL414" s="180"/>
      <c r="CM414" s="180"/>
      <c r="CN414" s="116"/>
      <c r="CO414" s="218">
        <f t="shared" si="217"/>
        <v>0.05</v>
      </c>
      <c r="CP414" s="100">
        <f t="shared" si="218"/>
        <v>0.05</v>
      </c>
      <c r="CQ414" s="218">
        <f t="shared" si="219"/>
        <v>0.05</v>
      </c>
      <c r="CW414" s="123"/>
      <c r="CX414" s="122"/>
      <c r="CY414" s="122"/>
      <c r="CZ414" s="123"/>
      <c r="DA414" s="123"/>
      <c r="DB414" s="123"/>
      <c r="DC414" s="122"/>
      <c r="DD414" s="122"/>
      <c r="DE414" s="122"/>
      <c r="DF414" s="122"/>
      <c r="DG414" s="122"/>
      <c r="DH414" s="123"/>
      <c r="DI414" s="23"/>
      <c r="DJ414" s="150"/>
      <c r="DK414" s="150"/>
      <c r="DL414" s="116"/>
    </row>
    <row r="415" spans="61:116" s="101" customFormat="1" ht="18.75" thickBot="1" x14ac:dyDescent="0.3">
      <c r="BI415" s="203" t="s">
        <v>83</v>
      </c>
      <c r="BJ415" s="190" t="s">
        <v>78</v>
      </c>
      <c r="BK415" s="196">
        <v>43.4</v>
      </c>
      <c r="BL415" s="190" t="s">
        <v>422</v>
      </c>
      <c r="BM415" s="189">
        <v>0.05</v>
      </c>
      <c r="BN415" s="189">
        <v>0.05</v>
      </c>
      <c r="BO415" s="188" t="s">
        <v>77</v>
      </c>
      <c r="BP415" s="206"/>
      <c r="BQ415" s="206"/>
      <c r="BR415" s="206"/>
      <c r="BS415" s="206"/>
      <c r="BT415" s="206"/>
      <c r="BU415" s="206"/>
      <c r="BV415" s="207"/>
      <c r="BW415" s="206"/>
      <c r="BX415" s="206"/>
      <c r="BY415" s="207"/>
      <c r="BZ415" s="207"/>
      <c r="CA415" s="207"/>
      <c r="CB415" s="180"/>
      <c r="CC415" s="178"/>
      <c r="CD415" s="178"/>
      <c r="CE415" s="180"/>
      <c r="CF415" s="180"/>
      <c r="CG415" s="180"/>
      <c r="CH415" s="180"/>
      <c r="CI415" s="178"/>
      <c r="CJ415" s="178"/>
      <c r="CK415" s="180"/>
      <c r="CL415" s="180"/>
      <c r="CM415" s="180"/>
      <c r="CN415" s="116"/>
      <c r="CO415" s="218">
        <f t="shared" si="217"/>
        <v>0.05</v>
      </c>
      <c r="CP415" s="100">
        <f t="shared" si="218"/>
        <v>0.05</v>
      </c>
      <c r="CQ415" s="218">
        <f t="shared" si="219"/>
        <v>0.05</v>
      </c>
      <c r="CW415" s="123"/>
      <c r="CX415" s="122"/>
      <c r="CY415" s="122"/>
      <c r="CZ415" s="123"/>
      <c r="DA415" s="123"/>
      <c r="DB415" s="123"/>
      <c r="DC415" s="122"/>
      <c r="DD415" s="122"/>
      <c r="DE415" s="122"/>
      <c r="DF415" s="122"/>
      <c r="DG415" s="122"/>
      <c r="DH415" s="123"/>
      <c r="DI415" s="23"/>
      <c r="DJ415" s="150"/>
      <c r="DK415" s="150"/>
      <c r="DL415" s="116"/>
    </row>
    <row r="416" spans="61:116" s="101" customFormat="1" ht="18.75" thickBot="1" x14ac:dyDescent="0.3">
      <c r="BI416" s="203" t="s">
        <v>84</v>
      </c>
      <c r="BJ416" s="190" t="s">
        <v>78</v>
      </c>
      <c r="BK416" s="196">
        <v>229.26</v>
      </c>
      <c r="BL416" s="190" t="s">
        <v>422</v>
      </c>
      <c r="BM416" s="189">
        <v>0.05</v>
      </c>
      <c r="BN416" s="189">
        <v>0.05</v>
      </c>
      <c r="BO416" s="188" t="s">
        <v>77</v>
      </c>
      <c r="BP416" s="206"/>
      <c r="BQ416" s="206"/>
      <c r="BR416" s="206"/>
      <c r="BS416" s="206"/>
      <c r="BT416" s="206"/>
      <c r="BU416" s="206"/>
      <c r="BV416" s="207"/>
      <c r="BW416" s="206"/>
      <c r="BX416" s="206"/>
      <c r="BY416" s="207"/>
      <c r="BZ416" s="207"/>
      <c r="CA416" s="207"/>
      <c r="CB416" s="180"/>
      <c r="CC416" s="178"/>
      <c r="CD416" s="178"/>
      <c r="CE416" s="180"/>
      <c r="CF416" s="180"/>
      <c r="CG416" s="180"/>
      <c r="CH416" s="180"/>
      <c r="CI416" s="178"/>
      <c r="CJ416" s="178"/>
      <c r="CK416" s="180"/>
      <c r="CL416" s="180"/>
      <c r="CM416" s="180"/>
      <c r="CN416" s="116"/>
      <c r="CO416" s="218">
        <f t="shared" si="217"/>
        <v>0.05</v>
      </c>
      <c r="CP416" s="100">
        <f t="shared" si="218"/>
        <v>0.05</v>
      </c>
      <c r="CQ416" s="218">
        <f t="shared" si="219"/>
        <v>0.05</v>
      </c>
      <c r="CW416" s="123"/>
      <c r="CX416" s="122"/>
      <c r="CY416" s="122"/>
      <c r="CZ416" s="123"/>
      <c r="DA416" s="123"/>
      <c r="DB416" s="123"/>
      <c r="DC416" s="122"/>
      <c r="DD416" s="122"/>
      <c r="DE416" s="122"/>
      <c r="DF416" s="122"/>
      <c r="DG416" s="122"/>
      <c r="DH416" s="123"/>
      <c r="DI416" s="23"/>
      <c r="DJ416" s="150"/>
      <c r="DK416" s="150"/>
      <c r="DL416" s="116"/>
    </row>
    <row r="417" spans="61:116" s="101" customFormat="1" ht="18.75" thickBot="1" x14ac:dyDescent="0.3">
      <c r="BI417" s="203" t="s">
        <v>85</v>
      </c>
      <c r="BJ417" s="190" t="s">
        <v>78</v>
      </c>
      <c r="BK417" s="196">
        <v>55.15</v>
      </c>
      <c r="BL417" s="190" t="s">
        <v>422</v>
      </c>
      <c r="BM417" s="189">
        <v>0.05</v>
      </c>
      <c r="BN417" s="189">
        <v>0.05</v>
      </c>
      <c r="BO417" s="188" t="s">
        <v>77</v>
      </c>
      <c r="BP417" s="206"/>
      <c r="BQ417" s="206"/>
      <c r="BR417" s="206"/>
      <c r="BS417" s="206"/>
      <c r="BT417" s="206"/>
      <c r="BU417" s="206"/>
      <c r="BV417" s="207"/>
      <c r="BW417" s="206"/>
      <c r="BX417" s="206"/>
      <c r="BY417" s="207"/>
      <c r="BZ417" s="207"/>
      <c r="CA417" s="207"/>
      <c r="CB417" s="180"/>
      <c r="CC417" s="178"/>
      <c r="CD417" s="178"/>
      <c r="CE417" s="180"/>
      <c r="CF417" s="180"/>
      <c r="CG417" s="180"/>
      <c r="CH417" s="180"/>
      <c r="CI417" s="178"/>
      <c r="CJ417" s="178"/>
      <c r="CK417" s="180"/>
      <c r="CL417" s="180"/>
      <c r="CM417" s="180"/>
      <c r="CN417" s="116"/>
      <c r="CO417" s="218">
        <f t="shared" si="217"/>
        <v>0.05</v>
      </c>
      <c r="CP417" s="100">
        <f t="shared" si="218"/>
        <v>0.05</v>
      </c>
      <c r="CQ417" s="218">
        <f t="shared" si="219"/>
        <v>0.05</v>
      </c>
      <c r="CW417" s="123"/>
      <c r="CX417" s="122"/>
      <c r="CY417" s="122"/>
      <c r="CZ417" s="123"/>
      <c r="DA417" s="123"/>
      <c r="DB417" s="123"/>
      <c r="DC417" s="122"/>
      <c r="DD417" s="122"/>
      <c r="DE417" s="122"/>
      <c r="DF417" s="122"/>
      <c r="DG417" s="122"/>
      <c r="DH417" s="123"/>
      <c r="DI417" s="23"/>
      <c r="DJ417" s="150"/>
      <c r="DK417" s="150"/>
      <c r="DL417" s="116"/>
    </row>
    <row r="418" spans="61:116" s="101" customFormat="1" ht="18.75" thickBot="1" x14ac:dyDescent="0.3">
      <c r="BI418" s="203" t="s">
        <v>86</v>
      </c>
      <c r="BJ418" s="190" t="s">
        <v>78</v>
      </c>
      <c r="BK418" s="196">
        <v>84.94</v>
      </c>
      <c r="BL418" s="190" t="s">
        <v>422</v>
      </c>
      <c r="BM418" s="189">
        <v>0.05</v>
      </c>
      <c r="BN418" s="189">
        <v>0.05</v>
      </c>
      <c r="BO418" s="188" t="s">
        <v>77</v>
      </c>
      <c r="BP418" s="206"/>
      <c r="BQ418" s="206"/>
      <c r="BR418" s="206"/>
      <c r="BS418" s="206"/>
      <c r="BT418" s="206"/>
      <c r="BU418" s="206"/>
      <c r="BV418" s="207"/>
      <c r="BW418" s="206"/>
      <c r="BX418" s="206"/>
      <c r="BY418" s="207"/>
      <c r="BZ418" s="207"/>
      <c r="CA418" s="207"/>
      <c r="CB418" s="180"/>
      <c r="CC418" s="178"/>
      <c r="CD418" s="178"/>
      <c r="CE418" s="180"/>
      <c r="CF418" s="180"/>
      <c r="CG418" s="180"/>
      <c r="CH418" s="180"/>
      <c r="CI418" s="178"/>
      <c r="CJ418" s="178"/>
      <c r="CK418" s="180"/>
      <c r="CL418" s="180"/>
      <c r="CM418" s="180"/>
      <c r="CN418" s="116"/>
      <c r="CO418" s="218">
        <f t="shared" si="217"/>
        <v>0.05</v>
      </c>
      <c r="CP418" s="100">
        <f t="shared" si="218"/>
        <v>0.05</v>
      </c>
      <c r="CQ418" s="218">
        <f t="shared" si="219"/>
        <v>0.05</v>
      </c>
      <c r="CW418" s="123"/>
      <c r="CX418" s="122"/>
      <c r="CY418" s="122"/>
      <c r="CZ418" s="123"/>
      <c r="DA418" s="123"/>
      <c r="DB418" s="123"/>
      <c r="DC418" s="122"/>
      <c r="DD418" s="122"/>
      <c r="DE418" s="122"/>
      <c r="DF418" s="122"/>
      <c r="DG418" s="122"/>
      <c r="DH418" s="123"/>
      <c r="DI418" s="23"/>
      <c r="DJ418" s="150"/>
      <c r="DK418" s="150"/>
      <c r="DL418" s="116"/>
    </row>
    <row r="419" spans="61:116" s="101" customFormat="1" ht="18.75" thickBot="1" x14ac:dyDescent="0.3">
      <c r="BI419" s="203" t="s">
        <v>87</v>
      </c>
      <c r="BJ419" s="190" t="s">
        <v>78</v>
      </c>
      <c r="BK419" s="196">
        <v>169.75</v>
      </c>
      <c r="BL419" s="190" t="s">
        <v>422</v>
      </c>
      <c r="BM419" s="189">
        <v>0.05</v>
      </c>
      <c r="BN419" s="189">
        <v>0.05</v>
      </c>
      <c r="BO419" s="188" t="s">
        <v>77</v>
      </c>
      <c r="BP419" s="206"/>
      <c r="BQ419" s="206"/>
      <c r="BR419" s="206"/>
      <c r="BS419" s="206"/>
      <c r="BT419" s="206"/>
      <c r="BU419" s="206"/>
      <c r="BV419" s="207"/>
      <c r="BW419" s="206"/>
      <c r="BX419" s="206"/>
      <c r="BY419" s="207"/>
      <c r="BZ419" s="207"/>
      <c r="CA419" s="207"/>
      <c r="CB419" s="180"/>
      <c r="CC419" s="178"/>
      <c r="CD419" s="178"/>
      <c r="CE419" s="180"/>
      <c r="CF419" s="180"/>
      <c r="CG419" s="180"/>
      <c r="CH419" s="180"/>
      <c r="CI419" s="178"/>
      <c r="CJ419" s="178"/>
      <c r="CK419" s="180"/>
      <c r="CL419" s="180"/>
      <c r="CM419" s="180"/>
      <c r="CN419" s="116"/>
      <c r="CO419" s="218">
        <f t="shared" si="217"/>
        <v>0.05</v>
      </c>
      <c r="CP419" s="100">
        <f t="shared" si="218"/>
        <v>0.05</v>
      </c>
      <c r="CQ419" s="218">
        <f t="shared" si="219"/>
        <v>0.05</v>
      </c>
      <c r="CW419" s="123"/>
      <c r="CX419" s="122"/>
      <c r="CY419" s="122"/>
      <c r="CZ419" s="123"/>
      <c r="DA419" s="123"/>
      <c r="DB419" s="123"/>
      <c r="DC419" s="122"/>
      <c r="DD419" s="122"/>
      <c r="DE419" s="122"/>
      <c r="DF419" s="122"/>
      <c r="DG419" s="122"/>
      <c r="DH419" s="123"/>
      <c r="DI419" s="23"/>
      <c r="DJ419" s="150"/>
      <c r="DK419" s="150"/>
      <c r="DL419" s="116"/>
    </row>
    <row r="420" spans="61:116" s="101" customFormat="1" ht="18.75" thickBot="1" x14ac:dyDescent="0.3">
      <c r="BI420" s="203" t="s">
        <v>340</v>
      </c>
      <c r="BJ420" s="190" t="s">
        <v>78</v>
      </c>
      <c r="BK420" s="196">
        <v>137.47</v>
      </c>
      <c r="BL420" s="190" t="s">
        <v>422</v>
      </c>
      <c r="BM420" s="189">
        <v>0.05</v>
      </c>
      <c r="BN420" s="189">
        <v>0.05</v>
      </c>
      <c r="BO420" s="188" t="s">
        <v>77</v>
      </c>
      <c r="BP420" s="206"/>
      <c r="BQ420" s="206"/>
      <c r="BR420" s="206"/>
      <c r="BS420" s="206"/>
      <c r="BT420" s="206"/>
      <c r="BU420" s="206"/>
      <c r="BV420" s="207"/>
      <c r="BW420" s="206"/>
      <c r="BX420" s="206"/>
      <c r="BY420" s="207"/>
      <c r="BZ420" s="207"/>
      <c r="CA420" s="207"/>
      <c r="CB420" s="180"/>
      <c r="CC420" s="178"/>
      <c r="CD420" s="178"/>
      <c r="CE420" s="180"/>
      <c r="CF420" s="180"/>
      <c r="CG420" s="180"/>
      <c r="CH420" s="180"/>
      <c r="CI420" s="178"/>
      <c r="CJ420" s="178"/>
      <c r="CK420" s="180"/>
      <c r="CL420" s="180"/>
      <c r="CM420" s="180"/>
      <c r="CN420" s="116"/>
      <c r="CO420" s="218">
        <f t="shared" si="217"/>
        <v>0.05</v>
      </c>
      <c r="CP420" s="100">
        <f t="shared" si="218"/>
        <v>0.05</v>
      </c>
      <c r="CQ420" s="218">
        <f t="shared" si="219"/>
        <v>0.05</v>
      </c>
      <c r="CW420" s="123"/>
      <c r="CX420" s="122"/>
      <c r="CY420" s="122"/>
      <c r="CZ420" s="123"/>
      <c r="DA420" s="123"/>
      <c r="DB420" s="123"/>
      <c r="DC420" s="122"/>
      <c r="DD420" s="122"/>
      <c r="DE420" s="122"/>
      <c r="DF420" s="122"/>
      <c r="DG420" s="122"/>
      <c r="DH420" s="123"/>
      <c r="DI420" s="23"/>
      <c r="DJ420" s="150"/>
      <c r="DK420" s="150"/>
      <c r="DL420" s="116"/>
    </row>
    <row r="421" spans="61:116" s="101" customFormat="1" ht="18.75" thickBot="1" x14ac:dyDescent="0.3">
      <c r="BI421" s="203" t="s">
        <v>88</v>
      </c>
      <c r="BJ421" s="190" t="s">
        <v>78</v>
      </c>
      <c r="BK421" s="196">
        <v>75.37</v>
      </c>
      <c r="BL421" s="190" t="s">
        <v>422</v>
      </c>
      <c r="BM421" s="189">
        <v>0.05</v>
      </c>
      <c r="BN421" s="189">
        <v>0.05</v>
      </c>
      <c r="BO421" s="188" t="s">
        <v>77</v>
      </c>
      <c r="BP421" s="206"/>
      <c r="BQ421" s="206"/>
      <c r="BR421" s="206"/>
      <c r="BS421" s="206"/>
      <c r="BT421" s="206"/>
      <c r="BU421" s="206"/>
      <c r="BV421" s="207"/>
      <c r="BW421" s="206"/>
      <c r="BX421" s="206"/>
      <c r="BY421" s="207"/>
      <c r="BZ421" s="207"/>
      <c r="CA421" s="207"/>
      <c r="CB421" s="180"/>
      <c r="CC421" s="178"/>
      <c r="CD421" s="178"/>
      <c r="CE421" s="180"/>
      <c r="CF421" s="180"/>
      <c r="CG421" s="180"/>
      <c r="CH421" s="180"/>
      <c r="CI421" s="178"/>
      <c r="CJ421" s="178"/>
      <c r="CK421" s="180"/>
      <c r="CL421" s="180"/>
      <c r="CM421" s="180"/>
      <c r="CN421" s="116"/>
      <c r="CO421" s="218">
        <f t="shared" si="217"/>
        <v>0.05</v>
      </c>
      <c r="CP421" s="100">
        <f t="shared" si="218"/>
        <v>0.05</v>
      </c>
      <c r="CQ421" s="218">
        <f t="shared" si="219"/>
        <v>0.05</v>
      </c>
      <c r="CW421" s="123"/>
      <c r="CX421" s="122"/>
      <c r="CY421" s="122"/>
      <c r="CZ421" s="123"/>
      <c r="DA421" s="123"/>
      <c r="DB421" s="123"/>
      <c r="DC421" s="122"/>
      <c r="DD421" s="122"/>
      <c r="DE421" s="122"/>
      <c r="DF421" s="122"/>
      <c r="DG421" s="122"/>
      <c r="DH421" s="123"/>
      <c r="DI421" s="23"/>
      <c r="DJ421" s="150"/>
      <c r="DK421" s="150"/>
      <c r="DL421" s="116"/>
    </row>
    <row r="422" spans="61:116" s="101" customFormat="1" ht="18.75" thickBot="1" x14ac:dyDescent="0.3">
      <c r="BI422" s="203" t="s">
        <v>89</v>
      </c>
      <c r="BJ422" s="190" t="s">
        <v>78</v>
      </c>
      <c r="BK422" s="196">
        <v>130.97999999999999</v>
      </c>
      <c r="BL422" s="190" t="s">
        <v>422</v>
      </c>
      <c r="BM422" s="189">
        <v>0.05</v>
      </c>
      <c r="BN422" s="189">
        <v>0.05</v>
      </c>
      <c r="BO422" s="188" t="s">
        <v>77</v>
      </c>
      <c r="BP422" s="206"/>
      <c r="BQ422" s="206"/>
      <c r="BR422" s="206"/>
      <c r="BS422" s="206"/>
      <c r="BT422" s="206"/>
      <c r="BU422" s="206"/>
      <c r="BV422" s="207"/>
      <c r="BW422" s="206"/>
      <c r="BX422" s="206"/>
      <c r="BY422" s="207"/>
      <c r="BZ422" s="207"/>
      <c r="CA422" s="207"/>
      <c r="CB422" s="180"/>
      <c r="CC422" s="178"/>
      <c r="CD422" s="178"/>
      <c r="CE422" s="180"/>
      <c r="CF422" s="180"/>
      <c r="CG422" s="180"/>
      <c r="CH422" s="180"/>
      <c r="CI422" s="178"/>
      <c r="CJ422" s="178"/>
      <c r="CK422" s="180"/>
      <c r="CL422" s="180"/>
      <c r="CM422" s="180"/>
      <c r="CN422" s="116"/>
      <c r="CO422" s="218">
        <f t="shared" si="217"/>
        <v>0.05</v>
      </c>
      <c r="CP422" s="100">
        <f t="shared" si="218"/>
        <v>0.05</v>
      </c>
      <c r="CQ422" s="218">
        <f t="shared" si="219"/>
        <v>0.05</v>
      </c>
      <c r="CW422" s="123"/>
      <c r="CX422" s="122"/>
      <c r="CY422" s="122"/>
      <c r="CZ422" s="123"/>
      <c r="DA422" s="123"/>
      <c r="DB422" s="123"/>
      <c r="DC422" s="122"/>
      <c r="DD422" s="122"/>
      <c r="DE422" s="122"/>
      <c r="DF422" s="122"/>
      <c r="DG422" s="122"/>
      <c r="DH422" s="123"/>
      <c r="DI422" s="23"/>
      <c r="DJ422" s="150"/>
      <c r="DK422" s="150"/>
      <c r="DL422" s="116"/>
    </row>
    <row r="423" spans="61:116" s="101" customFormat="1" ht="18.75" thickBot="1" x14ac:dyDescent="0.3">
      <c r="BI423" s="203" t="s">
        <v>90</v>
      </c>
      <c r="BJ423" s="190" t="s">
        <v>78</v>
      </c>
      <c r="BK423" s="196">
        <v>79.5</v>
      </c>
      <c r="BL423" s="190" t="s">
        <v>422</v>
      </c>
      <c r="BM423" s="189">
        <v>0.05</v>
      </c>
      <c r="BN423" s="189">
        <v>0.05</v>
      </c>
      <c r="BO423" s="188" t="s">
        <v>77</v>
      </c>
      <c r="BP423" s="206"/>
      <c r="BQ423" s="206"/>
      <c r="BR423" s="206"/>
      <c r="BS423" s="206"/>
      <c r="BT423" s="206"/>
      <c r="BU423" s="206"/>
      <c r="BV423" s="207"/>
      <c r="BW423" s="206"/>
      <c r="BX423" s="206"/>
      <c r="BY423" s="207"/>
      <c r="BZ423" s="207"/>
      <c r="CA423" s="207"/>
      <c r="CB423" s="180"/>
      <c r="CC423" s="178"/>
      <c r="CD423" s="178"/>
      <c r="CE423" s="180"/>
      <c r="CF423" s="180"/>
      <c r="CG423" s="180"/>
      <c r="CH423" s="180"/>
      <c r="CI423" s="178"/>
      <c r="CJ423" s="178"/>
      <c r="CK423" s="180"/>
      <c r="CL423" s="180"/>
      <c r="CM423" s="180"/>
      <c r="CN423" s="116"/>
      <c r="CO423" s="218">
        <f t="shared" si="217"/>
        <v>0.05</v>
      </c>
      <c r="CP423" s="100">
        <f t="shared" si="218"/>
        <v>0.05</v>
      </c>
      <c r="CQ423" s="218">
        <f t="shared" si="219"/>
        <v>0.05</v>
      </c>
      <c r="CW423" s="123"/>
      <c r="CX423" s="122"/>
      <c r="CY423" s="122"/>
      <c r="CZ423" s="123"/>
      <c r="DA423" s="123"/>
      <c r="DB423" s="123"/>
      <c r="DC423" s="122"/>
      <c r="DD423" s="122"/>
      <c r="DE423" s="122"/>
      <c r="DF423" s="122"/>
      <c r="DG423" s="122"/>
      <c r="DH423" s="123"/>
      <c r="DI423" s="23"/>
      <c r="DJ423" s="150"/>
      <c r="DK423" s="150"/>
      <c r="DL423" s="116"/>
    </row>
    <row r="424" spans="61:116" s="101" customFormat="1" ht="18.75" thickBot="1" x14ac:dyDescent="0.3">
      <c r="BI424" s="203" t="s">
        <v>91</v>
      </c>
      <c r="BJ424" s="190" t="s">
        <v>78</v>
      </c>
      <c r="BK424" s="196">
        <v>73.42</v>
      </c>
      <c r="BL424" s="190" t="s">
        <v>422</v>
      </c>
      <c r="BM424" s="189">
        <v>0.05</v>
      </c>
      <c r="BN424" s="189">
        <v>0.05</v>
      </c>
      <c r="BO424" s="188" t="s">
        <v>77</v>
      </c>
      <c r="BP424" s="206"/>
      <c r="BQ424" s="206"/>
      <c r="BR424" s="206"/>
      <c r="BS424" s="206"/>
      <c r="BT424" s="206"/>
      <c r="BU424" s="206"/>
      <c r="BV424" s="207"/>
      <c r="BW424" s="206"/>
      <c r="BX424" s="206"/>
      <c r="BY424" s="207"/>
      <c r="BZ424" s="207"/>
      <c r="CA424" s="207"/>
      <c r="CB424" s="180"/>
      <c r="CC424" s="178"/>
      <c r="CD424" s="178"/>
      <c r="CE424" s="180"/>
      <c r="CF424" s="180"/>
      <c r="CG424" s="180"/>
      <c r="CH424" s="180"/>
      <c r="CI424" s="178"/>
      <c r="CJ424" s="178"/>
      <c r="CK424" s="180"/>
      <c r="CL424" s="180"/>
      <c r="CM424" s="180"/>
      <c r="CN424" s="116"/>
      <c r="CO424" s="218">
        <f t="shared" si="217"/>
        <v>0.05</v>
      </c>
      <c r="CP424" s="100">
        <f t="shared" si="218"/>
        <v>0.05</v>
      </c>
      <c r="CQ424" s="218">
        <f t="shared" si="219"/>
        <v>0.05</v>
      </c>
      <c r="CW424" s="123"/>
      <c r="CX424" s="122"/>
      <c r="CY424" s="122"/>
      <c r="CZ424" s="123"/>
      <c r="DA424" s="123"/>
      <c r="DB424" s="123"/>
      <c r="DC424" s="122"/>
      <c r="DD424" s="122"/>
      <c r="DE424" s="122"/>
      <c r="DF424" s="122"/>
      <c r="DG424" s="122"/>
      <c r="DH424" s="123"/>
      <c r="DI424" s="23"/>
      <c r="DJ424" s="150"/>
      <c r="DK424" s="150"/>
      <c r="DL424" s="116"/>
    </row>
    <row r="425" spans="61:116" s="101" customFormat="1" ht="18.75" thickBot="1" x14ac:dyDescent="0.3">
      <c r="BI425" s="203" t="s">
        <v>332</v>
      </c>
      <c r="BJ425" s="190" t="s">
        <v>78</v>
      </c>
      <c r="BK425" s="196">
        <v>131.06</v>
      </c>
      <c r="BL425" s="190" t="s">
        <v>422</v>
      </c>
      <c r="BM425" s="189">
        <v>0.05</v>
      </c>
      <c r="BN425" s="189">
        <v>0.05</v>
      </c>
      <c r="BO425" s="188" t="s">
        <v>77</v>
      </c>
      <c r="BP425" s="206"/>
      <c r="BQ425" s="206"/>
      <c r="BR425" s="206"/>
      <c r="BS425" s="206"/>
      <c r="BT425" s="206"/>
      <c r="BU425" s="206"/>
      <c r="BV425" s="207"/>
      <c r="BW425" s="206"/>
      <c r="BX425" s="206"/>
      <c r="BY425" s="207"/>
      <c r="BZ425" s="207"/>
      <c r="CA425" s="207"/>
      <c r="CB425" s="180"/>
      <c r="CC425" s="178"/>
      <c r="CD425" s="178"/>
      <c r="CE425" s="180"/>
      <c r="CF425" s="180"/>
      <c r="CG425" s="180"/>
      <c r="CH425" s="180"/>
      <c r="CI425" s="178"/>
      <c r="CJ425" s="178"/>
      <c r="CK425" s="180"/>
      <c r="CL425" s="180"/>
      <c r="CM425" s="180"/>
      <c r="CN425" s="116"/>
      <c r="CO425" s="218">
        <f t="shared" ref="CO425:CO485" si="220">BM425</f>
        <v>0.05</v>
      </c>
      <c r="CP425" s="100">
        <f t="shared" ref="CP425:CP485" si="221">(CO425+CQ425)/2</f>
        <v>0.05</v>
      </c>
      <c r="CQ425" s="218">
        <f t="shared" ref="CQ425:CQ485" si="222">BN425</f>
        <v>0.05</v>
      </c>
      <c r="CW425" s="123"/>
      <c r="CX425" s="122"/>
      <c r="CY425" s="122"/>
      <c r="CZ425" s="123"/>
      <c r="DA425" s="123"/>
      <c r="DB425" s="123"/>
      <c r="DC425" s="122"/>
      <c r="DD425" s="122"/>
      <c r="DE425" s="122"/>
      <c r="DF425" s="122"/>
      <c r="DG425" s="122"/>
      <c r="DH425" s="123"/>
      <c r="DI425" s="23"/>
      <c r="DJ425" s="150"/>
      <c r="DK425" s="150"/>
      <c r="DL425" s="116"/>
    </row>
    <row r="426" spans="61:116" s="101" customFormat="1" ht="18.75" thickBot="1" x14ac:dyDescent="0.3">
      <c r="BI426" s="203" t="s">
        <v>92</v>
      </c>
      <c r="BJ426" s="190" t="s">
        <v>78</v>
      </c>
      <c r="BK426" s="196">
        <v>196.94</v>
      </c>
      <c r="BL426" s="190" t="s">
        <v>422</v>
      </c>
      <c r="BM426" s="189">
        <v>0.05</v>
      </c>
      <c r="BN426" s="189">
        <v>0.05</v>
      </c>
      <c r="BO426" s="188" t="s">
        <v>77</v>
      </c>
      <c r="BP426" s="206"/>
      <c r="BQ426" s="206"/>
      <c r="BR426" s="206"/>
      <c r="BS426" s="206"/>
      <c r="BT426" s="206"/>
      <c r="BU426" s="206"/>
      <c r="BV426" s="207"/>
      <c r="BW426" s="206"/>
      <c r="BX426" s="206"/>
      <c r="BY426" s="207"/>
      <c r="BZ426" s="207"/>
      <c r="CA426" s="207"/>
      <c r="CB426" s="180"/>
      <c r="CC426" s="178"/>
      <c r="CD426" s="178"/>
      <c r="CE426" s="180"/>
      <c r="CF426" s="180"/>
      <c r="CG426" s="180"/>
      <c r="CH426" s="180"/>
      <c r="CI426" s="178"/>
      <c r="CJ426" s="178"/>
      <c r="CK426" s="180"/>
      <c r="CL426" s="180"/>
      <c r="CM426" s="180"/>
      <c r="CN426" s="116"/>
      <c r="CO426" s="218">
        <f t="shared" si="220"/>
        <v>0.05</v>
      </c>
      <c r="CP426" s="100">
        <f t="shared" si="221"/>
        <v>0.05</v>
      </c>
      <c r="CQ426" s="218">
        <f t="shared" si="222"/>
        <v>0.05</v>
      </c>
      <c r="CW426" s="123"/>
      <c r="CX426" s="122"/>
      <c r="CY426" s="122"/>
      <c r="CZ426" s="123"/>
      <c r="DA426" s="123"/>
      <c r="DB426" s="123"/>
      <c r="DC426" s="122"/>
      <c r="DD426" s="122"/>
      <c r="DE426" s="122"/>
      <c r="DF426" s="122"/>
      <c r="DG426" s="122"/>
      <c r="DH426" s="123"/>
      <c r="DI426" s="23"/>
      <c r="DJ426" s="150"/>
      <c r="DK426" s="150"/>
      <c r="DL426" s="116"/>
    </row>
    <row r="427" spans="61:116" s="101" customFormat="1" ht="18.75" thickBot="1" x14ac:dyDescent="0.3">
      <c r="BI427" s="203" t="s">
        <v>331</v>
      </c>
      <c r="BJ427" s="190" t="s">
        <v>78</v>
      </c>
      <c r="BK427" s="196">
        <v>188.24</v>
      </c>
      <c r="BL427" s="190" t="s">
        <v>422</v>
      </c>
      <c r="BM427" s="189">
        <v>0.05</v>
      </c>
      <c r="BN427" s="189">
        <v>0.05</v>
      </c>
      <c r="BO427" s="188" t="s">
        <v>77</v>
      </c>
      <c r="BP427" s="206"/>
      <c r="BQ427" s="206"/>
      <c r="BR427" s="206"/>
      <c r="BS427" s="206"/>
      <c r="BT427" s="206"/>
      <c r="BU427" s="206"/>
      <c r="BV427" s="207"/>
      <c r="BW427" s="206"/>
      <c r="BX427" s="206"/>
      <c r="BY427" s="207"/>
      <c r="BZ427" s="207"/>
      <c r="CA427" s="207"/>
      <c r="CB427" s="180"/>
      <c r="CC427" s="178"/>
      <c r="CD427" s="178"/>
      <c r="CE427" s="180"/>
      <c r="CF427" s="180"/>
      <c r="CG427" s="180"/>
      <c r="CH427" s="180"/>
      <c r="CI427" s="178"/>
      <c r="CJ427" s="178"/>
      <c r="CK427" s="180"/>
      <c r="CL427" s="180"/>
      <c r="CM427" s="180"/>
      <c r="CN427" s="116"/>
      <c r="CO427" s="218">
        <f t="shared" si="220"/>
        <v>0.05</v>
      </c>
      <c r="CP427" s="100">
        <f t="shared" si="221"/>
        <v>0.05</v>
      </c>
      <c r="CQ427" s="218">
        <f t="shared" si="222"/>
        <v>0.05</v>
      </c>
      <c r="CW427" s="123"/>
      <c r="CX427" s="122"/>
      <c r="CY427" s="122"/>
      <c r="CZ427" s="123"/>
      <c r="DA427" s="123"/>
      <c r="DB427" s="123"/>
      <c r="DC427" s="122"/>
      <c r="DD427" s="122"/>
      <c r="DE427" s="122"/>
      <c r="DF427" s="122"/>
      <c r="DG427" s="122"/>
      <c r="DH427" s="123"/>
      <c r="DI427" s="23"/>
      <c r="DJ427" s="150"/>
      <c r="DK427" s="150"/>
      <c r="DL427" s="116"/>
    </row>
    <row r="428" spans="61:116" s="101" customFormat="1" ht="18.75" thickBot="1" x14ac:dyDescent="0.3">
      <c r="BI428" s="203" t="s">
        <v>305</v>
      </c>
      <c r="BJ428" s="190" t="s">
        <v>78</v>
      </c>
      <c r="BK428" s="196">
        <v>166.07</v>
      </c>
      <c r="BL428" s="190" t="s">
        <v>422</v>
      </c>
      <c r="BM428" s="189">
        <v>0.05</v>
      </c>
      <c r="BN428" s="189">
        <v>0.05</v>
      </c>
      <c r="BO428" s="188" t="s">
        <v>77</v>
      </c>
      <c r="BP428" s="206"/>
      <c r="BQ428" s="206"/>
      <c r="BR428" s="206"/>
      <c r="BS428" s="206"/>
      <c r="BT428" s="206"/>
      <c r="BU428" s="206"/>
      <c r="BV428" s="207"/>
      <c r="BW428" s="206"/>
      <c r="BX428" s="206"/>
      <c r="BY428" s="207"/>
      <c r="BZ428" s="207"/>
      <c r="CA428" s="207"/>
      <c r="CB428" s="180"/>
      <c r="CC428" s="178"/>
      <c r="CD428" s="178"/>
      <c r="CE428" s="180"/>
      <c r="CF428" s="180"/>
      <c r="CG428" s="180"/>
      <c r="CH428" s="180"/>
      <c r="CI428" s="178"/>
      <c r="CJ428" s="178"/>
      <c r="CK428" s="180"/>
      <c r="CL428" s="180"/>
      <c r="CM428" s="180"/>
      <c r="CN428" s="116"/>
      <c r="CO428" s="218">
        <f t="shared" si="220"/>
        <v>0.05</v>
      </c>
      <c r="CP428" s="100">
        <f t="shared" si="221"/>
        <v>0.05</v>
      </c>
      <c r="CQ428" s="218">
        <f t="shared" si="222"/>
        <v>0.05</v>
      </c>
      <c r="CW428" s="123"/>
      <c r="CX428" s="122"/>
      <c r="CY428" s="122"/>
      <c r="CZ428" s="123"/>
      <c r="DA428" s="123"/>
      <c r="DB428" s="123"/>
      <c r="DC428" s="122"/>
      <c r="DD428" s="122"/>
      <c r="DE428" s="122"/>
      <c r="DF428" s="122"/>
      <c r="DG428" s="122"/>
      <c r="DH428" s="123"/>
      <c r="DI428" s="23"/>
      <c r="DJ428" s="150"/>
      <c r="DK428" s="150"/>
      <c r="DL428" s="116"/>
    </row>
    <row r="429" spans="61:116" s="101" customFormat="1" ht="18.75" thickBot="1" x14ac:dyDescent="0.3">
      <c r="BI429" s="203" t="s">
        <v>93</v>
      </c>
      <c r="BJ429" s="190" t="s">
        <v>78</v>
      </c>
      <c r="BK429" s="196">
        <v>176.09</v>
      </c>
      <c r="BL429" s="190" t="s">
        <v>422</v>
      </c>
      <c r="BM429" s="189">
        <v>0.05</v>
      </c>
      <c r="BN429" s="189">
        <v>0.05</v>
      </c>
      <c r="BO429" s="188" t="s">
        <v>77</v>
      </c>
      <c r="BP429" s="206"/>
      <c r="BQ429" s="206"/>
      <c r="BR429" s="206"/>
      <c r="BS429" s="206"/>
      <c r="BT429" s="206"/>
      <c r="BU429" s="206"/>
      <c r="BV429" s="207"/>
      <c r="BW429" s="206"/>
      <c r="BX429" s="206"/>
      <c r="BY429" s="207"/>
      <c r="BZ429" s="207"/>
      <c r="CA429" s="207"/>
      <c r="CB429" s="180"/>
      <c r="CC429" s="178"/>
      <c r="CD429" s="178"/>
      <c r="CE429" s="180"/>
      <c r="CF429" s="180"/>
      <c r="CG429" s="180"/>
      <c r="CH429" s="180"/>
      <c r="CI429" s="178"/>
      <c r="CJ429" s="178"/>
      <c r="CK429" s="180"/>
      <c r="CL429" s="180"/>
      <c r="CM429" s="180"/>
      <c r="CN429" s="116"/>
      <c r="CO429" s="218">
        <f t="shared" si="220"/>
        <v>0.05</v>
      </c>
      <c r="CP429" s="100">
        <f t="shared" si="221"/>
        <v>0.05</v>
      </c>
      <c r="CQ429" s="218">
        <f t="shared" si="222"/>
        <v>0.05</v>
      </c>
      <c r="CW429" s="123"/>
      <c r="CX429" s="122"/>
      <c r="CY429" s="122"/>
      <c r="CZ429" s="123"/>
      <c r="DA429" s="123"/>
      <c r="DB429" s="123"/>
      <c r="DC429" s="122"/>
      <c r="DD429" s="122"/>
      <c r="DE429" s="122"/>
      <c r="DF429" s="122"/>
      <c r="DG429" s="122"/>
      <c r="DH429" s="123"/>
      <c r="DI429" s="23"/>
      <c r="DJ429" s="150"/>
      <c r="DK429" s="150"/>
      <c r="DL429" s="116"/>
    </row>
    <row r="430" spans="61:116" s="101" customFormat="1" ht="18.75" thickBot="1" x14ac:dyDescent="0.3">
      <c r="BI430" s="203" t="s">
        <v>94</v>
      </c>
      <c r="BJ430" s="190" t="s">
        <v>78</v>
      </c>
      <c r="BK430" s="196">
        <v>162.44</v>
      </c>
      <c r="BL430" s="190" t="s">
        <v>422</v>
      </c>
      <c r="BM430" s="189">
        <v>0.05</v>
      </c>
      <c r="BN430" s="189">
        <v>0.05</v>
      </c>
      <c r="BO430" s="188" t="s">
        <v>77</v>
      </c>
      <c r="BP430" s="206"/>
      <c r="BQ430" s="206"/>
      <c r="BR430" s="206"/>
      <c r="BS430" s="206"/>
      <c r="BT430" s="206"/>
      <c r="BU430" s="206"/>
      <c r="BV430" s="207"/>
      <c r="BW430" s="206"/>
      <c r="BX430" s="206"/>
      <c r="BY430" s="207"/>
      <c r="BZ430" s="207"/>
      <c r="CA430" s="207"/>
      <c r="CB430" s="180"/>
      <c r="CC430" s="178"/>
      <c r="CD430" s="178"/>
      <c r="CE430" s="180"/>
      <c r="CF430" s="180"/>
      <c r="CG430" s="180"/>
      <c r="CH430" s="180"/>
      <c r="CI430" s="178"/>
      <c r="CJ430" s="178"/>
      <c r="CK430" s="180"/>
      <c r="CL430" s="180"/>
      <c r="CM430" s="180"/>
      <c r="CN430" s="116"/>
      <c r="CO430" s="218">
        <f t="shared" si="220"/>
        <v>0.05</v>
      </c>
      <c r="CP430" s="100">
        <f t="shared" si="221"/>
        <v>0.05</v>
      </c>
      <c r="CQ430" s="218">
        <f t="shared" si="222"/>
        <v>0.05</v>
      </c>
      <c r="CW430" s="123"/>
      <c r="CX430" s="122"/>
      <c r="CY430" s="122"/>
      <c r="CZ430" s="123"/>
      <c r="DA430" s="123"/>
      <c r="DB430" s="123"/>
      <c r="DC430" s="122"/>
      <c r="DD430" s="122"/>
      <c r="DE430" s="122"/>
      <c r="DF430" s="122"/>
      <c r="DG430" s="122"/>
      <c r="DH430" s="123"/>
      <c r="DI430" s="23"/>
      <c r="DJ430" s="150"/>
      <c r="DK430" s="150"/>
      <c r="DL430" s="116"/>
    </row>
    <row r="431" spans="61:116" s="101" customFormat="1" ht="18.75" thickBot="1" x14ac:dyDescent="0.3">
      <c r="BI431" s="203" t="s">
        <v>95</v>
      </c>
      <c r="BJ431" s="190" t="s">
        <v>78</v>
      </c>
      <c r="BK431" s="196">
        <v>39.6</v>
      </c>
      <c r="BL431" s="190" t="s">
        <v>422</v>
      </c>
      <c r="BM431" s="189">
        <v>0.05</v>
      </c>
      <c r="BN431" s="189">
        <v>0.05</v>
      </c>
      <c r="BO431" s="188" t="s">
        <v>77</v>
      </c>
      <c r="BP431" s="206"/>
      <c r="BQ431" s="206"/>
      <c r="BR431" s="206"/>
      <c r="BS431" s="206"/>
      <c r="BT431" s="206"/>
      <c r="BU431" s="206"/>
      <c r="BV431" s="207"/>
      <c r="BW431" s="206"/>
      <c r="BX431" s="206"/>
      <c r="BY431" s="207"/>
      <c r="BZ431" s="207"/>
      <c r="CA431" s="207"/>
      <c r="CB431" s="180"/>
      <c r="CC431" s="178"/>
      <c r="CD431" s="178"/>
      <c r="CE431" s="180"/>
      <c r="CF431" s="180"/>
      <c r="CG431" s="180"/>
      <c r="CH431" s="180"/>
      <c r="CI431" s="178"/>
      <c r="CJ431" s="178"/>
      <c r="CK431" s="180"/>
      <c r="CL431" s="180"/>
      <c r="CM431" s="180"/>
      <c r="CN431" s="116"/>
      <c r="CO431" s="218">
        <f t="shared" si="220"/>
        <v>0.05</v>
      </c>
      <c r="CP431" s="100">
        <f t="shared" si="221"/>
        <v>0.05</v>
      </c>
      <c r="CQ431" s="218">
        <f t="shared" si="222"/>
        <v>0.05</v>
      </c>
      <c r="CW431" s="123"/>
      <c r="CX431" s="122"/>
      <c r="CY431" s="122"/>
      <c r="CZ431" s="123"/>
      <c r="DA431" s="123"/>
      <c r="DB431" s="123"/>
      <c r="DC431" s="122"/>
      <c r="DD431" s="122"/>
      <c r="DE431" s="122"/>
      <c r="DF431" s="122"/>
      <c r="DG431" s="122"/>
      <c r="DH431" s="123"/>
      <c r="DI431" s="23"/>
      <c r="DJ431" s="150"/>
      <c r="DK431" s="150"/>
      <c r="DL431" s="116"/>
    </row>
    <row r="432" spans="61:116" s="101" customFormat="1" ht="18.75" thickBot="1" x14ac:dyDescent="0.3">
      <c r="BI432" s="203" t="s">
        <v>96</v>
      </c>
      <c r="BJ432" s="190" t="s">
        <v>78</v>
      </c>
      <c r="BK432" s="196">
        <v>83.35</v>
      </c>
      <c r="BL432" s="190" t="s">
        <v>422</v>
      </c>
      <c r="BM432" s="189">
        <v>0.05</v>
      </c>
      <c r="BN432" s="189">
        <v>0.05</v>
      </c>
      <c r="BO432" s="188" t="s">
        <v>77</v>
      </c>
      <c r="BP432" s="206"/>
      <c r="BQ432" s="206"/>
      <c r="BR432" s="206"/>
      <c r="BS432" s="206"/>
      <c r="BT432" s="206"/>
      <c r="BU432" s="206"/>
      <c r="BV432" s="207"/>
      <c r="BW432" s="206"/>
      <c r="BX432" s="206"/>
      <c r="BY432" s="207"/>
      <c r="BZ432" s="207"/>
      <c r="CA432" s="207"/>
      <c r="CB432" s="180"/>
      <c r="CC432" s="178"/>
      <c r="CD432" s="178"/>
      <c r="CE432" s="180"/>
      <c r="CF432" s="180"/>
      <c r="CG432" s="180"/>
      <c r="CH432" s="180"/>
      <c r="CI432" s="178"/>
      <c r="CJ432" s="178"/>
      <c r="CK432" s="180"/>
      <c r="CL432" s="180"/>
      <c r="CM432" s="180"/>
      <c r="CN432" s="116"/>
      <c r="CO432" s="218">
        <f t="shared" si="220"/>
        <v>0.05</v>
      </c>
      <c r="CP432" s="100">
        <f t="shared" si="221"/>
        <v>0.05</v>
      </c>
      <c r="CQ432" s="218">
        <f t="shared" si="222"/>
        <v>0.05</v>
      </c>
      <c r="CW432" s="123"/>
      <c r="CX432" s="122"/>
      <c r="CY432" s="122"/>
      <c r="CZ432" s="123"/>
      <c r="DA432" s="123"/>
      <c r="DB432" s="123"/>
      <c r="DC432" s="122"/>
      <c r="DD432" s="122"/>
      <c r="DE432" s="122"/>
      <c r="DF432" s="122"/>
      <c r="DG432" s="122"/>
      <c r="DH432" s="123"/>
      <c r="DI432" s="23"/>
      <c r="DJ432" s="150"/>
      <c r="DK432" s="150"/>
      <c r="DL432" s="116"/>
    </row>
    <row r="433" spans="61:116" s="101" customFormat="1" ht="15.75" thickBot="1" x14ac:dyDescent="0.3">
      <c r="BI433" s="203" t="s">
        <v>350</v>
      </c>
      <c r="BJ433" s="203" t="s">
        <v>632</v>
      </c>
      <c r="BK433" s="196">
        <v>1.05</v>
      </c>
      <c r="BL433" s="203" t="s">
        <v>633</v>
      </c>
      <c r="BM433" s="208">
        <v>0.05</v>
      </c>
      <c r="BN433" s="208">
        <v>0.05</v>
      </c>
      <c r="BO433" s="203" t="s">
        <v>351</v>
      </c>
      <c r="BP433" s="206"/>
      <c r="BQ433" s="206"/>
      <c r="BR433" s="206"/>
      <c r="BS433" s="206"/>
      <c r="BT433" s="206"/>
      <c r="BU433" s="206"/>
      <c r="BV433" s="207"/>
      <c r="BW433" s="206"/>
      <c r="BX433" s="206"/>
      <c r="BY433" s="207"/>
      <c r="BZ433" s="207"/>
      <c r="CA433" s="207"/>
      <c r="CB433" s="180"/>
      <c r="CC433" s="178"/>
      <c r="CD433" s="178"/>
      <c r="CE433" s="180"/>
      <c r="CF433" s="180"/>
      <c r="CG433" s="180"/>
      <c r="CH433" s="180"/>
      <c r="CI433" s="178"/>
      <c r="CJ433" s="178"/>
      <c r="CK433" s="180"/>
      <c r="CL433" s="180"/>
      <c r="CM433" s="180"/>
      <c r="CN433" s="116"/>
      <c r="CO433" s="218">
        <f t="shared" si="220"/>
        <v>0.05</v>
      </c>
      <c r="CP433" s="100">
        <f t="shared" si="221"/>
        <v>0.05</v>
      </c>
      <c r="CQ433" s="218">
        <f t="shared" si="222"/>
        <v>0.05</v>
      </c>
      <c r="CW433" s="123"/>
      <c r="CX433" s="122"/>
      <c r="CY433" s="122"/>
      <c r="CZ433" s="123"/>
      <c r="DA433" s="123"/>
      <c r="DB433" s="123"/>
      <c r="DC433" s="122"/>
      <c r="DD433" s="122"/>
      <c r="DE433" s="122"/>
      <c r="DF433" s="122"/>
      <c r="DG433" s="122"/>
      <c r="DH433" s="123"/>
      <c r="DI433" s="23"/>
      <c r="DJ433" s="150"/>
      <c r="DK433" s="150"/>
      <c r="DL433" s="116"/>
    </row>
    <row r="434" spans="61:116" s="101" customFormat="1" ht="26.25" thickBot="1" x14ac:dyDescent="0.3">
      <c r="BI434" s="203" t="s">
        <v>352</v>
      </c>
      <c r="BJ434" s="203" t="s">
        <v>632</v>
      </c>
      <c r="BK434" s="196">
        <v>1.44E-2</v>
      </c>
      <c r="BL434" s="203" t="s">
        <v>633</v>
      </c>
      <c r="BM434" s="208">
        <v>0.05</v>
      </c>
      <c r="BN434" s="208">
        <v>0.05</v>
      </c>
      <c r="BO434" s="203" t="s">
        <v>353</v>
      </c>
      <c r="BP434" s="206"/>
      <c r="BQ434" s="206"/>
      <c r="BR434" s="206"/>
      <c r="BS434" s="206"/>
      <c r="BT434" s="206"/>
      <c r="BU434" s="206"/>
      <c r="BV434" s="207"/>
      <c r="BW434" s="206"/>
      <c r="BX434" s="206"/>
      <c r="BY434" s="207"/>
      <c r="BZ434" s="207"/>
      <c r="CA434" s="207"/>
      <c r="CB434" s="180"/>
      <c r="CC434" s="178"/>
      <c r="CD434" s="178"/>
      <c r="CE434" s="180"/>
      <c r="CF434" s="180"/>
      <c r="CG434" s="180"/>
      <c r="CH434" s="180"/>
      <c r="CI434" s="178"/>
      <c r="CJ434" s="178"/>
      <c r="CK434" s="180"/>
      <c r="CL434" s="180"/>
      <c r="CM434" s="180"/>
      <c r="CN434" s="116"/>
      <c r="CO434" s="218">
        <f t="shared" si="220"/>
        <v>0.05</v>
      </c>
      <c r="CP434" s="100">
        <f t="shared" si="221"/>
        <v>0.05</v>
      </c>
      <c r="CQ434" s="218">
        <f t="shared" si="222"/>
        <v>0.05</v>
      </c>
      <c r="CW434" s="123"/>
      <c r="CX434" s="122"/>
      <c r="CY434" s="122"/>
      <c r="CZ434" s="123"/>
      <c r="DA434" s="123"/>
      <c r="DB434" s="123"/>
      <c r="DC434" s="122"/>
      <c r="DD434" s="122"/>
      <c r="DE434" s="122"/>
      <c r="DF434" s="122"/>
      <c r="DG434" s="122"/>
      <c r="DH434" s="123"/>
      <c r="DI434" s="23"/>
      <c r="DJ434" s="150"/>
      <c r="DK434" s="150"/>
      <c r="DL434" s="116"/>
    </row>
    <row r="435" spans="61:116" s="101" customFormat="1" ht="15.75" thickBot="1" x14ac:dyDescent="0.3">
      <c r="BI435" s="203" t="s">
        <v>354</v>
      </c>
      <c r="BJ435" s="203" t="s">
        <v>632</v>
      </c>
      <c r="BK435" s="196">
        <v>7.8200000000000006E-2</v>
      </c>
      <c r="BL435" s="203" t="s">
        <v>633</v>
      </c>
      <c r="BM435" s="208">
        <v>0.05</v>
      </c>
      <c r="BN435" s="208">
        <v>0.05</v>
      </c>
      <c r="BO435" s="203" t="s">
        <v>355</v>
      </c>
      <c r="BP435" s="206"/>
      <c r="BQ435" s="206"/>
      <c r="BR435" s="206"/>
      <c r="BS435" s="206"/>
      <c r="BT435" s="206"/>
      <c r="BU435" s="206"/>
      <c r="BV435" s="207"/>
      <c r="BW435" s="206"/>
      <c r="BX435" s="206"/>
      <c r="BY435" s="207"/>
      <c r="BZ435" s="207"/>
      <c r="CA435" s="207"/>
      <c r="CB435" s="180"/>
      <c r="CC435" s="178"/>
      <c r="CD435" s="178"/>
      <c r="CE435" s="180"/>
      <c r="CF435" s="180"/>
      <c r="CG435" s="180"/>
      <c r="CH435" s="180"/>
      <c r="CI435" s="178"/>
      <c r="CJ435" s="178"/>
      <c r="CK435" s="180"/>
      <c r="CL435" s="180"/>
      <c r="CM435" s="180"/>
      <c r="CN435" s="116"/>
      <c r="CO435" s="218">
        <f t="shared" si="220"/>
        <v>0.05</v>
      </c>
      <c r="CP435" s="100">
        <f t="shared" si="221"/>
        <v>0.05</v>
      </c>
      <c r="CQ435" s="218">
        <f t="shared" si="222"/>
        <v>0.05</v>
      </c>
      <c r="CW435" s="123"/>
      <c r="CX435" s="122"/>
      <c r="CY435" s="122"/>
      <c r="CZ435" s="123"/>
      <c r="DA435" s="123"/>
      <c r="DB435" s="123"/>
      <c r="DC435" s="122"/>
      <c r="DD435" s="122"/>
      <c r="DE435" s="122"/>
      <c r="DF435" s="122"/>
      <c r="DG435" s="122"/>
      <c r="DH435" s="123"/>
      <c r="DI435" s="23"/>
      <c r="DJ435" s="150"/>
      <c r="DK435" s="150"/>
      <c r="DL435" s="116"/>
    </row>
    <row r="436" spans="61:116" s="101" customFormat="1" x14ac:dyDescent="0.25">
      <c r="BI436" s="102"/>
      <c r="BJ436" s="178"/>
      <c r="BK436" s="178"/>
      <c r="BL436" s="178"/>
      <c r="BM436" s="169"/>
      <c r="BN436" s="169"/>
      <c r="BO436" s="169"/>
      <c r="BP436" s="206"/>
      <c r="BQ436" s="206"/>
      <c r="BR436" s="206"/>
      <c r="BS436" s="206"/>
      <c r="BT436" s="206"/>
      <c r="BU436" s="206"/>
      <c r="BV436" s="207"/>
      <c r="BW436" s="206"/>
      <c r="BX436" s="206"/>
      <c r="BY436" s="207"/>
      <c r="BZ436" s="207"/>
      <c r="CA436" s="207"/>
      <c r="CB436" s="180"/>
      <c r="CC436" s="178"/>
      <c r="CD436" s="178"/>
      <c r="CE436" s="180"/>
      <c r="CF436" s="180"/>
      <c r="CG436" s="180"/>
      <c r="CH436" s="180"/>
      <c r="CI436" s="178"/>
      <c r="CJ436" s="178"/>
      <c r="CK436" s="180"/>
      <c r="CL436" s="180"/>
      <c r="CM436" s="180"/>
      <c r="CN436" s="116"/>
      <c r="CO436" s="218">
        <f t="shared" si="220"/>
        <v>0</v>
      </c>
      <c r="CP436" s="100">
        <f t="shared" si="221"/>
        <v>0</v>
      </c>
      <c r="CQ436" s="218">
        <f t="shared" si="222"/>
        <v>0</v>
      </c>
      <c r="CW436" s="123"/>
      <c r="CX436" s="122"/>
      <c r="CY436" s="122"/>
      <c r="CZ436" s="123"/>
      <c r="DA436" s="123"/>
      <c r="DB436" s="123"/>
      <c r="DC436" s="122"/>
      <c r="DD436" s="122"/>
      <c r="DE436" s="122"/>
      <c r="DF436" s="122"/>
      <c r="DG436" s="122"/>
      <c r="DH436" s="123"/>
      <c r="DI436" s="23"/>
      <c r="DJ436" s="150"/>
      <c r="DK436" s="150"/>
      <c r="DL436" s="116"/>
    </row>
    <row r="437" spans="61:116" s="101" customFormat="1" x14ac:dyDescent="0.25">
      <c r="BI437" s="102"/>
      <c r="BJ437" s="178"/>
      <c r="BK437" s="178"/>
      <c r="BL437" s="178"/>
      <c r="BM437" s="169"/>
      <c r="BN437" s="169"/>
      <c r="BO437" s="169"/>
      <c r="BP437" s="206"/>
      <c r="BQ437" s="206"/>
      <c r="BR437" s="206"/>
      <c r="BS437" s="206"/>
      <c r="BT437" s="206"/>
      <c r="BU437" s="206"/>
      <c r="BV437" s="207"/>
      <c r="BW437" s="206"/>
      <c r="BX437" s="206"/>
      <c r="BY437" s="207"/>
      <c r="BZ437" s="207"/>
      <c r="CA437" s="207"/>
      <c r="CB437" s="180"/>
      <c r="CC437" s="178"/>
      <c r="CD437" s="178"/>
      <c r="CE437" s="180"/>
      <c r="CF437" s="180"/>
      <c r="CG437" s="180"/>
      <c r="CH437" s="180"/>
      <c r="CI437" s="178"/>
      <c r="CJ437" s="178"/>
      <c r="CK437" s="180"/>
      <c r="CL437" s="180"/>
      <c r="CM437" s="180"/>
      <c r="CN437" s="116"/>
      <c r="CO437" s="218">
        <f t="shared" si="220"/>
        <v>0</v>
      </c>
      <c r="CP437" s="100">
        <f t="shared" si="221"/>
        <v>0</v>
      </c>
      <c r="CQ437" s="218">
        <f t="shared" si="222"/>
        <v>0</v>
      </c>
      <c r="CW437" s="123"/>
      <c r="CX437" s="122"/>
      <c r="CY437" s="122"/>
      <c r="CZ437" s="123"/>
      <c r="DA437" s="123"/>
      <c r="DB437" s="123"/>
      <c r="DC437" s="122"/>
      <c r="DD437" s="122"/>
      <c r="DE437" s="122"/>
      <c r="DF437" s="122"/>
      <c r="DG437" s="122"/>
      <c r="DH437" s="123"/>
      <c r="DI437" s="23"/>
      <c r="DJ437" s="150"/>
      <c r="DK437" s="150"/>
      <c r="DL437" s="116"/>
    </row>
    <row r="438" spans="61:116" s="101" customFormat="1" ht="15.75" thickBot="1" x14ac:dyDescent="0.3">
      <c r="BI438" s="102"/>
      <c r="BJ438" s="178"/>
      <c r="BK438" s="178"/>
      <c r="BL438" s="178"/>
      <c r="BM438" s="169"/>
      <c r="BN438" s="169"/>
      <c r="BO438" s="169"/>
      <c r="BP438" s="206"/>
      <c r="BQ438" s="206"/>
      <c r="BR438" s="206"/>
      <c r="BS438" s="206"/>
      <c r="BT438" s="206"/>
      <c r="BU438" s="206"/>
      <c r="BV438" s="207"/>
      <c r="BW438" s="206"/>
      <c r="BX438" s="206"/>
      <c r="BY438" s="207"/>
      <c r="BZ438" s="207"/>
      <c r="CA438" s="207"/>
      <c r="CB438" s="180"/>
      <c r="CC438" s="178"/>
      <c r="CD438" s="178"/>
      <c r="CE438" s="180"/>
      <c r="CF438" s="180"/>
      <c r="CG438" s="180"/>
      <c r="CH438" s="180"/>
      <c r="CI438" s="178"/>
      <c r="CJ438" s="178"/>
      <c r="CK438" s="180"/>
      <c r="CL438" s="180"/>
      <c r="CM438" s="180"/>
      <c r="CN438" s="116"/>
      <c r="CO438" s="218">
        <f t="shared" si="220"/>
        <v>0</v>
      </c>
      <c r="CP438" s="100">
        <f t="shared" si="221"/>
        <v>0</v>
      </c>
      <c r="CQ438" s="218">
        <f t="shared" si="222"/>
        <v>0</v>
      </c>
      <c r="CW438" s="123"/>
      <c r="CX438" s="122"/>
      <c r="CY438" s="122"/>
      <c r="CZ438" s="123"/>
      <c r="DA438" s="123"/>
      <c r="DB438" s="123"/>
      <c r="DC438" s="122"/>
      <c r="DD438" s="122"/>
      <c r="DE438" s="122"/>
      <c r="DF438" s="122"/>
      <c r="DG438" s="122"/>
      <c r="DH438" s="123"/>
      <c r="DI438" s="23"/>
      <c r="DJ438" s="150"/>
      <c r="DK438" s="150"/>
      <c r="DL438" s="116"/>
    </row>
    <row r="439" spans="61:116" s="101" customFormat="1" ht="15" customHeight="1" x14ac:dyDescent="0.25">
      <c r="BI439" s="1606" t="s">
        <v>301</v>
      </c>
      <c r="BJ439" s="251"/>
      <c r="BK439" s="1606" t="s">
        <v>302</v>
      </c>
      <c r="BL439" s="251"/>
      <c r="BM439" s="1606" t="s">
        <v>233</v>
      </c>
      <c r="BN439" s="1606" t="s">
        <v>233</v>
      </c>
      <c r="BO439" s="1606" t="s">
        <v>240</v>
      </c>
      <c r="BP439" s="206"/>
      <c r="BQ439" s="206"/>
      <c r="BR439" s="206"/>
      <c r="BS439" s="206"/>
      <c r="BT439" s="206"/>
      <c r="BU439" s="206"/>
      <c r="BV439" s="207"/>
      <c r="BW439" s="206"/>
      <c r="BX439" s="206"/>
      <c r="BY439" s="207"/>
      <c r="BZ439" s="207"/>
      <c r="CA439" s="207"/>
      <c r="CB439" s="180"/>
      <c r="CC439" s="178"/>
      <c r="CD439" s="178"/>
      <c r="CE439" s="180"/>
      <c r="CF439" s="180"/>
      <c r="CG439" s="180"/>
      <c r="CH439" s="180"/>
      <c r="CI439" s="178"/>
      <c r="CJ439" s="178"/>
      <c r="CK439" s="180"/>
      <c r="CL439" s="180"/>
      <c r="CM439" s="180"/>
      <c r="CN439" s="116"/>
      <c r="CO439" s="218" t="str">
        <f t="shared" si="220"/>
        <v>Incertidumbre (+/- %)</v>
      </c>
      <c r="CP439" s="100" t="e">
        <f t="shared" si="221"/>
        <v>#VALUE!</v>
      </c>
      <c r="CQ439" s="218" t="str">
        <f t="shared" si="222"/>
        <v>Incertidumbre (+/- %)</v>
      </c>
      <c r="CW439" s="123"/>
      <c r="CX439" s="122"/>
      <c r="CY439" s="122"/>
      <c r="CZ439" s="123"/>
      <c r="DA439" s="123"/>
      <c r="DB439" s="123"/>
      <c r="DC439" s="122"/>
      <c r="DD439" s="122"/>
      <c r="DE439" s="122"/>
      <c r="DF439" s="122"/>
      <c r="DG439" s="122"/>
      <c r="DH439" s="123"/>
      <c r="DI439" s="23"/>
      <c r="DJ439" s="150"/>
      <c r="DK439" s="150"/>
      <c r="DL439" s="116"/>
    </row>
    <row r="440" spans="61:116" s="101" customFormat="1" ht="15.75" thickBot="1" x14ac:dyDescent="0.3">
      <c r="BI440" s="1607"/>
      <c r="BJ440" s="252" t="s">
        <v>253</v>
      </c>
      <c r="BK440" s="1607"/>
      <c r="BL440" s="252" t="s">
        <v>251</v>
      </c>
      <c r="BM440" s="1607"/>
      <c r="BN440" s="1607"/>
      <c r="BO440" s="1607"/>
      <c r="BP440" s="206"/>
      <c r="BQ440" s="206"/>
      <c r="BR440" s="206"/>
      <c r="BS440" s="206"/>
      <c r="BT440" s="206"/>
      <c r="BU440" s="206"/>
      <c r="BV440" s="207"/>
      <c r="BW440" s="206"/>
      <c r="BX440" s="206"/>
      <c r="BY440" s="207"/>
      <c r="BZ440" s="207"/>
      <c r="CA440" s="207"/>
      <c r="CB440" s="180"/>
      <c r="CC440" s="178"/>
      <c r="CD440" s="178"/>
      <c r="CE440" s="180"/>
      <c r="CF440" s="180"/>
      <c r="CG440" s="180"/>
      <c r="CH440" s="180"/>
      <c r="CI440" s="178"/>
      <c r="CJ440" s="178"/>
      <c r="CK440" s="180"/>
      <c r="CL440" s="180"/>
      <c r="CM440" s="180"/>
      <c r="CN440" s="116"/>
      <c r="CO440" s="218">
        <f t="shared" si="220"/>
        <v>0</v>
      </c>
      <c r="CP440" s="100">
        <f t="shared" si="221"/>
        <v>0</v>
      </c>
      <c r="CQ440" s="218">
        <f t="shared" si="222"/>
        <v>0</v>
      </c>
      <c r="CW440" s="123"/>
      <c r="CX440" s="122"/>
      <c r="CY440" s="122"/>
      <c r="CZ440" s="123"/>
      <c r="DA440" s="123"/>
      <c r="DB440" s="123"/>
      <c r="DC440" s="122"/>
      <c r="DD440" s="122"/>
      <c r="DE440" s="122"/>
      <c r="DF440" s="122"/>
      <c r="DG440" s="122"/>
      <c r="DH440" s="123"/>
      <c r="DI440" s="23"/>
      <c r="DJ440" s="150"/>
      <c r="DK440" s="150"/>
      <c r="DL440" s="116"/>
    </row>
    <row r="441" spans="61:116" s="101" customFormat="1" ht="18.75" customHeight="1" thickBot="1" x14ac:dyDescent="0.3">
      <c r="BI441" s="203" t="s">
        <v>68</v>
      </c>
      <c r="BJ441" s="190" t="s">
        <v>49</v>
      </c>
      <c r="BK441" s="196">
        <v>1.05</v>
      </c>
      <c r="BL441" s="190" t="s">
        <v>418</v>
      </c>
      <c r="BM441" s="189">
        <v>0.01</v>
      </c>
      <c r="BN441" s="189">
        <v>0.5</v>
      </c>
      <c r="BO441" s="209" t="s">
        <v>341</v>
      </c>
      <c r="BP441" s="206"/>
      <c r="BQ441" s="206"/>
      <c r="BR441" s="206"/>
      <c r="BS441" s="206"/>
      <c r="BT441" s="206"/>
      <c r="BU441" s="206"/>
      <c r="BV441" s="207"/>
      <c r="BW441" s="206"/>
      <c r="BX441" s="206"/>
      <c r="BY441" s="207"/>
      <c r="BZ441" s="207"/>
      <c r="CA441" s="207"/>
      <c r="CB441" s="180"/>
      <c r="CC441" s="178"/>
      <c r="CD441" s="178"/>
      <c r="CE441" s="180"/>
      <c r="CF441" s="180"/>
      <c r="CG441" s="180"/>
      <c r="CH441" s="180"/>
      <c r="CI441" s="178"/>
      <c r="CJ441" s="178"/>
      <c r="CK441" s="180"/>
      <c r="CL441" s="180"/>
      <c r="CM441" s="180"/>
      <c r="CN441" s="116"/>
      <c r="CO441" s="218">
        <f t="shared" si="220"/>
        <v>0.01</v>
      </c>
      <c r="CP441" s="100">
        <f t="shared" si="221"/>
        <v>0.255</v>
      </c>
      <c r="CQ441" s="218">
        <f t="shared" si="222"/>
        <v>0.5</v>
      </c>
      <c r="CW441" s="123"/>
      <c r="CX441" s="122"/>
      <c r="CY441" s="122"/>
      <c r="CZ441" s="123"/>
      <c r="DA441" s="123"/>
      <c r="DB441" s="123"/>
      <c r="DC441" s="122"/>
      <c r="DD441" s="122"/>
      <c r="DE441" s="122"/>
      <c r="DF441" s="122"/>
      <c r="DG441" s="122"/>
      <c r="DH441" s="123"/>
      <c r="DI441" s="23"/>
      <c r="DJ441" s="150"/>
      <c r="DK441" s="150"/>
      <c r="DL441" s="116"/>
    </row>
    <row r="442" spans="61:116" s="101" customFormat="1" ht="18.75" customHeight="1" thickBot="1" x14ac:dyDescent="0.3">
      <c r="BI442" s="203" t="s">
        <v>69</v>
      </c>
      <c r="BJ442" s="190" t="s">
        <v>49</v>
      </c>
      <c r="BK442" s="196">
        <v>0.81</v>
      </c>
      <c r="BL442" s="190" t="s">
        <v>418</v>
      </c>
      <c r="BM442" s="189">
        <v>0.01</v>
      </c>
      <c r="BN442" s="189">
        <v>0.5</v>
      </c>
      <c r="BO442" s="210" t="s">
        <v>320</v>
      </c>
      <c r="BP442" s="206"/>
      <c r="BQ442" s="206"/>
      <c r="BR442" s="206"/>
      <c r="BS442" s="206"/>
      <c r="BT442" s="206"/>
      <c r="BU442" s="206"/>
      <c r="BV442" s="207"/>
      <c r="BW442" s="206"/>
      <c r="BX442" s="206"/>
      <c r="BY442" s="207"/>
      <c r="BZ442" s="207"/>
      <c r="CA442" s="207"/>
      <c r="CB442" s="180"/>
      <c r="CC442" s="178"/>
      <c r="CD442" s="178"/>
      <c r="CE442" s="180"/>
      <c r="CF442" s="180"/>
      <c r="CG442" s="180"/>
      <c r="CH442" s="180"/>
      <c r="CI442" s="178"/>
      <c r="CJ442" s="178"/>
      <c r="CK442" s="180"/>
      <c r="CL442" s="180"/>
      <c r="CM442" s="180"/>
      <c r="CN442" s="116"/>
      <c r="CO442" s="218">
        <f t="shared" si="220"/>
        <v>0.01</v>
      </c>
      <c r="CP442" s="100">
        <f t="shared" si="221"/>
        <v>0.255</v>
      </c>
      <c r="CQ442" s="218">
        <f t="shared" si="222"/>
        <v>0.5</v>
      </c>
      <c r="CW442" s="123"/>
      <c r="CX442" s="122"/>
      <c r="CY442" s="122"/>
      <c r="CZ442" s="123"/>
      <c r="DA442" s="123"/>
      <c r="DB442" s="123"/>
      <c r="DC442" s="122"/>
      <c r="DD442" s="122"/>
      <c r="DE442" s="122"/>
      <c r="DF442" s="122"/>
      <c r="DG442" s="122"/>
      <c r="DH442" s="123"/>
      <c r="DI442" s="23"/>
      <c r="DJ442" s="150"/>
      <c r="DK442" s="150"/>
      <c r="DL442" s="116"/>
    </row>
    <row r="443" spans="61:116" s="101" customFormat="1" ht="18.75" customHeight="1" thickBot="1" x14ac:dyDescent="0.3">
      <c r="BI443" s="203" t="s">
        <v>317</v>
      </c>
      <c r="BJ443" s="190" t="s">
        <v>49</v>
      </c>
      <c r="BK443" s="196">
        <v>0.83</v>
      </c>
      <c r="BL443" s="190" t="s">
        <v>418</v>
      </c>
      <c r="BM443" s="189">
        <v>0.01</v>
      </c>
      <c r="BN443" s="189">
        <v>0.5</v>
      </c>
      <c r="BO443" s="209" t="s">
        <v>342</v>
      </c>
      <c r="BP443" s="206"/>
      <c r="BQ443" s="206"/>
      <c r="BR443" s="206"/>
      <c r="BS443" s="206"/>
      <c r="BT443" s="206"/>
      <c r="BU443" s="206"/>
      <c r="BV443" s="207"/>
      <c r="BW443" s="206"/>
      <c r="BX443" s="206"/>
      <c r="BY443" s="207"/>
      <c r="BZ443" s="207"/>
      <c r="CA443" s="207"/>
      <c r="CB443" s="180"/>
      <c r="CC443" s="178"/>
      <c r="CD443" s="178"/>
      <c r="CE443" s="180"/>
      <c r="CF443" s="180"/>
      <c r="CG443" s="180"/>
      <c r="CH443" s="180"/>
      <c r="CI443" s="178"/>
      <c r="CJ443" s="178"/>
      <c r="CK443" s="180"/>
      <c r="CL443" s="180"/>
      <c r="CM443" s="180"/>
      <c r="CN443" s="116"/>
      <c r="CO443" s="218">
        <f t="shared" si="220"/>
        <v>0.01</v>
      </c>
      <c r="CP443" s="100">
        <f t="shared" si="221"/>
        <v>0.255</v>
      </c>
      <c r="CQ443" s="218">
        <f t="shared" si="222"/>
        <v>0.5</v>
      </c>
      <c r="CW443" s="123"/>
      <c r="CX443" s="122"/>
      <c r="CY443" s="122"/>
      <c r="CZ443" s="123"/>
      <c r="DA443" s="123"/>
      <c r="DB443" s="123"/>
      <c r="DC443" s="122"/>
      <c r="DD443" s="122"/>
      <c r="DE443" s="122"/>
      <c r="DF443" s="122"/>
      <c r="DG443" s="122"/>
      <c r="DH443" s="123"/>
      <c r="DI443" s="23"/>
      <c r="DJ443" s="150"/>
      <c r="DK443" s="150"/>
      <c r="DL443" s="116"/>
    </row>
    <row r="444" spans="61:116" s="101" customFormat="1" ht="18.75" customHeight="1" thickBot="1" x14ac:dyDescent="0.3">
      <c r="BI444" s="203" t="s">
        <v>318</v>
      </c>
      <c r="BJ444" s="190" t="s">
        <v>49</v>
      </c>
      <c r="BK444" s="196">
        <v>1.39</v>
      </c>
      <c r="BL444" s="190" t="s">
        <v>418</v>
      </c>
      <c r="BM444" s="189">
        <v>0.01</v>
      </c>
      <c r="BN444" s="189">
        <v>0.5</v>
      </c>
      <c r="BO444" s="209" t="s">
        <v>342</v>
      </c>
      <c r="BP444" s="206"/>
      <c r="BQ444" s="206"/>
      <c r="BR444" s="206"/>
      <c r="BS444" s="206"/>
      <c r="BT444" s="206"/>
      <c r="BU444" s="206"/>
      <c r="BV444" s="207"/>
      <c r="BW444" s="206"/>
      <c r="BX444" s="206"/>
      <c r="BY444" s="207"/>
      <c r="BZ444" s="207"/>
      <c r="CA444" s="207"/>
      <c r="CB444" s="180"/>
      <c r="CC444" s="178"/>
      <c r="CD444" s="178"/>
      <c r="CE444" s="180"/>
      <c r="CF444" s="180"/>
      <c r="CG444" s="180"/>
      <c r="CH444" s="180"/>
      <c r="CI444" s="178"/>
      <c r="CJ444" s="178"/>
      <c r="CK444" s="180"/>
      <c r="CL444" s="180"/>
      <c r="CM444" s="180"/>
      <c r="CN444" s="116"/>
      <c r="CO444" s="218">
        <f t="shared" si="220"/>
        <v>0.01</v>
      </c>
      <c r="CP444" s="100">
        <f t="shared" si="221"/>
        <v>0.255</v>
      </c>
      <c r="CQ444" s="218">
        <f t="shared" si="222"/>
        <v>0.5</v>
      </c>
      <c r="CW444" s="123"/>
      <c r="CX444" s="122"/>
      <c r="CY444" s="122"/>
      <c r="CZ444" s="123"/>
      <c r="DA444" s="123"/>
      <c r="DB444" s="123"/>
      <c r="DC444" s="122"/>
      <c r="DD444" s="122"/>
      <c r="DE444" s="122"/>
      <c r="DF444" s="122"/>
      <c r="DG444" s="122"/>
      <c r="DH444" s="123"/>
      <c r="DI444" s="23"/>
      <c r="DJ444" s="150"/>
      <c r="DK444" s="150"/>
      <c r="DL444" s="116"/>
    </row>
    <row r="445" spans="61:116" s="101" customFormat="1" ht="18.75" customHeight="1" thickBot="1" x14ac:dyDescent="0.3">
      <c r="BI445" s="203" t="s">
        <v>326</v>
      </c>
      <c r="BJ445" s="190" t="s">
        <v>49</v>
      </c>
      <c r="BK445" s="196">
        <v>2.87</v>
      </c>
      <c r="BL445" s="190" t="s">
        <v>418</v>
      </c>
      <c r="BM445" s="189">
        <v>0.01</v>
      </c>
      <c r="BN445" s="189">
        <v>0.5</v>
      </c>
      <c r="BO445" s="210" t="s">
        <v>319</v>
      </c>
      <c r="BP445" s="206"/>
      <c r="BQ445" s="206"/>
      <c r="BR445" s="206"/>
      <c r="BS445" s="206"/>
      <c r="BT445" s="206"/>
      <c r="BU445" s="206"/>
      <c r="BV445" s="207"/>
      <c r="BW445" s="206"/>
      <c r="BX445" s="206"/>
      <c r="BY445" s="207"/>
      <c r="BZ445" s="207"/>
      <c r="CA445" s="207"/>
      <c r="CB445" s="180"/>
      <c r="CC445" s="178"/>
      <c r="CD445" s="178"/>
      <c r="CE445" s="180"/>
      <c r="CF445" s="180"/>
      <c r="CG445" s="180"/>
      <c r="CH445" s="180"/>
      <c r="CI445" s="178"/>
      <c r="CJ445" s="178"/>
      <c r="CK445" s="180"/>
      <c r="CL445" s="180"/>
      <c r="CM445" s="180"/>
      <c r="CN445" s="116"/>
      <c r="CO445" s="218">
        <f t="shared" si="220"/>
        <v>0.01</v>
      </c>
      <c r="CP445" s="100">
        <f t="shared" si="221"/>
        <v>0.255</v>
      </c>
      <c r="CQ445" s="218">
        <f t="shared" si="222"/>
        <v>0.5</v>
      </c>
      <c r="CW445" s="123"/>
      <c r="CX445" s="122"/>
      <c r="CY445" s="122"/>
      <c r="CZ445" s="123"/>
      <c r="DA445" s="123"/>
      <c r="DB445" s="123"/>
      <c r="DC445" s="122"/>
      <c r="DD445" s="122"/>
      <c r="DE445" s="122"/>
      <c r="DF445" s="122"/>
      <c r="DG445" s="122"/>
      <c r="DH445" s="123"/>
      <c r="DI445" s="23"/>
      <c r="DJ445" s="150"/>
      <c r="DK445" s="150"/>
      <c r="DL445" s="116"/>
    </row>
    <row r="446" spans="61:116" s="101" customFormat="1" ht="18.75" customHeight="1" thickBot="1" x14ac:dyDescent="0.3">
      <c r="BI446" s="203" t="s">
        <v>327</v>
      </c>
      <c r="BJ446" s="190" t="s">
        <v>49</v>
      </c>
      <c r="BK446" s="196">
        <v>2.08</v>
      </c>
      <c r="BL446" s="190" t="s">
        <v>418</v>
      </c>
      <c r="BM446" s="189">
        <v>0.01</v>
      </c>
      <c r="BN446" s="189">
        <v>0.5</v>
      </c>
      <c r="BO446" s="210" t="s">
        <v>322</v>
      </c>
      <c r="BP446" s="206"/>
      <c r="BQ446" s="206"/>
      <c r="BR446" s="206"/>
      <c r="BS446" s="206"/>
      <c r="BT446" s="206"/>
      <c r="BU446" s="206"/>
      <c r="BV446" s="207"/>
      <c r="BW446" s="206"/>
      <c r="BX446" s="206"/>
      <c r="BY446" s="207"/>
      <c r="BZ446" s="207"/>
      <c r="CA446" s="207"/>
      <c r="CB446" s="180"/>
      <c r="CC446" s="178"/>
      <c r="CD446" s="178"/>
      <c r="CE446" s="180"/>
      <c r="CF446" s="180"/>
      <c r="CG446" s="180"/>
      <c r="CH446" s="180"/>
      <c r="CI446" s="178"/>
      <c r="CJ446" s="178"/>
      <c r="CK446" s="180"/>
      <c r="CL446" s="180"/>
      <c r="CM446" s="180"/>
      <c r="CN446" s="116"/>
      <c r="CO446" s="218">
        <f t="shared" si="220"/>
        <v>0.01</v>
      </c>
      <c r="CP446" s="100">
        <f t="shared" si="221"/>
        <v>0.255</v>
      </c>
      <c r="CQ446" s="218">
        <f t="shared" si="222"/>
        <v>0.5</v>
      </c>
      <c r="CW446" s="123"/>
      <c r="CX446" s="122"/>
      <c r="CY446" s="122"/>
      <c r="CZ446" s="123"/>
      <c r="DA446" s="123"/>
      <c r="DB446" s="123"/>
      <c r="DC446" s="122"/>
      <c r="DD446" s="122"/>
      <c r="DE446" s="122"/>
      <c r="DF446" s="122"/>
      <c r="DG446" s="122"/>
      <c r="DH446" s="123"/>
      <c r="DI446" s="23"/>
      <c r="DJ446" s="150"/>
      <c r="DK446" s="150"/>
      <c r="DL446" s="116"/>
    </row>
    <row r="447" spans="61:116" s="101" customFormat="1" ht="18.75" customHeight="1" thickBot="1" x14ac:dyDescent="0.3">
      <c r="BI447" s="203" t="s">
        <v>328</v>
      </c>
      <c r="BJ447" s="190" t="s">
        <v>49</v>
      </c>
      <c r="BK447" s="196">
        <v>2.89</v>
      </c>
      <c r="BL447" s="190" t="s">
        <v>418</v>
      </c>
      <c r="BM447" s="189">
        <v>0.01</v>
      </c>
      <c r="BN447" s="189">
        <v>0.5</v>
      </c>
      <c r="BO447" s="210" t="s">
        <v>321</v>
      </c>
      <c r="BP447" s="206"/>
      <c r="BQ447" s="206"/>
      <c r="BR447" s="206"/>
      <c r="BS447" s="206"/>
      <c r="BT447" s="206"/>
      <c r="BU447" s="206"/>
      <c r="BV447" s="207"/>
      <c r="BW447" s="206"/>
      <c r="BX447" s="206"/>
      <c r="BY447" s="207"/>
      <c r="BZ447" s="207"/>
      <c r="CA447" s="207"/>
      <c r="CB447" s="180"/>
      <c r="CC447" s="178"/>
      <c r="CD447" s="178"/>
      <c r="CE447" s="180"/>
      <c r="CF447" s="180"/>
      <c r="CG447" s="180"/>
      <c r="CH447" s="180"/>
      <c r="CI447" s="178"/>
      <c r="CJ447" s="178"/>
      <c r="CK447" s="180"/>
      <c r="CL447" s="180"/>
      <c r="CM447" s="180"/>
      <c r="CN447" s="116"/>
      <c r="CO447" s="218">
        <f t="shared" si="220"/>
        <v>0.01</v>
      </c>
      <c r="CP447" s="100">
        <f t="shared" si="221"/>
        <v>0.255</v>
      </c>
      <c r="CQ447" s="218">
        <f t="shared" si="222"/>
        <v>0.5</v>
      </c>
      <c r="CW447" s="123"/>
      <c r="CX447" s="122"/>
      <c r="CY447" s="122"/>
      <c r="CZ447" s="123"/>
      <c r="DA447" s="123"/>
      <c r="DB447" s="123"/>
      <c r="DC447" s="122"/>
      <c r="DD447" s="122"/>
      <c r="DE447" s="122"/>
      <c r="DF447" s="122"/>
      <c r="DG447" s="122"/>
      <c r="DH447" s="123"/>
      <c r="DI447" s="23"/>
      <c r="DJ447" s="150"/>
      <c r="DK447" s="150"/>
      <c r="DL447" s="116"/>
    </row>
    <row r="448" spans="61:116" s="101" customFormat="1" ht="18.75" customHeight="1" thickBot="1" x14ac:dyDescent="0.3">
      <c r="BI448" s="203" t="s">
        <v>323</v>
      </c>
      <c r="BJ448" s="190" t="s">
        <v>49</v>
      </c>
      <c r="BK448" s="196">
        <v>11.1</v>
      </c>
      <c r="BL448" s="190" t="s">
        <v>418</v>
      </c>
      <c r="BM448" s="189">
        <v>0.01</v>
      </c>
      <c r="BN448" s="189">
        <v>0.5</v>
      </c>
      <c r="BO448" s="210" t="s">
        <v>325</v>
      </c>
      <c r="BP448" s="206"/>
      <c r="BQ448" s="206"/>
      <c r="BR448" s="206"/>
      <c r="BS448" s="206"/>
      <c r="BT448" s="206"/>
      <c r="BU448" s="206"/>
      <c r="BV448" s="207"/>
      <c r="BW448" s="206"/>
      <c r="BX448" s="206"/>
      <c r="BY448" s="207"/>
      <c r="BZ448" s="207"/>
      <c r="CA448" s="207"/>
      <c r="CB448" s="180"/>
      <c r="CC448" s="178"/>
      <c r="CD448" s="178"/>
      <c r="CE448" s="180"/>
      <c r="CF448" s="180"/>
      <c r="CG448" s="180"/>
      <c r="CH448" s="180"/>
      <c r="CI448" s="178"/>
      <c r="CJ448" s="178"/>
      <c r="CK448" s="180"/>
      <c r="CL448" s="180"/>
      <c r="CM448" s="180"/>
      <c r="CN448" s="116"/>
      <c r="CO448" s="218">
        <f t="shared" si="220"/>
        <v>0.01</v>
      </c>
      <c r="CP448" s="100">
        <f t="shared" si="221"/>
        <v>0.255</v>
      </c>
      <c r="CQ448" s="218">
        <f t="shared" si="222"/>
        <v>0.5</v>
      </c>
      <c r="CW448" s="123"/>
      <c r="CX448" s="122"/>
      <c r="CY448" s="122"/>
      <c r="CZ448" s="123"/>
      <c r="DA448" s="123"/>
      <c r="DB448" s="123"/>
      <c r="DC448" s="122"/>
      <c r="DD448" s="122"/>
      <c r="DE448" s="122"/>
      <c r="DF448" s="122"/>
      <c r="DG448" s="122"/>
      <c r="DH448" s="123"/>
      <c r="DI448" s="23"/>
      <c r="DJ448" s="150"/>
      <c r="DK448" s="150"/>
      <c r="DL448" s="116"/>
    </row>
    <row r="449" spans="61:117" s="101" customFormat="1" ht="18.75" customHeight="1" thickBot="1" x14ac:dyDescent="0.3">
      <c r="BI449" s="203" t="s">
        <v>324</v>
      </c>
      <c r="BJ449" s="190" t="s">
        <v>49</v>
      </c>
      <c r="BK449" s="196">
        <v>2.33</v>
      </c>
      <c r="BL449" s="190" t="s">
        <v>418</v>
      </c>
      <c r="BM449" s="189">
        <v>0.01</v>
      </c>
      <c r="BN449" s="189">
        <v>0.5</v>
      </c>
      <c r="BO449" s="210" t="s">
        <v>329</v>
      </c>
      <c r="BP449" s="206"/>
      <c r="BQ449" s="206"/>
      <c r="BR449" s="206"/>
      <c r="BS449" s="206"/>
      <c r="BT449" s="206"/>
      <c r="BU449" s="206"/>
      <c r="BV449" s="207"/>
      <c r="BW449" s="206"/>
      <c r="BX449" s="206"/>
      <c r="BY449" s="207"/>
      <c r="BZ449" s="207"/>
      <c r="CA449" s="207"/>
      <c r="CB449" s="180"/>
      <c r="CC449" s="178"/>
      <c r="CD449" s="178"/>
      <c r="CE449" s="180"/>
      <c r="CF449" s="180"/>
      <c r="CG449" s="180"/>
      <c r="CH449" s="180"/>
      <c r="CI449" s="178"/>
      <c r="CJ449" s="178"/>
      <c r="CK449" s="180"/>
      <c r="CL449" s="180"/>
      <c r="CM449" s="180"/>
      <c r="CN449" s="116"/>
      <c r="CO449" s="218">
        <f t="shared" si="220"/>
        <v>0.01</v>
      </c>
      <c r="CP449" s="100">
        <f t="shared" si="221"/>
        <v>0.255</v>
      </c>
      <c r="CQ449" s="218">
        <f t="shared" si="222"/>
        <v>0.5</v>
      </c>
      <c r="CW449" s="123"/>
      <c r="CX449" s="122"/>
      <c r="CY449" s="122"/>
      <c r="CZ449" s="123"/>
      <c r="DA449" s="123"/>
      <c r="DB449" s="123"/>
      <c r="DC449" s="122"/>
      <c r="DD449" s="122"/>
      <c r="DE449" s="122"/>
      <c r="DF449" s="122"/>
      <c r="DG449" s="122"/>
      <c r="DH449" s="123"/>
      <c r="DI449" s="23"/>
      <c r="DJ449" s="150"/>
      <c r="DK449" s="150"/>
      <c r="DL449" s="116"/>
    </row>
    <row r="450" spans="61:117" s="101" customFormat="1" ht="18.75" customHeight="1" thickBot="1" x14ac:dyDescent="0.3">
      <c r="BI450" s="203"/>
      <c r="BJ450" s="190"/>
      <c r="BK450" s="196"/>
      <c r="BL450" s="190"/>
      <c r="BM450" s="189"/>
      <c r="BN450" s="189"/>
      <c r="BO450" s="210"/>
      <c r="BP450" s="206"/>
      <c r="BQ450" s="206"/>
      <c r="BR450" s="206"/>
      <c r="BS450" s="206"/>
      <c r="BT450" s="206"/>
      <c r="BU450" s="206"/>
      <c r="BV450" s="207"/>
      <c r="BW450" s="206"/>
      <c r="BX450" s="206"/>
      <c r="BY450" s="207"/>
      <c r="BZ450" s="207"/>
      <c r="CA450" s="207"/>
      <c r="CB450" s="180"/>
      <c r="CC450" s="178"/>
      <c r="CD450" s="178"/>
      <c r="CE450" s="180"/>
      <c r="CF450" s="180"/>
      <c r="CG450" s="180"/>
      <c r="CH450" s="180"/>
      <c r="CI450" s="178"/>
      <c r="CJ450" s="178"/>
      <c r="CK450" s="180"/>
      <c r="CL450" s="180"/>
      <c r="CM450" s="180"/>
      <c r="CN450" s="116"/>
      <c r="CO450" s="218">
        <f t="shared" si="220"/>
        <v>0</v>
      </c>
      <c r="CP450" s="100">
        <f t="shared" si="221"/>
        <v>0</v>
      </c>
      <c r="CQ450" s="218">
        <f t="shared" si="222"/>
        <v>0</v>
      </c>
      <c r="CW450" s="123"/>
      <c r="CX450" s="122"/>
      <c r="CY450" s="122"/>
      <c r="CZ450" s="123"/>
      <c r="DA450" s="123"/>
      <c r="DB450" s="123"/>
      <c r="DC450" s="122"/>
      <c r="DD450" s="122"/>
      <c r="DE450" s="122"/>
      <c r="DF450" s="122"/>
      <c r="DG450" s="122"/>
      <c r="DH450" s="123"/>
      <c r="DI450" s="23"/>
      <c r="DJ450" s="150"/>
      <c r="DK450" s="150"/>
      <c r="DL450" s="116"/>
    </row>
    <row r="451" spans="61:117" s="101" customFormat="1" x14ac:dyDescent="0.25">
      <c r="BI451" s="102"/>
      <c r="BJ451" s="178"/>
      <c r="BK451" s="178"/>
      <c r="BL451" s="178"/>
      <c r="BM451" s="169"/>
      <c r="BN451" s="169"/>
      <c r="BO451" s="169"/>
      <c r="BP451" s="206"/>
      <c r="BQ451" s="206"/>
      <c r="BR451" s="206"/>
      <c r="BS451" s="206"/>
      <c r="BT451" s="206"/>
      <c r="BU451" s="206"/>
      <c r="BV451" s="207"/>
      <c r="BW451" s="206"/>
      <c r="BX451" s="206"/>
      <c r="BY451" s="207"/>
      <c r="BZ451" s="207"/>
      <c r="CA451" s="207"/>
      <c r="CB451" s="180"/>
      <c r="CC451" s="178"/>
      <c r="CD451" s="178"/>
      <c r="CE451" s="180"/>
      <c r="CF451" s="180"/>
      <c r="CG451" s="180"/>
      <c r="CH451" s="180"/>
      <c r="CI451" s="178"/>
      <c r="CJ451" s="178"/>
      <c r="CK451" s="180"/>
      <c r="CL451" s="180"/>
      <c r="CM451" s="180"/>
      <c r="CN451" s="116"/>
      <c r="CO451" s="218">
        <f t="shared" si="220"/>
        <v>0</v>
      </c>
      <c r="CP451" s="100">
        <f t="shared" si="221"/>
        <v>0</v>
      </c>
      <c r="CQ451" s="218">
        <f t="shared" si="222"/>
        <v>0</v>
      </c>
      <c r="CW451" s="123"/>
      <c r="CX451" s="122"/>
      <c r="CY451" s="122"/>
      <c r="CZ451" s="123"/>
      <c r="DA451" s="123"/>
      <c r="DB451" s="123"/>
      <c r="DC451" s="122"/>
      <c r="DD451" s="122"/>
      <c r="DE451" s="122"/>
      <c r="DF451" s="122"/>
      <c r="DG451" s="122"/>
      <c r="DH451" s="123"/>
      <c r="DI451" s="23"/>
      <c r="DJ451" s="150"/>
      <c r="DK451" s="150"/>
      <c r="DL451" s="116"/>
    </row>
    <row r="452" spans="61:117" s="101" customFormat="1" x14ac:dyDescent="0.25">
      <c r="BI452" s="102"/>
      <c r="BJ452" s="178"/>
      <c r="BK452" s="178"/>
      <c r="BL452" s="178"/>
      <c r="BM452" s="169"/>
      <c r="BN452" s="169"/>
      <c r="BO452" s="169"/>
      <c r="BP452" s="206"/>
      <c r="BQ452" s="206"/>
      <c r="BR452" s="206"/>
      <c r="BS452" s="206"/>
      <c r="BT452" s="206"/>
      <c r="BU452" s="206"/>
      <c r="BV452" s="207"/>
      <c r="BW452" s="206"/>
      <c r="BX452" s="206"/>
      <c r="BY452" s="207"/>
      <c r="BZ452" s="207"/>
      <c r="CA452" s="207"/>
      <c r="CB452" s="180"/>
      <c r="CC452" s="178"/>
      <c r="CD452" s="178"/>
      <c r="CE452" s="180"/>
      <c r="CF452" s="180"/>
      <c r="CG452" s="180"/>
      <c r="CH452" s="180"/>
      <c r="CI452" s="178"/>
      <c r="CJ452" s="178"/>
      <c r="CK452" s="180"/>
      <c r="CL452" s="180"/>
      <c r="CM452" s="180"/>
      <c r="CN452" s="116"/>
      <c r="CO452" s="218">
        <f t="shared" si="220"/>
        <v>0</v>
      </c>
      <c r="CP452" s="100">
        <f t="shared" si="221"/>
        <v>0</v>
      </c>
      <c r="CQ452" s="218">
        <f t="shared" si="222"/>
        <v>0</v>
      </c>
      <c r="CW452" s="123"/>
      <c r="CX452" s="122"/>
      <c r="CY452" s="122"/>
      <c r="CZ452" s="123"/>
      <c r="DA452" s="123"/>
      <c r="DB452" s="123"/>
      <c r="DC452" s="122"/>
      <c r="DD452" s="122"/>
      <c r="DE452" s="122"/>
      <c r="DF452" s="122"/>
      <c r="DG452" s="122"/>
      <c r="DH452" s="123"/>
      <c r="DI452" s="23"/>
      <c r="DJ452" s="150"/>
      <c r="DK452" s="150"/>
      <c r="DL452" s="116"/>
    </row>
    <row r="453" spans="61:117" s="101" customFormat="1" x14ac:dyDescent="0.25">
      <c r="BI453" s="102"/>
      <c r="BJ453" s="178"/>
      <c r="BK453" s="178"/>
      <c r="BL453" s="178"/>
      <c r="BM453" s="169"/>
      <c r="BN453" s="169"/>
      <c r="BO453" s="169"/>
      <c r="BP453" s="206"/>
      <c r="BQ453" s="206"/>
      <c r="BR453" s="206"/>
      <c r="BS453" s="206"/>
      <c r="BT453" s="206"/>
      <c r="BU453" s="206"/>
      <c r="BV453" s="207"/>
      <c r="BW453" s="206"/>
      <c r="BX453" s="206"/>
      <c r="BY453" s="207"/>
      <c r="BZ453" s="207"/>
      <c r="CA453" s="207"/>
      <c r="CB453" s="180"/>
      <c r="CC453" s="178"/>
      <c r="CD453" s="178"/>
      <c r="CE453" s="180"/>
      <c r="CF453" s="180"/>
      <c r="CG453" s="180"/>
      <c r="CH453" s="180"/>
      <c r="CI453" s="178"/>
      <c r="CJ453" s="178"/>
      <c r="CK453" s="180"/>
      <c r="CL453" s="180"/>
      <c r="CM453" s="180"/>
      <c r="CN453" s="116"/>
      <c r="CO453" s="218">
        <f t="shared" si="220"/>
        <v>0</v>
      </c>
      <c r="CP453" s="100">
        <f t="shared" si="221"/>
        <v>0</v>
      </c>
      <c r="CQ453" s="218">
        <f t="shared" si="222"/>
        <v>0</v>
      </c>
      <c r="CW453" s="123"/>
      <c r="CX453" s="122"/>
      <c r="CY453" s="122"/>
      <c r="CZ453" s="123"/>
      <c r="DA453" s="123"/>
      <c r="DB453" s="123"/>
      <c r="DC453" s="122"/>
      <c r="DD453" s="122"/>
      <c r="DE453" s="122"/>
      <c r="DF453" s="122"/>
      <c r="DG453" s="122"/>
      <c r="DH453" s="123"/>
      <c r="DI453" s="23"/>
      <c r="DJ453" s="150"/>
      <c r="DK453" s="150"/>
      <c r="DL453" s="116"/>
    </row>
    <row r="454" spans="61:117" s="101" customFormat="1" x14ac:dyDescent="0.25">
      <c r="BI454" s="102"/>
      <c r="BJ454" s="178"/>
      <c r="BK454" s="178"/>
      <c r="BL454" s="178"/>
      <c r="BM454" s="169"/>
      <c r="BN454" s="169"/>
      <c r="BO454" s="169"/>
      <c r="BP454" s="206"/>
      <c r="BQ454" s="206"/>
      <c r="BR454" s="206"/>
      <c r="BS454" s="206"/>
      <c r="BT454" s="206"/>
      <c r="BU454" s="206"/>
      <c r="BV454" s="207"/>
      <c r="BW454" s="206"/>
      <c r="BX454" s="206"/>
      <c r="BY454" s="207"/>
      <c r="BZ454" s="207"/>
      <c r="CA454" s="207"/>
      <c r="CB454" s="180"/>
      <c r="CC454" s="178"/>
      <c r="CD454" s="178"/>
      <c r="CE454" s="180"/>
      <c r="CF454" s="180"/>
      <c r="CG454" s="180"/>
      <c r="CH454" s="180"/>
      <c r="CI454" s="178"/>
      <c r="CJ454" s="178"/>
      <c r="CK454" s="180"/>
      <c r="CL454" s="180"/>
      <c r="CM454" s="180"/>
      <c r="CN454" s="116"/>
      <c r="CO454" s="218">
        <f t="shared" si="220"/>
        <v>0</v>
      </c>
      <c r="CP454" s="100">
        <f t="shared" si="221"/>
        <v>0</v>
      </c>
      <c r="CQ454" s="218">
        <f t="shared" si="222"/>
        <v>0</v>
      </c>
      <c r="CW454" s="123"/>
      <c r="CX454" s="122"/>
      <c r="CY454" s="122"/>
      <c r="CZ454" s="123"/>
      <c r="DA454" s="123"/>
      <c r="DB454" s="123"/>
      <c r="DC454" s="122"/>
      <c r="DD454" s="122"/>
      <c r="DE454" s="122"/>
      <c r="DF454" s="122"/>
      <c r="DG454" s="122"/>
      <c r="DH454" s="123"/>
      <c r="DI454" s="23"/>
      <c r="DJ454" s="150"/>
      <c r="DK454" s="150"/>
      <c r="DL454" s="116"/>
    </row>
    <row r="455" spans="61:117" s="101" customFormat="1" x14ac:dyDescent="0.25">
      <c r="BI455" s="102"/>
      <c r="BJ455" s="178"/>
      <c r="BK455" s="178"/>
      <c r="BL455" s="178"/>
      <c r="BM455" s="169"/>
      <c r="BN455" s="169"/>
      <c r="BO455" s="169"/>
      <c r="BP455" s="206"/>
      <c r="BQ455" s="206"/>
      <c r="BR455" s="206"/>
      <c r="BS455" s="206"/>
      <c r="BT455" s="206"/>
      <c r="BU455" s="206"/>
      <c r="BV455" s="207"/>
      <c r="BW455" s="206"/>
      <c r="BX455" s="206"/>
      <c r="BY455" s="207"/>
      <c r="BZ455" s="207"/>
      <c r="CA455" s="207"/>
      <c r="CB455" s="180"/>
      <c r="CC455" s="178"/>
      <c r="CD455" s="178"/>
      <c r="CE455" s="180"/>
      <c r="CF455" s="180"/>
      <c r="CG455" s="180"/>
      <c r="CH455" s="180"/>
      <c r="CI455" s="178"/>
      <c r="CJ455" s="178"/>
      <c r="CK455" s="180"/>
      <c r="CL455" s="180"/>
      <c r="CM455" s="180"/>
      <c r="CN455" s="116"/>
      <c r="CO455" s="218">
        <f t="shared" si="220"/>
        <v>0</v>
      </c>
      <c r="CP455" s="100">
        <f t="shared" si="221"/>
        <v>0</v>
      </c>
      <c r="CQ455" s="218">
        <f t="shared" si="222"/>
        <v>0</v>
      </c>
      <c r="CW455" s="123"/>
      <c r="CX455" s="122"/>
      <c r="CY455" s="122"/>
      <c r="CZ455" s="123"/>
      <c r="DA455" s="123"/>
      <c r="DB455" s="123"/>
      <c r="DC455" s="122"/>
      <c r="DD455" s="122"/>
      <c r="DE455" s="122"/>
      <c r="DF455" s="122"/>
      <c r="DG455" s="122"/>
      <c r="DH455" s="123"/>
      <c r="DI455" s="23"/>
      <c r="DJ455" s="150"/>
      <c r="DK455" s="150"/>
      <c r="DL455" s="116"/>
    </row>
    <row r="456" spans="61:117" s="101" customFormat="1" x14ac:dyDescent="0.25">
      <c r="BI456" s="102"/>
      <c r="BJ456" s="178"/>
      <c r="BK456" s="178"/>
      <c r="BL456" s="178"/>
      <c r="BM456" s="169"/>
      <c r="BN456" s="169"/>
      <c r="BO456" s="169"/>
      <c r="BP456" s="206"/>
      <c r="BQ456" s="206"/>
      <c r="BR456" s="206"/>
      <c r="BS456" s="206"/>
      <c r="BT456" s="206"/>
      <c r="BU456" s="206"/>
      <c r="BV456" s="207"/>
      <c r="BW456" s="206"/>
      <c r="BX456" s="206"/>
      <c r="BY456" s="207"/>
      <c r="BZ456" s="207"/>
      <c r="CA456" s="207"/>
      <c r="CB456" s="180"/>
      <c r="CC456" s="178"/>
      <c r="CD456" s="178"/>
      <c r="CE456" s="180"/>
      <c r="CF456" s="180"/>
      <c r="CG456" s="180"/>
      <c r="CH456" s="180"/>
      <c r="CI456" s="178"/>
      <c r="CJ456" s="178"/>
      <c r="CK456" s="180"/>
      <c r="CL456" s="180"/>
      <c r="CM456" s="180"/>
      <c r="CN456" s="116"/>
      <c r="CO456" s="218">
        <f t="shared" si="220"/>
        <v>0</v>
      </c>
      <c r="CP456" s="100">
        <f t="shared" si="221"/>
        <v>0</v>
      </c>
      <c r="CQ456" s="218">
        <f t="shared" si="222"/>
        <v>0</v>
      </c>
      <c r="CW456" s="123"/>
      <c r="CX456" s="122"/>
      <c r="CY456" s="122"/>
      <c r="CZ456" s="123"/>
      <c r="DA456" s="123"/>
      <c r="DB456" s="123"/>
      <c r="DC456" s="122"/>
      <c r="DD456" s="122"/>
      <c r="DE456" s="122"/>
      <c r="DF456" s="122"/>
      <c r="DG456" s="122"/>
      <c r="DH456" s="123"/>
      <c r="DI456" s="23"/>
      <c r="DJ456" s="150"/>
      <c r="DK456" s="150"/>
      <c r="DL456" s="116"/>
    </row>
    <row r="457" spans="61:117" s="101" customFormat="1" ht="15.75" thickBot="1" x14ac:dyDescent="0.3">
      <c r="BI457" s="102"/>
      <c r="BJ457" s="178"/>
      <c r="BK457" s="178"/>
      <c r="BL457" s="178"/>
      <c r="BM457" s="169"/>
      <c r="BN457" s="169"/>
      <c r="BO457" s="169"/>
      <c r="BP457" s="206"/>
      <c r="BQ457" s="206"/>
      <c r="BR457" s="206"/>
      <c r="BS457" s="206"/>
      <c r="BT457" s="206"/>
      <c r="BU457" s="206"/>
      <c r="BV457" s="207"/>
      <c r="BW457" s="206"/>
      <c r="BX457" s="206"/>
      <c r="BY457" s="207"/>
      <c r="BZ457" s="207"/>
      <c r="CA457" s="207"/>
      <c r="CB457" s="180"/>
      <c r="CC457" s="178"/>
      <c r="CD457" s="178"/>
      <c r="CE457" s="180"/>
      <c r="CF457" s="180"/>
      <c r="CG457" s="180"/>
      <c r="CH457" s="180"/>
      <c r="CI457" s="178"/>
      <c r="CJ457" s="178"/>
      <c r="CK457" s="180"/>
      <c r="CL457" s="180"/>
      <c r="CM457" s="180"/>
      <c r="CN457" s="116"/>
      <c r="CO457" s="218">
        <f t="shared" si="220"/>
        <v>0</v>
      </c>
      <c r="CP457" s="100">
        <f t="shared" si="221"/>
        <v>0</v>
      </c>
      <c r="CQ457" s="218">
        <f t="shared" si="222"/>
        <v>0</v>
      </c>
      <c r="CW457" s="123"/>
      <c r="CX457" s="122"/>
      <c r="CY457" s="122"/>
      <c r="CZ457" s="123"/>
      <c r="DA457" s="123"/>
      <c r="DB457" s="123"/>
      <c r="DC457" s="122"/>
      <c r="DD457" s="122"/>
      <c r="DE457" s="122"/>
      <c r="DF457" s="122"/>
      <c r="DG457" s="122"/>
      <c r="DH457" s="123"/>
      <c r="DI457" s="23"/>
      <c r="DJ457" s="150"/>
      <c r="DK457" s="150"/>
      <c r="DL457" s="116"/>
    </row>
    <row r="458" spans="61:117" s="101" customFormat="1" ht="15.75" thickBot="1" x14ac:dyDescent="0.3">
      <c r="BI458" s="211" t="s">
        <v>116</v>
      </c>
      <c r="BJ458" s="212" t="s">
        <v>117</v>
      </c>
      <c r="BK458" s="178"/>
      <c r="BL458" s="178"/>
      <c r="BM458" s="169"/>
      <c r="BN458" s="169"/>
      <c r="BO458" s="169"/>
      <c r="BP458" s="206"/>
      <c r="BQ458" s="206"/>
      <c r="BR458" s="206"/>
      <c r="BS458" s="206"/>
      <c r="BT458" s="206"/>
      <c r="BU458" s="206"/>
      <c r="BV458" s="207"/>
      <c r="BW458" s="206"/>
      <c r="BX458" s="206"/>
      <c r="BY458" s="207"/>
      <c r="BZ458" s="207"/>
      <c r="CA458" s="207"/>
      <c r="CB458" s="180"/>
      <c r="CC458" s="178"/>
      <c r="CD458" s="178"/>
      <c r="CE458" s="180"/>
      <c r="CF458" s="180"/>
      <c r="CG458" s="180"/>
      <c r="CH458" s="180"/>
      <c r="CI458" s="178"/>
      <c r="CJ458" s="178"/>
      <c r="CK458" s="180"/>
      <c r="CL458" s="180"/>
      <c r="CM458" s="180"/>
      <c r="CN458" s="116"/>
      <c r="CO458" s="218">
        <f t="shared" si="220"/>
        <v>0</v>
      </c>
      <c r="CP458" s="100">
        <f t="shared" si="221"/>
        <v>0</v>
      </c>
      <c r="CQ458" s="218">
        <f t="shared" si="222"/>
        <v>0</v>
      </c>
      <c r="CW458" s="123"/>
      <c r="CX458" s="122"/>
      <c r="CY458" s="122"/>
      <c r="CZ458" s="123"/>
      <c r="DA458" s="123"/>
      <c r="DB458" s="123"/>
      <c r="DC458" s="122"/>
      <c r="DD458" s="122"/>
      <c r="DE458" s="122"/>
      <c r="DF458" s="122"/>
      <c r="DG458" s="122"/>
      <c r="DH458" s="123"/>
      <c r="DI458" s="23"/>
      <c r="DJ458" s="150"/>
      <c r="DK458" s="150"/>
      <c r="DL458" s="116"/>
    </row>
    <row r="459" spans="61:117" s="101" customFormat="1" ht="15.75" thickBot="1" x14ac:dyDescent="0.3">
      <c r="BI459" s="190">
        <v>0</v>
      </c>
      <c r="BJ459" s="203">
        <v>0</v>
      </c>
      <c r="BK459" s="178"/>
      <c r="BL459" s="178"/>
      <c r="BM459" s="169"/>
      <c r="BN459" s="169"/>
      <c r="BO459" s="169"/>
      <c r="BP459" s="206"/>
      <c r="BQ459" s="206"/>
      <c r="BR459" s="206"/>
      <c r="BS459" s="206"/>
      <c r="BT459" s="206"/>
      <c r="BU459" s="206"/>
      <c r="BV459" s="207"/>
      <c r="BW459" s="206"/>
      <c r="BX459" s="206"/>
      <c r="BY459" s="207"/>
      <c r="BZ459" s="207"/>
      <c r="CA459" s="207"/>
      <c r="CB459" s="180"/>
      <c r="CC459" s="178"/>
      <c r="CD459" s="178"/>
      <c r="CE459" s="180"/>
      <c r="CF459" s="180"/>
      <c r="CG459" s="180"/>
      <c r="CH459" s="180"/>
      <c r="CI459" s="178"/>
      <c r="CJ459" s="178"/>
      <c r="CK459" s="180"/>
      <c r="CL459" s="180"/>
      <c r="CM459" s="180"/>
      <c r="CN459" s="116"/>
      <c r="CO459" s="218">
        <f t="shared" si="220"/>
        <v>0</v>
      </c>
      <c r="CP459" s="100">
        <f t="shared" si="221"/>
        <v>0</v>
      </c>
      <c r="CQ459" s="218">
        <f t="shared" si="222"/>
        <v>0</v>
      </c>
      <c r="CW459" s="123"/>
      <c r="CX459" s="122"/>
      <c r="CY459" s="122"/>
      <c r="CZ459" s="123"/>
      <c r="DA459" s="123"/>
      <c r="DB459" s="123"/>
      <c r="DC459" s="122"/>
      <c r="DD459" s="122"/>
      <c r="DE459" s="122"/>
      <c r="DF459" s="122"/>
      <c r="DG459" s="122"/>
      <c r="DH459" s="123"/>
      <c r="DI459" s="23"/>
      <c r="DJ459" s="150"/>
      <c r="DK459" s="150"/>
      <c r="DL459" s="116"/>
    </row>
    <row r="460" spans="61:117" s="101" customFormat="1" ht="15.75" thickBot="1" x14ac:dyDescent="0.3">
      <c r="BI460" s="190">
        <v>2</v>
      </c>
      <c r="BJ460" s="203">
        <v>12.71</v>
      </c>
      <c r="BK460" s="178"/>
      <c r="BL460" s="178"/>
      <c r="BM460" s="169"/>
      <c r="BN460" s="169"/>
      <c r="BO460" s="169"/>
      <c r="BP460" s="180"/>
      <c r="BQ460" s="180"/>
      <c r="BR460" s="180"/>
      <c r="BS460" s="180"/>
      <c r="BT460" s="180"/>
      <c r="BU460" s="180"/>
      <c r="BV460" s="180"/>
      <c r="BW460" s="180"/>
      <c r="BX460" s="180"/>
      <c r="BY460" s="180"/>
      <c r="BZ460" s="180"/>
      <c r="CA460" s="180"/>
      <c r="CB460" s="180"/>
      <c r="CC460" s="178"/>
      <c r="CD460" s="178"/>
      <c r="CE460" s="180"/>
      <c r="CF460" s="180"/>
      <c r="CG460" s="180"/>
      <c r="CH460" s="180"/>
      <c r="CI460" s="178"/>
      <c r="CJ460" s="178"/>
      <c r="CK460" s="180"/>
      <c r="CL460" s="180"/>
      <c r="CM460" s="180"/>
      <c r="CN460" s="116"/>
      <c r="CO460" s="218">
        <f t="shared" si="220"/>
        <v>0</v>
      </c>
      <c r="CP460" s="100">
        <f t="shared" si="221"/>
        <v>0</v>
      </c>
      <c r="CQ460" s="218">
        <f t="shared" si="222"/>
        <v>0</v>
      </c>
      <c r="CW460" s="116"/>
      <c r="CX460" s="116"/>
      <c r="CY460" s="116"/>
      <c r="CZ460" s="116"/>
      <c r="DA460" s="116"/>
      <c r="DB460" s="116"/>
      <c r="DC460" s="116"/>
      <c r="DD460" s="116"/>
      <c r="DE460" s="116"/>
      <c r="DF460" s="116"/>
      <c r="DG460" s="116"/>
      <c r="DH460" s="116"/>
      <c r="DI460" s="116"/>
    </row>
    <row r="461" spans="61:117" s="101" customFormat="1" ht="15.75" thickBot="1" x14ac:dyDescent="0.3">
      <c r="BI461" s="190">
        <v>3</v>
      </c>
      <c r="BJ461" s="203">
        <v>4.3</v>
      </c>
      <c r="BK461" s="178"/>
      <c r="BL461" s="178"/>
      <c r="BM461" s="169"/>
      <c r="BN461" s="169"/>
      <c r="BO461" s="169"/>
      <c r="BP461" s="180"/>
      <c r="BQ461" s="180"/>
      <c r="BR461" s="180"/>
      <c r="BS461" s="180"/>
      <c r="BT461" s="180"/>
      <c r="BU461" s="180"/>
      <c r="BV461" s="180"/>
      <c r="BW461" s="180"/>
      <c r="BX461" s="180"/>
      <c r="BY461" s="180"/>
      <c r="BZ461" s="180"/>
      <c r="CA461" s="180"/>
      <c r="CB461" s="180"/>
      <c r="CC461" s="178"/>
      <c r="CD461" s="178"/>
      <c r="CE461" s="180"/>
      <c r="CF461" s="180"/>
      <c r="CG461" s="180"/>
      <c r="CH461" s="180"/>
      <c r="CI461" s="178"/>
      <c r="CJ461" s="178"/>
      <c r="CK461" s="180"/>
      <c r="CL461" s="180"/>
      <c r="CM461" s="180"/>
      <c r="CN461" s="116"/>
      <c r="CO461" s="218">
        <f t="shared" si="220"/>
        <v>0</v>
      </c>
      <c r="CP461" s="100">
        <f t="shared" si="221"/>
        <v>0</v>
      </c>
      <c r="CQ461" s="218">
        <f t="shared" si="222"/>
        <v>0</v>
      </c>
      <c r="CW461" s="116"/>
      <c r="CX461" s="116"/>
      <c r="CY461" s="116"/>
      <c r="CZ461" s="116"/>
      <c r="DA461" s="116"/>
      <c r="DB461" s="116"/>
      <c r="DC461" s="116"/>
      <c r="DD461" s="116"/>
      <c r="DE461" s="116"/>
      <c r="DF461" s="116"/>
      <c r="DG461" s="116"/>
      <c r="DH461" s="116"/>
      <c r="DI461" s="116"/>
      <c r="DJ461" s="116"/>
      <c r="DK461" s="116"/>
      <c r="DL461" s="116"/>
    </row>
    <row r="462" spans="61:117" s="101" customFormat="1" ht="15.75" thickBot="1" x14ac:dyDescent="0.3">
      <c r="BI462" s="190">
        <v>4</v>
      </c>
      <c r="BJ462" s="203">
        <v>3.18</v>
      </c>
      <c r="BK462" s="178"/>
      <c r="BL462" s="178"/>
      <c r="BM462" s="169"/>
      <c r="BN462" s="169"/>
      <c r="BO462" s="169"/>
      <c r="BP462" s="178"/>
      <c r="BQ462" s="178"/>
      <c r="BR462" s="178"/>
      <c r="BS462" s="178"/>
      <c r="BT462" s="178"/>
      <c r="BU462" s="178"/>
      <c r="BV462" s="180"/>
      <c r="BW462" s="178"/>
      <c r="BX462" s="178"/>
      <c r="BY462" s="180"/>
      <c r="BZ462" s="180"/>
      <c r="CA462" s="180"/>
      <c r="CB462" s="180"/>
      <c r="CC462" s="178"/>
      <c r="CD462" s="178"/>
      <c r="CE462" s="180"/>
      <c r="CF462" s="180"/>
      <c r="CG462" s="180"/>
      <c r="CH462" s="180"/>
      <c r="CI462" s="178"/>
      <c r="CJ462" s="178"/>
      <c r="CK462" s="180"/>
      <c r="CL462" s="180"/>
      <c r="CM462" s="180"/>
      <c r="CN462" s="116"/>
      <c r="CO462" s="218">
        <f t="shared" si="220"/>
        <v>0</v>
      </c>
      <c r="CP462" s="100">
        <f t="shared" si="221"/>
        <v>0</v>
      </c>
      <c r="CQ462" s="218">
        <f t="shared" si="222"/>
        <v>0</v>
      </c>
      <c r="CW462" s="116"/>
      <c r="CX462" s="115"/>
      <c r="CY462" s="115"/>
      <c r="CZ462" s="116"/>
      <c r="DA462" s="116"/>
      <c r="DB462" s="116"/>
      <c r="DC462" s="116"/>
      <c r="DD462" s="115"/>
      <c r="DE462" s="115"/>
      <c r="DF462" s="116"/>
      <c r="DG462" s="116"/>
      <c r="DH462" s="116"/>
      <c r="DI462" s="116"/>
      <c r="DJ462" s="116"/>
      <c r="DK462" s="116"/>
      <c r="DM462" s="116"/>
    </row>
    <row r="463" spans="61:117" s="101" customFormat="1" ht="15.75" thickBot="1" x14ac:dyDescent="0.3">
      <c r="BI463" s="190">
        <v>5</v>
      </c>
      <c r="BJ463" s="203">
        <v>2.78</v>
      </c>
      <c r="BK463" s="178"/>
      <c r="BL463" s="178"/>
      <c r="BM463" s="169"/>
      <c r="BN463" s="169"/>
      <c r="BO463" s="169"/>
      <c r="BP463" s="178"/>
      <c r="BQ463" s="178"/>
      <c r="BR463" s="178"/>
      <c r="BS463" s="178"/>
      <c r="BT463" s="178"/>
      <c r="BU463" s="178"/>
      <c r="BV463" s="178"/>
      <c r="BW463" s="178"/>
      <c r="BX463" s="178"/>
      <c r="BY463" s="178"/>
      <c r="BZ463" s="178"/>
      <c r="CA463" s="178"/>
      <c r="CB463" s="180"/>
      <c r="CC463" s="178"/>
      <c r="CD463" s="178"/>
      <c r="CE463" s="180"/>
      <c r="CF463" s="180"/>
      <c r="CG463" s="180"/>
      <c r="CH463" s="180"/>
      <c r="CI463" s="178"/>
      <c r="CJ463" s="178"/>
      <c r="CK463" s="180"/>
      <c r="CL463" s="180"/>
      <c r="CM463" s="180"/>
      <c r="CN463" s="116"/>
      <c r="CO463" s="218">
        <f t="shared" si="220"/>
        <v>0</v>
      </c>
      <c r="CP463" s="100">
        <f t="shared" si="221"/>
        <v>0</v>
      </c>
      <c r="CQ463" s="218">
        <f t="shared" si="222"/>
        <v>0</v>
      </c>
      <c r="CW463" s="116"/>
      <c r="CX463" s="115"/>
      <c r="CY463" s="115"/>
      <c r="CZ463" s="116"/>
      <c r="DA463" s="116"/>
      <c r="DB463" s="116"/>
      <c r="DC463" s="116"/>
      <c r="DD463" s="115"/>
      <c r="DE463" s="115"/>
      <c r="DF463" s="116"/>
      <c r="DG463" s="116"/>
      <c r="DH463" s="116"/>
      <c r="DI463" s="116"/>
    </row>
    <row r="464" spans="61:117" s="101" customFormat="1" ht="15.75" thickBot="1" x14ac:dyDescent="0.3">
      <c r="BI464" s="190">
        <v>6</v>
      </c>
      <c r="BJ464" s="203">
        <v>2.57</v>
      </c>
      <c r="BK464" s="178"/>
      <c r="BL464" s="178"/>
      <c r="BM464" s="169"/>
      <c r="BN464" s="169"/>
      <c r="BO464" s="169"/>
      <c r="BP464" s="178"/>
      <c r="BQ464" s="178"/>
      <c r="BR464" s="178"/>
      <c r="BS464" s="178"/>
      <c r="BT464" s="178"/>
      <c r="BU464" s="178"/>
      <c r="BV464" s="178"/>
      <c r="BW464" s="178"/>
      <c r="BX464" s="178"/>
      <c r="BY464" s="178"/>
      <c r="BZ464" s="178"/>
      <c r="CA464" s="178"/>
      <c r="CB464" s="180"/>
      <c r="CC464" s="178"/>
      <c r="CD464" s="178"/>
      <c r="CE464" s="180"/>
      <c r="CF464" s="180"/>
      <c r="CG464" s="180"/>
      <c r="CH464" s="180"/>
      <c r="CI464" s="178"/>
      <c r="CJ464" s="178"/>
      <c r="CK464" s="180"/>
      <c r="CL464" s="180"/>
      <c r="CM464" s="180"/>
      <c r="CN464" s="116"/>
      <c r="CO464" s="218">
        <f t="shared" si="220"/>
        <v>0</v>
      </c>
      <c r="CP464" s="100">
        <f t="shared" si="221"/>
        <v>0</v>
      </c>
      <c r="CQ464" s="218">
        <f t="shared" si="222"/>
        <v>0</v>
      </c>
    </row>
    <row r="465" spans="1:95" s="101" customFormat="1" ht="15.75" thickBot="1" x14ac:dyDescent="0.3">
      <c r="BI465" s="190">
        <v>7</v>
      </c>
      <c r="BJ465" s="203">
        <v>2.4500000000000002</v>
      </c>
      <c r="BK465" s="178"/>
      <c r="BL465" s="178"/>
      <c r="BM465" s="169"/>
      <c r="BN465" s="169"/>
      <c r="BO465" s="169"/>
      <c r="BP465" s="178"/>
      <c r="BQ465" s="178"/>
      <c r="BR465" s="178"/>
      <c r="BS465" s="178"/>
      <c r="BT465" s="178"/>
      <c r="BU465" s="178"/>
      <c r="BV465" s="178"/>
      <c r="BW465" s="178"/>
      <c r="BX465" s="178"/>
      <c r="BY465" s="178"/>
      <c r="BZ465" s="178"/>
      <c r="CA465" s="178"/>
      <c r="CB465" s="180"/>
      <c r="CC465" s="178"/>
      <c r="CD465" s="178"/>
      <c r="CE465" s="180"/>
      <c r="CF465" s="180"/>
      <c r="CG465" s="180"/>
      <c r="CH465" s="180"/>
      <c r="CI465" s="178"/>
      <c r="CJ465" s="178"/>
      <c r="CK465" s="180"/>
      <c r="CL465" s="180"/>
      <c r="CM465" s="180"/>
      <c r="CN465" s="116"/>
      <c r="CO465" s="218">
        <f t="shared" si="220"/>
        <v>0</v>
      </c>
      <c r="CP465" s="100">
        <f t="shared" si="221"/>
        <v>0</v>
      </c>
      <c r="CQ465" s="218">
        <f t="shared" si="222"/>
        <v>0</v>
      </c>
    </row>
    <row r="466" spans="1:95" s="101" customFormat="1" ht="15.75" thickBot="1" x14ac:dyDescent="0.3">
      <c r="BI466" s="190">
        <v>8</v>
      </c>
      <c r="BJ466" s="203">
        <v>2.36</v>
      </c>
      <c r="BK466" s="178"/>
      <c r="BL466" s="178"/>
      <c r="BM466" s="169"/>
      <c r="BN466" s="169"/>
      <c r="BO466" s="169"/>
      <c r="BP466" s="178"/>
      <c r="BQ466" s="178"/>
      <c r="BR466" s="178"/>
      <c r="BS466" s="178"/>
      <c r="BT466" s="178"/>
      <c r="BU466" s="178"/>
      <c r="BV466" s="178"/>
      <c r="BW466" s="178"/>
      <c r="BX466" s="178"/>
      <c r="BY466" s="178"/>
      <c r="BZ466" s="178"/>
      <c r="CA466" s="178"/>
      <c r="CB466" s="180"/>
      <c r="CC466" s="178"/>
      <c r="CD466" s="178"/>
      <c r="CE466" s="180"/>
      <c r="CF466" s="180"/>
      <c r="CG466" s="180"/>
      <c r="CH466" s="180"/>
      <c r="CI466" s="178"/>
      <c r="CJ466" s="178"/>
      <c r="CK466" s="180"/>
      <c r="CL466" s="180"/>
      <c r="CM466" s="180"/>
      <c r="CN466" s="116"/>
      <c r="CO466" s="218">
        <f t="shared" si="220"/>
        <v>0</v>
      </c>
      <c r="CP466" s="100">
        <f t="shared" si="221"/>
        <v>0</v>
      </c>
      <c r="CQ466" s="218">
        <f t="shared" si="222"/>
        <v>0</v>
      </c>
    </row>
    <row r="467" spans="1:95" s="101" customFormat="1" ht="15.75" thickBot="1" x14ac:dyDescent="0.3">
      <c r="BI467" s="190">
        <v>9</v>
      </c>
      <c r="BJ467" s="203">
        <v>2.31</v>
      </c>
      <c r="BK467" s="178"/>
      <c r="BL467" s="178"/>
      <c r="BM467" s="169"/>
      <c r="BN467" s="169"/>
      <c r="BO467" s="169"/>
      <c r="BP467" s="178"/>
      <c r="BQ467" s="178"/>
      <c r="BR467" s="178"/>
      <c r="BS467" s="178"/>
      <c r="BT467" s="178"/>
      <c r="BU467" s="178"/>
      <c r="BV467" s="178"/>
      <c r="BW467" s="178"/>
      <c r="BX467" s="178"/>
      <c r="BY467" s="178"/>
      <c r="BZ467" s="178"/>
      <c r="CA467" s="178"/>
      <c r="CB467" s="180"/>
      <c r="CC467" s="178"/>
      <c r="CD467" s="178"/>
      <c r="CE467" s="180"/>
      <c r="CF467" s="180"/>
      <c r="CG467" s="180"/>
      <c r="CH467" s="180"/>
      <c r="CI467" s="178"/>
      <c r="CJ467" s="178"/>
      <c r="CK467" s="180"/>
      <c r="CL467" s="180"/>
      <c r="CM467" s="180"/>
      <c r="CN467" s="116"/>
      <c r="CO467" s="218">
        <f t="shared" si="220"/>
        <v>0</v>
      </c>
      <c r="CP467" s="100">
        <f t="shared" si="221"/>
        <v>0</v>
      </c>
      <c r="CQ467" s="218">
        <f t="shared" si="222"/>
        <v>0</v>
      </c>
    </row>
    <row r="468" spans="1:95" s="101" customFormat="1" ht="15.75" thickBot="1" x14ac:dyDescent="0.3">
      <c r="BI468" s="190">
        <v>10</v>
      </c>
      <c r="BJ468" s="203">
        <v>2.2599999999999998</v>
      </c>
      <c r="BK468" s="178"/>
      <c r="BL468" s="178"/>
      <c r="BM468" s="169"/>
      <c r="BN468" s="169"/>
      <c r="BO468" s="169"/>
      <c r="BP468" s="178"/>
      <c r="BQ468" s="178"/>
      <c r="BR468" s="178"/>
      <c r="BS468" s="178"/>
      <c r="BT468" s="178"/>
      <c r="BU468" s="178"/>
      <c r="BV468" s="178"/>
      <c r="BW468" s="178"/>
      <c r="BX468" s="178"/>
      <c r="BY468" s="178"/>
      <c r="BZ468" s="178"/>
      <c r="CA468" s="178"/>
      <c r="CB468" s="180"/>
      <c r="CC468" s="178"/>
      <c r="CD468" s="178"/>
      <c r="CE468" s="180"/>
      <c r="CF468" s="180"/>
      <c r="CG468" s="180"/>
      <c r="CH468" s="180"/>
      <c r="CI468" s="178"/>
      <c r="CJ468" s="178"/>
      <c r="CK468" s="180"/>
      <c r="CL468" s="180"/>
      <c r="CM468" s="180"/>
      <c r="CN468" s="116"/>
      <c r="CO468" s="218">
        <f t="shared" si="220"/>
        <v>0</v>
      </c>
      <c r="CP468" s="100">
        <f t="shared" si="221"/>
        <v>0</v>
      </c>
      <c r="CQ468" s="218">
        <f t="shared" si="222"/>
        <v>0</v>
      </c>
    </row>
    <row r="469" spans="1:95" s="101" customFormat="1" ht="15.75" thickBot="1" x14ac:dyDescent="0.3">
      <c r="BI469" s="190">
        <v>11</v>
      </c>
      <c r="BJ469" s="203">
        <v>2.23</v>
      </c>
      <c r="BK469" s="178"/>
      <c r="BL469" s="178"/>
      <c r="BM469" s="169"/>
      <c r="BN469" s="169"/>
      <c r="BO469" s="169"/>
      <c r="BP469" s="178"/>
      <c r="BQ469" s="178"/>
      <c r="BR469" s="178"/>
      <c r="BS469" s="178"/>
      <c r="BT469" s="178"/>
      <c r="BU469" s="178"/>
      <c r="BV469" s="178"/>
      <c r="BW469" s="178"/>
      <c r="BX469" s="178"/>
      <c r="BY469" s="178"/>
      <c r="BZ469" s="178"/>
      <c r="CA469" s="178"/>
      <c r="CB469" s="180"/>
      <c r="CC469" s="178"/>
      <c r="CD469" s="178"/>
      <c r="CE469" s="180"/>
      <c r="CF469" s="180"/>
      <c r="CG469" s="180"/>
      <c r="CH469" s="180"/>
      <c r="CI469" s="178"/>
      <c r="CJ469" s="178"/>
      <c r="CK469" s="180"/>
      <c r="CL469" s="180"/>
      <c r="CM469" s="180"/>
      <c r="CN469" s="116"/>
      <c r="CO469" s="218">
        <f t="shared" si="220"/>
        <v>0</v>
      </c>
      <c r="CP469" s="100">
        <f t="shared" si="221"/>
        <v>0</v>
      </c>
      <c r="CQ469" s="218">
        <f t="shared" si="222"/>
        <v>0</v>
      </c>
    </row>
    <row r="470" spans="1:95" s="101" customFormat="1" ht="15.75" thickBot="1" x14ac:dyDescent="0.3">
      <c r="BI470" s="190">
        <v>12</v>
      </c>
      <c r="BJ470" s="203">
        <v>2.2000000000000002</v>
      </c>
      <c r="BK470" s="178"/>
      <c r="BL470" s="178"/>
      <c r="BM470" s="169"/>
      <c r="BN470" s="169"/>
      <c r="BO470" s="169"/>
      <c r="BP470" s="178"/>
      <c r="BQ470" s="178"/>
      <c r="BR470" s="178"/>
      <c r="BS470" s="178"/>
      <c r="BT470" s="178"/>
      <c r="BU470" s="178"/>
      <c r="BV470" s="178"/>
      <c r="BW470" s="178"/>
      <c r="BX470" s="178"/>
      <c r="BY470" s="178"/>
      <c r="BZ470" s="178"/>
      <c r="CA470" s="178"/>
      <c r="CB470" s="180"/>
      <c r="CC470" s="178"/>
      <c r="CD470" s="178"/>
      <c r="CE470" s="180"/>
      <c r="CF470" s="180"/>
      <c r="CG470" s="180"/>
      <c r="CH470" s="180"/>
      <c r="CI470" s="178"/>
      <c r="CJ470" s="178"/>
      <c r="CK470" s="180"/>
      <c r="CL470" s="180"/>
      <c r="CM470" s="180"/>
      <c r="CN470" s="116"/>
      <c r="CO470" s="218">
        <f t="shared" si="220"/>
        <v>0</v>
      </c>
      <c r="CP470" s="100">
        <f t="shared" si="221"/>
        <v>0</v>
      </c>
      <c r="CQ470" s="218">
        <f t="shared" si="222"/>
        <v>0</v>
      </c>
    </row>
    <row r="471" spans="1:95" s="101" customFormat="1" x14ac:dyDescent="0.25">
      <c r="BI471" s="102"/>
      <c r="BJ471" s="178"/>
      <c r="BK471" s="178"/>
      <c r="BL471" s="178"/>
      <c r="BM471" s="169"/>
      <c r="BN471" s="169"/>
      <c r="BO471" s="169"/>
      <c r="BP471" s="178"/>
      <c r="BQ471" s="178"/>
      <c r="BR471" s="178"/>
      <c r="BS471" s="178"/>
      <c r="BT471" s="178"/>
      <c r="BU471" s="178"/>
      <c r="BV471" s="178"/>
      <c r="BW471" s="178"/>
      <c r="BX471" s="178"/>
      <c r="BY471" s="178"/>
      <c r="BZ471" s="178"/>
      <c r="CA471" s="178"/>
      <c r="CB471" s="180"/>
      <c r="CC471" s="178"/>
      <c r="CD471" s="178"/>
      <c r="CE471" s="180"/>
      <c r="CF471" s="180"/>
      <c r="CG471" s="180"/>
      <c r="CH471" s="180"/>
      <c r="CI471" s="178"/>
      <c r="CJ471" s="178"/>
      <c r="CK471" s="180"/>
      <c r="CL471" s="180"/>
      <c r="CM471" s="180"/>
      <c r="CN471" s="116"/>
      <c r="CO471" s="218">
        <f t="shared" si="220"/>
        <v>0</v>
      </c>
      <c r="CP471" s="100">
        <f t="shared" si="221"/>
        <v>0</v>
      </c>
      <c r="CQ471" s="218">
        <f t="shared" si="222"/>
        <v>0</v>
      </c>
    </row>
    <row r="472" spans="1:95" s="101" customFormat="1" x14ac:dyDescent="0.25">
      <c r="A472" s="99"/>
      <c r="V472" s="103"/>
      <c r="AA472" s="104"/>
      <c r="AB472" s="104"/>
      <c r="AD472" s="104"/>
      <c r="AE472" s="105"/>
      <c r="AH472" s="106"/>
      <c r="AI472" s="106"/>
      <c r="AK472" s="104"/>
      <c r="AR472" s="104"/>
      <c r="AV472" s="104"/>
      <c r="AX472" s="104"/>
      <c r="BB472" s="104"/>
      <c r="BC472" s="104"/>
      <c r="BE472" s="104"/>
      <c r="BH472" s="99"/>
      <c r="BI472" s="102"/>
      <c r="BJ472" s="178"/>
      <c r="BK472" s="178"/>
      <c r="BL472" s="178"/>
      <c r="BM472" s="169"/>
      <c r="BN472" s="169"/>
      <c r="BO472" s="169"/>
      <c r="BP472" s="178"/>
      <c r="BQ472" s="178"/>
      <c r="BR472" s="178"/>
      <c r="BS472" s="178"/>
      <c r="BT472" s="178"/>
      <c r="BU472" s="178"/>
      <c r="BV472" s="178"/>
      <c r="BW472" s="178"/>
      <c r="BX472" s="178"/>
      <c r="BY472" s="178"/>
      <c r="BZ472" s="178"/>
      <c r="CA472" s="178"/>
      <c r="CB472" s="180"/>
      <c r="CC472" s="178"/>
      <c r="CD472" s="178"/>
      <c r="CE472" s="180"/>
      <c r="CF472" s="180"/>
      <c r="CG472" s="180"/>
      <c r="CH472" s="180"/>
      <c r="CI472" s="178"/>
      <c r="CJ472" s="178"/>
      <c r="CK472" s="180"/>
      <c r="CL472" s="180"/>
      <c r="CM472" s="180"/>
      <c r="CN472" s="116"/>
      <c r="CO472" s="218">
        <f t="shared" si="220"/>
        <v>0</v>
      </c>
      <c r="CP472" s="100">
        <f t="shared" si="221"/>
        <v>0</v>
      </c>
      <c r="CQ472" s="218">
        <f t="shared" si="222"/>
        <v>0</v>
      </c>
    </row>
    <row r="473" spans="1:95" s="101" customFormat="1" ht="15.75" thickBot="1" x14ac:dyDescent="0.3">
      <c r="A473" s="99"/>
      <c r="V473" s="103"/>
      <c r="AA473" s="104"/>
      <c r="AB473" s="104"/>
      <c r="AD473" s="104"/>
      <c r="AE473" s="105"/>
      <c r="AH473" s="106"/>
      <c r="AI473" s="106"/>
      <c r="AK473" s="104"/>
      <c r="AR473" s="104"/>
      <c r="AV473" s="104"/>
      <c r="AX473" s="104"/>
      <c r="BB473" s="104"/>
      <c r="BC473" s="104"/>
      <c r="BE473" s="104"/>
      <c r="BH473" s="99"/>
      <c r="BI473" s="102"/>
      <c r="BJ473" s="178"/>
      <c r="BK473" s="178"/>
      <c r="BL473" s="178"/>
      <c r="BM473" s="169"/>
      <c r="BN473" s="169"/>
      <c r="BO473" s="169"/>
      <c r="BP473" s="178"/>
      <c r="BQ473" s="178"/>
      <c r="BR473" s="178"/>
      <c r="BS473" s="178"/>
      <c r="BT473" s="178"/>
      <c r="BU473" s="178"/>
      <c r="BV473" s="178"/>
      <c r="BW473" s="178"/>
      <c r="BX473" s="178"/>
      <c r="BY473" s="178"/>
      <c r="BZ473" s="178"/>
      <c r="CA473" s="178"/>
      <c r="CB473" s="180"/>
      <c r="CC473" s="178"/>
      <c r="CD473" s="178"/>
      <c r="CE473" s="180"/>
      <c r="CF473" s="180"/>
      <c r="CG473" s="180"/>
      <c r="CH473" s="180"/>
      <c r="CI473" s="178"/>
      <c r="CJ473" s="178"/>
      <c r="CK473" s="180"/>
      <c r="CL473" s="180"/>
      <c r="CM473" s="180"/>
      <c r="CN473" s="116"/>
      <c r="CO473" s="218">
        <f t="shared" si="220"/>
        <v>0</v>
      </c>
      <c r="CP473" s="100">
        <f t="shared" si="221"/>
        <v>0</v>
      </c>
      <c r="CQ473" s="218">
        <f t="shared" si="222"/>
        <v>0</v>
      </c>
    </row>
    <row r="474" spans="1:95" s="101" customFormat="1" ht="15.75" thickBot="1" x14ac:dyDescent="0.3">
      <c r="A474" s="99"/>
      <c r="V474" s="103"/>
      <c r="AA474" s="104"/>
      <c r="AB474" s="104"/>
      <c r="AD474" s="104"/>
      <c r="AE474" s="105"/>
      <c r="AH474" s="106"/>
      <c r="AI474" s="106"/>
      <c r="AK474" s="104"/>
      <c r="AR474" s="104"/>
      <c r="AV474" s="104"/>
      <c r="AX474" s="104"/>
      <c r="BB474" s="104"/>
      <c r="BC474" s="104"/>
      <c r="BE474" s="104"/>
      <c r="BH474" s="99"/>
      <c r="BI474" s="211"/>
      <c r="BJ474" s="211" t="s">
        <v>309</v>
      </c>
      <c r="BK474" s="211" t="s">
        <v>310</v>
      </c>
      <c r="BL474" s="211" t="s">
        <v>567</v>
      </c>
      <c r="BM474" s="169"/>
      <c r="BN474" s="169"/>
      <c r="BO474" s="169"/>
      <c r="BP474" s="178"/>
      <c r="BQ474" s="178"/>
      <c r="BR474" s="178"/>
      <c r="BS474" s="178"/>
      <c r="BT474" s="178"/>
      <c r="BU474" s="178"/>
      <c r="BV474" s="178"/>
      <c r="BW474" s="178"/>
      <c r="BX474" s="178"/>
      <c r="BY474" s="178"/>
      <c r="BZ474" s="178"/>
      <c r="CA474" s="178"/>
      <c r="CB474" s="180"/>
      <c r="CC474" s="178"/>
      <c r="CD474" s="178"/>
      <c r="CE474" s="180"/>
      <c r="CF474" s="180"/>
      <c r="CG474" s="180"/>
      <c r="CH474" s="180"/>
      <c r="CI474" s="178"/>
      <c r="CJ474" s="178"/>
      <c r="CK474" s="180"/>
      <c r="CL474" s="180"/>
      <c r="CM474" s="180"/>
      <c r="CN474" s="116"/>
      <c r="CO474" s="218">
        <f t="shared" si="220"/>
        <v>0</v>
      </c>
      <c r="CP474" s="100">
        <f t="shared" si="221"/>
        <v>0</v>
      </c>
      <c r="CQ474" s="218">
        <f t="shared" si="222"/>
        <v>0</v>
      </c>
    </row>
    <row r="475" spans="1:95" s="101" customFormat="1" ht="25.5" customHeight="1" thickBot="1" x14ac:dyDescent="0.3">
      <c r="A475" s="99"/>
      <c r="V475" s="103"/>
      <c r="AA475" s="104"/>
      <c r="AB475" s="104"/>
      <c r="AD475" s="104"/>
      <c r="AE475" s="105"/>
      <c r="AH475" s="106"/>
      <c r="AI475" s="106"/>
      <c r="AK475" s="104"/>
      <c r="AR475" s="104"/>
      <c r="AV475" s="104"/>
      <c r="AX475" s="104"/>
      <c r="BB475" s="104"/>
      <c r="BC475" s="104"/>
      <c r="BE475" s="104"/>
      <c r="BH475" s="99"/>
      <c r="BI475" s="211" t="s">
        <v>307</v>
      </c>
      <c r="BJ475" s="211" t="s">
        <v>308</v>
      </c>
      <c r="BK475" s="211" t="s">
        <v>308</v>
      </c>
      <c r="BL475" s="211" t="s">
        <v>308</v>
      </c>
      <c r="BM475" s="169"/>
      <c r="BN475" s="169"/>
      <c r="BO475" s="169"/>
      <c r="BP475" s="178"/>
      <c r="BQ475" s="178"/>
      <c r="BR475" s="178"/>
      <c r="BS475" s="178"/>
      <c r="BT475" s="178"/>
      <c r="BU475" s="178"/>
      <c r="BV475" s="178"/>
      <c r="BW475" s="178"/>
      <c r="BX475" s="178"/>
      <c r="BY475" s="178"/>
      <c r="BZ475" s="178"/>
      <c r="CA475" s="178"/>
      <c r="CB475" s="180"/>
      <c r="CC475" s="178"/>
      <c r="CD475" s="178"/>
      <c r="CE475" s="180"/>
      <c r="CF475" s="180"/>
      <c r="CG475" s="180"/>
      <c r="CH475" s="180"/>
      <c r="CI475" s="178"/>
      <c r="CJ475" s="178"/>
      <c r="CK475" s="180"/>
      <c r="CL475" s="180"/>
      <c r="CM475" s="180"/>
      <c r="CN475" s="116"/>
      <c r="CO475" s="218">
        <f t="shared" si="220"/>
        <v>0</v>
      </c>
      <c r="CP475" s="100">
        <f t="shared" si="221"/>
        <v>0</v>
      </c>
      <c r="CQ475" s="218">
        <f t="shared" si="222"/>
        <v>0</v>
      </c>
    </row>
    <row r="476" spans="1:95" s="101" customFormat="1" ht="15.75" thickBot="1" x14ac:dyDescent="0.3">
      <c r="A476" s="99"/>
      <c r="V476" s="103"/>
      <c r="AA476" s="104"/>
      <c r="AB476" s="104"/>
      <c r="AD476" s="104"/>
      <c r="AE476" s="105"/>
      <c r="AH476" s="106"/>
      <c r="AI476" s="106"/>
      <c r="AK476" s="104"/>
      <c r="AR476" s="104"/>
      <c r="AV476" s="104"/>
      <c r="AX476" s="104"/>
      <c r="BB476" s="104"/>
      <c r="BC476" s="104"/>
      <c r="BE476" s="104"/>
      <c r="BH476" s="99"/>
      <c r="BI476" s="190" t="s">
        <v>170</v>
      </c>
      <c r="BJ476" s="190">
        <v>1</v>
      </c>
      <c r="BK476" s="190">
        <v>1</v>
      </c>
      <c r="BL476" s="190">
        <v>1</v>
      </c>
      <c r="BM476" s="169"/>
      <c r="BN476" s="169"/>
      <c r="BO476" s="169"/>
      <c r="BP476" s="178"/>
      <c r="BQ476" s="178"/>
      <c r="BR476" s="178"/>
      <c r="BS476" s="178"/>
      <c r="BT476" s="178"/>
      <c r="BU476" s="178"/>
      <c r="BV476" s="178"/>
      <c r="BW476" s="178"/>
      <c r="BX476" s="178"/>
      <c r="BY476" s="178"/>
      <c r="BZ476" s="178"/>
      <c r="CA476" s="178"/>
      <c r="CB476" s="180"/>
      <c r="CC476" s="178"/>
      <c r="CD476" s="178"/>
      <c r="CE476" s="180"/>
      <c r="CF476" s="180"/>
      <c r="CG476" s="180"/>
      <c r="CH476" s="180"/>
      <c r="CI476" s="178"/>
      <c r="CJ476" s="178"/>
      <c r="CK476" s="180"/>
      <c r="CL476" s="180"/>
      <c r="CM476" s="180"/>
      <c r="CN476" s="116"/>
      <c r="CO476" s="218">
        <f t="shared" si="220"/>
        <v>0</v>
      </c>
      <c r="CP476" s="100">
        <f t="shared" si="221"/>
        <v>0</v>
      </c>
      <c r="CQ476" s="218">
        <f t="shared" si="222"/>
        <v>0</v>
      </c>
    </row>
    <row r="477" spans="1:95" s="101" customFormat="1" ht="15.75" thickBot="1" x14ac:dyDescent="0.3">
      <c r="A477" s="99"/>
      <c r="V477" s="103"/>
      <c r="AA477" s="104"/>
      <c r="AB477" s="104"/>
      <c r="AD477" s="104"/>
      <c r="AE477" s="105"/>
      <c r="AH477" s="106"/>
      <c r="AI477" s="106"/>
      <c r="AK477" s="104"/>
      <c r="AR477" s="104"/>
      <c r="AV477" s="104"/>
      <c r="AX477" s="104"/>
      <c r="BB477" s="104"/>
      <c r="BC477" s="104"/>
      <c r="BE477" s="104"/>
      <c r="BH477" s="99"/>
      <c r="BI477" s="190" t="s">
        <v>106</v>
      </c>
      <c r="BJ477" s="190">
        <v>28</v>
      </c>
      <c r="BK477" s="190">
        <v>25</v>
      </c>
      <c r="BL477" s="190">
        <v>21</v>
      </c>
      <c r="BM477" s="169"/>
      <c r="BN477" s="169"/>
      <c r="BO477" s="169"/>
      <c r="BP477" s="178"/>
      <c r="BQ477" s="178"/>
      <c r="BR477" s="178"/>
      <c r="BS477" s="178"/>
      <c r="BT477" s="178"/>
      <c r="BU477" s="178"/>
      <c r="BV477" s="178"/>
      <c r="BW477" s="178"/>
      <c r="BX477" s="178"/>
      <c r="BY477" s="178"/>
      <c r="BZ477" s="178"/>
      <c r="CA477" s="178"/>
      <c r="CB477" s="180"/>
      <c r="CC477" s="178"/>
      <c r="CD477" s="178"/>
      <c r="CE477" s="180"/>
      <c r="CF477" s="180"/>
      <c r="CG477" s="180"/>
      <c r="CH477" s="180"/>
      <c r="CI477" s="178"/>
      <c r="CJ477" s="178"/>
      <c r="CK477" s="180"/>
      <c r="CL477" s="180"/>
      <c r="CM477" s="180"/>
      <c r="CN477" s="116"/>
      <c r="CO477" s="218">
        <f t="shared" si="220"/>
        <v>0</v>
      </c>
      <c r="CP477" s="100">
        <f t="shared" si="221"/>
        <v>0</v>
      </c>
      <c r="CQ477" s="218">
        <f t="shared" si="222"/>
        <v>0</v>
      </c>
    </row>
    <row r="478" spans="1:95" s="101" customFormat="1" ht="15.75" thickBot="1" x14ac:dyDescent="0.3">
      <c r="A478" s="99"/>
      <c r="V478" s="103"/>
      <c r="AA478" s="104"/>
      <c r="AB478" s="104"/>
      <c r="AD478" s="104"/>
      <c r="AE478" s="105"/>
      <c r="AH478" s="106"/>
      <c r="AI478" s="106"/>
      <c r="AK478" s="104"/>
      <c r="AR478" s="104"/>
      <c r="AV478" s="104"/>
      <c r="AX478" s="104"/>
      <c r="BB478" s="104"/>
      <c r="BC478" s="104"/>
      <c r="BE478" s="104"/>
      <c r="BH478" s="99"/>
      <c r="BI478" s="190" t="s">
        <v>110</v>
      </c>
      <c r="BJ478" s="190">
        <v>265</v>
      </c>
      <c r="BK478" s="190">
        <v>298</v>
      </c>
      <c r="BL478" s="190">
        <v>310</v>
      </c>
      <c r="BM478" s="169"/>
      <c r="BN478" s="169"/>
      <c r="BO478" s="169"/>
      <c r="BP478" s="178"/>
      <c r="BQ478" s="178"/>
      <c r="BR478" s="178"/>
      <c r="BS478" s="178"/>
      <c r="BT478" s="178"/>
      <c r="BU478" s="178"/>
      <c r="BV478" s="178"/>
      <c r="BW478" s="178"/>
      <c r="BX478" s="178"/>
      <c r="BY478" s="178"/>
      <c r="BZ478" s="178"/>
      <c r="CA478" s="178"/>
      <c r="CB478" s="180"/>
      <c r="CC478" s="178"/>
      <c r="CD478" s="178"/>
      <c r="CE478" s="180"/>
      <c r="CF478" s="180"/>
      <c r="CG478" s="180"/>
      <c r="CH478" s="180"/>
      <c r="CI478" s="178"/>
      <c r="CJ478" s="178"/>
      <c r="CK478" s="180"/>
      <c r="CL478" s="180"/>
      <c r="CM478" s="180"/>
      <c r="CN478" s="116"/>
      <c r="CO478" s="218">
        <f t="shared" si="220"/>
        <v>0</v>
      </c>
      <c r="CP478" s="100">
        <f t="shared" si="221"/>
        <v>0</v>
      </c>
      <c r="CQ478" s="218">
        <f t="shared" si="222"/>
        <v>0</v>
      </c>
    </row>
    <row r="479" spans="1:95" s="101" customFormat="1" ht="15.75" thickBot="1" x14ac:dyDescent="0.3">
      <c r="A479" s="99"/>
      <c r="V479" s="103"/>
      <c r="AA479" s="104"/>
      <c r="AB479" s="104"/>
      <c r="AD479" s="104"/>
      <c r="AE479" s="105"/>
      <c r="AH479" s="106"/>
      <c r="AI479" s="106"/>
      <c r="AK479" s="104"/>
      <c r="AR479" s="104"/>
      <c r="AV479" s="104"/>
      <c r="AX479" s="104"/>
      <c r="BB479" s="104"/>
      <c r="BC479" s="104"/>
      <c r="BE479" s="104"/>
      <c r="BH479" s="99"/>
      <c r="BI479" s="190" t="s">
        <v>8</v>
      </c>
      <c r="BJ479" s="190">
        <v>23500</v>
      </c>
      <c r="BK479" s="190">
        <v>22800</v>
      </c>
      <c r="BL479" s="190"/>
      <c r="BM479" s="169"/>
      <c r="BN479" s="169"/>
      <c r="BO479" s="169"/>
      <c r="BP479" s="178"/>
      <c r="BQ479" s="178"/>
      <c r="BR479" s="178"/>
      <c r="BS479" s="178"/>
      <c r="BT479" s="178"/>
      <c r="BU479" s="178"/>
      <c r="BV479" s="178"/>
      <c r="BW479" s="178"/>
      <c r="BX479" s="178"/>
      <c r="BY479" s="178"/>
      <c r="BZ479" s="178"/>
      <c r="CA479" s="178"/>
      <c r="CB479" s="180"/>
      <c r="CC479" s="178"/>
      <c r="CD479" s="178"/>
      <c r="CE479" s="180"/>
      <c r="CF479" s="180"/>
      <c r="CG479" s="180"/>
      <c r="CH479" s="180"/>
      <c r="CI479" s="178"/>
      <c r="CJ479" s="178"/>
      <c r="CK479" s="180"/>
      <c r="CL479" s="180"/>
      <c r="CM479" s="180"/>
      <c r="CN479" s="116"/>
      <c r="CO479" s="218">
        <f t="shared" si="220"/>
        <v>0</v>
      </c>
      <c r="CP479" s="100">
        <f t="shared" si="221"/>
        <v>0</v>
      </c>
      <c r="CQ479" s="218">
        <f t="shared" si="222"/>
        <v>0</v>
      </c>
    </row>
    <row r="480" spans="1:95" s="101" customFormat="1" ht="15.75" thickBot="1" x14ac:dyDescent="0.3">
      <c r="A480" s="99"/>
      <c r="V480" s="103"/>
      <c r="AA480" s="104"/>
      <c r="AB480" s="104"/>
      <c r="AD480" s="104"/>
      <c r="AE480" s="105"/>
      <c r="AH480" s="106"/>
      <c r="AI480" s="106"/>
      <c r="AK480" s="104"/>
      <c r="AR480" s="104"/>
      <c r="AV480" s="104"/>
      <c r="AX480" s="104"/>
      <c r="BB480" s="104"/>
      <c r="BC480" s="104"/>
      <c r="BE480" s="104"/>
      <c r="BH480" s="99"/>
      <c r="BI480" s="190" t="s">
        <v>313</v>
      </c>
      <c r="BJ480" s="190">
        <v>16100</v>
      </c>
      <c r="BK480" s="190">
        <v>17200</v>
      </c>
      <c r="BL480" s="190" t="s">
        <v>314</v>
      </c>
      <c r="BM480" s="169"/>
      <c r="BN480" s="169"/>
      <c r="BO480" s="169"/>
      <c r="BP480" s="178"/>
      <c r="BQ480" s="178"/>
      <c r="BR480" s="178"/>
      <c r="BS480" s="178"/>
      <c r="BT480" s="178"/>
      <c r="BU480" s="178"/>
      <c r="BV480" s="178"/>
      <c r="BW480" s="178"/>
      <c r="BX480" s="178"/>
      <c r="BY480" s="178"/>
      <c r="BZ480" s="178"/>
      <c r="CA480" s="178"/>
      <c r="CB480" s="180"/>
      <c r="CC480" s="178"/>
      <c r="CD480" s="178"/>
      <c r="CE480" s="180"/>
      <c r="CF480" s="180"/>
      <c r="CG480" s="180"/>
      <c r="CH480" s="180"/>
      <c r="CI480" s="178"/>
      <c r="CJ480" s="178"/>
      <c r="CK480" s="180"/>
      <c r="CL480" s="180"/>
      <c r="CM480" s="180"/>
      <c r="CN480" s="116"/>
      <c r="CO480" s="218">
        <f t="shared" si="220"/>
        <v>0</v>
      </c>
      <c r="CP480" s="100">
        <f t="shared" si="221"/>
        <v>0</v>
      </c>
      <c r="CQ480" s="218">
        <f t="shared" si="222"/>
        <v>0</v>
      </c>
    </row>
    <row r="481" spans="1:134" s="101" customFormat="1" ht="15.75" thickBot="1" x14ac:dyDescent="0.3">
      <c r="A481" s="99"/>
      <c r="V481" s="103"/>
      <c r="AA481" s="104"/>
      <c r="AB481" s="104"/>
      <c r="AD481" s="104"/>
      <c r="AE481" s="105"/>
      <c r="AH481" s="106"/>
      <c r="AI481" s="106"/>
      <c r="AK481" s="104"/>
      <c r="AR481" s="104"/>
      <c r="AV481" s="104"/>
      <c r="AX481" s="104"/>
      <c r="BB481" s="104"/>
      <c r="BC481" s="104"/>
      <c r="BE481" s="104"/>
      <c r="BH481" s="99"/>
      <c r="BI481" s="190"/>
      <c r="BJ481" s="190"/>
      <c r="BK481" s="190"/>
      <c r="BL481" s="190"/>
      <c r="BM481" s="169"/>
      <c r="BN481" s="169"/>
      <c r="BO481" s="169"/>
      <c r="BP481" s="178"/>
      <c r="BQ481" s="178"/>
      <c r="BR481" s="178"/>
      <c r="BS481" s="178"/>
      <c r="BT481" s="178"/>
      <c r="BU481" s="178"/>
      <c r="BV481" s="178"/>
      <c r="BW481" s="178"/>
      <c r="BX481" s="178"/>
      <c r="BY481" s="178"/>
      <c r="BZ481" s="178"/>
      <c r="CA481" s="178"/>
      <c r="CB481" s="180"/>
      <c r="CC481" s="178"/>
      <c r="CD481" s="178"/>
      <c r="CE481" s="180"/>
      <c r="CF481" s="180"/>
      <c r="CG481" s="180"/>
      <c r="CH481" s="180"/>
      <c r="CI481" s="178"/>
      <c r="CJ481" s="178"/>
      <c r="CK481" s="180"/>
      <c r="CL481" s="180"/>
      <c r="CM481" s="180"/>
      <c r="CN481" s="116"/>
      <c r="CO481" s="218">
        <f t="shared" si="220"/>
        <v>0</v>
      </c>
      <c r="CP481" s="100">
        <f t="shared" si="221"/>
        <v>0</v>
      </c>
      <c r="CQ481" s="218">
        <f t="shared" si="222"/>
        <v>0</v>
      </c>
    </row>
    <row r="482" spans="1:134" s="101" customFormat="1" ht="15.75" thickBot="1" x14ac:dyDescent="0.3">
      <c r="A482" s="99"/>
      <c r="V482" s="103"/>
      <c r="AA482" s="104"/>
      <c r="AB482" s="104"/>
      <c r="AD482" s="104"/>
      <c r="AE482" s="105"/>
      <c r="AH482" s="106"/>
      <c r="AI482" s="106"/>
      <c r="AK482" s="104"/>
      <c r="AR482" s="104"/>
      <c r="AV482" s="104"/>
      <c r="AX482" s="104"/>
      <c r="BB482" s="104"/>
      <c r="BC482" s="104"/>
      <c r="BE482" s="104"/>
      <c r="BH482" s="99"/>
      <c r="BI482" s="190"/>
      <c r="BJ482" s="190"/>
      <c r="BK482" s="190"/>
      <c r="BL482" s="190"/>
      <c r="BM482" s="169"/>
      <c r="BN482" s="169"/>
      <c r="BO482" s="169"/>
      <c r="BP482" s="178"/>
      <c r="BQ482" s="178"/>
      <c r="BR482" s="178"/>
      <c r="BS482" s="178"/>
      <c r="BT482" s="178"/>
      <c r="BU482" s="178"/>
      <c r="BV482" s="178"/>
      <c r="BW482" s="178"/>
      <c r="BX482" s="178"/>
      <c r="BY482" s="178"/>
      <c r="BZ482" s="178"/>
      <c r="CA482" s="178"/>
      <c r="CB482" s="180"/>
      <c r="CC482" s="178"/>
      <c r="CD482" s="178"/>
      <c r="CE482" s="180"/>
      <c r="CF482" s="180"/>
      <c r="CG482" s="180"/>
      <c r="CH482" s="180"/>
      <c r="CI482" s="178"/>
      <c r="CJ482" s="178"/>
      <c r="CK482" s="180"/>
      <c r="CL482" s="180"/>
      <c r="CM482" s="180"/>
      <c r="CN482" s="116"/>
      <c r="CO482" s="218">
        <f t="shared" si="220"/>
        <v>0</v>
      </c>
      <c r="CP482" s="100">
        <f t="shared" si="221"/>
        <v>0</v>
      </c>
      <c r="CQ482" s="218">
        <f t="shared" si="222"/>
        <v>0</v>
      </c>
    </row>
    <row r="483" spans="1:134" s="101" customFormat="1" ht="15.75" thickBot="1" x14ac:dyDescent="0.3">
      <c r="A483" s="99"/>
      <c r="V483" s="103"/>
      <c r="AA483" s="104"/>
      <c r="AB483" s="104"/>
      <c r="AD483" s="104"/>
      <c r="AE483" s="105"/>
      <c r="AH483" s="106"/>
      <c r="AI483" s="106"/>
      <c r="AK483" s="104"/>
      <c r="AR483" s="104"/>
      <c r="AV483" s="104"/>
      <c r="AX483" s="104"/>
      <c r="BB483" s="104"/>
      <c r="BC483" s="104"/>
      <c r="BE483" s="104"/>
      <c r="BH483" s="99"/>
      <c r="BI483" s="190"/>
      <c r="BJ483" s="190"/>
      <c r="BK483" s="190"/>
      <c r="BL483" s="190"/>
      <c r="BM483" s="169"/>
      <c r="BN483" s="169"/>
      <c r="BO483" s="169"/>
      <c r="BP483" s="178"/>
      <c r="BQ483" s="178"/>
      <c r="BR483" s="178"/>
      <c r="BS483" s="178"/>
      <c r="BT483" s="178"/>
      <c r="BU483" s="178"/>
      <c r="BV483" s="178"/>
      <c r="BW483" s="178"/>
      <c r="BX483" s="178"/>
      <c r="BY483" s="178"/>
      <c r="BZ483" s="178"/>
      <c r="CA483" s="178"/>
      <c r="CB483" s="180"/>
      <c r="CC483" s="178"/>
      <c r="CD483" s="178"/>
      <c r="CE483" s="180"/>
      <c r="CF483" s="180"/>
      <c r="CG483" s="180"/>
      <c r="CH483" s="180"/>
      <c r="CI483" s="178"/>
      <c r="CJ483" s="178"/>
      <c r="CK483" s="180"/>
      <c r="CL483" s="180"/>
      <c r="CM483" s="180"/>
      <c r="CN483" s="116"/>
      <c r="CO483" s="218">
        <f t="shared" si="220"/>
        <v>0</v>
      </c>
      <c r="CP483" s="100">
        <f t="shared" si="221"/>
        <v>0</v>
      </c>
      <c r="CQ483" s="218">
        <f t="shared" si="222"/>
        <v>0</v>
      </c>
    </row>
    <row r="484" spans="1:134" s="101" customFormat="1" x14ac:dyDescent="0.25">
      <c r="A484" s="99"/>
      <c r="V484" s="103"/>
      <c r="AA484" s="104"/>
      <c r="AB484" s="104"/>
      <c r="AD484" s="104"/>
      <c r="AE484" s="105"/>
      <c r="AH484" s="106"/>
      <c r="AI484" s="106"/>
      <c r="AK484" s="104"/>
      <c r="AR484" s="104"/>
      <c r="AV484" s="104"/>
      <c r="AX484" s="104"/>
      <c r="BB484" s="104"/>
      <c r="BC484" s="104"/>
      <c r="BE484" s="104"/>
      <c r="BH484" s="99"/>
      <c r="BI484" s="102"/>
      <c r="BJ484" s="178"/>
      <c r="BK484" s="178"/>
      <c r="BL484" s="178"/>
      <c r="BM484" s="169"/>
      <c r="BN484" s="169"/>
      <c r="BO484" s="169"/>
      <c r="BP484" s="178"/>
      <c r="BQ484" s="178"/>
      <c r="BR484" s="178"/>
      <c r="BS484" s="178"/>
      <c r="BT484" s="178"/>
      <c r="BU484" s="178"/>
      <c r="BV484" s="178"/>
      <c r="BW484" s="178"/>
      <c r="BX484" s="178"/>
      <c r="BY484" s="178"/>
      <c r="BZ484" s="178"/>
      <c r="CA484" s="178"/>
      <c r="CB484" s="180"/>
      <c r="CC484" s="178"/>
      <c r="CD484" s="178"/>
      <c r="CE484" s="180"/>
      <c r="CF484" s="180"/>
      <c r="CG484" s="180"/>
      <c r="CH484" s="180"/>
      <c r="CI484" s="178"/>
      <c r="CJ484" s="178"/>
      <c r="CK484" s="180"/>
      <c r="CL484" s="180"/>
      <c r="CM484" s="180"/>
      <c r="CN484" s="116"/>
      <c r="CO484" s="218">
        <f t="shared" si="220"/>
        <v>0</v>
      </c>
      <c r="CP484" s="100">
        <f t="shared" si="221"/>
        <v>0</v>
      </c>
      <c r="CQ484" s="218">
        <f t="shared" si="222"/>
        <v>0</v>
      </c>
    </row>
    <row r="485" spans="1:134" s="101" customFormat="1" x14ac:dyDescent="0.25">
      <c r="A485" s="99"/>
      <c r="V485" s="103"/>
      <c r="AA485" s="104"/>
      <c r="AB485" s="104"/>
      <c r="AD485" s="104"/>
      <c r="AE485" s="105"/>
      <c r="AH485" s="106"/>
      <c r="AI485" s="106"/>
      <c r="AK485" s="104"/>
      <c r="AR485" s="104"/>
      <c r="AV485" s="104"/>
      <c r="AX485" s="104"/>
      <c r="BB485" s="104"/>
      <c r="BC485" s="104"/>
      <c r="BE485" s="104"/>
      <c r="BH485" s="99"/>
      <c r="BI485" s="102"/>
      <c r="BJ485" s="178"/>
      <c r="BK485" s="178"/>
      <c r="BL485" s="178"/>
      <c r="BM485" s="169"/>
      <c r="BN485" s="169"/>
      <c r="BO485" s="169"/>
      <c r="BP485" s="178"/>
      <c r="BQ485" s="178"/>
      <c r="BR485" s="178"/>
      <c r="BS485" s="178"/>
      <c r="BT485" s="178"/>
      <c r="BU485" s="178"/>
      <c r="BV485" s="178"/>
      <c r="BW485" s="178"/>
      <c r="BX485" s="178"/>
      <c r="BY485" s="178"/>
      <c r="BZ485" s="178"/>
      <c r="CA485" s="178"/>
      <c r="CB485" s="180"/>
      <c r="CC485" s="178"/>
      <c r="CD485" s="178"/>
      <c r="CE485" s="180"/>
      <c r="CF485" s="180"/>
      <c r="CG485" s="180"/>
      <c r="CH485" s="180"/>
      <c r="CI485" s="178"/>
      <c r="CJ485" s="178"/>
      <c r="CK485" s="180"/>
      <c r="CL485" s="180"/>
      <c r="CM485" s="180"/>
      <c r="CN485" s="116"/>
      <c r="CO485" s="218">
        <f t="shared" si="220"/>
        <v>0</v>
      </c>
      <c r="CP485" s="100">
        <f t="shared" si="221"/>
        <v>0</v>
      </c>
      <c r="CQ485" s="218">
        <f t="shared" si="222"/>
        <v>0</v>
      </c>
    </row>
    <row r="486" spans="1:134" s="101" customFormat="1" x14ac:dyDescent="0.25">
      <c r="A486" s="99"/>
      <c r="V486" s="103"/>
      <c r="AA486" s="104"/>
      <c r="AB486" s="104"/>
      <c r="AD486" s="104"/>
      <c r="AE486" s="105"/>
      <c r="AH486" s="106"/>
      <c r="AI486" s="106"/>
      <c r="AK486" s="104"/>
      <c r="AR486" s="104"/>
      <c r="AV486" s="104"/>
      <c r="AX486" s="104"/>
      <c r="BB486" s="104"/>
      <c r="BC486" s="104"/>
      <c r="BE486" s="104"/>
      <c r="BH486" s="99"/>
      <c r="BI486" s="102"/>
      <c r="BJ486" s="178"/>
      <c r="BK486" s="178"/>
      <c r="BL486" s="178"/>
      <c r="BM486" s="169"/>
      <c r="BN486" s="169"/>
      <c r="BO486" s="169"/>
      <c r="BP486" s="178"/>
      <c r="BQ486" s="178"/>
      <c r="BR486" s="178"/>
      <c r="BS486" s="178"/>
      <c r="BT486" s="178"/>
      <c r="BU486" s="178"/>
      <c r="BV486" s="178"/>
      <c r="BW486" s="178"/>
      <c r="BX486" s="178"/>
      <c r="BY486" s="178"/>
      <c r="BZ486" s="178"/>
      <c r="CA486" s="178"/>
      <c r="CB486" s="180"/>
      <c r="CC486" s="178"/>
      <c r="CD486" s="178"/>
      <c r="CE486" s="180"/>
      <c r="CF486" s="180"/>
      <c r="CG486" s="180"/>
      <c r="CH486" s="180"/>
      <c r="CI486" s="178"/>
      <c r="CJ486" s="178"/>
      <c r="CK486" s="180"/>
      <c r="CL486" s="180"/>
      <c r="CM486" s="180"/>
      <c r="CN486" s="116"/>
      <c r="CO486" s="100"/>
      <c r="CP486" s="100"/>
      <c r="CQ486" s="100"/>
    </row>
    <row r="487" spans="1:134" s="101" customFormat="1" x14ac:dyDescent="0.25">
      <c r="A487" s="99"/>
      <c r="V487" s="103"/>
      <c r="AA487" s="104"/>
      <c r="AB487" s="104"/>
      <c r="AD487" s="104"/>
      <c r="AE487" s="105"/>
      <c r="AH487" s="106"/>
      <c r="AI487" s="106"/>
      <c r="AK487" s="104"/>
      <c r="AR487" s="104"/>
      <c r="AV487" s="104"/>
      <c r="AX487" s="104"/>
      <c r="BB487" s="104"/>
      <c r="BC487" s="104"/>
      <c r="BE487" s="104"/>
      <c r="BH487" s="99"/>
      <c r="BI487" s="102"/>
      <c r="BJ487" s="178"/>
      <c r="BK487" s="178"/>
      <c r="BL487" s="178"/>
      <c r="BM487" s="169"/>
      <c r="BN487" s="169"/>
      <c r="BO487" s="169"/>
      <c r="BP487" s="178"/>
      <c r="BQ487" s="178"/>
      <c r="BR487" s="178"/>
      <c r="BS487" s="178"/>
      <c r="BT487" s="178"/>
      <c r="BU487" s="178"/>
      <c r="BV487" s="178"/>
      <c r="BW487" s="178"/>
      <c r="BX487" s="178"/>
      <c r="BY487" s="178"/>
      <c r="BZ487" s="178"/>
      <c r="CA487" s="178"/>
      <c r="CB487" s="180"/>
      <c r="CC487" s="178"/>
      <c r="CD487" s="178"/>
      <c r="CE487" s="180"/>
      <c r="CF487" s="180"/>
      <c r="CG487" s="180"/>
      <c r="CH487" s="180"/>
      <c r="CI487" s="178"/>
      <c r="CJ487" s="178"/>
      <c r="CK487" s="180"/>
      <c r="CL487" s="180"/>
      <c r="CM487" s="180"/>
      <c r="CN487" s="116"/>
      <c r="CO487" s="100"/>
      <c r="CP487" s="100"/>
      <c r="CQ487" s="100"/>
    </row>
    <row r="488" spans="1:134" ht="15" customHeight="1" x14ac:dyDescent="0.25">
      <c r="BI488" s="102" t="s">
        <v>232</v>
      </c>
      <c r="BK488" s="178" t="s">
        <v>607</v>
      </c>
      <c r="BM488" s="169" t="s">
        <v>233</v>
      </c>
      <c r="BN488" s="169" t="s">
        <v>233</v>
      </c>
      <c r="BO488" s="169" t="s">
        <v>240</v>
      </c>
      <c r="BP488" s="178" t="s">
        <v>645</v>
      </c>
      <c r="CR488" s="98"/>
      <c r="CS488" s="98"/>
      <c r="CT488" s="98"/>
      <c r="CU488" s="98"/>
      <c r="CV488" s="98"/>
      <c r="CW488" s="98"/>
      <c r="CX488" s="98"/>
      <c r="CY488" s="98"/>
      <c r="CZ488" s="98"/>
      <c r="DA488" s="98"/>
      <c r="DB488" s="98"/>
      <c r="DC488" s="98"/>
      <c r="DD488" s="98"/>
      <c r="DE488" s="98"/>
      <c r="DF488" s="98"/>
      <c r="DG488" s="98"/>
      <c r="DH488" s="98"/>
      <c r="DI488" s="98"/>
      <c r="DJ488" s="98"/>
      <c r="DK488" s="98"/>
      <c r="DL488" s="98"/>
      <c r="DM488" s="98"/>
      <c r="DN488" s="98"/>
      <c r="DO488" s="98"/>
      <c r="DP488" s="98"/>
      <c r="DQ488" s="98"/>
      <c r="DR488" s="98"/>
      <c r="DS488" s="98"/>
      <c r="DT488" s="98"/>
      <c r="DU488" s="98"/>
      <c r="DV488" s="98"/>
      <c r="DW488" s="98"/>
      <c r="DX488" s="98"/>
      <c r="DY488" s="98"/>
      <c r="DZ488" s="98"/>
      <c r="EA488" s="98"/>
      <c r="EB488" s="98"/>
      <c r="EC488" s="98"/>
      <c r="ED488" s="98"/>
    </row>
    <row r="489" spans="1:134" x14ac:dyDescent="0.25">
      <c r="BJ489" s="178" t="s">
        <v>253</v>
      </c>
      <c r="BL489" s="178" t="s">
        <v>251</v>
      </c>
      <c r="CR489" s="98"/>
      <c r="CS489" s="98"/>
      <c r="CT489" s="98"/>
      <c r="CU489" s="98"/>
      <c r="CV489" s="98"/>
      <c r="CW489" s="98"/>
      <c r="CX489" s="98"/>
      <c r="CY489" s="98"/>
      <c r="CZ489" s="98"/>
      <c r="DA489" s="98"/>
      <c r="DB489" s="98"/>
      <c r="DC489" s="98"/>
      <c r="DD489" s="98"/>
      <c r="DE489" s="98"/>
      <c r="DF489" s="98"/>
      <c r="DG489" s="98"/>
      <c r="DH489" s="98"/>
      <c r="DI489" s="98"/>
      <c r="DJ489" s="98"/>
      <c r="DK489" s="98"/>
      <c r="DL489" s="98"/>
      <c r="DM489" s="98"/>
      <c r="DN489" s="98"/>
      <c r="DO489" s="98"/>
      <c r="DP489" s="98"/>
      <c r="DQ489" s="98"/>
      <c r="DR489" s="98"/>
      <c r="DS489" s="98"/>
      <c r="DT489" s="98"/>
      <c r="DU489" s="98"/>
      <c r="DV489" s="98"/>
      <c r="DW489" s="98"/>
      <c r="DX489" s="98"/>
      <c r="DY489" s="98"/>
      <c r="DZ489" s="98"/>
      <c r="EA489" s="98"/>
      <c r="EB489" s="98"/>
      <c r="EC489" s="98"/>
      <c r="ED489" s="98"/>
    </row>
    <row r="490" spans="1:134" x14ac:dyDescent="0.25">
      <c r="BI490" s="102" t="s">
        <v>1</v>
      </c>
      <c r="BJ490" s="178" t="s">
        <v>615</v>
      </c>
      <c r="BK490" s="178">
        <v>1664.9169999999999</v>
      </c>
      <c r="BL490" s="178" t="s">
        <v>641</v>
      </c>
      <c r="BM490" s="169">
        <v>4.3E-3</v>
      </c>
      <c r="BN490" s="169">
        <v>4.3E-3</v>
      </c>
      <c r="BO490" s="169" t="s">
        <v>241</v>
      </c>
      <c r="BP490" s="263">
        <v>1</v>
      </c>
      <c r="CR490" s="98"/>
      <c r="CS490" s="98"/>
      <c r="CT490" s="98"/>
      <c r="CU490" s="98"/>
      <c r="CV490" s="98"/>
      <c r="CW490" s="98"/>
      <c r="CX490" s="98"/>
      <c r="CY490" s="98"/>
      <c r="CZ490" s="98"/>
      <c r="DA490" s="98"/>
      <c r="DB490" s="98"/>
      <c r="DC490" s="98"/>
      <c r="DD490" s="98"/>
      <c r="DE490" s="98"/>
      <c r="DF490" s="98"/>
      <c r="DG490" s="98"/>
      <c r="DH490" s="98"/>
      <c r="DI490" s="98"/>
      <c r="DJ490" s="98"/>
      <c r="DK490" s="98"/>
      <c r="DL490" s="98"/>
      <c r="DM490" s="98"/>
      <c r="DN490" s="98"/>
      <c r="DO490" s="98"/>
      <c r="DP490" s="98"/>
      <c r="DQ490" s="98"/>
      <c r="DR490" s="98"/>
      <c r="DS490" s="98"/>
      <c r="DT490" s="98"/>
      <c r="DU490" s="98"/>
      <c r="DV490" s="98"/>
      <c r="DW490" s="98"/>
      <c r="DX490" s="98"/>
      <c r="DY490" s="98"/>
      <c r="DZ490" s="98"/>
      <c r="EA490" s="98"/>
      <c r="EB490" s="98"/>
      <c r="EC490" s="98"/>
      <c r="ED490" s="98"/>
    </row>
    <row r="491" spans="1:134" x14ac:dyDescent="0.25">
      <c r="BI491" s="102" t="s">
        <v>221</v>
      </c>
      <c r="BJ491" s="178" t="s">
        <v>615</v>
      </c>
      <c r="BK491" s="178">
        <v>1869.837</v>
      </c>
      <c r="BL491" s="178" t="s">
        <v>641</v>
      </c>
      <c r="BM491" s="169">
        <v>3.82E-3</v>
      </c>
      <c r="BN491" s="169">
        <v>3.82E-3</v>
      </c>
      <c r="BO491" s="169" t="s">
        <v>241</v>
      </c>
      <c r="BP491" s="263">
        <v>1</v>
      </c>
      <c r="CR491" s="98"/>
      <c r="CS491" s="98"/>
      <c r="CT491" s="98"/>
      <c r="CU491" s="98"/>
      <c r="CV491" s="98"/>
      <c r="CW491" s="98"/>
      <c r="CX491" s="98"/>
      <c r="CY491" s="98"/>
      <c r="CZ491" s="98"/>
      <c r="DA491" s="98"/>
      <c r="DB491" s="98"/>
      <c r="DC491" s="98"/>
      <c r="DD491" s="98"/>
      <c r="DE491" s="98"/>
      <c r="DF491" s="98"/>
      <c r="DG491" s="98"/>
      <c r="DH491" s="98"/>
      <c r="DI491" s="98"/>
      <c r="DJ491" s="98"/>
      <c r="DK491" s="98"/>
      <c r="DL491" s="98"/>
      <c r="DM491" s="98"/>
      <c r="DN491" s="98"/>
      <c r="DO491" s="98"/>
      <c r="DP491" s="98"/>
      <c r="DQ491" s="98"/>
      <c r="DR491" s="98"/>
      <c r="DS491" s="98"/>
      <c r="DT491" s="98"/>
      <c r="DU491" s="98"/>
      <c r="DV491" s="98"/>
      <c r="DW491" s="98"/>
      <c r="DX491" s="98"/>
      <c r="DY491" s="98"/>
      <c r="DZ491" s="98"/>
      <c r="EA491" s="98"/>
      <c r="EB491" s="98"/>
      <c r="EC491" s="98"/>
      <c r="ED491" s="98"/>
    </row>
    <row r="492" spans="1:134" x14ac:dyDescent="0.25">
      <c r="BI492" s="102" t="s">
        <v>222</v>
      </c>
      <c r="BJ492" s="178" t="s">
        <v>615</v>
      </c>
      <c r="BK492" s="178">
        <v>1758.4449999999999</v>
      </c>
      <c r="BL492" s="178" t="s">
        <v>641</v>
      </c>
      <c r="BM492" s="169">
        <v>3.98E-3</v>
      </c>
      <c r="BN492" s="169">
        <v>3.98E-3</v>
      </c>
      <c r="BO492" s="169" t="s">
        <v>241</v>
      </c>
      <c r="BP492" s="263">
        <v>1</v>
      </c>
      <c r="CR492" s="98"/>
      <c r="CS492" s="98"/>
      <c r="CT492" s="98"/>
      <c r="CU492" s="98"/>
      <c r="CV492" s="98"/>
      <c r="CW492" s="98"/>
      <c r="CX492" s="98"/>
      <c r="CY492" s="98"/>
      <c r="CZ492" s="98"/>
      <c r="DA492" s="98"/>
      <c r="DB492" s="98"/>
      <c r="DC492" s="98"/>
      <c r="DD492" s="98"/>
      <c r="DE492" s="98"/>
      <c r="DF492" s="98"/>
      <c r="DG492" s="98"/>
      <c r="DH492" s="98"/>
      <c r="DI492" s="98"/>
      <c r="DJ492" s="98"/>
      <c r="DK492" s="98"/>
      <c r="DL492" s="98"/>
      <c r="DM492" s="98"/>
      <c r="DN492" s="98"/>
      <c r="DO492" s="98"/>
      <c r="DP492" s="98"/>
      <c r="DQ492" s="98"/>
      <c r="DR492" s="98"/>
      <c r="DS492" s="98"/>
      <c r="DT492" s="98"/>
      <c r="DU492" s="98"/>
      <c r="DV492" s="98"/>
      <c r="DW492" s="98"/>
      <c r="DX492" s="98"/>
      <c r="DY492" s="98"/>
      <c r="DZ492" s="98"/>
      <c r="EA492" s="98"/>
      <c r="EB492" s="98"/>
      <c r="EC492" s="98"/>
      <c r="ED492" s="98"/>
    </row>
    <row r="493" spans="1:134" x14ac:dyDescent="0.25">
      <c r="BI493" s="102" t="s">
        <v>223</v>
      </c>
      <c r="BJ493" s="178" t="s">
        <v>615</v>
      </c>
      <c r="BK493" s="178" t="s">
        <v>403</v>
      </c>
      <c r="BL493" s="178" t="s">
        <v>641</v>
      </c>
      <c r="BM493" s="169">
        <v>3.5799999999999998E-3</v>
      </c>
      <c r="BN493" s="169">
        <v>3.5799999999999998E-3</v>
      </c>
      <c r="BO493" s="169" t="s">
        <v>241</v>
      </c>
      <c r="BP493" s="263">
        <v>1</v>
      </c>
      <c r="CR493" s="98"/>
      <c r="CS493" s="98"/>
      <c r="CT493" s="98"/>
      <c r="CU493" s="98"/>
      <c r="CV493" s="98"/>
      <c r="CW493" s="98"/>
      <c r="CX493" s="98"/>
      <c r="CY493" s="98"/>
      <c r="CZ493" s="98"/>
      <c r="DA493" s="98"/>
      <c r="DB493" s="98"/>
      <c r="DC493" s="98"/>
      <c r="DD493" s="98"/>
      <c r="DE493" s="98"/>
      <c r="DF493" s="98"/>
      <c r="DG493" s="98"/>
      <c r="DH493" s="98"/>
      <c r="DI493" s="98"/>
      <c r="DJ493" s="98"/>
      <c r="DK493" s="98"/>
      <c r="DL493" s="98"/>
      <c r="DM493" s="98"/>
      <c r="DN493" s="98"/>
      <c r="DO493" s="98"/>
      <c r="DP493" s="98"/>
      <c r="DQ493" s="98"/>
      <c r="DR493" s="98"/>
      <c r="DS493" s="98"/>
      <c r="DT493" s="98"/>
      <c r="DU493" s="98"/>
      <c r="DV493" s="98"/>
      <c r="DW493" s="98"/>
      <c r="DX493" s="98"/>
      <c r="DY493" s="98"/>
      <c r="DZ493" s="98"/>
      <c r="EA493" s="98"/>
      <c r="EB493" s="98"/>
      <c r="EC493" s="98"/>
      <c r="ED493" s="98"/>
    </row>
    <row r="494" spans="1:134" x14ac:dyDescent="0.25">
      <c r="BI494" s="102" t="s">
        <v>224</v>
      </c>
      <c r="BJ494" s="178" t="s">
        <v>615</v>
      </c>
      <c r="BK494" s="178">
        <v>1553.251</v>
      </c>
      <c r="BL494" s="178" t="s">
        <v>641</v>
      </c>
      <c r="BM494" s="169">
        <v>4.4900000000000001E-3</v>
      </c>
      <c r="BN494" s="169">
        <v>4.4900000000000001E-3</v>
      </c>
      <c r="BO494" s="169" t="s">
        <v>241</v>
      </c>
      <c r="BP494" s="263">
        <v>1</v>
      </c>
      <c r="CR494" s="98"/>
      <c r="CS494" s="98"/>
      <c r="CT494" s="98"/>
      <c r="CU494" s="98"/>
      <c r="CV494" s="98"/>
      <c r="CW494" s="98"/>
      <c r="CX494" s="98"/>
      <c r="CY494" s="98"/>
      <c r="CZ494" s="98"/>
      <c r="DA494" s="98"/>
      <c r="DB494" s="98"/>
      <c r="DC494" s="98"/>
      <c r="DD494" s="98"/>
      <c r="DE494" s="98"/>
      <c r="DF494" s="98"/>
      <c r="DG494" s="98"/>
      <c r="DH494" s="98"/>
      <c r="DI494" s="98"/>
      <c r="DJ494" s="98"/>
      <c r="DK494" s="98"/>
      <c r="DL494" s="98"/>
      <c r="DM494" s="98"/>
      <c r="DN494" s="98"/>
      <c r="DO494" s="98"/>
      <c r="DP494" s="98"/>
      <c r="DQ494" s="98"/>
      <c r="DR494" s="98"/>
      <c r="DS494" s="98"/>
      <c r="DT494" s="98"/>
      <c r="DU494" s="98"/>
      <c r="DV494" s="98"/>
      <c r="DW494" s="98"/>
      <c r="DX494" s="98"/>
      <c r="DY494" s="98"/>
      <c r="DZ494" s="98"/>
      <c r="EA494" s="98"/>
      <c r="EB494" s="98"/>
      <c r="EC494" s="98"/>
      <c r="ED494" s="98"/>
    </row>
    <row r="495" spans="1:134" x14ac:dyDescent="0.25">
      <c r="BI495" s="102" t="s">
        <v>225</v>
      </c>
      <c r="BJ495" s="178" t="s">
        <v>615</v>
      </c>
      <c r="BK495" s="178">
        <v>2222.1489999999999</v>
      </c>
      <c r="BL495" s="178" t="s">
        <v>641</v>
      </c>
      <c r="BM495" s="169">
        <v>3.0299999999999997E-3</v>
      </c>
      <c r="BN495" s="169">
        <v>3.0299999999999997E-3</v>
      </c>
      <c r="BO495" s="169" t="s">
        <v>241</v>
      </c>
      <c r="BP495" s="263">
        <v>1</v>
      </c>
      <c r="CR495" s="98"/>
      <c r="CS495" s="98"/>
      <c r="CT495" s="98"/>
      <c r="CU495" s="98"/>
      <c r="CV495" s="98"/>
      <c r="CW495" s="98"/>
      <c r="CX495" s="98"/>
      <c r="CY495" s="98"/>
      <c r="CZ495" s="98"/>
      <c r="DA495" s="98"/>
      <c r="DB495" s="98"/>
      <c r="DC495" s="98"/>
      <c r="DD495" s="98"/>
      <c r="DE495" s="98"/>
      <c r="DF495" s="98"/>
      <c r="DG495" s="98"/>
      <c r="DH495" s="98"/>
      <c r="DI495" s="98"/>
      <c r="DJ495" s="98"/>
      <c r="DK495" s="98"/>
      <c r="DL495" s="98"/>
      <c r="DM495" s="98"/>
      <c r="DN495" s="98"/>
      <c r="DO495" s="98"/>
      <c r="DP495" s="98"/>
      <c r="DQ495" s="98"/>
      <c r="DR495" s="98"/>
      <c r="DS495" s="98"/>
      <c r="DT495" s="98"/>
      <c r="DU495" s="98"/>
      <c r="DV495" s="98"/>
      <c r="DW495" s="98"/>
      <c r="DX495" s="98"/>
      <c r="DY495" s="98"/>
      <c r="DZ495" s="98"/>
      <c r="EA495" s="98"/>
      <c r="EB495" s="98"/>
      <c r="EC495" s="98"/>
      <c r="ED495" s="98"/>
    </row>
    <row r="496" spans="1:134" x14ac:dyDescent="0.25">
      <c r="BI496" s="102" t="s">
        <v>226</v>
      </c>
      <c r="BJ496" s="178" t="s">
        <v>615</v>
      </c>
      <c r="BK496" s="178">
        <v>1871.6690000000001</v>
      </c>
      <c r="BL496" s="178" t="s">
        <v>641</v>
      </c>
      <c r="BM496" s="169">
        <v>3.7299999999999998E-3</v>
      </c>
      <c r="BN496" s="169">
        <v>3.7299999999999998E-3</v>
      </c>
      <c r="BO496" s="169" t="s">
        <v>241</v>
      </c>
      <c r="BP496" s="263">
        <v>1</v>
      </c>
      <c r="CR496" s="98"/>
      <c r="CS496" s="98"/>
      <c r="CT496" s="98"/>
      <c r="CU496" s="98"/>
      <c r="CV496" s="98"/>
      <c r="CW496" s="98"/>
      <c r="CX496" s="98"/>
      <c r="CY496" s="98"/>
      <c r="CZ496" s="98"/>
      <c r="DA496" s="98"/>
      <c r="DB496" s="98"/>
      <c r="DC496" s="98"/>
      <c r="DD496" s="98"/>
      <c r="DE496" s="98"/>
      <c r="DF496" s="98"/>
      <c r="DG496" s="98"/>
      <c r="DH496" s="98"/>
      <c r="DI496" s="98"/>
      <c r="DJ496" s="98"/>
      <c r="DK496" s="98"/>
      <c r="DL496" s="98"/>
      <c r="DM496" s="98"/>
      <c r="DN496" s="98"/>
      <c r="DO496" s="98"/>
      <c r="DP496" s="98"/>
      <c r="DQ496" s="98"/>
      <c r="DR496" s="98"/>
      <c r="DS496" s="98"/>
      <c r="DT496" s="98"/>
      <c r="DU496" s="98"/>
      <c r="DV496" s="98"/>
      <c r="DW496" s="98"/>
      <c r="DX496" s="98"/>
      <c r="DY496" s="98"/>
      <c r="DZ496" s="98"/>
      <c r="EA496" s="98"/>
      <c r="EB496" s="98"/>
      <c r="EC496" s="98"/>
      <c r="ED496" s="98"/>
    </row>
    <row r="497" spans="1:134" x14ac:dyDescent="0.25">
      <c r="BI497" s="102" t="s">
        <v>3</v>
      </c>
      <c r="BJ497" s="178" t="s">
        <v>615</v>
      </c>
      <c r="BK497" s="178">
        <v>1521.3389999999999</v>
      </c>
      <c r="BL497" s="178" t="s">
        <v>641</v>
      </c>
      <c r="BM497" s="169">
        <v>4.4099999999999999E-3</v>
      </c>
      <c r="BN497" s="169">
        <v>4.4099999999999999E-3</v>
      </c>
      <c r="BO497" s="169" t="s">
        <v>241</v>
      </c>
      <c r="BP497" s="263">
        <v>1</v>
      </c>
      <c r="CR497" s="98"/>
      <c r="CS497" s="98"/>
      <c r="CT497" s="98"/>
      <c r="CU497" s="98"/>
      <c r="CV497" s="98"/>
      <c r="CW497" s="98"/>
      <c r="CX497" s="98"/>
      <c r="CY497" s="98"/>
      <c r="CZ497" s="98"/>
      <c r="DA497" s="98"/>
      <c r="DB497" s="98"/>
      <c r="DC497" s="98"/>
      <c r="DD497" s="98"/>
      <c r="DE497" s="98"/>
      <c r="DF497" s="98"/>
      <c r="DG497" s="98"/>
      <c r="DH497" s="98"/>
      <c r="DI497" s="98"/>
      <c r="DJ497" s="98"/>
      <c r="DK497" s="98"/>
      <c r="DL497" s="98"/>
      <c r="DM497" s="98"/>
      <c r="DN497" s="98"/>
      <c r="DO497" s="98"/>
      <c r="DP497" s="98"/>
      <c r="DQ497" s="98"/>
      <c r="DR497" s="98"/>
      <c r="DS497" s="98"/>
      <c r="DT497" s="98"/>
      <c r="DU497" s="98"/>
      <c r="DV497" s="98"/>
      <c r="DW497" s="98"/>
      <c r="DX497" s="98"/>
      <c r="DY497" s="98"/>
      <c r="DZ497" s="98"/>
      <c r="EA497" s="98"/>
      <c r="EB497" s="98"/>
      <c r="EC497" s="98"/>
      <c r="ED497" s="98"/>
    </row>
    <row r="498" spans="1:134" x14ac:dyDescent="0.25">
      <c r="BI498" s="102" t="s">
        <v>227</v>
      </c>
      <c r="BJ498" s="178" t="s">
        <v>615</v>
      </c>
      <c r="BK498" s="178">
        <v>1958.4190000000001</v>
      </c>
      <c r="BL498" s="178" t="s">
        <v>641</v>
      </c>
      <c r="BM498" s="169">
        <v>3.6800000000000001E-3</v>
      </c>
      <c r="BN498" s="169">
        <v>3.6800000000000001E-3</v>
      </c>
      <c r="BO498" s="169" t="s">
        <v>241</v>
      </c>
      <c r="BP498" s="263">
        <v>1</v>
      </c>
      <c r="CR498" s="98"/>
      <c r="CS498" s="98"/>
      <c r="CT498" s="98"/>
      <c r="CU498" s="98"/>
      <c r="CV498" s="98"/>
      <c r="CW498" s="98"/>
      <c r="CX498" s="98"/>
      <c r="CY498" s="98"/>
      <c r="CZ498" s="98"/>
      <c r="DA498" s="98"/>
      <c r="DB498" s="98"/>
      <c r="DC498" s="98"/>
      <c r="DD498" s="98"/>
      <c r="DE498" s="98"/>
      <c r="DF498" s="98"/>
      <c r="DG498" s="98"/>
      <c r="DH498" s="98"/>
      <c r="DI498" s="98"/>
      <c r="DJ498" s="98"/>
      <c r="DK498" s="98"/>
      <c r="DL498" s="98"/>
      <c r="DM498" s="98"/>
      <c r="DN498" s="98"/>
      <c r="DO498" s="98"/>
      <c r="DP498" s="98"/>
      <c r="DQ498" s="98"/>
      <c r="DR498" s="98"/>
      <c r="DS498" s="98"/>
      <c r="DT498" s="98"/>
      <c r="DU498" s="98"/>
      <c r="DV498" s="98"/>
      <c r="DW498" s="98"/>
      <c r="DX498" s="98"/>
      <c r="DY498" s="98"/>
      <c r="DZ498" s="98"/>
      <c r="EA498" s="98"/>
      <c r="EB498" s="98"/>
      <c r="EC498" s="98"/>
      <c r="ED498" s="98"/>
    </row>
    <row r="499" spans="1:134" x14ac:dyDescent="0.25">
      <c r="BI499" s="102" t="s">
        <v>228</v>
      </c>
      <c r="BJ499" s="178" t="s">
        <v>615</v>
      </c>
      <c r="BK499" s="178">
        <v>1953.38</v>
      </c>
      <c r="BL499" s="178" t="s">
        <v>641</v>
      </c>
      <c r="BM499" s="169">
        <v>3.5899999999999999E-3</v>
      </c>
      <c r="BN499" s="169">
        <v>3.5899999999999999E-3</v>
      </c>
      <c r="BO499" s="169" t="s">
        <v>241</v>
      </c>
      <c r="BP499" s="263">
        <v>1</v>
      </c>
      <c r="CR499" s="98"/>
      <c r="CS499" s="98"/>
      <c r="CT499" s="98"/>
      <c r="CU499" s="98"/>
      <c r="CV499" s="98"/>
      <c r="CW499" s="98"/>
      <c r="CX499" s="98"/>
      <c r="CY499" s="98"/>
      <c r="CZ499" s="98"/>
      <c r="DA499" s="98"/>
      <c r="DB499" s="98"/>
      <c r="DC499" s="98"/>
      <c r="DD499" s="98"/>
      <c r="DE499" s="98"/>
      <c r="DF499" s="98"/>
      <c r="DG499" s="98"/>
      <c r="DH499" s="98"/>
      <c r="DI499" s="98"/>
      <c r="DJ499" s="98"/>
      <c r="DK499" s="98"/>
      <c r="DL499" s="98"/>
      <c r="DM499" s="98"/>
      <c r="DN499" s="98"/>
      <c r="DO499" s="98"/>
      <c r="DP499" s="98"/>
      <c r="DQ499" s="98"/>
      <c r="DR499" s="98"/>
      <c r="DS499" s="98"/>
      <c r="DT499" s="98"/>
      <c r="DU499" s="98"/>
      <c r="DV499" s="98"/>
      <c r="DW499" s="98"/>
      <c r="DX499" s="98"/>
      <c r="DY499" s="98"/>
      <c r="DZ499" s="98"/>
      <c r="EA499" s="98"/>
      <c r="EB499" s="98"/>
      <c r="EC499" s="98"/>
      <c r="ED499" s="98"/>
    </row>
    <row r="500" spans="1:134" x14ac:dyDescent="0.25">
      <c r="BI500" s="102" t="s">
        <v>229</v>
      </c>
      <c r="BJ500" s="178" t="s">
        <v>615</v>
      </c>
      <c r="BK500" s="178">
        <v>2005.412</v>
      </c>
      <c r="BL500" s="178" t="s">
        <v>641</v>
      </c>
      <c r="BM500" s="169">
        <v>3.4999999999999996E-3</v>
      </c>
      <c r="BN500" s="169">
        <v>3.4999999999999996E-3</v>
      </c>
      <c r="BO500" s="169" t="s">
        <v>241</v>
      </c>
      <c r="BP500" s="263">
        <v>1</v>
      </c>
      <c r="CR500" s="98"/>
      <c r="CS500" s="98"/>
      <c r="CT500" s="98"/>
      <c r="CU500" s="98"/>
      <c r="CV500" s="98"/>
      <c r="CW500" s="98"/>
      <c r="CX500" s="98"/>
      <c r="CY500" s="98"/>
      <c r="CZ500" s="98"/>
      <c r="DA500" s="98"/>
      <c r="DB500" s="98"/>
      <c r="DC500" s="98"/>
      <c r="DD500" s="98"/>
      <c r="DE500" s="98"/>
      <c r="DF500" s="98"/>
      <c r="DG500" s="98"/>
      <c r="DH500" s="98"/>
      <c r="DI500" s="98"/>
      <c r="DJ500" s="98"/>
      <c r="DK500" s="98"/>
      <c r="DL500" s="98"/>
      <c r="DM500" s="98"/>
      <c r="DN500" s="98"/>
      <c r="DO500" s="98"/>
      <c r="DP500" s="98"/>
      <c r="DQ500" s="98"/>
      <c r="DR500" s="98"/>
      <c r="DS500" s="98"/>
      <c r="DT500" s="98"/>
      <c r="DU500" s="98"/>
      <c r="DV500" s="98"/>
      <c r="DW500" s="98"/>
      <c r="DX500" s="98"/>
      <c r="DY500" s="98"/>
      <c r="DZ500" s="98"/>
      <c r="EA500" s="98"/>
      <c r="EB500" s="98"/>
      <c r="EC500" s="98"/>
      <c r="ED500" s="98"/>
    </row>
    <row r="501" spans="1:134" x14ac:dyDescent="0.25">
      <c r="BI501" s="102" t="s">
        <v>230</v>
      </c>
      <c r="BJ501" s="178" t="s">
        <v>615</v>
      </c>
      <c r="BK501" s="178">
        <v>1942.7539999999999</v>
      </c>
      <c r="BL501" s="178" t="s">
        <v>641</v>
      </c>
      <c r="BM501" s="169">
        <v>3.5899999999999999E-3</v>
      </c>
      <c r="BN501" s="169">
        <v>3.5899999999999999E-3</v>
      </c>
      <c r="BO501" s="169" t="s">
        <v>241</v>
      </c>
      <c r="BP501" s="263">
        <v>1</v>
      </c>
      <c r="CR501" s="98"/>
      <c r="CS501" s="98"/>
      <c r="CT501" s="98"/>
      <c r="CU501" s="98"/>
      <c r="CV501" s="98"/>
      <c r="CW501" s="98"/>
      <c r="CX501" s="98"/>
      <c r="CY501" s="98"/>
      <c r="CZ501" s="98"/>
      <c r="DA501" s="98"/>
      <c r="DB501" s="98"/>
      <c r="DC501" s="98"/>
      <c r="DD501" s="98"/>
      <c r="DE501" s="98"/>
      <c r="DF501" s="98"/>
      <c r="DG501" s="98"/>
      <c r="DH501" s="98"/>
      <c r="DI501" s="98"/>
      <c r="DJ501" s="98"/>
      <c r="DK501" s="98"/>
      <c r="DL501" s="98"/>
      <c r="DM501" s="98"/>
      <c r="DN501" s="98"/>
      <c r="DO501" s="98"/>
      <c r="DP501" s="98"/>
      <c r="DQ501" s="98"/>
      <c r="DR501" s="98"/>
      <c r="DS501" s="98"/>
      <c r="DT501" s="98"/>
      <c r="DU501" s="98"/>
      <c r="DV501" s="98"/>
      <c r="DW501" s="98"/>
      <c r="DX501" s="98"/>
      <c r="DY501" s="98"/>
      <c r="DZ501" s="98"/>
      <c r="EA501" s="98"/>
      <c r="EB501" s="98"/>
      <c r="EC501" s="98"/>
      <c r="ED501" s="98"/>
    </row>
    <row r="502" spans="1:134" x14ac:dyDescent="0.25">
      <c r="BI502" s="102" t="s">
        <v>231</v>
      </c>
      <c r="BJ502" s="178" t="s">
        <v>615</v>
      </c>
      <c r="BK502" s="178">
        <v>1932.1279999999999</v>
      </c>
      <c r="BL502" s="178" t="s">
        <v>641</v>
      </c>
      <c r="BM502" s="169">
        <v>3.6099999999999999E-3</v>
      </c>
      <c r="BN502" s="169">
        <v>3.6099999999999999E-3</v>
      </c>
      <c r="BO502" s="169" t="s">
        <v>241</v>
      </c>
      <c r="BP502" s="263">
        <v>1</v>
      </c>
      <c r="CR502" s="98"/>
      <c r="CS502" s="98"/>
      <c r="CT502" s="98"/>
      <c r="CU502" s="98"/>
      <c r="CV502" s="98"/>
      <c r="CW502" s="98"/>
      <c r="CX502" s="98"/>
      <c r="CY502" s="98"/>
      <c r="CZ502" s="98"/>
      <c r="DA502" s="98"/>
      <c r="DB502" s="98"/>
      <c r="DC502" s="98"/>
      <c r="DD502" s="98"/>
      <c r="DE502" s="98"/>
      <c r="DF502" s="98"/>
      <c r="DG502" s="98"/>
      <c r="DH502" s="98"/>
      <c r="DI502" s="98"/>
      <c r="DJ502" s="98"/>
      <c r="DK502" s="98"/>
      <c r="DL502" s="98"/>
      <c r="DM502" s="98"/>
      <c r="DN502" s="98"/>
      <c r="DO502" s="98"/>
      <c r="DP502" s="98"/>
      <c r="DQ502" s="98"/>
      <c r="DR502" s="98"/>
      <c r="DS502" s="98"/>
      <c r="DT502" s="98"/>
      <c r="DU502" s="98"/>
      <c r="DV502" s="98"/>
      <c r="DW502" s="98"/>
      <c r="DX502" s="98"/>
      <c r="DY502" s="98"/>
      <c r="DZ502" s="98"/>
      <c r="EA502" s="98"/>
      <c r="EB502" s="98"/>
      <c r="EC502" s="98"/>
      <c r="ED502" s="98"/>
    </row>
    <row r="503" spans="1:134" x14ac:dyDescent="0.25">
      <c r="A503" s="98"/>
      <c r="V503" s="98"/>
      <c r="AA503" s="98"/>
      <c r="AB503" s="98"/>
      <c r="AD503" s="98"/>
      <c r="AE503" s="98"/>
      <c r="AH503" s="98"/>
      <c r="AI503" s="98"/>
      <c r="AK503" s="98"/>
      <c r="AR503" s="98"/>
      <c r="AV503" s="98"/>
      <c r="AX503" s="98"/>
      <c r="BB503" s="98"/>
      <c r="BC503" s="98"/>
      <c r="BE503" s="98"/>
      <c r="BH503" s="98"/>
      <c r="BI503" s="102" t="s">
        <v>602</v>
      </c>
      <c r="BJ503" s="178" t="s">
        <v>49</v>
      </c>
      <c r="BK503" s="178">
        <v>1.521339</v>
      </c>
      <c r="BL503" s="178" t="s">
        <v>259</v>
      </c>
      <c r="BM503" s="169">
        <v>4.4099999999999999E-3</v>
      </c>
      <c r="BN503" s="169">
        <v>4.4099999999999999E-3</v>
      </c>
      <c r="BO503" s="169" t="s">
        <v>241</v>
      </c>
      <c r="BP503" s="263">
        <v>1</v>
      </c>
      <c r="BQ503" s="98"/>
      <c r="BR503" s="98"/>
      <c r="BS503" s="98"/>
      <c r="BT503" s="98"/>
      <c r="BU503" s="98"/>
      <c r="BV503" s="98"/>
      <c r="BW503" s="98"/>
      <c r="BX503" s="98"/>
      <c r="BY503" s="98"/>
      <c r="BZ503" s="98"/>
      <c r="CA503" s="98"/>
      <c r="CB503" s="98"/>
      <c r="CC503" s="98"/>
      <c r="CD503" s="98"/>
      <c r="CE503" s="98"/>
      <c r="CF503" s="98"/>
      <c r="CG503" s="98"/>
      <c r="CH503" s="98"/>
      <c r="CI503" s="98"/>
      <c r="CJ503" s="98"/>
      <c r="CK503" s="98"/>
      <c r="CL503" s="98"/>
      <c r="CM503" s="98"/>
      <c r="CN503" s="98"/>
      <c r="CR503" s="98"/>
      <c r="CS503" s="98"/>
      <c r="CT503" s="98"/>
      <c r="CU503" s="98"/>
      <c r="CV503" s="98"/>
      <c r="CW503" s="98"/>
      <c r="CX503" s="98"/>
      <c r="CY503" s="98"/>
      <c r="CZ503" s="98"/>
      <c r="DA503" s="98"/>
      <c r="DB503" s="98"/>
      <c r="DC503" s="98"/>
      <c r="DD503" s="98"/>
      <c r="DE503" s="98"/>
      <c r="DF503" s="98"/>
      <c r="DG503" s="98"/>
      <c r="DH503" s="98"/>
      <c r="DI503" s="98"/>
      <c r="DJ503" s="98"/>
      <c r="DK503" s="98"/>
      <c r="DL503" s="98"/>
      <c r="DM503" s="98"/>
      <c r="DN503" s="98"/>
      <c r="DO503" s="98"/>
      <c r="DP503" s="98"/>
      <c r="DQ503" s="98"/>
      <c r="DR503" s="98"/>
      <c r="DS503" s="98"/>
      <c r="DT503" s="98"/>
      <c r="DU503" s="98"/>
      <c r="DV503" s="98"/>
      <c r="DW503" s="98"/>
      <c r="DX503" s="98"/>
      <c r="DY503" s="98"/>
      <c r="DZ503" s="98"/>
      <c r="EA503" s="98"/>
      <c r="EB503" s="98"/>
      <c r="EC503" s="98"/>
      <c r="ED503" s="98"/>
    </row>
    <row r="504" spans="1:134" x14ac:dyDescent="0.25">
      <c r="A504" s="98"/>
      <c r="V504" s="98"/>
      <c r="AA504" s="98"/>
      <c r="AB504" s="98"/>
      <c r="AD504" s="98"/>
      <c r="AE504" s="98"/>
      <c r="AH504" s="98"/>
      <c r="AI504" s="98"/>
      <c r="AK504" s="98"/>
      <c r="AR504" s="98"/>
      <c r="AV504" s="98"/>
      <c r="AX504" s="98"/>
      <c r="BB504" s="98"/>
      <c r="BC504" s="98"/>
      <c r="BE504" s="98"/>
      <c r="BH504" s="98"/>
      <c r="BI504" s="102" t="s">
        <v>603</v>
      </c>
      <c r="BJ504" s="178" t="s">
        <v>49</v>
      </c>
      <c r="BK504" s="178">
        <v>1.521339</v>
      </c>
      <c r="BL504" s="178" t="s">
        <v>259</v>
      </c>
      <c r="BM504" s="169">
        <v>4.4099999999999999E-3</v>
      </c>
      <c r="BN504" s="169">
        <v>4.4099999999999999E-3</v>
      </c>
      <c r="BO504" s="169" t="s">
        <v>241</v>
      </c>
      <c r="BP504" s="263">
        <v>1</v>
      </c>
      <c r="BQ504" s="98"/>
      <c r="BR504" s="98"/>
      <c r="BS504" s="98"/>
      <c r="BT504" s="98"/>
      <c r="BU504" s="98"/>
      <c r="BV504" s="98"/>
      <c r="BW504" s="98"/>
      <c r="BX504" s="98"/>
      <c r="BY504" s="98"/>
      <c r="BZ504" s="98"/>
      <c r="CA504" s="98"/>
      <c r="CB504" s="98"/>
      <c r="CC504" s="98"/>
      <c r="CD504" s="98"/>
      <c r="CE504" s="98"/>
      <c r="CF504" s="98"/>
      <c r="CG504" s="98"/>
      <c r="CH504" s="98"/>
      <c r="CI504" s="98"/>
      <c r="CJ504" s="98"/>
      <c r="CK504" s="98"/>
      <c r="CL504" s="98"/>
      <c r="CM504" s="98"/>
      <c r="CN504" s="98"/>
      <c r="CR504" s="98"/>
      <c r="CS504" s="98"/>
      <c r="CT504" s="98"/>
      <c r="CU504" s="98"/>
      <c r="CV504" s="98"/>
      <c r="CW504" s="98"/>
      <c r="CX504" s="98"/>
      <c r="CY504" s="98"/>
      <c r="CZ504" s="98"/>
      <c r="DA504" s="98"/>
      <c r="DB504" s="98"/>
      <c r="DC504" s="98"/>
      <c r="DD504" s="98"/>
      <c r="DE504" s="98"/>
      <c r="DF504" s="98"/>
      <c r="DG504" s="98"/>
      <c r="DH504" s="98"/>
      <c r="DI504" s="98"/>
      <c r="DJ504" s="98"/>
      <c r="DK504" s="98"/>
      <c r="DL504" s="98"/>
      <c r="DM504" s="98"/>
      <c r="DN504" s="98"/>
      <c r="DO504" s="98"/>
      <c r="DP504" s="98"/>
      <c r="DQ504" s="98"/>
      <c r="DR504" s="98"/>
      <c r="DS504" s="98"/>
      <c r="DT504" s="98"/>
      <c r="DU504" s="98"/>
      <c r="DV504" s="98"/>
      <c r="DW504" s="98"/>
      <c r="DX504" s="98"/>
      <c r="DY504" s="98"/>
      <c r="DZ504" s="98"/>
      <c r="EA504" s="98"/>
      <c r="EB504" s="98"/>
      <c r="EC504" s="98"/>
      <c r="ED504" s="98"/>
    </row>
    <row r="505" spans="1:134" x14ac:dyDescent="0.25">
      <c r="A505" s="98"/>
      <c r="V505" s="98"/>
      <c r="AA505" s="98"/>
      <c r="AB505" s="98"/>
      <c r="AD505" s="98"/>
      <c r="AE505" s="98"/>
      <c r="AH505" s="98"/>
      <c r="AI505" s="98"/>
      <c r="AK505" s="98"/>
      <c r="AR505" s="98"/>
      <c r="AV505" s="98"/>
      <c r="AX505" s="98"/>
      <c r="BB505" s="98"/>
      <c r="BC505" s="98"/>
      <c r="BE505" s="98"/>
      <c r="BH505" s="98"/>
      <c r="BI505" s="102">
        <v>0</v>
      </c>
      <c r="BJ505" s="178">
        <v>0</v>
      </c>
      <c r="BK505" s="178">
        <v>0</v>
      </c>
      <c r="BL505" s="178">
        <v>0</v>
      </c>
      <c r="BM505" s="169">
        <v>0</v>
      </c>
      <c r="BN505" s="169">
        <v>0</v>
      </c>
      <c r="BO505" s="169">
        <v>0</v>
      </c>
      <c r="BQ505" s="98"/>
      <c r="BR505" s="98"/>
      <c r="BS505" s="98"/>
      <c r="BT505" s="98"/>
      <c r="BU505" s="98"/>
      <c r="BV505" s="98"/>
      <c r="BW505" s="98"/>
      <c r="BX505" s="98"/>
      <c r="BY505" s="98"/>
      <c r="BZ505" s="98"/>
      <c r="CA505" s="98"/>
      <c r="CB505" s="98"/>
      <c r="CC505" s="98"/>
      <c r="CD505" s="98"/>
      <c r="CE505" s="98"/>
      <c r="CF505" s="98"/>
      <c r="CG505" s="98"/>
      <c r="CH505" s="98"/>
      <c r="CI505" s="98"/>
      <c r="CJ505" s="98"/>
      <c r="CK505" s="98"/>
      <c r="CL505" s="98"/>
      <c r="CM505" s="98"/>
      <c r="CN505" s="98"/>
      <c r="CR505" s="98"/>
      <c r="CS505" s="98"/>
      <c r="CT505" s="98"/>
      <c r="CU505" s="98"/>
      <c r="CV505" s="98"/>
      <c r="CW505" s="98"/>
      <c r="CX505" s="98"/>
      <c r="CY505" s="98"/>
      <c r="CZ505" s="98"/>
      <c r="DA505" s="98"/>
      <c r="DB505" s="98"/>
      <c r="DC505" s="98"/>
      <c r="DD505" s="98"/>
      <c r="DE505" s="98"/>
      <c r="DF505" s="98"/>
      <c r="DG505" s="98"/>
      <c r="DH505" s="98"/>
      <c r="DI505" s="98"/>
      <c r="DJ505" s="98"/>
      <c r="DK505" s="98"/>
      <c r="DL505" s="98"/>
      <c r="DM505" s="98"/>
      <c r="DN505" s="98"/>
      <c r="DO505" s="98"/>
      <c r="DP505" s="98"/>
      <c r="DQ505" s="98"/>
      <c r="DR505" s="98"/>
      <c r="DS505" s="98"/>
      <c r="DT505" s="98"/>
      <c r="DU505" s="98"/>
      <c r="DV505" s="98"/>
      <c r="DW505" s="98"/>
      <c r="DX505" s="98"/>
      <c r="DY505" s="98"/>
      <c r="DZ505" s="98"/>
      <c r="EA505" s="98"/>
      <c r="EB505" s="98"/>
      <c r="EC505" s="98"/>
      <c r="ED505" s="98"/>
    </row>
    <row r="506" spans="1:134" x14ac:dyDescent="0.25">
      <c r="A506" s="98"/>
      <c r="V506" s="98"/>
      <c r="AA506" s="98"/>
      <c r="AB506" s="98"/>
      <c r="AD506" s="98"/>
      <c r="AE506" s="98"/>
      <c r="AH506" s="98"/>
      <c r="AI506" s="98"/>
      <c r="AK506" s="98"/>
      <c r="AR506" s="98"/>
      <c r="AV506" s="98"/>
      <c r="AX506" s="98"/>
      <c r="BB506" s="98"/>
      <c r="BC506" s="98"/>
      <c r="BE506" s="98"/>
      <c r="BH506" s="98"/>
      <c r="BQ506" s="98"/>
      <c r="BR506" s="98"/>
      <c r="BS506" s="98"/>
      <c r="BT506" s="98"/>
      <c r="BU506" s="98"/>
      <c r="BV506" s="98"/>
      <c r="BW506" s="98"/>
      <c r="BX506" s="98"/>
      <c r="BY506" s="98"/>
      <c r="BZ506" s="98"/>
      <c r="CA506" s="98"/>
      <c r="CB506" s="98"/>
      <c r="CC506" s="98"/>
      <c r="CD506" s="98"/>
      <c r="CE506" s="98"/>
      <c r="CF506" s="98"/>
      <c r="CG506" s="98"/>
      <c r="CH506" s="98"/>
      <c r="CI506" s="98"/>
      <c r="CJ506" s="98"/>
      <c r="CK506" s="98"/>
      <c r="CL506" s="98"/>
      <c r="CM506" s="98"/>
      <c r="CN506" s="98"/>
      <c r="CR506" s="98"/>
      <c r="CS506" s="98"/>
      <c r="CT506" s="98"/>
      <c r="CU506" s="98"/>
      <c r="CV506" s="98"/>
      <c r="CW506" s="98"/>
      <c r="CX506" s="98"/>
      <c r="CY506" s="98"/>
      <c r="CZ506" s="98"/>
      <c r="DA506" s="98"/>
      <c r="DB506" s="98"/>
      <c r="DC506" s="98"/>
      <c r="DD506" s="98"/>
      <c r="DE506" s="98"/>
      <c r="DF506" s="98"/>
      <c r="DG506" s="98"/>
      <c r="DH506" s="98"/>
      <c r="DI506" s="98"/>
      <c r="DJ506" s="98"/>
      <c r="DK506" s="98"/>
      <c r="DL506" s="98"/>
      <c r="DM506" s="98"/>
      <c r="DN506" s="98"/>
      <c r="DO506" s="98"/>
      <c r="DP506" s="98"/>
      <c r="DQ506" s="98"/>
      <c r="DR506" s="98"/>
      <c r="DS506" s="98"/>
      <c r="DT506" s="98"/>
      <c r="DU506" s="98"/>
      <c r="DV506" s="98"/>
      <c r="DW506" s="98"/>
      <c r="DX506" s="98"/>
      <c r="DY506" s="98"/>
      <c r="DZ506" s="98"/>
      <c r="EA506" s="98"/>
      <c r="EB506" s="98"/>
      <c r="EC506" s="98"/>
      <c r="ED506" s="98"/>
    </row>
    <row r="507" spans="1:134" ht="15" customHeight="1" x14ac:dyDescent="0.25">
      <c r="A507" s="98"/>
      <c r="V507" s="98"/>
      <c r="AA507" s="98"/>
      <c r="AB507" s="98"/>
      <c r="AD507" s="98"/>
      <c r="AE507" s="98"/>
      <c r="AH507" s="98"/>
      <c r="AI507" s="98"/>
      <c r="AK507" s="98"/>
      <c r="AR507" s="98"/>
      <c r="AV507" s="98"/>
      <c r="AX507" s="98"/>
      <c r="BB507" s="98"/>
      <c r="BC507" s="98"/>
      <c r="BE507" s="98"/>
      <c r="BH507" s="98"/>
      <c r="BI507" s="102" t="s">
        <v>232</v>
      </c>
      <c r="BK507" s="178" t="s">
        <v>267</v>
      </c>
      <c r="BM507" s="169" t="s">
        <v>233</v>
      </c>
      <c r="BN507" s="169" t="s">
        <v>233</v>
      </c>
      <c r="BO507" s="169" t="s">
        <v>240</v>
      </c>
      <c r="BQ507" s="98"/>
      <c r="BR507" s="98"/>
      <c r="BS507" s="98"/>
      <c r="BT507" s="98"/>
      <c r="BU507" s="98"/>
      <c r="BV507" s="98"/>
      <c r="BW507" s="98"/>
      <c r="BX507" s="98"/>
      <c r="BY507" s="98"/>
      <c r="BZ507" s="98"/>
      <c r="CA507" s="98"/>
      <c r="CB507" s="98"/>
      <c r="CC507" s="98"/>
      <c r="CD507" s="98"/>
      <c r="CE507" s="98"/>
      <c r="CF507" s="98"/>
      <c r="CG507" s="98"/>
      <c r="CH507" s="98"/>
      <c r="CI507" s="98"/>
      <c r="CJ507" s="98"/>
      <c r="CK507" s="98"/>
      <c r="CL507" s="98"/>
      <c r="CM507" s="98"/>
      <c r="CN507" s="98"/>
      <c r="CR507" s="98"/>
      <c r="CS507" s="98"/>
      <c r="CT507" s="98"/>
      <c r="CU507" s="98"/>
      <c r="CV507" s="98"/>
      <c r="CW507" s="98"/>
      <c r="CX507" s="98"/>
      <c r="CY507" s="98"/>
      <c r="CZ507" s="98"/>
      <c r="DA507" s="98"/>
      <c r="DB507" s="98"/>
      <c r="DC507" s="98"/>
      <c r="DD507" s="98"/>
      <c r="DE507" s="98"/>
      <c r="DF507" s="98"/>
      <c r="DG507" s="98"/>
      <c r="DH507" s="98"/>
      <c r="DI507" s="98"/>
      <c r="DJ507" s="98"/>
      <c r="DK507" s="98"/>
      <c r="DL507" s="98"/>
      <c r="DM507" s="98"/>
      <c r="DN507" s="98"/>
      <c r="DO507" s="98"/>
      <c r="DP507" s="98"/>
      <c r="DQ507" s="98"/>
      <c r="DR507" s="98"/>
      <c r="DS507" s="98"/>
      <c r="DT507" s="98"/>
      <c r="DU507" s="98"/>
      <c r="DV507" s="98"/>
      <c r="DW507" s="98"/>
      <c r="DX507" s="98"/>
      <c r="DY507" s="98"/>
      <c r="DZ507" s="98"/>
      <c r="EA507" s="98"/>
      <c r="EB507" s="98"/>
      <c r="EC507" s="98"/>
      <c r="ED507" s="98"/>
    </row>
    <row r="508" spans="1:134" x14ac:dyDescent="0.25">
      <c r="A508" s="98"/>
      <c r="V508" s="98"/>
      <c r="AA508" s="98"/>
      <c r="AB508" s="98"/>
      <c r="AD508" s="98"/>
      <c r="AE508" s="98"/>
      <c r="AH508" s="98"/>
      <c r="AI508" s="98"/>
      <c r="AK508" s="98"/>
      <c r="AR508" s="98"/>
      <c r="AV508" s="98"/>
      <c r="AX508" s="98"/>
      <c r="BB508" s="98"/>
      <c r="BC508" s="98"/>
      <c r="BE508" s="98"/>
      <c r="BH508" s="98"/>
      <c r="BJ508" s="178" t="s">
        <v>253</v>
      </c>
      <c r="BL508" s="178" t="s">
        <v>251</v>
      </c>
      <c r="BQ508" s="98"/>
      <c r="BR508" s="98"/>
      <c r="BS508" s="98"/>
      <c r="BT508" s="98"/>
      <c r="BU508" s="98"/>
      <c r="BV508" s="98"/>
      <c r="BW508" s="98"/>
      <c r="BX508" s="98"/>
      <c r="BY508" s="98"/>
      <c r="BZ508" s="98"/>
      <c r="CA508" s="98"/>
      <c r="CB508" s="98"/>
      <c r="CC508" s="98"/>
      <c r="CD508" s="98"/>
      <c r="CE508" s="98"/>
      <c r="CF508" s="98"/>
      <c r="CG508" s="98"/>
      <c r="CH508" s="98"/>
      <c r="CI508" s="98"/>
      <c r="CJ508" s="98"/>
      <c r="CK508" s="98"/>
      <c r="CL508" s="98"/>
      <c r="CM508" s="98"/>
      <c r="CN508" s="98"/>
      <c r="CR508" s="98"/>
      <c r="CS508" s="98"/>
      <c r="CT508" s="98"/>
      <c r="CU508" s="98"/>
      <c r="CV508" s="98"/>
      <c r="CW508" s="98"/>
      <c r="CX508" s="98"/>
      <c r="CY508" s="98"/>
      <c r="CZ508" s="98"/>
      <c r="DA508" s="98"/>
      <c r="DB508" s="98"/>
      <c r="DC508" s="98"/>
      <c r="DD508" s="98"/>
      <c r="DE508" s="98"/>
      <c r="DF508" s="98"/>
      <c r="DG508" s="98"/>
      <c r="DH508" s="98"/>
      <c r="DI508" s="98"/>
      <c r="DJ508" s="98"/>
      <c r="DK508" s="98"/>
      <c r="DL508" s="98"/>
      <c r="DM508" s="98"/>
      <c r="DN508" s="98"/>
      <c r="DO508" s="98"/>
      <c r="DP508" s="98"/>
      <c r="DQ508" s="98"/>
      <c r="DR508" s="98"/>
      <c r="DS508" s="98"/>
      <c r="DT508" s="98"/>
      <c r="DU508" s="98"/>
      <c r="DV508" s="98"/>
      <c r="DW508" s="98"/>
      <c r="DX508" s="98"/>
      <c r="DY508" s="98"/>
      <c r="DZ508" s="98"/>
      <c r="EA508" s="98"/>
      <c r="EB508" s="98"/>
      <c r="EC508" s="98"/>
      <c r="ED508" s="98"/>
    </row>
    <row r="509" spans="1:134" x14ac:dyDescent="0.25">
      <c r="A509" s="98"/>
      <c r="V509" s="98"/>
      <c r="AA509" s="98"/>
      <c r="AB509" s="98"/>
      <c r="AD509" s="98"/>
      <c r="AE509" s="98"/>
      <c r="AH509" s="98"/>
      <c r="AI509" s="98"/>
      <c r="AK509" s="98"/>
      <c r="AR509" s="98"/>
      <c r="AV509" s="98"/>
      <c r="AX509" s="98"/>
      <c r="BB509" s="98"/>
      <c r="BC509" s="98"/>
      <c r="BE509" s="98"/>
      <c r="BH509" s="98"/>
      <c r="BI509" s="102" t="s">
        <v>237</v>
      </c>
      <c r="BJ509" s="178" t="s">
        <v>252</v>
      </c>
      <c r="BK509" s="178">
        <v>6.8822999999999999</v>
      </c>
      <c r="BL509" s="178" t="s">
        <v>642</v>
      </c>
      <c r="BM509" s="169">
        <v>2.98E-3</v>
      </c>
      <c r="BN509" s="169">
        <v>2.98E-3</v>
      </c>
      <c r="BO509" s="169" t="s">
        <v>241</v>
      </c>
      <c r="BP509" s="263">
        <v>1</v>
      </c>
      <c r="BQ509" s="98"/>
      <c r="BR509" s="98"/>
      <c r="BS509" s="98"/>
      <c r="BT509" s="98"/>
      <c r="BU509" s="98"/>
      <c r="BV509" s="98"/>
      <c r="BW509" s="98"/>
      <c r="BX509" s="98"/>
      <c r="BY509" s="98"/>
      <c r="BZ509" s="98"/>
      <c r="CA509" s="98"/>
      <c r="CB509" s="98"/>
      <c r="CC509" s="98"/>
      <c r="CD509" s="98"/>
      <c r="CE509" s="98"/>
      <c r="CF509" s="98"/>
      <c r="CG509" s="98"/>
      <c r="CH509" s="98"/>
      <c r="CI509" s="98"/>
      <c r="CJ509" s="98"/>
      <c r="CK509" s="98"/>
      <c r="CL509" s="98"/>
      <c r="CM509" s="98"/>
      <c r="CN509" s="98"/>
      <c r="CR509" s="98"/>
      <c r="CS509" s="98"/>
      <c r="CT509" s="98"/>
      <c r="CU509" s="98"/>
      <c r="CV509" s="98"/>
      <c r="CW509" s="98"/>
      <c r="CX509" s="98"/>
      <c r="CY509" s="98"/>
      <c r="CZ509" s="98"/>
      <c r="DA509" s="98"/>
      <c r="DB509" s="98"/>
      <c r="DC509" s="98"/>
      <c r="DD509" s="98"/>
      <c r="DE509" s="98"/>
      <c r="DF509" s="98"/>
      <c r="DG509" s="98"/>
      <c r="DH509" s="98"/>
      <c r="DI509" s="98"/>
      <c r="DJ509" s="98"/>
      <c r="DK509" s="98"/>
      <c r="DL509" s="98"/>
      <c r="DM509" s="98"/>
      <c r="DN509" s="98"/>
      <c r="DO509" s="98"/>
      <c r="DP509" s="98"/>
      <c r="DQ509" s="98"/>
      <c r="DR509" s="98"/>
      <c r="DS509" s="98"/>
      <c r="DT509" s="98"/>
      <c r="DU509" s="98"/>
      <c r="DV509" s="98"/>
      <c r="DW509" s="98"/>
      <c r="DX509" s="98"/>
      <c r="DY509" s="98"/>
      <c r="DZ509" s="98"/>
      <c r="EA509" s="98"/>
      <c r="EB509" s="98"/>
      <c r="EC509" s="98"/>
      <c r="ED509" s="98"/>
    </row>
    <row r="510" spans="1:134" x14ac:dyDescent="0.25">
      <c r="A510" s="98"/>
      <c r="V510" s="98"/>
      <c r="AA510" s="98"/>
      <c r="AB510" s="98"/>
      <c r="AD510" s="98"/>
      <c r="AE510" s="98"/>
      <c r="AH510" s="98"/>
      <c r="AI510" s="98"/>
      <c r="AK510" s="98"/>
      <c r="AR510" s="98"/>
      <c r="AV510" s="98"/>
      <c r="AX510" s="98"/>
      <c r="BB510" s="98"/>
      <c r="BC510" s="98"/>
      <c r="BE510" s="98"/>
      <c r="BH510" s="98"/>
      <c r="BI510" s="102" t="s">
        <v>368</v>
      </c>
      <c r="BJ510" s="178" t="s">
        <v>252</v>
      </c>
      <c r="BK510" s="178">
        <v>5.9200999999999997</v>
      </c>
      <c r="BL510" s="178" t="s">
        <v>642</v>
      </c>
      <c r="BM510" s="169">
        <v>3.4799999999999996E-3</v>
      </c>
      <c r="BN510" s="169">
        <v>3.4799999999999996E-3</v>
      </c>
      <c r="BO510" s="169" t="s">
        <v>241</v>
      </c>
      <c r="BP510" s="263">
        <v>1</v>
      </c>
      <c r="BQ510" s="98"/>
      <c r="BR510" s="98"/>
      <c r="BS510" s="98"/>
      <c r="BT510" s="98"/>
      <c r="BU510" s="98"/>
      <c r="BV510" s="98"/>
      <c r="BW510" s="98"/>
      <c r="BX510" s="98"/>
      <c r="BY510" s="98"/>
      <c r="BZ510" s="98"/>
      <c r="CA510" s="98"/>
      <c r="CB510" s="98"/>
      <c r="CC510" s="98"/>
      <c r="CD510" s="98"/>
      <c r="CE510" s="98"/>
      <c r="CF510" s="98"/>
      <c r="CG510" s="98"/>
      <c r="CH510" s="98"/>
      <c r="CI510" s="98"/>
      <c r="CJ510" s="98"/>
      <c r="CK510" s="98"/>
      <c r="CL510" s="98"/>
      <c r="CM510" s="98"/>
      <c r="CN510" s="98"/>
      <c r="CR510" s="98"/>
      <c r="CS510" s="98"/>
      <c r="CT510" s="98"/>
      <c r="CU510" s="98"/>
      <c r="CV510" s="98"/>
      <c r="CW510" s="98"/>
      <c r="CX510" s="98"/>
      <c r="CY510" s="98"/>
      <c r="CZ510" s="98"/>
      <c r="DA510" s="98"/>
      <c r="DB510" s="98"/>
      <c r="DC510" s="98"/>
      <c r="DD510" s="98"/>
      <c r="DE510" s="98"/>
      <c r="DF510" s="98"/>
      <c r="DG510" s="98"/>
      <c r="DH510" s="98"/>
      <c r="DI510" s="98"/>
      <c r="DJ510" s="98"/>
      <c r="DK510" s="98"/>
      <c r="DL510" s="98"/>
      <c r="DM510" s="98"/>
      <c r="DN510" s="98"/>
      <c r="DO510" s="98"/>
      <c r="DP510" s="98"/>
      <c r="DQ510" s="98"/>
      <c r="DR510" s="98"/>
      <c r="DS510" s="98"/>
      <c r="DT510" s="98"/>
      <c r="DU510" s="98"/>
      <c r="DV510" s="98"/>
      <c r="DW510" s="98"/>
      <c r="DX510" s="98"/>
      <c r="DY510" s="98"/>
      <c r="DZ510" s="98"/>
      <c r="EA510" s="98"/>
      <c r="EB510" s="98"/>
      <c r="EC510" s="98"/>
      <c r="ED510" s="98"/>
    </row>
    <row r="511" spans="1:134" x14ac:dyDescent="0.25">
      <c r="A511" s="98"/>
      <c r="V511" s="98"/>
      <c r="AA511" s="98"/>
      <c r="AB511" s="98"/>
      <c r="AD511" s="98"/>
      <c r="AE511" s="98"/>
      <c r="AH511" s="98"/>
      <c r="AI511" s="98"/>
      <c r="AK511" s="98"/>
      <c r="AR511" s="98"/>
      <c r="AV511" s="98"/>
      <c r="AX511" s="98"/>
      <c r="BB511" s="98"/>
      <c r="BC511" s="98"/>
      <c r="BE511" s="98"/>
      <c r="BH511" s="98"/>
      <c r="BQ511" s="98"/>
      <c r="BR511" s="98"/>
      <c r="BS511" s="98"/>
      <c r="BT511" s="98"/>
      <c r="BU511" s="98"/>
      <c r="BV511" s="98"/>
      <c r="BW511" s="98"/>
      <c r="BX511" s="98"/>
      <c r="BY511" s="98"/>
      <c r="BZ511" s="98"/>
      <c r="CA511" s="98"/>
      <c r="CB511" s="98"/>
      <c r="CC511" s="98"/>
      <c r="CD511" s="98"/>
      <c r="CE511" s="98"/>
      <c r="CF511" s="98"/>
      <c r="CG511" s="98"/>
      <c r="CH511" s="98"/>
      <c r="CI511" s="98"/>
      <c r="CJ511" s="98"/>
      <c r="CK511" s="98"/>
      <c r="CL511" s="98"/>
      <c r="CM511" s="98"/>
      <c r="CN511" s="98"/>
      <c r="CR511" s="98"/>
      <c r="CS511" s="98"/>
      <c r="CT511" s="98"/>
      <c r="CU511" s="98"/>
      <c r="CV511" s="98"/>
      <c r="CW511" s="98"/>
      <c r="CX511" s="98"/>
      <c r="CY511" s="98"/>
      <c r="CZ511" s="98"/>
      <c r="DA511" s="98"/>
      <c r="DB511" s="98"/>
      <c r="DC511" s="98"/>
      <c r="DD511" s="98"/>
      <c r="DE511" s="98"/>
      <c r="DF511" s="98"/>
      <c r="DG511" s="98"/>
      <c r="DH511" s="98"/>
      <c r="DI511" s="98"/>
      <c r="DJ511" s="98"/>
      <c r="DK511" s="98"/>
      <c r="DL511" s="98"/>
      <c r="DM511" s="98"/>
      <c r="DN511" s="98"/>
      <c r="DO511" s="98"/>
      <c r="DP511" s="98"/>
      <c r="DQ511" s="98"/>
      <c r="DR511" s="98"/>
      <c r="DS511" s="98"/>
      <c r="DT511" s="98"/>
      <c r="DU511" s="98"/>
      <c r="DV511" s="98"/>
      <c r="DW511" s="98"/>
      <c r="DX511" s="98"/>
      <c r="DY511" s="98"/>
      <c r="DZ511" s="98"/>
      <c r="EA511" s="98"/>
      <c r="EB511" s="98"/>
      <c r="EC511" s="98"/>
      <c r="ED511" s="98"/>
    </row>
    <row r="512" spans="1:134" x14ac:dyDescent="0.25">
      <c r="A512" s="98"/>
      <c r="V512" s="98"/>
      <c r="AA512" s="98"/>
      <c r="AB512" s="98"/>
      <c r="AD512" s="98"/>
      <c r="AE512" s="98"/>
      <c r="AH512" s="98"/>
      <c r="AI512" s="98"/>
      <c r="AK512" s="98"/>
      <c r="AR512" s="98"/>
      <c r="AV512" s="98"/>
      <c r="AX512" s="98"/>
      <c r="BB512" s="98"/>
      <c r="BC512" s="98"/>
      <c r="BE512" s="98"/>
      <c r="BH512" s="98"/>
      <c r="BQ512" s="98"/>
      <c r="BR512" s="98"/>
      <c r="BS512" s="98"/>
      <c r="BT512" s="98"/>
      <c r="BU512" s="98"/>
      <c r="BV512" s="98"/>
      <c r="BW512" s="98"/>
      <c r="BX512" s="98"/>
      <c r="BY512" s="98"/>
      <c r="BZ512" s="98"/>
      <c r="CA512" s="98"/>
      <c r="CB512" s="98"/>
      <c r="CC512" s="98"/>
      <c r="CD512" s="98"/>
      <c r="CE512" s="98"/>
      <c r="CF512" s="98"/>
      <c r="CG512" s="98"/>
      <c r="CH512" s="98"/>
      <c r="CI512" s="98"/>
      <c r="CJ512" s="98"/>
      <c r="CK512" s="98"/>
      <c r="CL512" s="98"/>
      <c r="CM512" s="98"/>
      <c r="CN512" s="98"/>
      <c r="CR512" s="98"/>
      <c r="CS512" s="98"/>
      <c r="CT512" s="98"/>
      <c r="CU512" s="98"/>
      <c r="CV512" s="98"/>
      <c r="CW512" s="98"/>
      <c r="CX512" s="98"/>
      <c r="CY512" s="98"/>
      <c r="CZ512" s="98"/>
      <c r="DA512" s="98"/>
      <c r="DB512" s="98"/>
      <c r="DC512" s="98"/>
      <c r="DD512" s="98"/>
      <c r="DE512" s="98"/>
      <c r="DF512" s="98"/>
      <c r="DG512" s="98"/>
      <c r="DH512" s="98"/>
      <c r="DI512" s="98"/>
      <c r="DJ512" s="98"/>
      <c r="DK512" s="98"/>
      <c r="DL512" s="98"/>
      <c r="DM512" s="98"/>
      <c r="DN512" s="98"/>
      <c r="DO512" s="98"/>
      <c r="DP512" s="98"/>
      <c r="DQ512" s="98"/>
      <c r="DR512" s="98"/>
      <c r="DS512" s="98"/>
      <c r="DT512" s="98"/>
      <c r="DU512" s="98"/>
      <c r="DV512" s="98"/>
      <c r="DW512" s="98"/>
      <c r="DX512" s="98"/>
      <c r="DY512" s="98"/>
      <c r="DZ512" s="98"/>
      <c r="EA512" s="98"/>
      <c r="EB512" s="98"/>
      <c r="EC512" s="98"/>
      <c r="ED512" s="98"/>
    </row>
    <row r="513" spans="1:134" ht="15" customHeight="1" x14ac:dyDescent="0.25">
      <c r="A513" s="98"/>
      <c r="V513" s="98"/>
      <c r="AA513" s="98"/>
      <c r="AB513" s="98"/>
      <c r="AD513" s="98"/>
      <c r="AE513" s="98"/>
      <c r="AH513" s="98"/>
      <c r="AI513" s="98"/>
      <c r="AK513" s="98"/>
      <c r="AR513" s="98"/>
      <c r="AV513" s="98"/>
      <c r="AX513" s="98"/>
      <c r="BB513" s="98"/>
      <c r="BC513" s="98"/>
      <c r="BE513" s="98"/>
      <c r="BH513" s="98"/>
      <c r="BI513" s="102" t="s">
        <v>232</v>
      </c>
      <c r="BK513" s="178" t="s">
        <v>267</v>
      </c>
      <c r="BM513" s="169" t="s">
        <v>233</v>
      </c>
      <c r="BN513" s="169" t="s">
        <v>233</v>
      </c>
      <c r="BO513" s="169" t="s">
        <v>240</v>
      </c>
      <c r="BQ513" s="98"/>
      <c r="BR513" s="98"/>
      <c r="BS513" s="98"/>
      <c r="BT513" s="98"/>
      <c r="BU513" s="98"/>
      <c r="BV513" s="98"/>
      <c r="BW513" s="98"/>
      <c r="BX513" s="98"/>
      <c r="BY513" s="98"/>
      <c r="BZ513" s="98"/>
      <c r="CA513" s="98"/>
      <c r="CB513" s="98"/>
      <c r="CC513" s="98"/>
      <c r="CD513" s="98"/>
      <c r="CE513" s="98"/>
      <c r="CF513" s="98"/>
      <c r="CG513" s="98"/>
      <c r="CH513" s="98"/>
      <c r="CI513" s="98"/>
      <c r="CJ513" s="98"/>
      <c r="CK513" s="98"/>
      <c r="CL513" s="98"/>
      <c r="CM513" s="98"/>
      <c r="CN513" s="98"/>
      <c r="CR513" s="98"/>
      <c r="CS513" s="98"/>
      <c r="CT513" s="98"/>
      <c r="CU513" s="98"/>
      <c r="CV513" s="98"/>
      <c r="CW513" s="98"/>
      <c r="CX513" s="98"/>
      <c r="CY513" s="98"/>
      <c r="CZ513" s="98"/>
      <c r="DA513" s="98"/>
      <c r="DB513" s="98"/>
      <c r="DC513" s="98"/>
      <c r="DD513" s="98"/>
      <c r="DE513" s="98"/>
      <c r="DF513" s="98"/>
      <c r="DG513" s="98"/>
      <c r="DH513" s="98"/>
      <c r="DI513" s="98"/>
      <c r="DJ513" s="98"/>
      <c r="DK513" s="98"/>
      <c r="DL513" s="98"/>
      <c r="DM513" s="98"/>
      <c r="DN513" s="98"/>
      <c r="DO513" s="98"/>
      <c r="DP513" s="98"/>
      <c r="DQ513" s="98"/>
      <c r="DR513" s="98"/>
      <c r="DS513" s="98"/>
      <c r="DT513" s="98"/>
      <c r="DU513" s="98"/>
      <c r="DV513" s="98"/>
      <c r="DW513" s="98"/>
      <c r="DX513" s="98"/>
      <c r="DY513" s="98"/>
      <c r="DZ513" s="98"/>
      <c r="EA513" s="98"/>
      <c r="EB513" s="98"/>
      <c r="EC513" s="98"/>
      <c r="ED513" s="98"/>
    </row>
    <row r="514" spans="1:134" x14ac:dyDescent="0.25">
      <c r="A514" s="98"/>
      <c r="V514" s="98"/>
      <c r="AA514" s="98"/>
      <c r="AB514" s="98"/>
      <c r="AD514" s="98"/>
      <c r="AE514" s="98"/>
      <c r="AH514" s="98"/>
      <c r="AI514" s="98"/>
      <c r="AK514" s="98"/>
      <c r="AR514" s="98"/>
      <c r="AV514" s="98"/>
      <c r="AX514" s="98"/>
      <c r="BB514" s="98"/>
      <c r="BC514" s="98"/>
      <c r="BE514" s="98"/>
      <c r="BH514" s="98"/>
      <c r="BJ514" s="178" t="s">
        <v>253</v>
      </c>
      <c r="BL514" s="178" t="s">
        <v>251</v>
      </c>
      <c r="BQ514" s="98"/>
      <c r="BR514" s="98"/>
      <c r="BS514" s="98"/>
      <c r="BT514" s="98"/>
      <c r="BU514" s="98"/>
      <c r="BV514" s="98"/>
      <c r="BW514" s="98"/>
      <c r="BX514" s="98"/>
      <c r="BY514" s="98"/>
      <c r="BZ514" s="98"/>
      <c r="CA514" s="98"/>
      <c r="CB514" s="98"/>
      <c r="CC514" s="98"/>
      <c r="CD514" s="98"/>
      <c r="CE514" s="98"/>
      <c r="CF514" s="98"/>
      <c r="CG514" s="98"/>
      <c r="CH514" s="98"/>
      <c r="CI514" s="98"/>
      <c r="CJ514" s="98"/>
      <c r="CK514" s="98"/>
      <c r="CL514" s="98"/>
      <c r="CM514" s="98"/>
      <c r="CN514" s="98"/>
      <c r="CR514" s="98"/>
      <c r="CS514" s="98"/>
      <c r="CT514" s="98"/>
      <c r="CU514" s="98"/>
      <c r="CV514" s="98"/>
      <c r="CW514" s="98"/>
      <c r="CX514" s="98"/>
      <c r="CY514" s="98"/>
      <c r="CZ514" s="98"/>
      <c r="DA514" s="98"/>
      <c r="DB514" s="98"/>
      <c r="DC514" s="98"/>
      <c r="DD514" s="98"/>
      <c r="DE514" s="98"/>
      <c r="DF514" s="98"/>
      <c r="DG514" s="98"/>
      <c r="DH514" s="98"/>
      <c r="DI514" s="98"/>
      <c r="DJ514" s="98"/>
      <c r="DK514" s="98"/>
      <c r="DL514" s="98"/>
      <c r="DM514" s="98"/>
      <c r="DN514" s="98"/>
      <c r="DO514" s="98"/>
      <c r="DP514" s="98"/>
      <c r="DQ514" s="98"/>
      <c r="DR514" s="98"/>
      <c r="DS514" s="98"/>
      <c r="DT514" s="98"/>
      <c r="DU514" s="98"/>
      <c r="DV514" s="98"/>
      <c r="DW514" s="98"/>
      <c r="DX514" s="98"/>
      <c r="DY514" s="98"/>
      <c r="DZ514" s="98"/>
      <c r="EA514" s="98"/>
      <c r="EB514" s="98"/>
      <c r="EC514" s="98"/>
      <c r="ED514" s="98"/>
    </row>
    <row r="515" spans="1:134" x14ac:dyDescent="0.25">
      <c r="A515" s="98"/>
      <c r="V515" s="98"/>
      <c r="AA515" s="98"/>
      <c r="AB515" s="98"/>
      <c r="AD515" s="98"/>
      <c r="AE515" s="98"/>
      <c r="AH515" s="98"/>
      <c r="AI515" s="98"/>
      <c r="AK515" s="98"/>
      <c r="AR515" s="98"/>
      <c r="AV515" s="98"/>
      <c r="AX515" s="98"/>
      <c r="BB515" s="98"/>
      <c r="BC515" s="98"/>
      <c r="BE515" s="98"/>
      <c r="BH515" s="98"/>
      <c r="BI515" s="102" t="s">
        <v>274</v>
      </c>
      <c r="BJ515" s="178" t="s">
        <v>643</v>
      </c>
      <c r="BK515" s="178">
        <v>1.8565</v>
      </c>
      <c r="BL515" s="178" t="s">
        <v>644</v>
      </c>
      <c r="BM515" s="169">
        <v>8.8870000000000005E-2</v>
      </c>
      <c r="BN515" s="169">
        <v>8.8870000000000005E-2</v>
      </c>
      <c r="BO515" s="169" t="s">
        <v>241</v>
      </c>
      <c r="BP515" s="263">
        <v>1</v>
      </c>
      <c r="BQ515" s="98"/>
      <c r="BR515" s="98"/>
      <c r="BS515" s="98"/>
      <c r="BT515" s="98"/>
      <c r="BU515" s="98"/>
      <c r="BV515" s="98"/>
      <c r="BW515" s="98"/>
      <c r="BX515" s="98"/>
      <c r="BY515" s="98"/>
      <c r="BZ515" s="98"/>
      <c r="CA515" s="98"/>
      <c r="CB515" s="98"/>
      <c r="CC515" s="98"/>
      <c r="CD515" s="98"/>
      <c r="CE515" s="98"/>
      <c r="CF515" s="98"/>
      <c r="CG515" s="98"/>
      <c r="CH515" s="98"/>
      <c r="CI515" s="98"/>
      <c r="CJ515" s="98"/>
      <c r="CK515" s="98"/>
      <c r="CL515" s="98"/>
      <c r="CM515" s="98"/>
      <c r="CN515" s="98"/>
      <c r="CR515" s="98"/>
      <c r="CS515" s="98"/>
      <c r="CT515" s="98"/>
      <c r="CU515" s="98"/>
      <c r="CV515" s="98"/>
      <c r="CW515" s="98"/>
      <c r="CX515" s="98"/>
      <c r="CY515" s="98"/>
      <c r="CZ515" s="98"/>
      <c r="DA515" s="98"/>
      <c r="DB515" s="98"/>
      <c r="DC515" s="98"/>
      <c r="DD515" s="98"/>
      <c r="DE515" s="98"/>
      <c r="DF515" s="98"/>
      <c r="DG515" s="98"/>
      <c r="DH515" s="98"/>
      <c r="DI515" s="98"/>
      <c r="DJ515" s="98"/>
      <c r="DK515" s="98"/>
      <c r="DL515" s="98"/>
      <c r="DM515" s="98"/>
      <c r="DN515" s="98"/>
      <c r="DO515" s="98"/>
      <c r="DP515" s="98"/>
      <c r="DQ515" s="98"/>
      <c r="DR515" s="98"/>
      <c r="DS515" s="98"/>
      <c r="DT515" s="98"/>
      <c r="DU515" s="98"/>
      <c r="DV515" s="98"/>
      <c r="DW515" s="98"/>
      <c r="DX515" s="98"/>
      <c r="DY515" s="98"/>
      <c r="DZ515" s="98"/>
      <c r="EA515" s="98"/>
      <c r="EB515" s="98"/>
      <c r="EC515" s="98"/>
      <c r="ED515" s="98"/>
    </row>
    <row r="516" spans="1:134" x14ac:dyDescent="0.25">
      <c r="A516" s="98"/>
      <c r="V516" s="98"/>
      <c r="AA516" s="98"/>
      <c r="AB516" s="98"/>
      <c r="AD516" s="98"/>
      <c r="AE516" s="98"/>
      <c r="AH516" s="98"/>
      <c r="AI516" s="98"/>
      <c r="AK516" s="98"/>
      <c r="AR516" s="98"/>
      <c r="AV516" s="98"/>
      <c r="AX516" s="98"/>
      <c r="BB516" s="98"/>
      <c r="BC516" s="98"/>
      <c r="BE516" s="98"/>
      <c r="BH516" s="98"/>
      <c r="BQ516" s="98"/>
      <c r="BR516" s="98"/>
      <c r="BS516" s="98"/>
      <c r="BT516" s="98"/>
      <c r="BU516" s="98"/>
      <c r="BV516" s="98"/>
      <c r="BW516" s="98"/>
      <c r="BX516" s="98"/>
      <c r="BY516" s="98"/>
      <c r="BZ516" s="98"/>
      <c r="CA516" s="98"/>
      <c r="CB516" s="98"/>
      <c r="CC516" s="98"/>
      <c r="CD516" s="98"/>
      <c r="CE516" s="98"/>
      <c r="CF516" s="98"/>
      <c r="CG516" s="98"/>
      <c r="CH516" s="98"/>
      <c r="CI516" s="98"/>
      <c r="CJ516" s="98"/>
      <c r="CK516" s="98"/>
      <c r="CL516" s="98"/>
      <c r="CM516" s="98"/>
      <c r="CN516" s="98"/>
      <c r="CR516" s="98"/>
      <c r="CS516" s="98"/>
      <c r="CT516" s="98"/>
      <c r="CU516" s="98"/>
      <c r="CV516" s="98"/>
      <c r="CW516" s="98"/>
      <c r="CX516" s="98"/>
      <c r="CY516" s="98"/>
      <c r="CZ516" s="98"/>
      <c r="DA516" s="98"/>
      <c r="DB516" s="98"/>
      <c r="DC516" s="98"/>
      <c r="DD516" s="98"/>
      <c r="DE516" s="98"/>
      <c r="DF516" s="98"/>
      <c r="DG516" s="98"/>
      <c r="DH516" s="98"/>
      <c r="DI516" s="98"/>
      <c r="DJ516" s="98"/>
      <c r="DK516" s="98"/>
      <c r="DL516" s="98"/>
      <c r="DM516" s="98"/>
      <c r="DN516" s="98"/>
      <c r="DO516" s="98"/>
      <c r="DP516" s="98"/>
      <c r="DQ516" s="98"/>
      <c r="DR516" s="98"/>
      <c r="DS516" s="98"/>
      <c r="DT516" s="98"/>
      <c r="DU516" s="98"/>
      <c r="DV516" s="98"/>
      <c r="DW516" s="98"/>
      <c r="DX516" s="98"/>
      <c r="DY516" s="98"/>
      <c r="DZ516" s="98"/>
      <c r="EA516" s="98"/>
      <c r="EB516" s="98"/>
      <c r="EC516" s="98"/>
      <c r="ED516" s="98"/>
    </row>
    <row r="517" spans="1:134" x14ac:dyDescent="0.25">
      <c r="A517" s="98"/>
      <c r="V517" s="98"/>
      <c r="AA517" s="98"/>
      <c r="AB517" s="98"/>
      <c r="AD517" s="98"/>
      <c r="AE517" s="98"/>
      <c r="AH517" s="98"/>
      <c r="AI517" s="98"/>
      <c r="AK517" s="98"/>
      <c r="AR517" s="98"/>
      <c r="AV517" s="98"/>
      <c r="AX517" s="98"/>
      <c r="BB517" s="98"/>
      <c r="BC517" s="98"/>
      <c r="BE517" s="98"/>
      <c r="BH517" s="98"/>
      <c r="BQ517" s="98"/>
      <c r="BR517" s="98"/>
      <c r="BS517" s="98"/>
      <c r="BT517" s="98"/>
      <c r="BU517" s="98"/>
      <c r="BV517" s="98"/>
      <c r="BW517" s="98"/>
      <c r="BX517" s="98"/>
      <c r="BY517" s="98"/>
      <c r="BZ517" s="98"/>
      <c r="CA517" s="98"/>
      <c r="CB517" s="98"/>
      <c r="CC517" s="98"/>
      <c r="CD517" s="98"/>
      <c r="CE517" s="98"/>
      <c r="CF517" s="98"/>
      <c r="CG517" s="98"/>
      <c r="CH517" s="98"/>
      <c r="CI517" s="98"/>
      <c r="CJ517" s="98"/>
      <c r="CK517" s="98"/>
      <c r="CL517" s="98"/>
      <c r="CM517" s="98"/>
      <c r="CN517" s="98"/>
      <c r="CR517" s="98"/>
      <c r="CS517" s="98"/>
      <c r="CT517" s="98"/>
      <c r="CU517" s="98"/>
      <c r="CV517" s="98"/>
      <c r="CW517" s="98"/>
      <c r="CX517" s="98"/>
      <c r="CY517" s="98"/>
      <c r="CZ517" s="98"/>
      <c r="DA517" s="98"/>
      <c r="DB517" s="98"/>
      <c r="DC517" s="98"/>
      <c r="DD517" s="98"/>
      <c r="DE517" s="98"/>
      <c r="DF517" s="98"/>
      <c r="DG517" s="98"/>
      <c r="DH517" s="98"/>
      <c r="DI517" s="98"/>
      <c r="DJ517" s="98"/>
      <c r="DK517" s="98"/>
      <c r="DL517" s="98"/>
      <c r="DM517" s="98"/>
      <c r="DN517" s="98"/>
      <c r="DO517" s="98"/>
      <c r="DP517" s="98"/>
      <c r="DQ517" s="98"/>
      <c r="DR517" s="98"/>
      <c r="DS517" s="98"/>
      <c r="DT517" s="98"/>
      <c r="DU517" s="98"/>
      <c r="DV517" s="98"/>
      <c r="DW517" s="98"/>
      <c r="DX517" s="98"/>
      <c r="DY517" s="98"/>
      <c r="DZ517" s="98"/>
      <c r="EA517" s="98"/>
      <c r="EB517" s="98"/>
      <c r="EC517" s="98"/>
      <c r="ED517" s="98"/>
    </row>
  </sheetData>
  <sheetProtection password="C935" sheet="1" objects="1" scenarios="1" formatCells="0" formatColumns="0" formatRows="0" insertRows="0"/>
  <protectedRanges>
    <protectedRange algorithmName="SHA-512" hashValue="JkwGMkyN6uDZy9K3UnLYKHbONkTneyvcBkZbw832pf3/OvzPn47/tOjWWFkoHruJFqsDNzL3ZtFhUW1rxpiesQ==" saltValue="hiIEQ6ppq6xjmWFZjcvCAg==" spinCount="100000" sqref="BP148:BS149 BP133:BP147 BP165:BS166 BW148:BX149 BW165:BX166 CC148:CD149 CC165:CD166 CI148:CJ149 CI165:CJ166 BU148:BU149 BU165:BU166 BS147 BT147:BT149 BS134:BT146 BS152:BT163 BT164:BT166 BS164 CI152:CI164 CC152:CC164 BW152:BW164 BP152:BQ164" name="Rango1_10"/>
  </protectedRanges>
  <mergeCells count="197">
    <mergeCell ref="BI404:BI405"/>
    <mergeCell ref="BK404:BK405"/>
    <mergeCell ref="BM404:BM405"/>
    <mergeCell ref="BN404:BN405"/>
    <mergeCell ref="BO404:BO405"/>
    <mergeCell ref="BI439:BI440"/>
    <mergeCell ref="BK439:BK440"/>
    <mergeCell ref="BM439:BM440"/>
    <mergeCell ref="BN439:BN440"/>
    <mergeCell ref="BO439:BO440"/>
    <mergeCell ref="BI376:BI377"/>
    <mergeCell ref="BK376:BK377"/>
    <mergeCell ref="BM376:BM377"/>
    <mergeCell ref="BN376:BN377"/>
    <mergeCell ref="BO376:BO377"/>
    <mergeCell ref="BI389:BI390"/>
    <mergeCell ref="BK389:BK390"/>
    <mergeCell ref="BM389:BM390"/>
    <mergeCell ref="BN389:BN390"/>
    <mergeCell ref="BO389:BO390"/>
    <mergeCell ref="BI365:BI366"/>
    <mergeCell ref="BK365:BK366"/>
    <mergeCell ref="BM365:BM366"/>
    <mergeCell ref="BN365:BN366"/>
    <mergeCell ref="BO365:BO366"/>
    <mergeCell ref="BP365:BP366"/>
    <mergeCell ref="BR365:BR366"/>
    <mergeCell ref="BS365:BS366"/>
    <mergeCell ref="BT365:BT366"/>
    <mergeCell ref="DD326:DD327"/>
    <mergeCell ref="DE326:DE327"/>
    <mergeCell ref="DF326:DF327"/>
    <mergeCell ref="DG326:DH326"/>
    <mergeCell ref="DI326:DJ326"/>
    <mergeCell ref="AI327:AM327"/>
    <mergeCell ref="BI327:BI328"/>
    <mergeCell ref="BK327:BK328"/>
    <mergeCell ref="BM327:BM328"/>
    <mergeCell ref="BN327:BN328"/>
    <mergeCell ref="BK326:BO326"/>
    <mergeCell ref="BP326:BT326"/>
    <mergeCell ref="CY326:CY327"/>
    <mergeCell ref="CZ326:DA326"/>
    <mergeCell ref="DB326:DB327"/>
    <mergeCell ref="DC326:DC327"/>
    <mergeCell ref="BO327:BO328"/>
    <mergeCell ref="BP327:BP328"/>
    <mergeCell ref="BR327:BR328"/>
    <mergeCell ref="BS327:BS328"/>
    <mergeCell ref="BT327:BT328"/>
    <mergeCell ref="BI305:BI306"/>
    <mergeCell ref="BJ305:BJ306"/>
    <mergeCell ref="BK305:BK306"/>
    <mergeCell ref="BM305:BM306"/>
    <mergeCell ref="BN305:BN306"/>
    <mergeCell ref="BO305:BO306"/>
    <mergeCell ref="BQ231:BQ232"/>
    <mergeCell ref="BS231:BS232"/>
    <mergeCell ref="BT231:BT232"/>
    <mergeCell ref="BU231:BU232"/>
    <mergeCell ref="BI238:BI239"/>
    <mergeCell ref="BK238:BK239"/>
    <mergeCell ref="BM238:BM239"/>
    <mergeCell ref="BN238:BN239"/>
    <mergeCell ref="BO238:BO239"/>
    <mergeCell ref="BI226:BI227"/>
    <mergeCell ref="BK226:BK227"/>
    <mergeCell ref="BM226:BM227"/>
    <mergeCell ref="BN226:BN227"/>
    <mergeCell ref="BO226:BO227"/>
    <mergeCell ref="BI231:BI232"/>
    <mergeCell ref="BK231:BK232"/>
    <mergeCell ref="BM231:BM232"/>
    <mergeCell ref="BN231:BN232"/>
    <mergeCell ref="BO231:BO232"/>
    <mergeCell ref="BT214:BT215"/>
    <mergeCell ref="BU214:BU215"/>
    <mergeCell ref="BI220:BI221"/>
    <mergeCell ref="BK220:BK221"/>
    <mergeCell ref="BM220:BM221"/>
    <mergeCell ref="BN220:BN221"/>
    <mergeCell ref="BO220:BO221"/>
    <mergeCell ref="BS188:BS189"/>
    <mergeCell ref="BT188:BT189"/>
    <mergeCell ref="BU188:BU189"/>
    <mergeCell ref="BI214:BI215"/>
    <mergeCell ref="BK214:BK215"/>
    <mergeCell ref="BM214:BM215"/>
    <mergeCell ref="BN214:BN215"/>
    <mergeCell ref="BO214:BO215"/>
    <mergeCell ref="BQ214:BQ215"/>
    <mergeCell ref="BS214:BS215"/>
    <mergeCell ref="BI188:BI189"/>
    <mergeCell ref="BK188:BK189"/>
    <mergeCell ref="BM188:BM189"/>
    <mergeCell ref="BN188:BN189"/>
    <mergeCell ref="BO188:BO189"/>
    <mergeCell ref="BQ188:BQ189"/>
    <mergeCell ref="CB150:CM150"/>
    <mergeCell ref="BI167:BI168"/>
    <mergeCell ref="BK167:BK168"/>
    <mergeCell ref="BM167:BM168"/>
    <mergeCell ref="BN167:BN168"/>
    <mergeCell ref="BO167:BO168"/>
    <mergeCell ref="BP167:CA167"/>
    <mergeCell ref="CB167:CM167"/>
    <mergeCell ref="BN121:BN122"/>
    <mergeCell ref="BO121:BO122"/>
    <mergeCell ref="BP121:CA121"/>
    <mergeCell ref="CB121:CM121"/>
    <mergeCell ref="BI150:BI151"/>
    <mergeCell ref="BK150:BK151"/>
    <mergeCell ref="BM150:BM151"/>
    <mergeCell ref="BN150:BN151"/>
    <mergeCell ref="BO150:BO151"/>
    <mergeCell ref="BP150:CA150"/>
    <mergeCell ref="D89:R89"/>
    <mergeCell ref="S89:W89"/>
    <mergeCell ref="X89:AD89"/>
    <mergeCell ref="B105:AA105"/>
    <mergeCell ref="B107:AA107"/>
    <mergeCell ref="BK121:BK122"/>
    <mergeCell ref="BM121:BM122"/>
    <mergeCell ref="B102:B103"/>
    <mergeCell ref="C102:C103"/>
    <mergeCell ref="D102:R102"/>
    <mergeCell ref="S102:W102"/>
    <mergeCell ref="X102:AD102"/>
    <mergeCell ref="AE89:AE90"/>
    <mergeCell ref="AF89:AF90"/>
    <mergeCell ref="AE102:AE103"/>
    <mergeCell ref="AF102:AF103"/>
    <mergeCell ref="B91:B94"/>
    <mergeCell ref="B95:B96"/>
    <mergeCell ref="B97:B98"/>
    <mergeCell ref="B99:AA99"/>
    <mergeCell ref="B89:B90"/>
    <mergeCell ref="C89:C90"/>
    <mergeCell ref="AL43:AR43"/>
    <mergeCell ref="B64:B66"/>
    <mergeCell ref="B68:B70"/>
    <mergeCell ref="B46:B53"/>
    <mergeCell ref="B55:B62"/>
    <mergeCell ref="AS43:AX43"/>
    <mergeCell ref="AY43:BE43"/>
    <mergeCell ref="BF43:BF44"/>
    <mergeCell ref="BG43:BG44"/>
    <mergeCell ref="X44:Y44"/>
    <mergeCell ref="AE44:AF44"/>
    <mergeCell ref="AL44:AM44"/>
    <mergeCell ref="AS44:AT44"/>
    <mergeCell ref="AY44:AZ44"/>
    <mergeCell ref="B54:C54"/>
    <mergeCell ref="B63:C63"/>
    <mergeCell ref="B67:C67"/>
    <mergeCell ref="B2:AL3"/>
    <mergeCell ref="B12:BG12"/>
    <mergeCell ref="B14:BG14"/>
    <mergeCell ref="B15:B16"/>
    <mergeCell ref="C15:C16"/>
    <mergeCell ref="D15:R15"/>
    <mergeCell ref="S15:W15"/>
    <mergeCell ref="X15:AD15"/>
    <mergeCell ref="B42:BG42"/>
    <mergeCell ref="C8:K8"/>
    <mergeCell ref="Y8:AL8"/>
    <mergeCell ref="C9:K9"/>
    <mergeCell ref="Y9:AL9"/>
    <mergeCell ref="C10:K10"/>
    <mergeCell ref="Y10:AL10"/>
    <mergeCell ref="B5:AL5"/>
    <mergeCell ref="C6:K6"/>
    <mergeCell ref="Y6:AL6"/>
    <mergeCell ref="C7:K7"/>
    <mergeCell ref="Y7:AL7"/>
    <mergeCell ref="AE15:AK15"/>
    <mergeCell ref="AL15:AR15"/>
    <mergeCell ref="AS15:AX15"/>
    <mergeCell ref="AY15:BE15"/>
    <mergeCell ref="BF15:BF16"/>
    <mergeCell ref="BG15:BG16"/>
    <mergeCell ref="X16:Y16"/>
    <mergeCell ref="AE16:AF16"/>
    <mergeCell ref="AL16:AM16"/>
    <mergeCell ref="AS16:AT16"/>
    <mergeCell ref="AY16:AZ16"/>
    <mergeCell ref="B35:B36"/>
    <mergeCell ref="B37:B38"/>
    <mergeCell ref="B71:C71"/>
    <mergeCell ref="B72:B74"/>
    <mergeCell ref="B75:C75"/>
    <mergeCell ref="B43:B44"/>
    <mergeCell ref="C43:C44"/>
    <mergeCell ref="D43:R43"/>
    <mergeCell ref="S43:W43"/>
    <mergeCell ref="X43:AD43"/>
    <mergeCell ref="AE43:AK43"/>
  </mergeCells>
  <dataValidations count="18">
    <dataValidation type="list" allowBlank="1" showInputMessage="1" showErrorMessage="1" sqref="C91:C94">
      <formula1>$BI$490:$BI$502</formula1>
    </dataValidation>
    <dataValidation type="list" allowBlank="1" showInputMessage="1" showErrorMessage="1" sqref="C97:C98">
      <formula1>$BI$515:$BI$516</formula1>
    </dataValidation>
    <dataValidation type="list" allowBlank="1" showInputMessage="1" showErrorMessage="1" sqref="C95:C96">
      <formula1>$BI$509:$BI$510</formula1>
    </dataValidation>
    <dataValidation type="list" allowBlank="1" showInputMessage="1" showErrorMessage="1" sqref="C104">
      <formula1>$BI$503:$BI$504</formula1>
    </dataValidation>
    <dataValidation type="list" allowBlank="1" showInputMessage="1" showErrorMessage="1" sqref="C55:C62">
      <formula1>$BI$329:$BI$361</formula1>
    </dataValidation>
    <dataValidation type="list" allowBlank="1" showInputMessage="1" showErrorMessage="1" sqref="C64:C66">
      <formula1>$BI$367:$BI$373</formula1>
    </dataValidation>
    <dataValidation type="list" allowBlank="1" showInputMessage="1" showErrorMessage="1" sqref="C68:C70">
      <formula1>$BI$378:$BI$381</formula1>
    </dataValidation>
    <dataValidation type="list" allowBlank="1" showInputMessage="1" showErrorMessage="1" sqref="C72:C74">
      <formula1>$BI$382:$BI$384</formula1>
    </dataValidation>
    <dataValidation type="list" allowBlank="1" showInputMessage="1" showErrorMessage="1" sqref="C53">
      <formula1>$BI$307:$BI$323</formula1>
    </dataValidation>
    <dataValidation type="list" allowBlank="1" showInputMessage="1" showErrorMessage="1" sqref="C35">
      <formula1>$BI$216</formula1>
    </dataValidation>
    <dataValidation type="list" allowBlank="1" showInputMessage="1" showErrorMessage="1" sqref="C36">
      <formula1>$BI$217</formula1>
    </dataValidation>
    <dataValidation type="list" allowBlank="1" showInputMessage="1" showErrorMessage="1" sqref="C17:C20">
      <formula1>$BI$123:$BI$147</formula1>
    </dataValidation>
    <dataValidation type="list" allowBlank="1" showInputMessage="1" showErrorMessage="1" sqref="C21:C24">
      <formula1>$BI$152:$BI$164</formula1>
    </dataValidation>
    <dataValidation type="list" allowBlank="1" showInputMessage="1" showErrorMessage="1" sqref="C25:C27">
      <formula1>$BI$169:$BI$186</formula1>
    </dataValidation>
    <dataValidation type="list" allowBlank="1" showInputMessage="1" showErrorMessage="1" sqref="C29:C34">
      <formula1>$BI$190:$BI$211</formula1>
    </dataValidation>
    <dataValidation type="list" allowBlank="1" showInputMessage="1" showErrorMessage="1" sqref="C37:C38">
      <formula1>$BI$222:$BI$223</formula1>
    </dataValidation>
    <dataValidation type="list" allowBlank="1" showInputMessage="1" showErrorMessage="1" sqref="C45">
      <formula1>$BI$235</formula1>
    </dataValidation>
    <dataValidation type="list" allowBlank="1" showInputMessage="1" showErrorMessage="1" sqref="C46:C52">
      <formula1>$BI$305:$BI$321</formula1>
    </dataValidation>
  </dataValidations>
  <hyperlinks>
    <hyperlink ref="Q44" location="'INSTRUCCIONES INCERTIDUMBRE'!C21" display="TOTAL"/>
    <hyperlink ref="R44" location="'INSTRUCCIONES INCERTIDUMBRE'!C22" display="No. DATOS"/>
    <hyperlink ref="S44" location="'INSTRUCCIONES INCERTIDUMBRE'!C23" display="PROMEDIO"/>
    <hyperlink ref="T44" location="'INSTRUCCIONES INCERTIDUMBRE'!C24" display="DESVIACION ESTÁNDAR"/>
    <hyperlink ref="U44" location="'INSTRUCCIONES INCERTIDUMBRE'!C25" display="FACTOR T"/>
    <hyperlink ref="W44" location="'INSTRUCCIONES INCERTIDUMBRE'!C26" display="INCERTIDUMBRE"/>
    <hyperlink ref="BF43:BF44" location="'INSTRUCCIONES INCERTIDUMBRE'!C32" display="'INSTRUCCIONES INCERTIDUMBRE'!C32"/>
    <hyperlink ref="BG43:BG44" location="'INSTRUCCIONES INCERTIDUMBRE'!C34" display="INCERTIDUMBRE DE LA FUENTE"/>
    <hyperlink ref="D44" location="'INSTRUCCIONES INCERTIDUMBRE'!C19" display="UNIDAD"/>
    <hyperlink ref="E44" location="'HC CORPORATIVA-INCERTIDUMBRE'!C20" display="DATO 1"/>
    <hyperlink ref="BU202" r:id="rId1"/>
    <hyperlink ref="BO208" r:id="rId2"/>
    <hyperlink ref="Q90" location="'INSTRUCCIONES INCERTIDUMBRE'!C21" display="TOTAL"/>
    <hyperlink ref="R90" location="'INSTRUCCIONES INCERTIDUMBRE'!C22" display="No. DATOS"/>
    <hyperlink ref="S90" location="'INSTRUCCIONES INCERTIDUMBRE'!C23" display="PROMEDIO"/>
    <hyperlink ref="T90" location="'INSTRUCCIONES INCERTIDUMBRE'!C24" display="DESVIACION ESTÁNDAR"/>
    <hyperlink ref="U90" location="'INSTRUCCIONES INCERTIDUMBRE'!C25" display="FACTOR T"/>
    <hyperlink ref="W90" location="'INSTRUCCIONES INCERTIDUMBRE'!C26" display="INCERTIDUMBRE"/>
    <hyperlink ref="D90" location="'INSTRUCCIONES INCERTIDUMBRE'!C19" display="UNIDAD"/>
    <hyperlink ref="E90" location="'HC CORPORATIVA-INCERTIDUMBRE'!C20" display="DATO 1"/>
    <hyperlink ref="Q103" location="'INSTRUCCIONES INCERTIDUMBRE'!C21" display="TOTAL"/>
    <hyperlink ref="R103" location="'INSTRUCCIONES INCERTIDUMBRE'!C22" display="No. DATOS"/>
    <hyperlink ref="S103" location="'INSTRUCCIONES INCERTIDUMBRE'!C23" display="PROMEDIO"/>
    <hyperlink ref="T103" location="'INSTRUCCIONES INCERTIDUMBRE'!C24" display="DESVIACION ESTÁNDAR"/>
    <hyperlink ref="U103" location="'INSTRUCCIONES INCERTIDUMBRE'!C25" display="FACTOR T"/>
    <hyperlink ref="W103" location="'INSTRUCCIONES INCERTIDUMBRE'!C26" display="INCERTIDUMBRE"/>
    <hyperlink ref="D103" location="'INSTRUCCIONES INCERTIDUMBRE'!C19" display="UNIDAD"/>
    <hyperlink ref="E103" location="'HC CORPORATIVA-INCERTIDUMBRE'!C20" display="DATO 1"/>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F15:BF16" location="'INSTRUCCIONES INCERTIDUMBRE'!C32" display="'INSTRUCCIONES INCERTIDUMBRE'!C32"/>
    <hyperlink ref="BG15:BG16" location="'INSTRUCCIONES INCERTIDUMBRE'!C34" display="INCERTIDUMBRE DE LA FUENTE"/>
    <hyperlink ref="D16" location="'INSTRUCCIONES INCERTIDUMBRE'!C19" display="UNIDAD"/>
    <hyperlink ref="E16" location="'HC CORPORATIVA-INCERTIDUMBRE'!C20" display="DATO 1"/>
    <hyperlink ref="AE89:AE90" location="'INSTRUCCIONES INCERTIDUMBRE'!C32" display="'INSTRUCCIONES INCERTIDUMBRE'!C32"/>
    <hyperlink ref="AF89:AF90" location="'INSTRUCCIONES INCERTIDUMBRE'!C34" display="INCERTIDUMBRE DE LA FUENTE"/>
    <hyperlink ref="AE102:AE103" location="'INSTRUCCIONES INCERTIDUMBRE'!C32" display="'INSTRUCCIONES INCERTIDUMBRE'!C32"/>
    <hyperlink ref="AF102:AF103" location="'INSTRUCCIONES INCERTIDUMBRE'!C34" display="INCERTIDUMBRE DE LA FUENTE"/>
  </hyperlinks>
  <pageMargins left="0.7" right="0.7" top="0.75" bottom="0.75" header="0.3" footer="0.3"/>
  <pageSetup paperSize="0" orientation="portrait" horizontalDpi="0" verticalDpi="0" copies="0"/>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vt:i4>
      </vt:variant>
    </vt:vector>
  </HeadingPairs>
  <TitlesOfParts>
    <vt:vector size="16" baseType="lpstr">
      <vt:lpstr>MENU</vt:lpstr>
      <vt:lpstr>INSTRUCCIONES</vt:lpstr>
      <vt:lpstr>INFORMACIÓN REQUERIDA</vt:lpstr>
      <vt:lpstr>RESIDENCIAL</vt:lpstr>
      <vt:lpstr>Otros factores</vt:lpstr>
      <vt:lpstr>INSTITUCIONAL</vt:lpstr>
      <vt:lpstr>TRANSPORTE</vt:lpstr>
      <vt:lpstr>INDUSTRIA</vt:lpstr>
      <vt:lpstr>AGROPECUARIO</vt:lpstr>
      <vt:lpstr>RESIDUOS</vt:lpstr>
      <vt:lpstr>USO DEL SUELO</vt:lpstr>
      <vt:lpstr>SUMIDEROS</vt:lpstr>
      <vt:lpstr>RESULTADOS HCM</vt:lpstr>
      <vt:lpstr>INFORMES</vt:lpstr>
      <vt:lpstr>'INFORMACIÓN REQUERIDA'!Área_de_impresión</vt:lpstr>
      <vt:lpstr>'INFORMACIÓN REQUERIDA'!Títulos_a_imprimir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Cecilia Villalba</dc:creator>
  <cp:lastModifiedBy>Usuario</cp:lastModifiedBy>
  <cp:lastPrinted>2014-10-02T16:38:53Z</cp:lastPrinted>
  <dcterms:created xsi:type="dcterms:W3CDTF">2014-09-25T21:24:30Z</dcterms:created>
  <dcterms:modified xsi:type="dcterms:W3CDTF">2021-08-12T19:18:18Z</dcterms:modified>
</cp:coreProperties>
</file>